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ustomProperty2.bin" ContentType="application/vnd.openxmlformats-officedocument.spreadsheetml.customProperty"/>
  <Override PartName="/xl/drawings/drawing1.xml" ContentType="application/vnd.openxmlformats-officedocument.drawing+xml"/>
  <Override PartName="/xl/customProperty3.bin" ContentType="application/vnd.openxmlformats-officedocument.spreadsheetml.customProperty"/>
  <Override PartName="/xl/customProperty4.bin" ContentType="application/vnd.openxmlformats-officedocument.spreadsheetml.customProperty"/>
  <Override PartName="/xl/customProperty5.bin" ContentType="application/vnd.openxmlformats-officedocument.spreadsheetml.customProperty"/>
  <Override PartName="/xl/customProperty6.bin" ContentType="application/vnd.openxmlformats-officedocument.spreadsheetml.customProperty"/>
  <Override PartName="/xl/customProperty7.bin" ContentType="application/vnd.openxmlformats-officedocument.spreadsheetml.customProperty"/>
  <Override PartName="/xl/customProperty8.bin" ContentType="application/vnd.openxmlformats-officedocument.spreadsheetml.customProperty"/>
  <Override PartName="/xl/customProperty9.bin" ContentType="application/vnd.openxmlformats-officedocument.spreadsheetml.customProperty"/>
  <Override PartName="/xl/customProperty10.bin" ContentType="application/vnd.openxmlformats-officedocument.spreadsheetml.customProperty"/>
  <Override PartName="/xl/customProperty11.bin" ContentType="application/vnd.openxmlformats-officedocument.spreadsheetml.customProperty"/>
  <Override PartName="/xl/customProperty12.bin" ContentType="application/vnd.openxmlformats-officedocument.spreadsheetml.customProperty"/>
  <Override PartName="/xl/customProperty13.bin" ContentType="application/vnd.openxmlformats-officedocument.spreadsheetml.customProperty"/>
  <Override PartName="/xl/customProperty14.bin" ContentType="application/vnd.openxmlformats-officedocument.spreadsheetml.customProperty"/>
  <Override PartName="/xl/customProperty15.bin" ContentType="application/vnd.openxmlformats-officedocument.spreadsheetml.customProperty"/>
  <Override PartName="/xl/customProperty16.bin" ContentType="application/vnd.openxmlformats-officedocument.spreadsheetml.customProperty"/>
  <Override PartName="/xl/drawings/drawing2.xml" ContentType="application/vnd.openxmlformats-officedocument.drawing+xml"/>
  <Override PartName="/xl/customProperty17.bin" ContentType="application/vnd.openxmlformats-officedocument.spreadsheetml.customProperty"/>
  <Override PartName="/xl/drawings/drawing3.xml" ContentType="application/vnd.openxmlformats-officedocument.drawing+xml"/>
  <Override PartName="/xl/customProperty18.bin" ContentType="application/vnd.openxmlformats-officedocument.spreadsheetml.customProperty"/>
  <Override PartName="/xl/customProperty19.bin" ContentType="application/vnd.openxmlformats-officedocument.spreadsheetml.customProperty"/>
  <Override PartName="/xl/customProperty20.bin" ContentType="application/vnd.openxmlformats-officedocument.spreadsheetml.customProperty"/>
  <Override PartName="/xl/customProperty21.bin" ContentType="application/vnd.openxmlformats-officedocument.spreadsheetml.customProperty"/>
  <Override PartName="/xl/customProperty22.bin" ContentType="application/vnd.openxmlformats-officedocument.spreadsheetml.customProperty"/>
  <Override PartName="/xl/customProperty23.bin" ContentType="application/vnd.openxmlformats-officedocument.spreadsheetml.customProperty"/>
  <Override PartName="/xl/customProperty24.bin" ContentType="application/vnd.openxmlformats-officedocument.spreadsheetml.customProperty"/>
  <Override PartName="/xl/customProperty25.bin" ContentType="application/vnd.openxmlformats-officedocument.spreadsheetml.customProperty"/>
  <Override PartName="/xl/customProperty26.bin" ContentType="application/vnd.openxmlformats-officedocument.spreadsheetml.customProperty"/>
  <Override PartName="/xl/customProperty27.bin" ContentType="application/vnd.openxmlformats-officedocument.spreadsheetml.customProperty"/>
  <Override PartName="/xl/customProperty28.bin" ContentType="application/vnd.openxmlformats-officedocument.spreadsheetml.customProperty"/>
  <Override PartName="/xl/customProperty29.bin" ContentType="application/vnd.openxmlformats-officedocument.spreadsheetml.customProperty"/>
  <Override PartName="/xl/customProperty30.bin" ContentType="application/vnd.openxmlformats-officedocument.spreadsheetml.customProperty"/>
  <Override PartName="/xl/customProperty31.bin" ContentType="application/vnd.openxmlformats-officedocument.spreadsheetml.customProperty"/>
  <Override PartName="/xl/customProperty32.bin" ContentType="application/vnd.openxmlformats-officedocument.spreadsheetml.customProperty"/>
  <Override PartName="/xl/customProperty33.bin" ContentType="application/vnd.openxmlformats-officedocument.spreadsheetml.customProperty"/>
  <Override PartName="/xl/drawings/drawing4.xml" ContentType="application/vnd.openxmlformats-officedocument.drawing+xml"/>
  <Override PartName="/xl/customProperty34.bin" ContentType="application/vnd.openxmlformats-officedocument.spreadsheetml.customProperty"/>
  <Override PartName="/xl/customProperty35.bin" ContentType="application/vnd.openxmlformats-officedocument.spreadsheetml.customProperty"/>
  <Override PartName="/xl/customProperty36.bin" ContentType="application/vnd.openxmlformats-officedocument.spreadsheetml.customProperty"/>
  <Override PartName="/xl/drawings/drawing5.xml" ContentType="application/vnd.openxmlformats-officedocument.drawing+xml"/>
  <Override PartName="/xl/customProperty37.bin" ContentType="application/vnd.openxmlformats-officedocument.spreadsheetml.customProperty"/>
  <Override PartName="/xl/customProperty38.bin" ContentType="application/vnd.openxmlformats-officedocument.spreadsheetml.customProperty"/>
  <Override PartName="/xl/customProperty39.bin" ContentType="application/vnd.openxmlformats-officedocument.spreadsheetml.customProperty"/>
  <Override PartName="/xl/customProperty40.bin" ContentType="application/vnd.openxmlformats-officedocument.spreadsheetml.customProperty"/>
  <Override PartName="/xl/customProperty41.bin" ContentType="application/vnd.openxmlformats-officedocument.spreadsheetml.customProperty"/>
  <Override PartName="/xl/customProperty42.bin" ContentType="application/vnd.openxmlformats-officedocument.spreadsheetml.customProperty"/>
  <Override PartName="/xl/customProperty43.bin" ContentType="application/vnd.openxmlformats-officedocument.spreadsheetml.customProperty"/>
  <Override PartName="/xl/customProperty44.bin" ContentType="application/vnd.openxmlformats-officedocument.spreadsheetml.customProperty"/>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029"/>
  <workbookPr filterPrivacy="1" codeName="ThisWorkbook" defaultThemeVersion="124226"/>
  <xr:revisionPtr revIDLastSave="0" documentId="13_ncr:1_{D4180E86-1E62-4C6D-8119-BFA2EBF9B846}" xr6:coauthVersionLast="47" xr6:coauthVersionMax="47" xr10:uidLastSave="{00000000-0000-0000-0000-000000000000}"/>
  <bookViews>
    <workbookView xWindow="28680" yWindow="-120" windowWidth="29040" windowHeight="15840" tabRatio="776" xr2:uid="{C0F6E8F3-9F27-4CFB-96E6-190C7DFE8D53}"/>
  </bookViews>
  <sheets>
    <sheet name="Table of Contents" sheetId="1" r:id="rId1"/>
    <sheet name="Exhibit A" sheetId="2" r:id="rId2"/>
    <sheet name="Exh A Supp" sheetId="3" r:id="rId3"/>
    <sheet name="Footnotes" sheetId="4" r:id="rId4"/>
    <sheet name="Exh B" sheetId="5" r:id="rId5"/>
    <sheet name="Exh C" sheetId="6" r:id="rId6"/>
    <sheet name="Exh D-Governmental  " sheetId="7" r:id="rId7"/>
    <sheet name="Exh D State Operating" sheetId="8" r:id="rId8"/>
    <sheet name="Exh D General Fund" sheetId="9" r:id="rId9"/>
    <sheet name="Exh D Special Revenue" sheetId="10" r:id="rId10"/>
    <sheet name="Exh D Special Revenue State Fed" sheetId="11" r:id="rId11"/>
    <sheet name="Exh D Debt Service" sheetId="12" r:id="rId12"/>
    <sheet name="Exh D Capital Projects" sheetId="13" r:id="rId13"/>
    <sheet name="Exh D Captl Projects State Fed" sheetId="14" r:id="rId14"/>
    <sheet name="EXHIBIT E " sheetId="15" r:id="rId15"/>
    <sheet name="Cashflow Governmental" sheetId="16" r:id="rId16"/>
    <sheet name="Cash Flow State Operating" sheetId="17" r:id="rId17"/>
    <sheet name="Exhibit F" sheetId="18" r:id="rId18"/>
    <sheet name="Exhibit G" sheetId="19" r:id="rId19"/>
    <sheet name="Exhibit G State" sheetId="20" r:id="rId20"/>
    <sheet name="Exhibit G Federal" sheetId="21" r:id="rId21"/>
    <sheet name="Exhibit H" sheetId="22" r:id="rId22"/>
    <sheet name="Exhibit I" sheetId="23" r:id="rId23"/>
    <sheet name="Exhibit I State" sheetId="24" r:id="rId24"/>
    <sheet name="Exhibit I Federal" sheetId="25" r:id="rId25"/>
    <sheet name="Exhibit J" sheetId="26" r:id="rId26"/>
    <sheet name="Exhibit K" sheetId="27" r:id="rId27"/>
    <sheet name="Exhibit L" sheetId="28" r:id="rId28"/>
    <sheet name="Exhibit M" sheetId="29" r:id="rId29"/>
    <sheet name="Sch 1 " sheetId="30" r:id="rId30"/>
    <sheet name="Sch 2 " sheetId="31" r:id="rId31"/>
    <sheet name="Sch 3 " sheetId="32" r:id="rId32"/>
    <sheet name="Sch 4" sheetId="33" r:id="rId33"/>
    <sheet name="Sch 5 " sheetId="34" r:id="rId34"/>
    <sheet name="Sch 5a" sheetId="35" r:id="rId35"/>
    <sheet name="Sch 6" sheetId="36" r:id="rId36"/>
    <sheet name="HCRA " sheetId="37" r:id="rId37"/>
    <sheet name="HCRA PROG DISB" sheetId="38" r:id="rId38"/>
    <sheet name="Public Goods " sheetId="39" r:id="rId39"/>
    <sheet name="Medicaid Disp Share" sheetId="40" r:id="rId40"/>
    <sheet name="Appendix E" sheetId="41" r:id="rId41"/>
    <sheet name="Appendix F" sheetId="42" r:id="rId42"/>
    <sheet name="Appendix G" sheetId="43" r:id="rId43"/>
    <sheet name="Appendix H" sheetId="44" r:id="rId44"/>
    <sheet name="Appendix I" sheetId="45" r:id="rId45"/>
  </sheets>
  <definedNames>
    <definedName name="_xlnm._FilterDatabase" localSheetId="11" hidden="1">'Exh D Debt Service'!$A$3:$A$7</definedName>
    <definedName name="_xlnm._FilterDatabase" localSheetId="8" hidden="1">'Exh D General Fund'!$A$3:$A$7</definedName>
    <definedName name="Exh_G_var" localSheetId="18">'Exhibit G'!$A$2:$AL$124</definedName>
    <definedName name="Exh_G_var" localSheetId="20">'Exhibit G Federal'!$A$2:$AL$93</definedName>
    <definedName name="Exh_G_var" localSheetId="19">'Exhibit G State'!$A$2:$AL$121</definedName>
    <definedName name="EXHIBIT_E" localSheetId="14">'EXHIBIT E '!$A$3:$AK$67</definedName>
    <definedName name="EXHIBITA" localSheetId="2">'Exh A Supp'!$A$3:$AC$60</definedName>
    <definedName name="EXHIBITAvar" localSheetId="2">'Exh A Supp'!$A$3:$AC$60</definedName>
    <definedName name="ExhibitB" localSheetId="5">'Exh C'!$A$3:$Q$46</definedName>
    <definedName name="EXHL" localSheetId="40">'Appendix E'!$A$2:$AA$22</definedName>
    <definedName name="EXHL" localSheetId="28">'Exhibit M'!$A$3:$AF$39</definedName>
    <definedName name="Medicaid" localSheetId="39">'Medicaid Disp Share'!$B$4:$M$49</definedName>
    <definedName name="NvsASD">"V2019-12-31"</definedName>
    <definedName name="NvsAutoDrillOk">"VN"</definedName>
    <definedName name="NvsElapsedTime" localSheetId="44">0.000937500000873115</definedName>
    <definedName name="NvsElapsedTime">0.00094907407037681</definedName>
    <definedName name="NvsEndTime" localSheetId="44">43847.4455208333</definedName>
    <definedName name="NvsEndTime">43847.3594675926</definedName>
    <definedName name="NvsInstLang">"VENG"</definedName>
    <definedName name="NvsInstSpec">"%"</definedName>
    <definedName name="NvsInstSpec1">","</definedName>
    <definedName name="NvsInstSpec2">","</definedName>
    <definedName name="NvsInstSpec3">","</definedName>
    <definedName name="NvsInstSpec4">","</definedName>
    <definedName name="NvsInstSpec5">","</definedName>
    <definedName name="NvsInstSpec6">","</definedName>
    <definedName name="NvsInstSpec7">","</definedName>
    <definedName name="NvsInstSpec8">","</definedName>
    <definedName name="NvsInstSpec9">","</definedName>
    <definedName name="NvsLayoutType">"M3"</definedName>
    <definedName name="NvsNplSpec">"%,X,RZF..R00B,CZF..C00B"</definedName>
    <definedName name="NvsPanelBusUnit">"V"</definedName>
    <definedName name="NvsPanelEffdt">"V2011-09-21"</definedName>
    <definedName name="NvsPanelSetid">"VNYS01"</definedName>
    <definedName name="NvsReqBU">"VOSC01"</definedName>
    <definedName name="NvsReqBUOnly">"VN"</definedName>
    <definedName name="NvsSheetType" localSheetId="43">"M"</definedName>
    <definedName name="NvsSheetType" localSheetId="44">"M"</definedName>
    <definedName name="NvsStyleNme">"Classical.xls"</definedName>
    <definedName name="NvsTransLed">"VN"</definedName>
    <definedName name="NvsTreeASD">"V2019-12-31"</definedName>
    <definedName name="NvsValTbl.ACCOUNT">"GL_ACCOUNT_TBL"</definedName>
    <definedName name="NvsValTbl.BUSINESS_UNIT">"BUS_UNIT_GL_VW"</definedName>
    <definedName name="Page_1" localSheetId="3">Footnotes!$A$3:$S$74</definedName>
    <definedName name="Page_2" localSheetId="3">Footnotes!#REF!</definedName>
    <definedName name="page1" localSheetId="32">'Sch 4'!$A$3:$J$21</definedName>
    <definedName name="page1" localSheetId="0">'Table of Contents'!$A$1:$J$100</definedName>
    <definedName name="_xlnm.Print_Area" localSheetId="40">'Appendix E'!$A$2:$AA$31</definedName>
    <definedName name="_xlnm.Print_Area" localSheetId="41">'Appendix F'!$A$2:$P$294</definedName>
    <definedName name="_xlnm.Print_Area" localSheetId="42">'Appendix G'!$A$3:$Z$58</definedName>
    <definedName name="_xlnm.Print_Area" localSheetId="43">'Appendix H'!$A$3:$I$60</definedName>
    <definedName name="_xlnm.Print_Area" localSheetId="44">'Appendix I'!$A$3:$I$36</definedName>
    <definedName name="_xlnm.Print_Area" localSheetId="16">'Cash Flow State Operating'!$A$3:$AJ$153</definedName>
    <definedName name="_xlnm.Print_Area" localSheetId="15">'Cashflow Governmental'!$A$3:$AJ$152</definedName>
    <definedName name="_xlnm.Print_Area" localSheetId="2">'Exh A Supp'!$A$3:$AF$63</definedName>
    <definedName name="_xlnm.Print_Area" localSheetId="4">'Exh B'!$A$3:$V$47</definedName>
    <definedName name="_xlnm.Print_Area" localSheetId="5">'Exh C'!$A$3:$U$44</definedName>
    <definedName name="_xlnm.Print_Area" localSheetId="12">'Exh D Capital Projects'!$A$3:$O$46</definedName>
    <definedName name="_xlnm.Print_Area" localSheetId="13">'Exh D Captl Projects State Fed'!$A$3:$V$46</definedName>
    <definedName name="_xlnm.Print_Area" localSheetId="11">'Exh D Debt Service'!$A$3:$K$44</definedName>
    <definedName name="_xlnm.Print_Area" localSheetId="8">'Exh D General Fund'!$A$3:$K$58</definedName>
    <definedName name="_xlnm.Print_Area" localSheetId="9">'Exh D Special Revenue'!$A$3:$O$46</definedName>
    <definedName name="_xlnm.Print_Area" localSheetId="10">'Exh D Special Revenue State Fed'!$A$3:$W$45</definedName>
    <definedName name="_xlnm.Print_Area" localSheetId="7">'Exh D State Operating'!$A$3:$K$57</definedName>
    <definedName name="_xlnm.Print_Area" localSheetId="6">'Exh D-Governmental  '!$A$3:$K$54</definedName>
    <definedName name="_xlnm.Print_Area" localSheetId="1">'Exhibit A'!$A$3:$AI$60</definedName>
    <definedName name="_xlnm.Print_Area" localSheetId="14">'EXHIBIT E '!$A$3:$AK$67</definedName>
    <definedName name="_xlnm.Print_Area" localSheetId="17">'Exhibit F'!$B$3:$AK$145</definedName>
    <definedName name="_xlnm.Print_Area" localSheetId="18">'Exhibit G'!$B$3:$AL$128</definedName>
    <definedName name="_xlnm.Print_Area" localSheetId="20">'Exhibit G Federal'!$B$2:$AL$96</definedName>
    <definedName name="_xlnm.Print_Area" localSheetId="19">'Exhibit G State'!$B$3:$AL$124</definedName>
    <definedName name="_xlnm.Print_Area" localSheetId="21">'Exhibit H'!$A$2:$AI$78</definedName>
    <definedName name="_xlnm.Print_Area" localSheetId="22">'Exhibit I'!$B$3:$AN$105</definedName>
    <definedName name="_xlnm.Print_Area" localSheetId="24">'Exhibit I Federal'!$B$3:$AL$85</definedName>
    <definedName name="_xlnm.Print_Area" localSheetId="23">'Exhibit I State'!$B$3:$AL$103</definedName>
    <definedName name="_xlnm.Print_Area" localSheetId="25">'Exhibit J'!$A$3:$AJ$54</definedName>
    <definedName name="_xlnm.Print_Area" localSheetId="26">'Exhibit K'!$A$3:$AI$49</definedName>
    <definedName name="_xlnm.Print_Area" localSheetId="27">'Exhibit L'!$A$3:$AI$39</definedName>
    <definedName name="_xlnm.Print_Area" localSheetId="28">'Exhibit M'!$A$3:$AI$39</definedName>
    <definedName name="_xlnm.Print_Area" localSheetId="3">Footnotes!$A$2:$O$61</definedName>
    <definedName name="_xlnm.Print_Area" localSheetId="36">'HCRA '!$A$3:$Z$62</definedName>
    <definedName name="_xlnm.Print_Area" localSheetId="37">'HCRA PROG DISB'!$A$3:$D$70</definedName>
    <definedName name="_xlnm.Print_Area" localSheetId="39">'Medicaid Disp Share'!$B$2:$M$52</definedName>
    <definedName name="_xlnm.Print_Area" localSheetId="38">'Public Goods '!$A$3:$M$52</definedName>
    <definedName name="_xlnm.Print_Area" localSheetId="29">'Sch 1 '!$A$3:$L$159</definedName>
    <definedName name="_xlnm.Print_Area" localSheetId="30">'Sch 2 '!$A$3:$K$47</definedName>
    <definedName name="_xlnm.Print_Area" localSheetId="31">'Sch 3 '!$A$2:$M$52</definedName>
    <definedName name="_xlnm.Print_Area" localSheetId="32">'Sch 4'!$A$3:$J$37</definedName>
    <definedName name="_xlnm.Print_Area" localSheetId="33">'Sch 5 '!$A$3:$S$74</definedName>
    <definedName name="_xlnm.Print_Area" localSheetId="34">'Sch 5a'!$B$3:$R$34</definedName>
    <definedName name="_xlnm.Print_Area" localSheetId="35">'Sch 6'!$B$3:$K$38</definedName>
    <definedName name="_xlnm.Print_Area" localSheetId="0">'Table of Contents'!$A$1:$J$66</definedName>
    <definedName name="_xlnm.Print_Titles" localSheetId="41">'Appendix F'!$2:$8</definedName>
    <definedName name="_xlnm.Print_Titles" localSheetId="16">'Cash Flow State Operating'!$3:$15</definedName>
    <definedName name="_xlnm.Print_Titles" localSheetId="15">'Cashflow Governmental'!$3:$15</definedName>
    <definedName name="_xlnm.Print_Titles" localSheetId="17">'Exhibit F'!$3:$11</definedName>
    <definedName name="_xlnm.Print_Titles" localSheetId="18">'Exhibit G'!$3:$12</definedName>
    <definedName name="_xlnm.Print_Titles" localSheetId="20">'Exhibit G Federal'!$3:$12</definedName>
    <definedName name="_xlnm.Print_Titles" localSheetId="19">'Exhibit G State'!$3:$12</definedName>
    <definedName name="_xlnm.Print_Titles" localSheetId="21">'Exhibit H'!$3:$10</definedName>
    <definedName name="_xlnm.Print_Titles" localSheetId="22">'Exhibit I'!$3:$13</definedName>
    <definedName name="_xlnm.Print_Titles" localSheetId="24">'Exhibit I Federal'!$3:$13</definedName>
    <definedName name="_xlnm.Print_Titles" localSheetId="23">'Exhibit I State'!$3:$13</definedName>
    <definedName name="_xlnm.Print_Titles" localSheetId="3">Footnotes!$2:$3</definedName>
    <definedName name="_xlnm.Print_Titles" localSheetId="37">'HCRA PROG DISB'!$3:$8</definedName>
    <definedName name="_xlnm.Print_Titles" localSheetId="38">'Public Goods '!$5:$11</definedName>
    <definedName name="_xlnm.Print_Titles" localSheetId="29">'Sch 1 '!$3:$11</definedName>
    <definedName name="_xlnm.Print_Titles" localSheetId="0">'Table of Contents'!$1:$12</definedName>
    <definedName name="Sch3_2" localSheetId="31">'Sch 3 '!$A$3:$M$52</definedName>
    <definedName name="STATE_OF_NEW_YORK" localSheetId="14">'EXHIBIT E '!$A$3:$AK$67</definedName>
    <definedName name="variance" localSheetId="42">'Appendix G'!$A$3:$X$43</definedName>
    <definedName name="variance" localSheetId="36">'HCRA '!$A$3:$X$47</definedName>
    <definedName name="Z_0343EF62_2899_4FBC_8F63_A150F51A61BC_.wvu.FilterData" localSheetId="11" hidden="1">'Exh D Debt Service'!$A$3:$A$7</definedName>
    <definedName name="Z_0343EF62_2899_4FBC_8F63_A150F51A61BC_.wvu.FilterData" localSheetId="8" hidden="1">'Exh D General Fund'!$A$3:$A$7</definedName>
    <definedName name="Z_04CE4621_FE72_4BEE_A48D_DC29A92270A5_.wvu.FilterData" localSheetId="8" hidden="1">'Exh D General Fund'!$A$3:$A$7</definedName>
    <definedName name="Z_07AF2E82_99DF_448F_AE0C_9F6ACFAD683D_.wvu.FilterData" localSheetId="11" hidden="1">'Exh D Debt Service'!$A$3:$A$7</definedName>
    <definedName name="Z_07E8DDA5_58F9_4F5D_9D36_B9951A01043B_.wvu.PrintArea" localSheetId="1" hidden="1">'Exhibit A'!$A$3:$AI$60</definedName>
    <definedName name="Z_07EDAE3D_794B_4D07_91B2_03B96CCC3F1C_.wvu.FilterData" localSheetId="11" hidden="1">'Exh D Debt Service'!$A$3:$A$7</definedName>
    <definedName name="Z_07EDAE3D_794B_4D07_91B2_03B96CCC3F1C_.wvu.FilterData" localSheetId="8" hidden="1">'Exh D General Fund'!$A$3:$A$7</definedName>
    <definedName name="Z_08DD476C_F9CF_4768_90B3_DF70EE24A237_.wvu.FilterData" localSheetId="11" hidden="1">'Exh D Debt Service'!$A$3:$A$7</definedName>
    <definedName name="Z_08DD476C_F9CF_4768_90B3_DF70EE24A237_.wvu.FilterData" localSheetId="8" hidden="1">'Exh D General Fund'!$A$3:$A$7</definedName>
    <definedName name="Z_095E2B96_6954_4407_81EC_B5F17D68B93D_.wvu.FilterData" localSheetId="11" hidden="1">'Exh D Debt Service'!$A$3:$A$7</definedName>
    <definedName name="Z_095E2B96_6954_4407_81EC_B5F17D68B93D_.wvu.FilterData" localSheetId="8" hidden="1">'Exh D General Fund'!$A$3:$A$7</definedName>
    <definedName name="Z_0B8839DE_3408_4399_A325_5E66A2134E73_.wvu.FilterData" localSheetId="8" hidden="1">'Exh D General Fund'!$A$3:$A$7</definedName>
    <definedName name="Z_0BE0B1CF_D719_4DEE_9059_CD2EDA23BB72_.wvu.FilterData" localSheetId="11" hidden="1">'Exh D Debt Service'!$A$3:$A$7</definedName>
    <definedName name="Z_0BE0B1CF_D719_4DEE_9059_CD2EDA23BB72_.wvu.FilterData" localSheetId="8" hidden="1">'Exh D General Fund'!$A$3:$A$7</definedName>
    <definedName name="Z_0DC93707_9367_4260_BDCF_F5F59CF54468_.wvu.PrintArea" localSheetId="34" hidden="1">'Sch 5a'!$B$3:$S$32</definedName>
    <definedName name="Z_0F53A47B_061C_44B9_B148_CC55070FAB6E_.wvu.PrintTitles" localSheetId="29" hidden="1">'Sch 1 '!$3:$11</definedName>
    <definedName name="Z_0F53A47B_061C_44B9_B148_CC55070FAB6E_.wvu.Rows" localSheetId="29" hidden="1">'Sch 1 '!#REF!</definedName>
    <definedName name="Z_10C2AD0E_29F8_44E4_8512_7434778C4DD2_.wvu.FilterData" localSheetId="11" hidden="1">'Exh D Debt Service'!$A$3:$A$7</definedName>
    <definedName name="Z_10C2AD0E_29F8_44E4_8512_7434778C4DD2_.wvu.FilterData" localSheetId="8" hidden="1">'Exh D General Fund'!$A$3:$A$7</definedName>
    <definedName name="Z_111026B9_2D41_41A4_B85B_BC83354793D7_.wvu.FilterData" localSheetId="8" hidden="1">'Exh D General Fund'!$A$3:$A$7</definedName>
    <definedName name="Z_13BA7D7F_A933_47AA_AD0D_A2E7D4E4E0D7_.wvu.FilterData" localSheetId="8" hidden="1">'Exh D General Fund'!$A$3:$A$7</definedName>
    <definedName name="Z_14080760_59DE_41A3_97D7_93F21E7456F8_.wvu.FilterData" localSheetId="8" hidden="1">'Exh D General Fund'!$A$3:$A$7</definedName>
    <definedName name="Z_149A68FA_89E4_4DFC_AE78_CD46F66A52AC_.wvu.FilterData" localSheetId="8" hidden="1">'Exh D General Fund'!$A$3:$A$7</definedName>
    <definedName name="Z_16F9E563_4458_41C9_BF56_F0F5B316856F_.wvu.Cols" localSheetId="15" hidden="1">'Cashflow Governmental'!#REF!</definedName>
    <definedName name="Z_16F9E563_4458_41C9_BF56_F0F5B316856F_.wvu.PrintArea" localSheetId="15" hidden="1">'Cashflow Governmental'!$A$3:$AJ$154</definedName>
    <definedName name="Z_17BB73E0_1CF4_467E_9487_3D1C86AF6DB9_.wvu.FilterData" localSheetId="8" hidden="1">'Exh D General Fund'!$A$3:$A$7</definedName>
    <definedName name="Z_17ED534A_4F5A_4D31_A9BC_0E551F5F2AEA_.wvu.FilterData" localSheetId="11" hidden="1">'Exh D Debt Service'!$A$3:$A$7</definedName>
    <definedName name="Z_17ED534A_4F5A_4D31_A9BC_0E551F5F2AEA_.wvu.FilterData" localSheetId="8" hidden="1">'Exh D General Fund'!$A$3:$A$7</definedName>
    <definedName name="Z_1880016B_4B6F_4FAA_8DB2_BE0BC7DD87C2_.wvu.FilterData" localSheetId="11" hidden="1">'Exh D Debt Service'!$A$3:$A$7</definedName>
    <definedName name="Z_188FB2EF_FF49_464F_9B7E_2382437315C1_.wvu.FilterData" localSheetId="11" hidden="1">'Exh D Debt Service'!$A$3:$A$7</definedName>
    <definedName name="Z_1AC73F00_FFC6_4A45_B38D_FF42E0186479_.wvu.FilterData" localSheetId="11" hidden="1">'Exh D Debt Service'!$A$3:$A$7</definedName>
    <definedName name="Z_1CC4ED98_AA43_4114_B2B3_B95664F86673_.wvu.PrintArea" localSheetId="14" hidden="1">'EXHIBIT E '!$A$3:$AK$67</definedName>
    <definedName name="Z_1D1F1A01_30B2_4981_9EC4_1E239EF5CA4C_.wvu.PrintArea" localSheetId="24" hidden="1">'Exhibit I Federal'!$B$3:$AL$85</definedName>
    <definedName name="Z_1DE45D0D_D9A4_4849_9735_5978B4CAE701_.wvu.FilterData" localSheetId="11" hidden="1">'Exh D Debt Service'!$A$3:$A$7</definedName>
    <definedName name="Z_1DE45D0D_D9A4_4849_9735_5978B4CAE701_.wvu.FilterData" localSheetId="8" hidden="1">'Exh D General Fund'!$A$3:$A$7</definedName>
    <definedName name="Z_1F44957F_86C3_49C4_A396_C1BA8BBC4816_.wvu.FilterData" localSheetId="8" hidden="1">'Exh D General Fund'!$A$3:$A$7</definedName>
    <definedName name="Z_2254FCC8_B9BB_476F_A0BE_7D26E71B1284_.wvu.FilterData" localSheetId="11" hidden="1">'Exh D Debt Service'!$A$3:$A$7</definedName>
    <definedName name="Z_23A45C27_464E_4AE1_A52A_F6207B5410FE_.wvu.FilterData" localSheetId="11" hidden="1">'Exh D Debt Service'!$A$3:$A$7</definedName>
    <definedName name="Z_23A45C27_464E_4AE1_A52A_F6207B5410FE_.wvu.FilterData" localSheetId="8" hidden="1">'Exh D General Fund'!$A$3:$A$7</definedName>
    <definedName name="Z_23E97B3A_E57F_43F5_97E4_3B6BC6184306_.wvu.FilterData" localSheetId="8" hidden="1">'Exh D General Fund'!$A$3:$A$7</definedName>
    <definedName name="Z_2434159E_D7BE_4031_9347_FEC6E9AE1086_.wvu.FilterData" localSheetId="8" hidden="1">'Exh D General Fund'!$A$3:$A$7</definedName>
    <definedName name="Z_259EF920_BCC5_484A_BCBF_BB498421C365_.wvu.FilterData" localSheetId="11" hidden="1">'Exh D Debt Service'!$A$3:$A$7</definedName>
    <definedName name="Z_25F8F031_EF6A_4B58_91C3_E476C9656292_.wvu.FilterData" localSheetId="11" hidden="1">'Exh D Debt Service'!$A$3:$A$7</definedName>
    <definedName name="Z_25F8F031_EF6A_4B58_91C3_E476C9656292_.wvu.FilterData" localSheetId="8" hidden="1">'Exh D General Fund'!$A$3:$A$7</definedName>
    <definedName name="Z_27D0D2B0_D728_41CE_8CDF_B71D5DA88E20_.wvu.FilterData" localSheetId="8" hidden="1">'Exh D General Fund'!$A$3:$A$7</definedName>
    <definedName name="Z_2A330B8F_5D7F_43C3_B320_3D29BBDB6053_.wvu.FilterData" localSheetId="11" hidden="1">'Exh D Debt Service'!$A$3:$A$7</definedName>
    <definedName name="Z_2AB70923_501F_45E2_81E2_2830EA214DA7_.wvu.FilterData" localSheetId="11" hidden="1">'Exh D Debt Service'!$A$3:$A$7</definedName>
    <definedName name="Z_2AB70923_501F_45E2_81E2_2830EA214DA7_.wvu.FilterData" localSheetId="8" hidden="1">'Exh D General Fund'!$A$3:$A$7</definedName>
    <definedName name="Z_2AC06DE0_BE1D_4406_9415_83F674DFE673_.wvu.FilterData" localSheetId="11" hidden="1">'Exh D Debt Service'!$A$3:$A$7</definedName>
    <definedName name="Z_2B229F64_F3C2_43E8_9B8E_9DA349BEAE89_.wvu.FilterData" localSheetId="8" hidden="1">'Exh D General Fund'!$A$3:$A$7</definedName>
    <definedName name="Z_2CE66D36_857F_41D3_A739_E813879E2776_.wvu.FilterData" localSheetId="11" hidden="1">'Exh D Debt Service'!$A$3:$A$7</definedName>
    <definedName name="Z_2CE66D36_857F_41D3_A739_E813879E2776_.wvu.FilterData" localSheetId="8" hidden="1">'Exh D General Fund'!$A$3:$A$7</definedName>
    <definedName name="Z_2D2F0033_C8F9_474C_9F55_7729DBA3FAAD_.wvu.PrintArea" localSheetId="14" hidden="1">'EXHIBIT E '!$A$3:$AK$67</definedName>
    <definedName name="Z_2EDDD268_430F_4188_94A7_75D3EA1EDF86_.wvu.FilterData" localSheetId="8" hidden="1">'Exh D General Fund'!$A$3:$A$7</definedName>
    <definedName name="Z_2F419F63_BD3C_4339_BEB3_24DF0825A630_.wvu.FilterData" localSheetId="8" hidden="1">'Exh D General Fund'!$A$3:$A$7</definedName>
    <definedName name="Z_2FF96BB6_6112_4975_B54B_929538B05AD7_.wvu.FilterData" localSheetId="8" hidden="1">'Exh D General Fund'!$A$3:$A$7</definedName>
    <definedName name="Z_30AE2415_629E_49AD_80D6_16EE72A27D84_.wvu.FilterData" localSheetId="11" hidden="1">'Exh D Debt Service'!$A$3:$A$7</definedName>
    <definedName name="Z_3121FE90_05F2_48D7_A774_138D5236EB1C_.wvu.FilterData" localSheetId="8" hidden="1">'Exh D General Fund'!$A$3:$A$7</definedName>
    <definedName name="Z_3215277C_ACED_4FB7_9BFC_BF0E621AF59C_.wvu.FilterData" localSheetId="8" hidden="1">'Exh D General Fund'!$A$3:$A$7</definedName>
    <definedName name="Z_32889BF0_5E3B_44B5_A586_F76F6C39EC13_.wvu.FilterData" localSheetId="8" hidden="1">'Exh D General Fund'!$A$3:$A$7</definedName>
    <definedName name="Z_34E248C6_4E45_4D01_AA10_F996D50D9B76_.wvu.FilterData" localSheetId="8" hidden="1">'Exh D General Fund'!$A$3:$A$7</definedName>
    <definedName name="Z_34F46511_2257_48CC_973E_622D753DCC67_.wvu.FilterData" localSheetId="8" hidden="1">'Exh D General Fund'!$A$3:$A$7</definedName>
    <definedName name="Z_35581B99_F322_40A1_83D9_D8CC4D8685D1_.wvu.PrintTitles" localSheetId="29" hidden="1">'Sch 1 '!$3:$11</definedName>
    <definedName name="Z_35581B99_F322_40A1_83D9_D8CC4D8685D1_.wvu.Rows" localSheetId="29" hidden="1">'Sch 1 '!#REF!</definedName>
    <definedName name="Z_37D6AA22_787C_4A38_846B_EC42315B0140_.wvu.FilterData" localSheetId="11" hidden="1">'Exh D Debt Service'!$A$3:$A$7</definedName>
    <definedName name="Z_397D3C87_88A6_445F_8F95_D27369DE6AD6_.wvu.FilterData" localSheetId="11" hidden="1">'Exh D Debt Service'!$A$3:$A$7</definedName>
    <definedName name="Z_3986A303_BE32_4DBA_923B_C9D0781BD796_.wvu.FilterData" localSheetId="8" hidden="1">'Exh D General Fund'!$A$3:$A$7</definedName>
    <definedName name="Z_39DB2D6C_C362_45F4_A2F1_C59B9CF1777D_.wvu.PrintArea" localSheetId="23" hidden="1">'Exhibit I State'!$B$3:$AL$103</definedName>
    <definedName name="Z_39DB2D6C_C362_45F4_A2F1_C59B9CF1777D_.wvu.Rows" localSheetId="23" hidden="1">'Exhibit I State'!#REF!</definedName>
    <definedName name="Z_3A30DD21_678A_4259_B05F_F71CE31D5B74_.wvu.FilterData" localSheetId="8" hidden="1">'Exh D General Fund'!$A$3:$A$7</definedName>
    <definedName name="Z_3CC7CC25_E0F5_49E1_B704_0EB8513444E7_.wvu.FilterData" localSheetId="8" hidden="1">'Exh D General Fund'!$A$3:$A$7</definedName>
    <definedName name="Z_3E09C753_C94C_4589_BB7F_28456297637B_.wvu.PrintArea" localSheetId="14" hidden="1">'EXHIBIT E '!$A$3:$AK$67</definedName>
    <definedName name="Z_40B04F56_1B22_4395_91DD_384E48A06F95_.wvu.FilterData" localSheetId="8" hidden="1">'Exh D General Fund'!$A$3:$A$7</definedName>
    <definedName name="Z_40F7930A_4E11_4002_9111_96E596290FFF_.wvu.FilterData" localSheetId="11" hidden="1">'Exh D Debt Service'!$A$3:$A$7</definedName>
    <definedName name="Z_40F7930A_4E11_4002_9111_96E596290FFF_.wvu.FilterData" localSheetId="8" hidden="1">'Exh D General Fund'!$A$3:$A$7</definedName>
    <definedName name="Z_42515208_2A25_4242_A10A_75CEDA160A1B_.wvu.FilterData" localSheetId="8" hidden="1">'Exh D General Fund'!$A$3:$A$7</definedName>
    <definedName name="Z_42847430_5DA3_41F3_9D36_B559801C4BEE_.wvu.FilterData" localSheetId="8" hidden="1">'Exh D General Fund'!$A$3:$A$7</definedName>
    <definedName name="Z_430F020D_20E4_41D3_A802_1283337FE6C8_.wvu.FilterData" localSheetId="8" hidden="1">'Exh D General Fund'!$A$3:$A$7</definedName>
    <definedName name="Z_46D80255_C131_405D_AA54_CB7C66EFC8B1_.wvu.FilterData" localSheetId="8" hidden="1">'Exh D General Fund'!$A$3:$A$7</definedName>
    <definedName name="Z_46E4CD47_D4E7_4AFB_B55F_6166DD9C9806_.wvu.PrintArea" localSheetId="14" hidden="1">'EXHIBIT E '!$A$3:$AK$67</definedName>
    <definedName name="Z_4749D624_B046_46C7_B9DB_2A4058FC687E_.wvu.FilterData" localSheetId="11" hidden="1">'Exh D Debt Service'!$A$3:$A$7</definedName>
    <definedName name="Z_4786E5FB_EAAE_4DD0_873B_6E49F722C865_.wvu.FilterData" localSheetId="8" hidden="1">'Exh D General Fund'!$A$3:$A$7</definedName>
    <definedName name="Z_4C313DA7_E426_4FE0_B22C_6CE7D5DE7F31_.wvu.FilterData" localSheetId="11" hidden="1">'Exh D Debt Service'!$A$3:$A$7</definedName>
    <definedName name="Z_4C313DA7_E426_4FE0_B22C_6CE7D5DE7F31_.wvu.FilterData" localSheetId="8" hidden="1">'Exh D General Fund'!$A$3:$A$7</definedName>
    <definedName name="Z_4C516B6D_143F_4805_9F81_A847A301F904_.wvu.FilterData" localSheetId="11" hidden="1">'Exh D Debt Service'!$A$3:$A$7</definedName>
    <definedName name="Z_4C516B6D_143F_4805_9F81_A847A301F904_.wvu.FilterData" localSheetId="8" hidden="1">'Exh D General Fund'!$A$3:$A$7</definedName>
    <definedName name="Z_4C5DC936_C451_4ECB_8EE3_1B14AD828160_.wvu.Cols" localSheetId="15" hidden="1">'Cashflow Governmental'!#REF!</definedName>
    <definedName name="Z_4C5DC936_C451_4ECB_8EE3_1B14AD828160_.wvu.PrintArea" localSheetId="15" hidden="1">'Cashflow Governmental'!$A$3:$AJ$154</definedName>
    <definedName name="Z_4D2D9B9D_A4D3_41DF_BF6D_3C7331C3E026_.wvu.FilterData" localSheetId="8" hidden="1">'Exh D General Fund'!$A$3:$A$7</definedName>
    <definedName name="Z_4F18E933_C845_4CA4_BEAB_BFCDE3A7EDDE_.wvu.FilterData" localSheetId="8" hidden="1">'Exh D General Fund'!$A$3:$A$7</definedName>
    <definedName name="Z_53181B1F_F32D_42B5_AEB6_ADB3450485A5_.wvu.FilterData" localSheetId="11" hidden="1">'Exh D Debt Service'!$A$3:$A$7</definedName>
    <definedName name="Z_545D46DE_DC9D_4815_85B0_08B7B736CDBF_.wvu.FilterData" localSheetId="8" hidden="1">'Exh D General Fund'!$A$3:$A$7</definedName>
    <definedName name="Z_59249A1B_84BA_428A_B987_EE0BE3B449F8_.wvu.FilterData" localSheetId="8" hidden="1">'Exh D General Fund'!$A$3:$A$7</definedName>
    <definedName name="Z_5C1585DB_717B_473D_90AE_40C84810D62B_.wvu.FilterData" localSheetId="11" hidden="1">'Exh D Debt Service'!$A$3:$A$7</definedName>
    <definedName name="Z_5C1585DB_717B_473D_90AE_40C84810D62B_.wvu.FilterData" localSheetId="8" hidden="1">'Exh D General Fund'!$A$3:$A$7</definedName>
    <definedName name="Z_5C913560_E0C9_42EF_86B0_64847FFC2BC5_.wvu.FilterData" localSheetId="8" hidden="1">'Exh D General Fund'!$A$3:$A$7</definedName>
    <definedName name="Z_5D3236BA_94AB_4DBB_BB7D_9D4A6921FFA8_.wvu.FilterData" localSheetId="11" hidden="1">'Exh D Debt Service'!$A$3:$A$7</definedName>
    <definedName name="Z_5D3236BA_94AB_4DBB_BB7D_9D4A6921FFA8_.wvu.FilterData" localSheetId="8" hidden="1">'Exh D General Fund'!$A$3:$A$7</definedName>
    <definedName name="Z_5E1354C7_20F9_4F8D_AF07_85486EE3CF3D_.wvu.FilterData" localSheetId="11" hidden="1">'Exh D Debt Service'!$A$3:$A$7</definedName>
    <definedName name="Z_5FA88E3E_0505_480C_94E4_3D96D410B5D5_.wvu.PrintArea" localSheetId="24" hidden="1">'Exhibit I Federal'!$B$3:$AL$85</definedName>
    <definedName name="Z_629B2C3B_DA5A_4280_9F46_977F6E397A5D_.wvu.FilterData" localSheetId="11" hidden="1">'Exh D Debt Service'!$A$3:$A$7</definedName>
    <definedName name="Z_629B2C3B_DA5A_4280_9F46_977F6E397A5D_.wvu.FilterData" localSheetId="8" hidden="1">'Exh D General Fund'!$A$3:$A$7</definedName>
    <definedName name="Z_63934AF3_239F_447C_A783_B5936B1D7BDA_.wvu.FilterData" localSheetId="8" hidden="1">'Exh D General Fund'!$A$3:$A$7</definedName>
    <definedName name="Z_63A58C72_B007_4E3F_A2C0_E62EBD5B7EF8_.wvu.PrintArea" localSheetId="14" hidden="1">'EXHIBIT E '!$A$3:$AK$67</definedName>
    <definedName name="Z_63D41BB1_F862_42E4_8076_6C245380A8DA_.wvu.FilterData" localSheetId="11" hidden="1">'Exh D Debt Service'!$A$3:$A$7</definedName>
    <definedName name="Z_63D41BB1_F862_42E4_8076_6C245380A8DA_.wvu.FilterData" localSheetId="8" hidden="1">'Exh D General Fund'!$A$3:$A$7</definedName>
    <definedName name="Z_64300EA2_43D0_4FBF_9089_8112D939C55C_.wvu.PrintArea" localSheetId="42" hidden="1">'Appendix G'!$A$3:$Z$58</definedName>
    <definedName name="Z_67D2BB6D_8081_40E9_B58E_707DE29EE54B_.wvu.FilterData" localSheetId="8" hidden="1">'Exh D General Fund'!$A$3:$A$7</definedName>
    <definedName name="Z_68C37B80_2911_436E_ADA1_71B3DBA6E309_.wvu.FilterData" localSheetId="8" hidden="1">'Exh D General Fund'!$A$3:$A$7</definedName>
    <definedName name="Z_68DB4305_906D_4262_AAD7_8439D43999D7_.wvu.FilterData" localSheetId="8" hidden="1">'Exh D General Fund'!$A$3:$A$7</definedName>
    <definedName name="Z_68E40C11_32EA_4744_9D66_9674A456789F_.wvu.FilterData" localSheetId="8" hidden="1">'Exh D General Fund'!$A$3:$A$7</definedName>
    <definedName name="Z_71438E76_7AAA_4050_B6D5_354521218EE8_.wvu.FilterData" localSheetId="8" hidden="1">'Exh D General Fund'!$A$3:$A$7</definedName>
    <definedName name="Z_71986E02_F885_4E35_AE4B_32FA52F8CD9C_.wvu.FilterData" localSheetId="8" hidden="1">'Exh D General Fund'!$A$3:$A$7</definedName>
    <definedName name="Z_71C087B8_8BB1_41B9_843F_11E56D036C5F_.wvu.FilterData" localSheetId="8" hidden="1">'Exh D General Fund'!$A$3:$A$7</definedName>
    <definedName name="Z_77789489_6D49_40D5_8F81_9C7EDDA5EAD3_.wvu.FilterData" localSheetId="8" hidden="1">'Exh D General Fund'!$A$3:$A$7</definedName>
    <definedName name="Z_7AE64DEF_56FD_44C8_9F38_A2F981B8F883_.wvu.PrintArea" localSheetId="23" hidden="1">'Exhibit I State'!$B$3:$AL$103</definedName>
    <definedName name="Z_7AE64DEF_56FD_44C8_9F38_A2F981B8F883_.wvu.Rows" localSheetId="23" hidden="1">'Exhibit I State'!#REF!</definedName>
    <definedName name="Z_7C521831_C868_4860_ACD7_256E46835661_.wvu.FilterData" localSheetId="8" hidden="1">'Exh D General Fund'!$A$3:$A$7</definedName>
    <definedName name="Z_7CA6CB5E_45A4_45C7_9080_AF4C3F26B75E_.wvu.FilterData" localSheetId="8" hidden="1">'Exh D General Fund'!$A$3:$A$7</definedName>
    <definedName name="Z_7E5ECBE3_5E23_46E0_98C9_FAFE38AFA81C_.wvu.FilterData" localSheetId="11" hidden="1">'Exh D Debt Service'!$A$3:$A$7</definedName>
    <definedName name="Z_7E5ECBE3_5E23_46E0_98C9_FAFE38AFA81C_.wvu.FilterData" localSheetId="8" hidden="1">'Exh D General Fund'!$A$3:$A$7</definedName>
    <definedName name="Z_7FEACBC4_1C39_4B1A_AF1F_6E1D8196D5B9_.wvu.FilterData" localSheetId="8" hidden="1">'Exh D General Fund'!$A$3:$A$7</definedName>
    <definedName name="Z_80876A9A_0E13_4169_8EC2_4642160C38DB_.wvu.PrintArea" localSheetId="1" hidden="1">'Exhibit A'!$A$3:$AI$60</definedName>
    <definedName name="Z_8207DCE3_1947_4DC9_AEB6_962F9248FA86_.wvu.FilterData" localSheetId="8" hidden="1">'Exh D General Fund'!$A$3:$A$7</definedName>
    <definedName name="Z_83DD2EFE_E2B4_4493_AE5E_10383886EF1B_.wvu.FilterData" localSheetId="8" hidden="1">'Exh D General Fund'!$A$3:$A$7</definedName>
    <definedName name="Z_855D7DC8_E30B_4CD5_A455_E59BE0B642E4_.wvu.FilterData" localSheetId="8" hidden="1">'Exh D General Fund'!$A$3:$A$7</definedName>
    <definedName name="Z_85B3A599_57BF_4CE6_8AF9_26FB7E444A5A_.wvu.FilterData" localSheetId="11" hidden="1">'Exh D Debt Service'!$A$3:$A$7</definedName>
    <definedName name="Z_86C8BADE_1FEC_441A_A701_DFCBCC85CD39_.wvu.FilterData" localSheetId="8" hidden="1">'Exh D General Fund'!$A$3:$A$7</definedName>
    <definedName name="Z_8729FF11_220B_424C_9C3F_99EA1743B89F_.wvu.FilterData" localSheetId="11" hidden="1">'Exh D Debt Service'!$A$3:$A$7</definedName>
    <definedName name="Z_8729FF11_220B_424C_9C3F_99EA1743B89F_.wvu.FilterData" localSheetId="8" hidden="1">'Exh D General Fund'!$A$3:$A$7</definedName>
    <definedName name="Z_87AB22FD_E2B5_4807_865C_3D7DC0D900F9_.wvu.FilterData" localSheetId="8" hidden="1">'Exh D General Fund'!$A$3:$A$7</definedName>
    <definedName name="Z_8AC488D2_6FA2_4514_AAD4_4692EAA684CD_.wvu.FilterData" localSheetId="11" hidden="1">'Exh D Debt Service'!$A$3:$A$7</definedName>
    <definedName name="Z_8C2184D2_5D92_4141_9CC8_C0A16C6A1995_.wvu.FilterData" localSheetId="8" hidden="1">'Exh D General Fund'!$A$3:$A$7</definedName>
    <definedName name="Z_8D8A9D3A_E35A_433F_A9B7_F14D89D632AE_.wvu.FilterData" localSheetId="8" hidden="1">'Exh D General Fund'!$A$3:$A$7</definedName>
    <definedName name="Z_8EE6466D_211E_4E05_9F84_CC0A1C6F79F4_.wvu.PrintArea" localSheetId="42" hidden="1">'Appendix G'!$A$3:$Z$58</definedName>
    <definedName name="Z_8EE6466D_211E_4E05_9F84_CC0A1C6F79F4_.wvu.PrintArea" localSheetId="34" hidden="1">'Sch 5a'!$B$3:$S$32</definedName>
    <definedName name="Z_90980A54_5C40_4F89_B73B_BC9A8E902E3F_.wvu.FilterData" localSheetId="11" hidden="1">'Exh D Debt Service'!$A$3:$A$7</definedName>
    <definedName name="Z_91F12239_03A2_417E_84CC_96CCF43EDA50_.wvu.FilterData" localSheetId="11" hidden="1">'Exh D Debt Service'!$A$3:$A$7</definedName>
    <definedName name="Z_91F12239_03A2_417E_84CC_96CCF43EDA50_.wvu.FilterData" localSheetId="8" hidden="1">'Exh D General Fund'!$A$3:$A$7</definedName>
    <definedName name="Z_9317B1DA_70B9_420C_91CC_088229956581_.wvu.FilterData" localSheetId="11" hidden="1">'Exh D Debt Service'!$A$3:$A$7</definedName>
    <definedName name="Z_93C9DF5B_4354_4A0C_A15A_8545924B0268_.wvu.FilterData" localSheetId="11" hidden="1">'Exh D Debt Service'!$A$3:$A$7</definedName>
    <definedName name="Z_93F632B4_29C3_4BEC_9061_2AFCB2794940_.wvu.FilterData" localSheetId="8" hidden="1">'Exh D General Fund'!$A$3:$A$7</definedName>
    <definedName name="Z_941279A0_77E2_4094_B533_83C3EC262E2E_.wvu.FilterData" localSheetId="11" hidden="1">'Exh D Debt Service'!$A$3:$A$7</definedName>
    <definedName name="Z_941279A0_77E2_4094_B533_83C3EC262E2E_.wvu.FilterData" localSheetId="8" hidden="1">'Exh D General Fund'!$A$3:$A$7</definedName>
    <definedName name="Z_95AC2C42_DFA8_4C51_B271_0C44BB6D6F3A_.wvu.FilterData" localSheetId="8" hidden="1">'Exh D General Fund'!$A$3:$A$7</definedName>
    <definedName name="Z_9899757D_57B5_4A62_AF0E_3ABA9B994DD7_.wvu.PrintArea" localSheetId="24" hidden="1">'Exhibit I Federal'!$B$3:$AL$85</definedName>
    <definedName name="Z_9916E6CD_FD82_4718_83DC_0AA473929B1A_.wvu.FilterData" localSheetId="8" hidden="1">'Exh D General Fund'!$A$3:$A$7</definedName>
    <definedName name="Z_9B199DAE_254A_4FD3_8F9E_51DB2C1AF597_.wvu.FilterData" localSheetId="8" hidden="1">'Exh D General Fund'!$A$3:$A$7</definedName>
    <definedName name="Z_9EFFAF1C_D472_4B35_9219_C6F7CE26C246_.wvu.FilterData" localSheetId="8" hidden="1">'Exh D General Fund'!$A$3:$A$7</definedName>
    <definedName name="Z_9F36343A_AF04_4B95_BB5A_0D3DFF7C6E58_.wvu.FilterData" localSheetId="8" hidden="1">'Exh D General Fund'!$A$3:$A$7</definedName>
    <definedName name="Z_9FB344ED_3472_4DFB_B816_B867F5DA25DD_.wvu.FilterData" localSheetId="11" hidden="1">'Exh D Debt Service'!$A$3:$A$7</definedName>
    <definedName name="Z_9FB344ED_3472_4DFB_B816_B867F5DA25DD_.wvu.FilterData" localSheetId="8" hidden="1">'Exh D General Fund'!$A$3:$A$7</definedName>
    <definedName name="Z_A0FF3ACA_1D9B_4095_A4CC_20040E84219D_.wvu.PrintTitles" localSheetId="29" hidden="1">'Sch 1 '!$3:$11</definedName>
    <definedName name="Z_A0FF3ACA_1D9B_4095_A4CC_20040E84219D_.wvu.Rows" localSheetId="29" hidden="1">'Sch 1 '!#REF!</definedName>
    <definedName name="Z_A1E51884_FAF0_40A4_B4FF_80913EA23735_.wvu.FilterData" localSheetId="8" hidden="1">'Exh D General Fund'!$A$3:$A$7</definedName>
    <definedName name="Z_A263B914_AC2F_4445_B7B4_CB95440BB6A1_.wvu.FilterData" localSheetId="8" hidden="1">'Exh D General Fund'!$A$3:$A$7</definedName>
    <definedName name="Z_A3084395_BCD3_4FF9_B05A_2019ED9D13D3_.wvu.FilterData" localSheetId="8" hidden="1">'Exh D General Fund'!$A$3:$A$7</definedName>
    <definedName name="Z_A3AD8FC8_3DC1_448A_823A_ABA25030CCFD_.wvu.FilterData" localSheetId="11" hidden="1">'Exh D Debt Service'!$A$3:$A$7</definedName>
    <definedName name="Z_A5292644_3BAC_4F9D_AB15_8B6C19C7BAFA_.wvu.FilterData" localSheetId="8" hidden="1">'Exh D General Fund'!$A$3:$A$7</definedName>
    <definedName name="Z_A56B42CE_7722_40A2_AE8E_9A352EE3E18A_.wvu.FilterData" localSheetId="8" hidden="1">'Exh D General Fund'!$A$3:$A$7</definedName>
    <definedName name="Z_A56F8820_953B_44B0_977D_DA44609A4375_.wvu.FilterData" localSheetId="8" hidden="1">'Exh D General Fund'!$A$3:$A$7</definedName>
    <definedName name="Z_A5B132A8_AE52_43B0_ACD8_B96D216615CD_.wvu.FilterData" localSheetId="8" hidden="1">'Exh D General Fund'!$A$3:$A$7</definedName>
    <definedName name="Z_A7142FA5_B6E9_42AA_8E0C_7016CD50E0E8_.wvu.FilterData" localSheetId="8" hidden="1">'Exh D General Fund'!$A$3:$A$7</definedName>
    <definedName name="Z_A7AD7FA3_032C_49A4_BA1A_982AA7ED1D54_.wvu.FilterData" localSheetId="11" hidden="1">'Exh D Debt Service'!$A$3:$A$7</definedName>
    <definedName name="Z_AA91AFAE_EED9_4A9F_975A_DBA015C351C3_.wvu.FilterData" localSheetId="8" hidden="1">'Exh D General Fund'!$A$3:$A$7</definedName>
    <definedName name="Z_AB5F083B_7792_4657_93D4_A6A8CC60BB97_.wvu.FilterData" localSheetId="8" hidden="1">'Exh D General Fund'!$A$3:$A$7</definedName>
    <definedName name="Z_AFBF9697_0896_43E3_BCD2_30FAED3C314E_.wvu.FilterData" localSheetId="8" hidden="1">'Exh D General Fund'!$A$3:$A$7</definedName>
    <definedName name="Z_B0A36191_929D_4F7D_8B26_981FD821E1F9_.wvu.FilterData" localSheetId="11" hidden="1">'Exh D Debt Service'!$A$3:$A$7</definedName>
    <definedName name="Z_B0A36191_929D_4F7D_8B26_981FD821E1F9_.wvu.FilterData" localSheetId="8" hidden="1">'Exh D General Fund'!$A$3:$A$7</definedName>
    <definedName name="Z_B289A4E0_9251_4B4C_9F84_26A1CCEEF41F_.wvu.FilterData" localSheetId="11" hidden="1">'Exh D Debt Service'!$A$3:$A$7</definedName>
    <definedName name="Z_B2A4E257_BEA6_4D7F_AAA8_5AB5CC9A5A8E_.wvu.FilterData" localSheetId="8" hidden="1">'Exh D General Fund'!$A$3:$A$7</definedName>
    <definedName name="Z_B41E6885_EAF7_4AC8_BB98_C75CFAC5A703_.wvu.FilterData" localSheetId="11" hidden="1">'Exh D Debt Service'!$A$3:$A$7</definedName>
    <definedName name="Z_B5435B95_1B77_4D3F_A529_1513C8C94BB8_.wvu.FilterData" localSheetId="8" hidden="1">'Exh D General Fund'!$A$3:$A$7</definedName>
    <definedName name="Z_B65C13CB_1FDB_42A7_9DA0_0D5412A3B67E_.wvu.FilterData" localSheetId="8" hidden="1">'Exh D General Fund'!$A$3:$A$7</definedName>
    <definedName name="Z_B6B84763_171E_4FE5_96D3_F6E7202F5932_.wvu.FilterData" localSheetId="8" hidden="1">'Exh D General Fund'!$A$3:$A$7</definedName>
    <definedName name="Z_B6D9918F_6864_48B2_B285_875428E07544_.wvu.FilterData" localSheetId="8" hidden="1">'Exh D General Fund'!$A$3:$A$7</definedName>
    <definedName name="Z_B7EA20FD_E2E4_47A9_ADB2_CB6994C21060_.wvu.FilterData" localSheetId="8" hidden="1">'Exh D General Fund'!$A$3:$A$7</definedName>
    <definedName name="Z_B858AE06_9A35_4006_BE07_64F4DC9EDDDA_.wvu.FilterData" localSheetId="8" hidden="1">'Exh D General Fund'!$A$3:$A$7</definedName>
    <definedName name="Z_B85EE2A8_E7A6_4571_B763_810B111007EB_.wvu.FilterData" localSheetId="8" hidden="1">'Exh D General Fund'!$A$3:$A$7</definedName>
    <definedName name="Z_B89D459E_FD0F_4F6D_A34F_E72B29028B49_.wvu.PrintArea" localSheetId="34" hidden="1">'Sch 5a'!$B$3:$S$32</definedName>
    <definedName name="Z_B976D787_68A3_4D1B_B838_0A29FFCDA329_.wvu.PrintTitles" localSheetId="29" hidden="1">'Sch 1 '!$3:$11</definedName>
    <definedName name="Z_B976D787_68A3_4D1B_B838_0A29FFCDA329_.wvu.Rows" localSheetId="29" hidden="1">'Sch 1 '!#REF!</definedName>
    <definedName name="Z_BBDD9C39_4D1E_4D4C_86FB_AAAA63489BEE_.wvu.PrintArea" localSheetId="14" hidden="1">'EXHIBIT E '!$A$3:$AK$67</definedName>
    <definedName name="Z_BF6A790B_FE66_4DC0_B4C3_043739C8712A_.wvu.FilterData" localSheetId="11" hidden="1">'Exh D Debt Service'!$A$3:$A$7</definedName>
    <definedName name="Z_BF6A790B_FE66_4DC0_B4C3_043739C8712A_.wvu.FilterData" localSheetId="8" hidden="1">'Exh D General Fund'!$A$3:$A$7</definedName>
    <definedName name="Z_BFA8E00C_7764_4678_998D_63283154D253_.wvu.FilterData" localSheetId="8" hidden="1">'Exh D General Fund'!$A$3:$A$7</definedName>
    <definedName name="Z_C29DFDEA_557C_4D2A_8AB0_5D02FD1A3990_.wvu.FilterData" localSheetId="8" hidden="1">'Exh D General Fund'!$A$3:$A$7</definedName>
    <definedName name="Z_C2CA5E03_89A9_49BB_B1DA_FDDFA8FA6494_.wvu.FilterData" localSheetId="11" hidden="1">'Exh D Debt Service'!$A$3:$A$7</definedName>
    <definedName name="Z_C2CA5E03_89A9_49BB_B1DA_FDDFA8FA6494_.wvu.FilterData" localSheetId="8" hidden="1">'Exh D General Fund'!$A$3:$A$7</definedName>
    <definedName name="Z_C50D9008_6B8A_4CB9_8CB0_C1748AC62EA0_.wvu.FilterData" localSheetId="11" hidden="1">'Exh D Debt Service'!$A$3:$A$7</definedName>
    <definedName name="Z_C50D9008_6B8A_4CB9_8CB0_C1748AC62EA0_.wvu.FilterData" localSheetId="8" hidden="1">'Exh D General Fund'!$A$3:$A$7</definedName>
    <definedName name="Z_C53E33C4_F1C6_4F6F_BAE7_B7F06A3324BB_.wvu.FilterData" localSheetId="8" hidden="1">'Exh D General Fund'!$A$3:$A$7</definedName>
    <definedName name="Z_C558535B_EE48_4BB6_AEB2_C5B0E908681E_.wvu.FilterData" localSheetId="8" hidden="1">'Exh D General Fund'!$A$3:$A$7</definedName>
    <definedName name="Z_C5C11FF3_5C2C_4CF6_B28E_FB1B2DC22672_.wvu.FilterData" localSheetId="11" hidden="1">'Exh D Debt Service'!$A$3:$A$7</definedName>
    <definedName name="Z_C7CEBEFD_A523_43D8_A75B_33DCB49FCC95_.wvu.FilterData" localSheetId="8" hidden="1">'Exh D General Fund'!$A$3:$A$7</definedName>
    <definedName name="Z_C8BBFDB8_FD3E_44D7_AB99_05C7B07F7CBA_.wvu.FilterData" localSheetId="8" hidden="1">'Exh D General Fund'!$A$3:$A$7</definedName>
    <definedName name="Z_C9259745_8D19_416D_BEFA_309E09794201_.wvu.FilterData" localSheetId="8" hidden="1">'Exh D General Fund'!$A$3:$A$7</definedName>
    <definedName name="Z_CBB760A3_5900_4761_81CF_CF17D72427BF_.wvu.FilterData" localSheetId="11" hidden="1">'Exh D Debt Service'!$A$3:$A$7</definedName>
    <definedName name="Z_CBB760A3_5900_4761_81CF_CF17D72427BF_.wvu.FilterData" localSheetId="8" hidden="1">'Exh D General Fund'!$A$3:$A$7</definedName>
    <definedName name="Z_CBF0C58D_0DEC_42B0_BDC0_FC274C6D3421_.wvu.FilterData" localSheetId="8" hidden="1">'Exh D General Fund'!$A$3:$A$7</definedName>
    <definedName name="Z_CD8BDD49_94D9_4A6D_9DB6_04ACC76273F7_.wvu.FilterData" localSheetId="8" hidden="1">'Exh D General Fund'!$A$3:$A$7</definedName>
    <definedName name="Z_CDF89CD8_E444_48AA_BD79_17038F183110_.wvu.FilterData" localSheetId="8" hidden="1">'Exh D General Fund'!$A$3:$A$7</definedName>
    <definedName name="Z_CEC68E96_80BD_4D3E_B82B_4577BB80D07A_.wvu.FilterData" localSheetId="8" hidden="1">'Exh D General Fund'!$A$3:$A$7</definedName>
    <definedName name="Z_CFEE50E2_401B_4F61_9D7F_826691D2BDD8_.wvu.FilterData" localSheetId="11" hidden="1">'Exh D Debt Service'!$A$3:$A$7</definedName>
    <definedName name="Z_D840AF23_15B4_4649_B1FF_43599A2DA536_.wvu.FilterData" localSheetId="8" hidden="1">'Exh D General Fund'!$A$3:$A$7</definedName>
    <definedName name="Z_D8A2B943_893F_4F3C_A054_B7BF98C780BF_.wvu.FilterData" localSheetId="8" hidden="1">'Exh D General Fund'!$A$3:$A$7</definedName>
    <definedName name="Z_D97D5993_6D24_417D_9B5B_0D146F66D7AC_.wvu.FilterData" localSheetId="8" hidden="1">'Exh D General Fund'!$A$3:$A$7</definedName>
    <definedName name="Z_DA07262C_7873_4039_BC63_3E1D4F744D90_.wvu.FilterData" localSheetId="8" hidden="1">'Exh D General Fund'!$A$3:$A$7</definedName>
    <definedName name="Z_DD49A576_6A97_4014_97C2_4199FF1215BD_.wvu.PrintArea" localSheetId="1" hidden="1">'Exhibit A'!$A$3:$AI$60</definedName>
    <definedName name="Z_DD5F991D_7DD8_4065_B3F6_F3B7783F8A50_.wvu.FilterData" localSheetId="8" hidden="1">'Exh D General Fund'!$A$3:$A$7</definedName>
    <definedName name="Z_DF9FD53F_9061_4207_B103_EA1C032F8025_.wvu.FilterData" localSheetId="11" hidden="1">'Exh D Debt Service'!$A$3:$A$7</definedName>
    <definedName name="Z_E071CE29_155D_4A9F_9B3B_7DDF9ED42A6D_.wvu.FilterData" localSheetId="8" hidden="1">'Exh D General Fund'!$A$3:$A$7</definedName>
    <definedName name="Z_E24939C5_07CE_420D_A673_4068FD6DC000_.wvu.FilterData" localSheetId="8" hidden="1">'Exh D General Fund'!$A$3:$A$7</definedName>
    <definedName name="Z_E2FD86BB_A394_463F_941F_0A78BD2E19E5_.wvu.FilterData" localSheetId="8" hidden="1">'Exh D General Fund'!$A$3:$A$7</definedName>
    <definedName name="Z_E4F2679C_653B_4026_922C_25ECBCA643E6_.wvu.FilterData" localSheetId="8" hidden="1">'Exh D General Fund'!$A$3:$A$7</definedName>
    <definedName name="Z_E53CDBE4_5283_4E76_B430_873F933CFEFD_.wvu.FilterData" localSheetId="8" hidden="1">'Exh D General Fund'!$A$3:$A$7</definedName>
    <definedName name="Z_E7A86177_7B19_421F_A256_D31A4A7193C1_.wvu.PrintArea" localSheetId="24" hidden="1">'Exhibit I Federal'!$B$3:$AL$85</definedName>
    <definedName name="Z_E891385B_F92F_499A_8255_411483DD76A7_.wvu.FilterData" localSheetId="11" hidden="1">'Exh D Debt Service'!$A$3:$A$7</definedName>
    <definedName name="Z_E891385B_F92F_499A_8255_411483DD76A7_.wvu.FilterData" localSheetId="8" hidden="1">'Exh D General Fund'!$A$3:$A$7</definedName>
    <definedName name="Z_EB2B6F4A_6D27_43A2_B38C_793C8CCA29FD_.wvu.FilterData" localSheetId="11" hidden="1">'Exh D Debt Service'!$A$3:$A$7</definedName>
    <definedName name="Z_EB2B6F4A_6D27_43A2_B38C_793C8CCA29FD_.wvu.FilterData" localSheetId="8" hidden="1">'Exh D General Fund'!$A$3:$A$7</definedName>
    <definedName name="Z_ECBBAEC1_A930_44D6_BBE1_4B165E7FDC71_.wvu.FilterData" localSheetId="11" hidden="1">'Exh D Debt Service'!$A$3:$A$7</definedName>
    <definedName name="Z_ECBBAEC1_A930_44D6_BBE1_4B165E7FDC71_.wvu.FilterData" localSheetId="8" hidden="1">'Exh D General Fund'!$A$3:$A$7</definedName>
    <definedName name="Z_ECF3E209_99D5_42AE_8A3B_2DC4F9F5D708_.wvu.FilterData" localSheetId="11" hidden="1">'Exh D Debt Service'!$A$3:$A$7</definedName>
    <definedName name="Z_ED85D741_99C0_416E_B325_2A1022BC19BA_.wvu.FilterData" localSheetId="11" hidden="1">'Exh D Debt Service'!$A$3:$A$7</definedName>
    <definedName name="Z_EDF9540E_B660_4200_A738_518887F75690_.wvu.FilterData" localSheetId="11" hidden="1">'Exh D Debt Service'!$A$3:$A$7</definedName>
    <definedName name="Z_EDF9540E_B660_4200_A738_518887F75690_.wvu.FilterData" localSheetId="8" hidden="1">'Exh D General Fund'!$A$3:$A$7</definedName>
    <definedName name="Z_EFEA39D6_665A_4A30_9C9D_60C6600E6E69_.wvu.FilterData" localSheetId="8" hidden="1">'Exh D General Fund'!$A$3:$A$7</definedName>
    <definedName name="Z_F06BD761_76B1_40BA_98BC_E9348D386469_.wvu.PrintArea" localSheetId="14" hidden="1">'EXHIBIT E '!$A$3:$AK$67</definedName>
    <definedName name="Z_F0DF694D_EF76_4B39_B5CB_B630B90E1679_.wvu.FilterData" localSheetId="8" hidden="1">'Exh D General Fund'!$A$3:$A$7</definedName>
    <definedName name="Z_F216F4F5_0685_4D55_84E4_F3D0B4CE5E1A_.wvu.FilterData" localSheetId="8" hidden="1">'Exh D General Fund'!$A$3:$A$7</definedName>
    <definedName name="Z_F3AC9EB1_8410_41DB_9080_C38F3C9E46F6_.wvu.FilterData" localSheetId="8" hidden="1">'Exh D General Fund'!$A$3:$A$7</definedName>
    <definedName name="Z_F458E60B_A7D3_4415_B07B_621C1501BE5D_.wvu.FilterData" localSheetId="8" hidden="1">'Exh D General Fund'!$A$3:$A$7</definedName>
    <definedName name="Z_F5928AC6_9FDA_425C_8625_096ED0D736C9_.wvu.FilterData" localSheetId="11" hidden="1">'Exh D Debt Service'!$A$3:$A$7</definedName>
    <definedName name="Z_F69DDDA9_4621_426B_ADE0_295642CC7F7E_.wvu.FilterData" localSheetId="8" hidden="1">'Exh D General Fund'!$A$3:$A$7</definedName>
    <definedName name="Z_F6E4AD14_35EB_4C84_863A_23A28012F6E2_.wvu.FilterData" localSheetId="11" hidden="1">'Exh D Debt Service'!$A$3:$A$7</definedName>
    <definedName name="Z_F6E4AD14_35EB_4C84_863A_23A28012F6E2_.wvu.FilterData" localSheetId="8" hidden="1">'Exh D General Fund'!$A$3:$A$7</definedName>
    <definedName name="Z_FAC8D24D_4D06_484A_9EF9_8024D6C50FBB_.wvu.FilterData" localSheetId="8" hidden="1">'Exh D General Fund'!$A$3:$A$7</definedName>
    <definedName name="Z_FC38E971_5D0B_49A4_B432_2D2538292A7F_.wvu.FilterData" localSheetId="8" hidden="1">'Exh D General Fund'!$A$3:$A$7</definedName>
    <definedName name="Z_FF6A1557_A1BA_4E89_BE0D_61E8805E56CD_.wvu.PrintArea" localSheetId="1" hidden="1">'Exhibit A'!$A$3:$AI$60</definedName>
    <definedName name="Z_FF820170_9B6D_461C_B78A_F0B38C5D4689_.wvu.FilterData" localSheetId="11" hidden="1">'Exh D Debt Service'!$A$3:$A$7</definedName>
    <definedName name="Z_FF820170_9B6D_461C_B78A_F0B38C5D4689_.wvu.FilterData" localSheetId="8" hidden="1">'Exh D General Fund'!$A$3:$A$7</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J33" i="17" l="1"/>
  <c r="I22" i="14"/>
  <c r="S24" i="14"/>
  <c r="U28" i="5"/>
  <c r="G20" i="11"/>
  <c r="K20" i="11" s="1"/>
  <c r="E11" i="45" l="1"/>
  <c r="E26" i="45" s="1"/>
  <c r="E30" i="45" s="1"/>
  <c r="H11" i="45"/>
  <c r="H26" i="45" s="1"/>
  <c r="H30" i="45" s="1"/>
  <c r="I11" i="45"/>
  <c r="E12" i="45"/>
  <c r="I12" i="45"/>
  <c r="E13" i="45"/>
  <c r="I13" i="45"/>
  <c r="E14" i="45"/>
  <c r="H14" i="45"/>
  <c r="I14" i="45"/>
  <c r="E15" i="45"/>
  <c r="H15" i="45"/>
  <c r="I15" i="45"/>
  <c r="E16" i="45"/>
  <c r="H16" i="45"/>
  <c r="I16" i="45"/>
  <c r="E17" i="45"/>
  <c r="H17" i="45"/>
  <c r="I17" i="45" s="1"/>
  <c r="E18" i="45"/>
  <c r="H18" i="45"/>
  <c r="I18" i="45" s="1"/>
  <c r="E19" i="45"/>
  <c r="G19" i="45"/>
  <c r="H19" i="45"/>
  <c r="I19" i="45" s="1"/>
  <c r="E20" i="45"/>
  <c r="H20" i="45"/>
  <c r="I20" i="45"/>
  <c r="E21" i="45"/>
  <c r="H21" i="45"/>
  <c r="I21" i="45"/>
  <c r="E22" i="45"/>
  <c r="H22" i="45"/>
  <c r="I22" i="45" s="1"/>
  <c r="E23" i="45"/>
  <c r="I23" i="45"/>
  <c r="E24" i="45"/>
  <c r="G24" i="45"/>
  <c r="H24" i="45"/>
  <c r="I24" i="45"/>
  <c r="E25" i="45"/>
  <c r="H25" i="45"/>
  <c r="I25" i="45"/>
  <c r="D26" i="45"/>
  <c r="G26" i="45"/>
  <c r="G30" i="45" s="1"/>
  <c r="E28" i="45"/>
  <c r="I28" i="45"/>
  <c r="D30" i="45"/>
  <c r="I26" i="45" l="1"/>
  <c r="I30" i="45" s="1"/>
  <c r="P22" i="29" l="1"/>
  <c r="AG60" i="25" l="1"/>
  <c r="AD60" i="25"/>
  <c r="Q30" i="14" s="1"/>
  <c r="AG42" i="25"/>
  <c r="AD42" i="25"/>
  <c r="Q23" i="14" s="1"/>
  <c r="AG78" i="24"/>
  <c r="AD78" i="24"/>
  <c r="AG60" i="24"/>
  <c r="AD60" i="24"/>
  <c r="G23" i="14" s="1"/>
  <c r="AG27" i="24"/>
  <c r="AD27" i="24"/>
  <c r="G21" i="14" s="1"/>
  <c r="AG22" i="24"/>
  <c r="AD22" i="24"/>
  <c r="G20" i="14" s="1"/>
  <c r="AD50" i="22"/>
  <c r="AA50" i="22"/>
  <c r="AD23" i="22"/>
  <c r="AA23" i="22"/>
  <c r="AD20" i="22"/>
  <c r="AA20" i="22"/>
  <c r="AG70" i="21"/>
  <c r="AD70" i="21"/>
  <c r="R29" i="11" s="1"/>
  <c r="AG52" i="21"/>
  <c r="AD52" i="21"/>
  <c r="R23" i="11" s="1"/>
  <c r="AG100" i="20"/>
  <c r="AD100" i="20"/>
  <c r="AG82" i="20"/>
  <c r="AG29" i="20"/>
  <c r="AD29" i="20"/>
  <c r="G21" i="11" s="1"/>
  <c r="AF114" i="18"/>
  <c r="AC114" i="18"/>
  <c r="AC96" i="18"/>
  <c r="AF96" i="18"/>
  <c r="AD50" i="18"/>
  <c r="AF45" i="18"/>
  <c r="AC45" i="18"/>
  <c r="AC37" i="18"/>
  <c r="AF37" i="18"/>
  <c r="AF22" i="18"/>
  <c r="AF26" i="18" s="1"/>
  <c r="AC22" i="18"/>
  <c r="AC26" i="18" s="1"/>
  <c r="AB21" i="15"/>
  <c r="Q31" i="14"/>
  <c r="G26" i="14"/>
  <c r="G24" i="14"/>
  <c r="R34" i="11"/>
  <c r="R31" i="11"/>
  <c r="R30" i="11"/>
  <c r="R25" i="11"/>
  <c r="R24" i="11"/>
  <c r="G25" i="11"/>
  <c r="G24" i="11"/>
  <c r="Y35" i="3"/>
  <c r="AB34" i="2"/>
  <c r="AD82" i="20" l="1"/>
  <c r="G23" i="11" s="1"/>
  <c r="AK62" i="18" l="1"/>
  <c r="G42" i="9" l="1"/>
  <c r="J43" i="40" l="1"/>
  <c r="J35" i="40"/>
  <c r="J22" i="40"/>
  <c r="J16" i="40"/>
  <c r="J45" i="39"/>
  <c r="J38" i="39"/>
  <c r="J28" i="39"/>
  <c r="J22" i="39"/>
  <c r="J30" i="39" s="1"/>
  <c r="J48" i="39" s="1"/>
  <c r="R49" i="21"/>
  <c r="J24" i="40" l="1"/>
  <c r="J46" i="40" s="1"/>
  <c r="G38" i="44" l="1"/>
  <c r="G32" i="44"/>
  <c r="G33" i="44"/>
  <c r="I47" i="44"/>
  <c r="E47" i="44"/>
  <c r="S63" i="25" l="1"/>
  <c r="S64" i="25"/>
  <c r="S62" i="25"/>
  <c r="S81" i="24"/>
  <c r="S82" i="24"/>
  <c r="S80" i="24"/>
  <c r="P41" i="37"/>
  <c r="P40" i="37"/>
  <c r="P39" i="37"/>
  <c r="P37" i="37"/>
  <c r="P36" i="37"/>
  <c r="P32" i="37"/>
  <c r="P31" i="37"/>
  <c r="P30" i="37"/>
  <c r="P29" i="37"/>
  <c r="P28" i="37"/>
  <c r="P23" i="37"/>
  <c r="P22" i="37"/>
  <c r="P21" i="37"/>
  <c r="P20" i="37"/>
  <c r="P19" i="37"/>
  <c r="P18" i="37"/>
  <c r="P17" i="37"/>
  <c r="P16" i="37"/>
  <c r="P32" i="29"/>
  <c r="F33" i="6" s="1"/>
  <c r="P31" i="29"/>
  <c r="F32" i="6" s="1"/>
  <c r="P24" i="29"/>
  <c r="F25" i="6" s="1"/>
  <c r="P23" i="29"/>
  <c r="F24" i="6" s="1"/>
  <c r="F23" i="6"/>
  <c r="P16" i="29"/>
  <c r="F18" i="6" s="1"/>
  <c r="P32" i="28"/>
  <c r="B33" i="6" s="1"/>
  <c r="P31" i="28"/>
  <c r="B32" i="6" s="1"/>
  <c r="P24" i="28"/>
  <c r="B25" i="6" s="1"/>
  <c r="P23" i="28"/>
  <c r="B24" i="6" s="1"/>
  <c r="P22" i="28"/>
  <c r="B23" i="6" s="1"/>
  <c r="P16" i="28"/>
  <c r="B18" i="6" s="1"/>
  <c r="P37" i="27"/>
  <c r="F36" i="5" s="1"/>
  <c r="P36" i="27"/>
  <c r="F35" i="5" s="1"/>
  <c r="P26" i="27"/>
  <c r="F27" i="5" s="1"/>
  <c r="P25" i="27"/>
  <c r="F26" i="5" s="1"/>
  <c r="P24" i="27"/>
  <c r="F25" i="5" s="1"/>
  <c r="P17" i="27"/>
  <c r="F18" i="5" s="1"/>
  <c r="Q42" i="26"/>
  <c r="B36" i="5" s="1"/>
  <c r="Q41" i="26"/>
  <c r="B35" i="5" s="1"/>
  <c r="Q31" i="26"/>
  <c r="B28" i="5" s="1"/>
  <c r="Q30" i="26"/>
  <c r="B27" i="5" s="1"/>
  <c r="Q29" i="26"/>
  <c r="B26" i="5" s="1"/>
  <c r="Q28" i="26"/>
  <c r="B25" i="5" s="1"/>
  <c r="Q21" i="26"/>
  <c r="B20" i="5" s="1"/>
  <c r="Q20" i="26"/>
  <c r="B19" i="5" s="1"/>
  <c r="Q19" i="26"/>
  <c r="B18" i="5" s="1"/>
  <c r="S74" i="25"/>
  <c r="S73" i="25"/>
  <c r="S65" i="25"/>
  <c r="S59" i="25"/>
  <c r="S58" i="25"/>
  <c r="S57" i="25"/>
  <c r="S56" i="25"/>
  <c r="S55" i="25"/>
  <c r="S54" i="25"/>
  <c r="S52" i="25"/>
  <c r="S51" i="25"/>
  <c r="S50" i="25"/>
  <c r="S44" i="25"/>
  <c r="S41" i="25"/>
  <c r="S40" i="25"/>
  <c r="S39" i="25"/>
  <c r="S38" i="25"/>
  <c r="S37" i="25"/>
  <c r="S36" i="25"/>
  <c r="S34" i="25"/>
  <c r="S33" i="25"/>
  <c r="S32" i="25"/>
  <c r="S31" i="25"/>
  <c r="S29" i="25"/>
  <c r="S28" i="25"/>
  <c r="S27" i="25"/>
  <c r="S26" i="25"/>
  <c r="S25" i="25"/>
  <c r="S24" i="25"/>
  <c r="S23" i="25"/>
  <c r="S21" i="25"/>
  <c r="S19" i="25"/>
  <c r="S93" i="24"/>
  <c r="S92" i="24"/>
  <c r="S91" i="24"/>
  <c r="S92" i="23" s="1"/>
  <c r="P48" i="2" s="1"/>
  <c r="S83" i="24"/>
  <c r="S77" i="24"/>
  <c r="S76" i="24"/>
  <c r="S75" i="24"/>
  <c r="S74" i="24"/>
  <c r="S73" i="24"/>
  <c r="S72" i="24"/>
  <c r="S70" i="24"/>
  <c r="S69" i="24"/>
  <c r="S68" i="24"/>
  <c r="S62" i="24"/>
  <c r="S58" i="24"/>
  <c r="S57" i="24"/>
  <c r="S56" i="24"/>
  <c r="S57" i="23" s="1"/>
  <c r="S55" i="24"/>
  <c r="S54" i="24"/>
  <c r="S53" i="24"/>
  <c r="S51" i="24"/>
  <c r="S50" i="24"/>
  <c r="S49" i="24"/>
  <c r="S48" i="24"/>
  <c r="S46" i="24"/>
  <c r="S45" i="24"/>
  <c r="S44" i="24"/>
  <c r="S43" i="24"/>
  <c r="S42" i="24"/>
  <c r="S41" i="24"/>
  <c r="S40" i="24"/>
  <c r="S38" i="24"/>
  <c r="S36" i="24"/>
  <c r="S29" i="24"/>
  <c r="S30" i="23" s="1"/>
  <c r="P53" i="15" s="1"/>
  <c r="S26" i="24"/>
  <c r="S27" i="23" s="1"/>
  <c r="P46" i="15" s="1"/>
  <c r="S25" i="24"/>
  <c r="S26" i="23" s="1"/>
  <c r="S24" i="24"/>
  <c r="S25" i="23" s="1"/>
  <c r="P41" i="15" s="1"/>
  <c r="S21" i="24"/>
  <c r="S22" i="23" s="1"/>
  <c r="P35" i="15" s="1"/>
  <c r="S20" i="24"/>
  <c r="S21" i="23" s="1"/>
  <c r="P32" i="15" s="1"/>
  <c r="S19" i="24"/>
  <c r="P69" i="22"/>
  <c r="L50" i="2" s="1"/>
  <c r="P68" i="22"/>
  <c r="L49" i="2" s="1"/>
  <c r="P60" i="22"/>
  <c r="P58" i="22"/>
  <c r="L37" i="2" s="1"/>
  <c r="P49" i="22"/>
  <c r="P48" i="22"/>
  <c r="P47" i="22"/>
  <c r="P45" i="22"/>
  <c r="P44" i="22"/>
  <c r="P42" i="22"/>
  <c r="P41" i="22"/>
  <c r="P40" i="22"/>
  <c r="P39" i="22"/>
  <c r="P38" i="22"/>
  <c r="P37" i="22"/>
  <c r="P36" i="22"/>
  <c r="P35" i="22"/>
  <c r="P33" i="22"/>
  <c r="P26" i="22"/>
  <c r="L55" i="15" s="1"/>
  <c r="P25" i="22"/>
  <c r="P22" i="22"/>
  <c r="L45" i="15" s="1"/>
  <c r="P19" i="22"/>
  <c r="P16" i="22"/>
  <c r="AG116" i="19"/>
  <c r="R86" i="21"/>
  <c r="R85" i="21"/>
  <c r="R77" i="21"/>
  <c r="R76" i="21"/>
  <c r="R106" i="19" s="1"/>
  <c r="H40" i="2" s="1"/>
  <c r="R74" i="21"/>
  <c r="R73" i="21"/>
  <c r="R72" i="21"/>
  <c r="R69" i="21"/>
  <c r="R68" i="21"/>
  <c r="R67" i="21"/>
  <c r="R66" i="21"/>
  <c r="R65" i="21"/>
  <c r="R64" i="21"/>
  <c r="R62" i="21"/>
  <c r="R61" i="21"/>
  <c r="R60" i="21"/>
  <c r="R54" i="21"/>
  <c r="R51" i="21"/>
  <c r="R50" i="21"/>
  <c r="R48" i="21"/>
  <c r="R47" i="21"/>
  <c r="R46" i="21"/>
  <c r="R45" i="21"/>
  <c r="R44" i="21"/>
  <c r="R43" i="21"/>
  <c r="R42" i="21"/>
  <c r="R41" i="21"/>
  <c r="R39" i="21"/>
  <c r="R38" i="21"/>
  <c r="R37" i="21"/>
  <c r="R36" i="21"/>
  <c r="R35" i="21"/>
  <c r="R33" i="21"/>
  <c r="R32" i="21"/>
  <c r="R31" i="21"/>
  <c r="R30" i="21"/>
  <c r="R29" i="21"/>
  <c r="R28" i="21"/>
  <c r="R27" i="21"/>
  <c r="R26" i="21"/>
  <c r="R24" i="21"/>
  <c r="R23" i="21"/>
  <c r="R22" i="21"/>
  <c r="R21" i="21"/>
  <c r="R19" i="21"/>
  <c r="R114" i="20"/>
  <c r="R113" i="20"/>
  <c r="R105" i="20"/>
  <c r="R104" i="20"/>
  <c r="R103" i="20"/>
  <c r="R102" i="20"/>
  <c r="R99" i="20"/>
  <c r="R98" i="20"/>
  <c r="H33" i="3" s="1"/>
  <c r="R97" i="20"/>
  <c r="R96" i="20"/>
  <c r="R95" i="20"/>
  <c r="R94" i="20"/>
  <c r="H29" i="3" s="1"/>
  <c r="R92" i="20"/>
  <c r="R91" i="20"/>
  <c r="R90" i="20"/>
  <c r="R84" i="20"/>
  <c r="R81" i="20"/>
  <c r="R80" i="20"/>
  <c r="R79" i="20"/>
  <c r="R78" i="20"/>
  <c r="R77" i="20"/>
  <c r="R76" i="20"/>
  <c r="R75" i="20"/>
  <c r="R74" i="20"/>
  <c r="R73" i="20"/>
  <c r="R72" i="20"/>
  <c r="R72" i="19" s="1"/>
  <c r="Q96" i="16" s="1"/>
  <c r="R70" i="20"/>
  <c r="R68" i="20"/>
  <c r="R67" i="20"/>
  <c r="R66" i="20"/>
  <c r="R65" i="20"/>
  <c r="R64" i="20"/>
  <c r="R62" i="20"/>
  <c r="R61" i="20"/>
  <c r="R60" i="20"/>
  <c r="R59" i="20"/>
  <c r="R58" i="20"/>
  <c r="R55" i="20"/>
  <c r="R54" i="20"/>
  <c r="R53" i="20"/>
  <c r="R52" i="20"/>
  <c r="R51" i="20"/>
  <c r="R50" i="20"/>
  <c r="R49" i="20"/>
  <c r="R47" i="20"/>
  <c r="R46" i="20"/>
  <c r="R45" i="20"/>
  <c r="R44" i="20"/>
  <c r="R44" i="19" s="1"/>
  <c r="R42" i="20"/>
  <c r="R35" i="20"/>
  <c r="R35" i="19" s="1"/>
  <c r="H46" i="15" s="1"/>
  <c r="R34" i="20"/>
  <c r="R34" i="19" s="1"/>
  <c r="R33" i="20"/>
  <c r="R33" i="19" s="1"/>
  <c r="R32" i="20"/>
  <c r="R31" i="20"/>
  <c r="R31" i="19" s="1"/>
  <c r="H41" i="15" s="1"/>
  <c r="R28" i="20"/>
  <c r="R28" i="19" s="1"/>
  <c r="R27" i="20"/>
  <c r="R27" i="19" s="1"/>
  <c r="H35" i="15" s="1"/>
  <c r="R26" i="20"/>
  <c r="R26" i="19" s="1"/>
  <c r="H34" i="15" s="1"/>
  <c r="R25" i="20"/>
  <c r="R25" i="19" s="1"/>
  <c r="H33" i="15" s="1"/>
  <c r="R24" i="20"/>
  <c r="R24" i="19" s="1"/>
  <c r="H32" i="15" s="1"/>
  <c r="R23" i="20"/>
  <c r="R22" i="20"/>
  <c r="R22" i="19" s="1"/>
  <c r="R21" i="20"/>
  <c r="R21" i="19" s="1"/>
  <c r="H29" i="15" s="1"/>
  <c r="R17" i="20"/>
  <c r="H15" i="3" s="1"/>
  <c r="R133" i="18"/>
  <c r="R132" i="18"/>
  <c r="R128" i="18"/>
  <c r="R127" i="18"/>
  <c r="R118" i="18"/>
  <c r="R117" i="18"/>
  <c r="R116" i="18"/>
  <c r="D36" i="2" s="1"/>
  <c r="R113" i="18"/>
  <c r="R112" i="18"/>
  <c r="D32" i="2" s="1"/>
  <c r="R111" i="18"/>
  <c r="R110" i="18"/>
  <c r="D30" i="2" s="1"/>
  <c r="R109" i="18"/>
  <c r="R108" i="18"/>
  <c r="R106" i="18"/>
  <c r="R105" i="18"/>
  <c r="R104" i="18"/>
  <c r="D24" i="2" s="1"/>
  <c r="R98" i="18"/>
  <c r="R95" i="18"/>
  <c r="R94" i="18"/>
  <c r="R93" i="18"/>
  <c r="R92" i="18"/>
  <c r="R91" i="18"/>
  <c r="R90" i="18"/>
  <c r="R89" i="18"/>
  <c r="R88" i="18"/>
  <c r="R87" i="18"/>
  <c r="R86" i="18"/>
  <c r="Q94" i="17" s="1"/>
  <c r="R84" i="18"/>
  <c r="R83" i="18"/>
  <c r="R82" i="18"/>
  <c r="R81" i="18"/>
  <c r="R80" i="18"/>
  <c r="R78" i="18"/>
  <c r="R77" i="18"/>
  <c r="R76" i="18"/>
  <c r="R74" i="18"/>
  <c r="R73" i="18"/>
  <c r="R72" i="18"/>
  <c r="R71" i="18"/>
  <c r="R70" i="18"/>
  <c r="R69" i="18"/>
  <c r="R68" i="18"/>
  <c r="R67" i="18"/>
  <c r="R65" i="18"/>
  <c r="R64" i="18"/>
  <c r="R63" i="18"/>
  <c r="R62" i="18"/>
  <c r="R60" i="18"/>
  <c r="Q65" i="17" s="1"/>
  <c r="R59" i="18"/>
  <c r="R52" i="18"/>
  <c r="R51" i="18"/>
  <c r="R50" i="18"/>
  <c r="D53" i="15" s="1"/>
  <c r="R49" i="18"/>
  <c r="R48" i="18"/>
  <c r="Q53" i="16" s="1"/>
  <c r="R47" i="18"/>
  <c r="R44" i="18"/>
  <c r="R43" i="18"/>
  <c r="R42" i="18"/>
  <c r="R41" i="18"/>
  <c r="R40" i="18"/>
  <c r="D42" i="15" s="1"/>
  <c r="R39" i="18"/>
  <c r="R36" i="18"/>
  <c r="R35" i="18"/>
  <c r="D36" i="15" s="1"/>
  <c r="R34" i="18"/>
  <c r="R33" i="18"/>
  <c r="R32" i="18"/>
  <c r="R31" i="18"/>
  <c r="R30" i="18"/>
  <c r="R29" i="18"/>
  <c r="R28" i="18"/>
  <c r="D28" i="15" s="1"/>
  <c r="R25" i="18"/>
  <c r="R24" i="18"/>
  <c r="R23" i="18"/>
  <c r="R21" i="18"/>
  <c r="R20" i="18"/>
  <c r="R19" i="18"/>
  <c r="R18" i="18"/>
  <c r="R17" i="18"/>
  <c r="Q21" i="16" s="1"/>
  <c r="R42" i="19" l="1"/>
  <c r="P15" i="37"/>
  <c r="R20" i="20"/>
  <c r="R20" i="19" s="1"/>
  <c r="R46" i="19"/>
  <c r="Q69" i="16" s="1"/>
  <c r="Q100" i="17"/>
  <c r="Q64" i="16"/>
  <c r="Q64" i="17"/>
  <c r="H49" i="3"/>
  <c r="R115" i="19"/>
  <c r="H50" i="3"/>
  <c r="R116" i="19"/>
  <c r="H50" i="2" s="1"/>
  <c r="O215" i="42"/>
  <c r="Q67" i="17"/>
  <c r="R47" i="19"/>
  <c r="Q70" i="16" s="1"/>
  <c r="R52" i="19"/>
  <c r="Q76" i="16" s="1"/>
  <c r="R67" i="19"/>
  <c r="R61" i="19"/>
  <c r="R68" i="19"/>
  <c r="R76" i="19"/>
  <c r="Q100" i="16" s="1"/>
  <c r="R71" i="20"/>
  <c r="R71" i="19" s="1"/>
  <c r="Q95" i="16" s="1"/>
  <c r="Q79" i="17"/>
  <c r="Q69" i="17"/>
  <c r="Q70" i="17"/>
  <c r="R54" i="19"/>
  <c r="R74" i="19"/>
  <c r="Q92" i="17"/>
  <c r="S76" i="23"/>
  <c r="P31" i="2" s="1"/>
  <c r="S71" i="23"/>
  <c r="P26" i="2" s="1"/>
  <c r="S83" i="23"/>
  <c r="P38" i="2" s="1"/>
  <c r="S82" i="23"/>
  <c r="P37" i="2" s="1"/>
  <c r="S54" i="23"/>
  <c r="S70" i="23"/>
  <c r="P25" i="2" s="1"/>
  <c r="S39" i="23"/>
  <c r="Q67" i="16" s="1"/>
  <c r="S44" i="23"/>
  <c r="S59" i="23"/>
  <c r="Q72" i="16"/>
  <c r="Q76" i="17"/>
  <c r="S58" i="23"/>
  <c r="R78" i="19"/>
  <c r="Q102" i="16" s="1"/>
  <c r="S51" i="23"/>
  <c r="S84" i="23"/>
  <c r="P41" i="2" s="1"/>
  <c r="S42" i="23"/>
  <c r="S46" i="23"/>
  <c r="AG115" i="19"/>
  <c r="S73" i="23"/>
  <c r="P28" i="2" s="1"/>
  <c r="S37" i="23"/>
  <c r="Q65" i="16" s="1"/>
  <c r="S43" i="23"/>
  <c r="S47" i="23"/>
  <c r="S78" i="23"/>
  <c r="P33" i="2" s="1"/>
  <c r="S74" i="23"/>
  <c r="P29" i="2" s="1"/>
  <c r="R77" i="19"/>
  <c r="R130" i="18"/>
  <c r="Q77" i="17"/>
  <c r="Q78" i="17"/>
  <c r="Q86" i="17"/>
  <c r="Q91" i="17"/>
  <c r="Q97" i="17"/>
  <c r="Q101" i="17"/>
  <c r="R55" i="19"/>
  <c r="R65" i="19"/>
  <c r="Q89" i="16" s="1"/>
  <c r="R45" i="19"/>
  <c r="Q68" i="16" s="1"/>
  <c r="R134" i="18"/>
  <c r="S50" i="23"/>
  <c r="S55" i="23"/>
  <c r="Q99" i="17"/>
  <c r="Q75" i="17"/>
  <c r="D17" i="15"/>
  <c r="Q22" i="17"/>
  <c r="Q22" i="16"/>
  <c r="Q84" i="17"/>
  <c r="R60" i="19"/>
  <c r="Q84" i="16" s="1"/>
  <c r="R90" i="19"/>
  <c r="H24" i="2" s="1"/>
  <c r="H25" i="3"/>
  <c r="R95" i="19"/>
  <c r="H29" i="2" s="1"/>
  <c r="H30" i="3"/>
  <c r="R99" i="19"/>
  <c r="H33" i="2" s="1"/>
  <c r="H34" i="3"/>
  <c r="Q131" i="17"/>
  <c r="R107" i="19"/>
  <c r="H41" i="2" s="1"/>
  <c r="H42" i="3"/>
  <c r="R53" i="19"/>
  <c r="R62" i="19"/>
  <c r="D19" i="2"/>
  <c r="Q118" i="17"/>
  <c r="D28" i="2"/>
  <c r="D38" i="2"/>
  <c r="Q128" i="17"/>
  <c r="S75" i="23"/>
  <c r="P30" i="2" s="1"/>
  <c r="Q23" i="17"/>
  <c r="D18" i="15"/>
  <c r="Q23" i="16"/>
  <c r="D30" i="15"/>
  <c r="Q34" i="17"/>
  <c r="Q119" i="17"/>
  <c r="D29" i="2"/>
  <c r="Q34" i="16"/>
  <c r="R32" i="19"/>
  <c r="H42" i="15" s="1"/>
  <c r="Q45" i="17"/>
  <c r="Q90" i="17"/>
  <c r="R91" i="19"/>
  <c r="H25" i="2" s="1"/>
  <c r="H26" i="3"/>
  <c r="H31" i="3"/>
  <c r="R96" i="19"/>
  <c r="H30" i="2" s="1"/>
  <c r="R102" i="19"/>
  <c r="H36" i="2" s="1"/>
  <c r="H37" i="3"/>
  <c r="D33" i="2"/>
  <c r="Q123" i="17"/>
  <c r="L14" i="2"/>
  <c r="L23" i="15"/>
  <c r="S41" i="23"/>
  <c r="Q48" i="16"/>
  <c r="Q48" i="17"/>
  <c r="D45" i="15"/>
  <c r="Q24" i="16"/>
  <c r="Q24" i="17"/>
  <c r="D19" i="15"/>
  <c r="Q29" i="17"/>
  <c r="D24" i="15"/>
  <c r="Q29" i="16"/>
  <c r="Q46" i="17"/>
  <c r="D43" i="15"/>
  <c r="Q52" i="17"/>
  <c r="D50" i="15"/>
  <c r="Q52" i="16"/>
  <c r="Q56" i="17"/>
  <c r="Q56" i="16"/>
  <c r="D54" i="15"/>
  <c r="Q115" i="17"/>
  <c r="D25" i="2"/>
  <c r="R23" i="19"/>
  <c r="H31" i="15" s="1"/>
  <c r="Q35" i="17"/>
  <c r="Q46" i="16"/>
  <c r="Q73" i="17"/>
  <c r="R49" i="19"/>
  <c r="Q73" i="16" s="1"/>
  <c r="Q82" i="17"/>
  <c r="R58" i="19"/>
  <c r="Q82" i="16" s="1"/>
  <c r="R92" i="19"/>
  <c r="H27" i="3"/>
  <c r="H32" i="3"/>
  <c r="R97" i="19"/>
  <c r="R103" i="19"/>
  <c r="H37" i="2" s="1"/>
  <c r="H38" i="3"/>
  <c r="R70" i="19"/>
  <c r="R75" i="19"/>
  <c r="Q99" i="16" s="1"/>
  <c r="R94" i="19"/>
  <c r="H28" i="2" s="1"/>
  <c r="Q28" i="16"/>
  <c r="Q28" i="17"/>
  <c r="D23" i="15"/>
  <c r="Q39" i="17"/>
  <c r="D35" i="15"/>
  <c r="Q36" i="17"/>
  <c r="D32" i="15"/>
  <c r="Q32" i="17"/>
  <c r="L28" i="15"/>
  <c r="Q130" i="17"/>
  <c r="Q130" i="16"/>
  <c r="L40" i="2"/>
  <c r="S56" i="23"/>
  <c r="S77" i="23"/>
  <c r="P32" i="2" s="1"/>
  <c r="Q37" i="17"/>
  <c r="Q37" i="16"/>
  <c r="D33" i="15"/>
  <c r="Q41" i="17"/>
  <c r="Q41" i="16"/>
  <c r="Q57" i="16"/>
  <c r="D55" i="15"/>
  <c r="Q57" i="17"/>
  <c r="Q47" i="16"/>
  <c r="H44" i="15"/>
  <c r="Q74" i="17"/>
  <c r="Q83" i="17"/>
  <c r="R59" i="19"/>
  <c r="Q83" i="16" s="1"/>
  <c r="R84" i="19"/>
  <c r="H19" i="2" s="1"/>
  <c r="H20" i="3"/>
  <c r="R104" i="19"/>
  <c r="H39" i="3"/>
  <c r="Q33" i="17"/>
  <c r="D29" i="15"/>
  <c r="Q54" i="17"/>
  <c r="Q54" i="16"/>
  <c r="D52" i="15"/>
  <c r="Q25" i="16"/>
  <c r="Q25" i="17"/>
  <c r="D20" i="15"/>
  <c r="Q47" i="17"/>
  <c r="D44" i="15"/>
  <c r="Q68" i="17"/>
  <c r="Q116" i="17"/>
  <c r="D26" i="2"/>
  <c r="Q121" i="17"/>
  <c r="D31" i="2"/>
  <c r="D37" i="2"/>
  <c r="Q127" i="17"/>
  <c r="Q72" i="17"/>
  <c r="S69" i="23"/>
  <c r="P24" i="2" s="1"/>
  <c r="P24" i="37"/>
  <c r="R131" i="18"/>
  <c r="R57" i="20"/>
  <c r="R129" i="18"/>
  <c r="S94" i="23"/>
  <c r="P50" i="2" s="1"/>
  <c r="S93" i="23"/>
  <c r="P49" i="2" s="1"/>
  <c r="S81" i="23"/>
  <c r="P36" i="2" s="1"/>
  <c r="S63" i="23"/>
  <c r="P19" i="2" s="1"/>
  <c r="S45" i="23"/>
  <c r="S49" i="23"/>
  <c r="S52" i="23"/>
  <c r="P42" i="15"/>
  <c r="Q55" i="16"/>
  <c r="L53" i="15"/>
  <c r="Q55" i="17"/>
  <c r="R79" i="19"/>
  <c r="R51" i="19"/>
  <c r="Q75" i="16" s="1"/>
  <c r="R81" i="19"/>
  <c r="Q105" i="16" s="1"/>
  <c r="R73" i="19"/>
  <c r="R64" i="19"/>
  <c r="R80" i="19"/>
  <c r="R98" i="19"/>
  <c r="Q122" i="17"/>
  <c r="Q120" i="17"/>
  <c r="Q96" i="17"/>
  <c r="Q104" i="17"/>
  <c r="R66" i="19"/>
  <c r="Q90" i="16" s="1"/>
  <c r="R50" i="19"/>
  <c r="Q88" i="17"/>
  <c r="Q103" i="17"/>
  <c r="Q105" i="17"/>
  <c r="Q89" i="17"/>
  <c r="Q98" i="17"/>
  <c r="Q49" i="16"/>
  <c r="H43" i="15"/>
  <c r="Q44" i="16"/>
  <c r="Q40" i="17"/>
  <c r="Q40" i="16"/>
  <c r="H36" i="15"/>
  <c r="Q36" i="16"/>
  <c r="Q38" i="16"/>
  <c r="R17" i="19"/>
  <c r="H22" i="15" s="1"/>
  <c r="Q27" i="17"/>
  <c r="H30" i="15"/>
  <c r="Q126" i="17"/>
  <c r="Q114" i="17"/>
  <c r="Q102" i="17"/>
  <c r="Q85" i="17"/>
  <c r="Q53" i="17"/>
  <c r="D51" i="15"/>
  <c r="D46" i="15"/>
  <c r="Q49" i="17"/>
  <c r="D41" i="15"/>
  <c r="Q44" i="17"/>
  <c r="Q39" i="16"/>
  <c r="D34" i="15"/>
  <c r="Q38" i="17"/>
  <c r="D37" i="15"/>
  <c r="D22" i="15"/>
  <c r="Q21" i="17"/>
  <c r="D16" i="15"/>
  <c r="V16" i="15" s="1"/>
  <c r="H28" i="15" l="1"/>
  <c r="Q32" i="16"/>
  <c r="H49" i="2"/>
  <c r="Q95" i="17"/>
  <c r="Q79" i="16"/>
  <c r="Q91" i="16"/>
  <c r="Q85" i="16"/>
  <c r="Q128" i="16"/>
  <c r="Q78" i="16"/>
  <c r="Q92" i="16"/>
  <c r="Q121" i="16"/>
  <c r="Q127" i="16"/>
  <c r="Q103" i="16"/>
  <c r="Q116" i="16"/>
  <c r="Q98" i="16"/>
  <c r="H31" i="2"/>
  <c r="Q101" i="16"/>
  <c r="H38" i="2"/>
  <c r="Q139" i="17"/>
  <c r="Q94" i="16"/>
  <c r="Q86" i="16"/>
  <c r="Q115" i="16"/>
  <c r="Q131" i="16"/>
  <c r="Q126" i="16"/>
  <c r="Q119" i="16"/>
  <c r="Q77" i="16"/>
  <c r="Q45" i="16"/>
  <c r="D49" i="2"/>
  <c r="Q74" i="16"/>
  <c r="Q120" i="16"/>
  <c r="Q123" i="16"/>
  <c r="Q114" i="16"/>
  <c r="H26" i="2"/>
  <c r="Q118" i="16"/>
  <c r="D50" i="2"/>
  <c r="Q140" i="17"/>
  <c r="Q88" i="16"/>
  <c r="Q97" i="16"/>
  <c r="Q81" i="17"/>
  <c r="R57" i="19"/>
  <c r="Q81" i="16" s="1"/>
  <c r="Q35" i="16"/>
  <c r="H14" i="2"/>
  <c r="H32" i="2"/>
  <c r="Q122" i="16"/>
  <c r="G34" i="11" l="1"/>
  <c r="G31" i="11"/>
  <c r="G30" i="11"/>
  <c r="AK95" i="18"/>
  <c r="AK88" i="18"/>
  <c r="AK44" i="18"/>
  <c r="P35" i="11" l="1"/>
  <c r="G29" i="11"/>
  <c r="Z29" i="43" l="1"/>
  <c r="Z28" i="43"/>
  <c r="M219" i="42" l="1"/>
  <c r="M221" i="42"/>
  <c r="M238" i="42"/>
  <c r="M242" i="42"/>
  <c r="M246" i="42"/>
  <c r="M248" i="42"/>
  <c r="M258" i="42"/>
  <c r="M261" i="42"/>
  <c r="M223" i="42" l="1"/>
  <c r="M230" i="42"/>
  <c r="M257" i="42"/>
  <c r="M255" i="42"/>
  <c r="M253" i="42"/>
  <c r="M251" i="42"/>
  <c r="M249" i="42"/>
  <c r="M245" i="42"/>
  <c r="M239" i="42"/>
  <c r="M237" i="42"/>
  <c r="M235" i="42"/>
  <c r="M214" i="42"/>
  <c r="M224" i="42"/>
  <c r="M236" i="42"/>
  <c r="M222" i="42"/>
  <c r="M231" i="42"/>
  <c r="M229" i="42"/>
  <c r="M247" i="42"/>
  <c r="M220" i="42"/>
  <c r="M227" i="42"/>
  <c r="M225" i="42"/>
  <c r="M254" i="42"/>
  <c r="M244" i="42"/>
  <c r="M234" i="42"/>
  <c r="M232" i="42"/>
  <c r="M213" i="42"/>
  <c r="M259" i="42"/>
  <c r="M256" i="42"/>
  <c r="M226" i="42"/>
  <c r="M250" i="42"/>
  <c r="M233" i="42"/>
  <c r="M228" i="42"/>
  <c r="M208" i="42"/>
  <c r="M241" i="42"/>
  <c r="M252" i="42"/>
  <c r="M260" i="42"/>
  <c r="M243" i="42"/>
  <c r="M240" i="42"/>
  <c r="M212" i="42"/>
  <c r="M215" i="42" l="1"/>
  <c r="M180" i="42"/>
  <c r="M183" i="42"/>
  <c r="M185" i="42"/>
  <c r="M187" i="42"/>
  <c r="M189" i="42"/>
  <c r="M182" i="42" l="1"/>
  <c r="M191" i="42"/>
  <c r="M190" i="42"/>
  <c r="M188" i="42"/>
  <c r="M186" i="42"/>
  <c r="M184" i="42"/>
  <c r="M181" i="42"/>
  <c r="M179" i="42" l="1"/>
  <c r="Q83" i="23"/>
  <c r="AL91" i="24"/>
  <c r="Q92" i="23"/>
  <c r="Q57" i="23"/>
  <c r="Q30" i="23"/>
  <c r="Q27" i="23"/>
  <c r="Q26" i="23"/>
  <c r="Q25" i="23"/>
  <c r="Q22" i="23"/>
  <c r="Q21" i="23"/>
  <c r="Q20" i="23"/>
  <c r="P106" i="19"/>
  <c r="P35" i="19"/>
  <c r="P34" i="19"/>
  <c r="P33" i="19"/>
  <c r="P31" i="19"/>
  <c r="P28" i="19"/>
  <c r="P27" i="19"/>
  <c r="P26" i="19"/>
  <c r="P25" i="19"/>
  <c r="P24" i="19"/>
  <c r="P22" i="19"/>
  <c r="P21" i="19"/>
  <c r="P20" i="19"/>
  <c r="AK78" i="18"/>
  <c r="O65" i="17"/>
  <c r="Q82" i="23" l="1"/>
  <c r="Q47" i="23"/>
  <c r="Q43" i="23"/>
  <c r="Q69" i="23"/>
  <c r="O94" i="17"/>
  <c r="Q49" i="23"/>
  <c r="Q39" i="23"/>
  <c r="O72" i="16"/>
  <c r="Q75" i="23"/>
  <c r="O69" i="17"/>
  <c r="Q73" i="23"/>
  <c r="O100" i="17"/>
  <c r="O92" i="17"/>
  <c r="Q58" i="23"/>
  <c r="P54" i="19"/>
  <c r="O76" i="17"/>
  <c r="O104" i="17"/>
  <c r="P50" i="19"/>
  <c r="Q59" i="23"/>
  <c r="Q70" i="23"/>
  <c r="P76" i="19"/>
  <c r="O100" i="16" s="1"/>
  <c r="Q76" i="23"/>
  <c r="Q84" i="23"/>
  <c r="Q94" i="23"/>
  <c r="M21" i="34"/>
  <c r="Q71" i="23"/>
  <c r="P61" i="19"/>
  <c r="Q60" i="23"/>
  <c r="P46" i="19"/>
  <c r="O69" i="16" s="1"/>
  <c r="O95" i="17"/>
  <c r="P73" i="19"/>
  <c r="P47" i="19"/>
  <c r="O70" i="16" s="1"/>
  <c r="P62" i="19"/>
  <c r="P67" i="19"/>
  <c r="P52" i="19"/>
  <c r="O76" i="16" s="1"/>
  <c r="O75" i="17"/>
  <c r="Q78" i="23"/>
  <c r="O85" i="17"/>
  <c r="P65" i="19"/>
  <c r="O89" i="16" s="1"/>
  <c r="P68" i="19"/>
  <c r="P78" i="19"/>
  <c r="O102" i="16" s="1"/>
  <c r="Q42" i="23"/>
  <c r="Q46" i="23"/>
  <c r="O68" i="17"/>
  <c r="O67" i="17"/>
  <c r="O103" i="17"/>
  <c r="P45" i="19"/>
  <c r="O68" i="16" s="1"/>
  <c r="O77" i="17"/>
  <c r="P70" i="19"/>
  <c r="P75" i="19"/>
  <c r="O99" i="16" s="1"/>
  <c r="P79" i="19"/>
  <c r="O91" i="17"/>
  <c r="O97" i="17"/>
  <c r="O55" i="17"/>
  <c r="O24" i="17"/>
  <c r="O24" i="16"/>
  <c r="O52" i="17"/>
  <c r="O120" i="17"/>
  <c r="P59" i="19"/>
  <c r="O83" i="16" s="1"/>
  <c r="O83" i="17"/>
  <c r="P64" i="19"/>
  <c r="O88" i="17"/>
  <c r="P94" i="19"/>
  <c r="O122" i="17"/>
  <c r="P104" i="19"/>
  <c r="P80" i="19"/>
  <c r="Q93" i="23"/>
  <c r="O29" i="16"/>
  <c r="O36" i="17"/>
  <c r="O46" i="17"/>
  <c r="O46" i="16"/>
  <c r="O56" i="17"/>
  <c r="O56" i="16"/>
  <c r="O126" i="17"/>
  <c r="O41" i="17"/>
  <c r="O53" i="16"/>
  <c r="O53" i="17"/>
  <c r="O57" i="17"/>
  <c r="O57" i="16"/>
  <c r="O116" i="17"/>
  <c r="O121" i="17"/>
  <c r="O127" i="17"/>
  <c r="O48" i="16"/>
  <c r="Q52" i="23"/>
  <c r="Q74" i="23"/>
  <c r="O49" i="17"/>
  <c r="O32" i="16"/>
  <c r="O21" i="16"/>
  <c r="O25" i="17"/>
  <c r="O25" i="16"/>
  <c r="O37" i="17"/>
  <c r="O47" i="17"/>
  <c r="O47" i="16"/>
  <c r="O37" i="16"/>
  <c r="P51" i="19"/>
  <c r="O75" i="16" s="1"/>
  <c r="P55" i="19"/>
  <c r="O84" i="17"/>
  <c r="P60" i="19"/>
  <c r="O84" i="16" s="1"/>
  <c r="P95" i="19"/>
  <c r="P99" i="19"/>
  <c r="P107" i="19"/>
  <c r="O131" i="17"/>
  <c r="P53" i="19"/>
  <c r="O23" i="17"/>
  <c r="O23" i="16"/>
  <c r="O34" i="17"/>
  <c r="O39" i="17"/>
  <c r="O123" i="17"/>
  <c r="O22" i="17"/>
  <c r="O22" i="16"/>
  <c r="O33" i="17"/>
  <c r="O44" i="17"/>
  <c r="O54" i="16"/>
  <c r="O54" i="17"/>
  <c r="O86" i="17"/>
  <c r="O118" i="17"/>
  <c r="O128" i="17"/>
  <c r="O49" i="16"/>
  <c r="Q41" i="23"/>
  <c r="Q50" i="23"/>
  <c r="Q55" i="23"/>
  <c r="Q44" i="23"/>
  <c r="Q54" i="23"/>
  <c r="O119" i="17"/>
  <c r="O115" i="17"/>
  <c r="O130" i="16"/>
  <c r="O130" i="17"/>
  <c r="O27" i="17"/>
  <c r="O38" i="17"/>
  <c r="O48" i="17"/>
  <c r="O74" i="17"/>
  <c r="O34" i="16"/>
  <c r="O38" i="16"/>
  <c r="O45" i="17"/>
  <c r="P32" i="19"/>
  <c r="O96" i="17"/>
  <c r="P72" i="19"/>
  <c r="O96" i="16" s="1"/>
  <c r="P91" i="19"/>
  <c r="P96" i="19"/>
  <c r="P102" i="19"/>
  <c r="P74" i="19"/>
  <c r="O39" i="16"/>
  <c r="Q51" i="23"/>
  <c r="Q56" i="23"/>
  <c r="P17" i="19"/>
  <c r="P23" i="19"/>
  <c r="O35" i="17"/>
  <c r="P49" i="19"/>
  <c r="O73" i="16" s="1"/>
  <c r="O73" i="17"/>
  <c r="O82" i="17"/>
  <c r="P58" i="19"/>
  <c r="O82" i="16" s="1"/>
  <c r="O101" i="17"/>
  <c r="P77" i="19"/>
  <c r="P81" i="19"/>
  <c r="O105" i="16" s="1"/>
  <c r="O105" i="17"/>
  <c r="P92" i="19"/>
  <c r="P97" i="19"/>
  <c r="P103" i="19"/>
  <c r="P116" i="19"/>
  <c r="O81" i="17"/>
  <c r="Q81" i="23"/>
  <c r="Q77" i="23"/>
  <c r="Q63" i="23"/>
  <c r="Q45" i="23"/>
  <c r="Q37" i="23"/>
  <c r="O65" i="16" s="1"/>
  <c r="O44" i="16"/>
  <c r="O33" i="16"/>
  <c r="O55" i="16"/>
  <c r="O36" i="16"/>
  <c r="O28" i="16"/>
  <c r="P115" i="19"/>
  <c r="P90" i="19"/>
  <c r="P84" i="19"/>
  <c r="P66" i="19"/>
  <c r="O90" i="16" s="1"/>
  <c r="P44" i="19"/>
  <c r="P42" i="19"/>
  <c r="O64" i="16" s="1"/>
  <c r="P98" i="19"/>
  <c r="O102" i="17"/>
  <c r="O64" i="17"/>
  <c r="O40" i="16"/>
  <c r="O40" i="17"/>
  <c r="O32" i="17"/>
  <c r="O114" i="17"/>
  <c r="O78" i="17"/>
  <c r="O70" i="17"/>
  <c r="O79" i="17"/>
  <c r="O89" i="17"/>
  <c r="O98" i="17"/>
  <c r="O72" i="17"/>
  <c r="O90" i="17"/>
  <c r="O99" i="17"/>
  <c r="O52" i="16"/>
  <c r="O41" i="16"/>
  <c r="O28" i="17"/>
  <c r="O29" i="17"/>
  <c r="O21" i="17"/>
  <c r="O86" i="16" l="1"/>
  <c r="O67" i="16"/>
  <c r="O77" i="16"/>
  <c r="O88" i="16"/>
  <c r="O78" i="16"/>
  <c r="O101" i="16"/>
  <c r="O74" i="16"/>
  <c r="O104" i="16"/>
  <c r="O79" i="16"/>
  <c r="O91" i="16"/>
  <c r="O103" i="16"/>
  <c r="O131" i="16"/>
  <c r="O92" i="16"/>
  <c r="P71" i="19"/>
  <c r="O95" i="16" s="1"/>
  <c r="O94" i="16"/>
  <c r="O97" i="16"/>
  <c r="O85" i="16"/>
  <c r="O128" i="16"/>
  <c r="O98" i="16"/>
  <c r="O120" i="16"/>
  <c r="O140" i="17"/>
  <c r="P57" i="19"/>
  <c r="O81" i="16" s="1"/>
  <c r="O126" i="16"/>
  <c r="O139" i="17"/>
  <c r="O127" i="16"/>
  <c r="O116" i="16"/>
  <c r="O45" i="16"/>
  <c r="O121" i="16"/>
  <c r="O123" i="16"/>
  <c r="O118" i="16"/>
  <c r="O35" i="16"/>
  <c r="O114" i="16"/>
  <c r="O115" i="16"/>
  <c r="O119" i="16"/>
  <c r="O122" i="16"/>
  <c r="M15" i="40" l="1"/>
  <c r="M44" i="39"/>
  <c r="M42" i="39"/>
  <c r="M41" i="39"/>
  <c r="M37" i="39"/>
  <c r="M35" i="39"/>
  <c r="M34" i="39"/>
  <c r="M27" i="39"/>
  <c r="M26" i="39"/>
  <c r="M25" i="39"/>
  <c r="M16" i="39"/>
  <c r="M17" i="39"/>
  <c r="M18" i="39"/>
  <c r="M19" i="39"/>
  <c r="M20" i="39"/>
  <c r="M21" i="39"/>
  <c r="M15" i="39"/>
  <c r="M12" i="39"/>
  <c r="O82" i="23" l="1"/>
  <c r="O83" i="23"/>
  <c r="O92" i="23"/>
  <c r="O57" i="23"/>
  <c r="O30" i="23"/>
  <c r="O27" i="23"/>
  <c r="O26" i="23"/>
  <c r="O25" i="23"/>
  <c r="O22" i="23"/>
  <c r="O21" i="23"/>
  <c r="O20" i="23"/>
  <c r="M130" i="16"/>
  <c r="L52" i="22"/>
  <c r="P52" i="22" s="1"/>
  <c r="N106" i="19"/>
  <c r="M105" i="17"/>
  <c r="N72" i="19"/>
  <c r="M96" i="16" s="1"/>
  <c r="M88" i="17"/>
  <c r="N60" i="19"/>
  <c r="M84" i="16" s="1"/>
  <c r="N59" i="19"/>
  <c r="N58" i="19"/>
  <c r="M82" i="16" s="1"/>
  <c r="N49" i="19"/>
  <c r="M73" i="16" s="1"/>
  <c r="N35" i="19"/>
  <c r="N34" i="19"/>
  <c r="N33" i="19"/>
  <c r="N32" i="19"/>
  <c r="N31" i="19"/>
  <c r="N28" i="19"/>
  <c r="N27" i="19"/>
  <c r="AL26" i="20"/>
  <c r="N26" i="19"/>
  <c r="AL25" i="20"/>
  <c r="N25" i="19"/>
  <c r="N24" i="19"/>
  <c r="N23" i="19"/>
  <c r="N22" i="19"/>
  <c r="N21" i="19"/>
  <c r="N20" i="19"/>
  <c r="N17" i="19"/>
  <c r="M56" i="17"/>
  <c r="M52" i="16"/>
  <c r="M37" i="17"/>
  <c r="M36" i="17"/>
  <c r="M29" i="16"/>
  <c r="M25" i="17"/>
  <c r="M24" i="17"/>
  <c r="M23" i="17"/>
  <c r="Z20" i="43"/>
  <c r="L19" i="2" l="1"/>
  <c r="Q108" i="17"/>
  <c r="Q108" i="16"/>
  <c r="O108" i="17"/>
  <c r="O108" i="16"/>
  <c r="N68" i="19"/>
  <c r="M47" i="16"/>
  <c r="M47" i="17"/>
  <c r="M90" i="17"/>
  <c r="M28" i="16"/>
  <c r="M79" i="17"/>
  <c r="M115" i="17"/>
  <c r="N74" i="19"/>
  <c r="M57" i="17"/>
  <c r="M91" i="17"/>
  <c r="M120" i="17"/>
  <c r="Q72" i="34"/>
  <c r="M46" i="17"/>
  <c r="M68" i="17"/>
  <c r="M122" i="17"/>
  <c r="M34" i="17"/>
  <c r="M38" i="16"/>
  <c r="M89" i="17"/>
  <c r="M121" i="17"/>
  <c r="M126" i="17"/>
  <c r="M27" i="17"/>
  <c r="O70" i="23"/>
  <c r="O75" i="23"/>
  <c r="N103" i="19"/>
  <c r="O45" i="23"/>
  <c r="M123" i="17"/>
  <c r="N78" i="19"/>
  <c r="M102" i="16" s="1"/>
  <c r="O73" i="23"/>
  <c r="M49" i="16"/>
  <c r="N54" i="19"/>
  <c r="N44" i="19"/>
  <c r="N50" i="19"/>
  <c r="O58" i="23"/>
  <c r="N116" i="19"/>
  <c r="M70" i="17"/>
  <c r="M40" i="16"/>
  <c r="M69" i="17"/>
  <c r="M78" i="17"/>
  <c r="M86" i="17"/>
  <c r="M97" i="17"/>
  <c r="M108" i="17"/>
  <c r="O84" i="23"/>
  <c r="M32" i="16"/>
  <c r="M48" i="16"/>
  <c r="M55" i="17"/>
  <c r="M98" i="17"/>
  <c r="M114" i="17"/>
  <c r="M72" i="17"/>
  <c r="M99" i="17"/>
  <c r="M39" i="16"/>
  <c r="M45" i="16"/>
  <c r="M77" i="17"/>
  <c r="M104" i="17"/>
  <c r="M83" i="16"/>
  <c r="M100" i="17"/>
  <c r="O93" i="23"/>
  <c r="M21" i="16"/>
  <c r="M33" i="16"/>
  <c r="M41" i="16"/>
  <c r="M53" i="16"/>
  <c r="M28" i="17"/>
  <c r="M38" i="17"/>
  <c r="M48" i="17"/>
  <c r="M64" i="17"/>
  <c r="M74" i="17"/>
  <c r="M83" i="17"/>
  <c r="M92" i="17"/>
  <c r="M101" i="17"/>
  <c r="M116" i="17"/>
  <c r="M127" i="17"/>
  <c r="O74" i="23"/>
  <c r="M22" i="16"/>
  <c r="M34" i="16"/>
  <c r="M44" i="16"/>
  <c r="M54" i="16"/>
  <c r="M29" i="17"/>
  <c r="M39" i="17"/>
  <c r="M49" i="17"/>
  <c r="M65" i="17"/>
  <c r="M75" i="17"/>
  <c r="M84" i="17"/>
  <c r="M94" i="17"/>
  <c r="M102" i="17"/>
  <c r="M118" i="17"/>
  <c r="M128" i="17"/>
  <c r="M23" i="16"/>
  <c r="M35" i="16"/>
  <c r="M55" i="16"/>
  <c r="M21" i="17"/>
  <c r="M32" i="17"/>
  <c r="M40" i="17"/>
  <c r="M52" i="17"/>
  <c r="M67" i="17"/>
  <c r="M76" i="17"/>
  <c r="M85" i="17"/>
  <c r="M103" i="17"/>
  <c r="M119" i="17"/>
  <c r="M130" i="17"/>
  <c r="V44" i="15"/>
  <c r="O41" i="23"/>
  <c r="M24" i="16"/>
  <c r="M36" i="16"/>
  <c r="M46" i="16"/>
  <c r="M56" i="16"/>
  <c r="M72" i="16"/>
  <c r="M22" i="17"/>
  <c r="M33" i="17"/>
  <c r="M41" i="17"/>
  <c r="M53" i="17"/>
  <c r="M96" i="17"/>
  <c r="M131" i="17"/>
  <c r="M25" i="16"/>
  <c r="M37" i="16"/>
  <c r="M57" i="16"/>
  <c r="M44" i="17"/>
  <c r="M54" i="17"/>
  <c r="O71" i="23"/>
  <c r="M35" i="17"/>
  <c r="M45" i="17"/>
  <c r="O52" i="23"/>
  <c r="O42" i="23"/>
  <c r="O51" i="23"/>
  <c r="M73" i="17"/>
  <c r="M82" i="17"/>
  <c r="O39" i="23"/>
  <c r="O44" i="23"/>
  <c r="O49" i="23"/>
  <c r="O54" i="23"/>
  <c r="O78" i="23"/>
  <c r="O55" i="23"/>
  <c r="O47" i="23"/>
  <c r="O43" i="23"/>
  <c r="O76" i="23"/>
  <c r="N46" i="19"/>
  <c r="M69" i="16" s="1"/>
  <c r="N55" i="19"/>
  <c r="N65" i="19"/>
  <c r="M89" i="16" s="1"/>
  <c r="N70" i="19"/>
  <c r="N90" i="19"/>
  <c r="N95" i="19"/>
  <c r="N99" i="19"/>
  <c r="N62" i="19"/>
  <c r="N73" i="19"/>
  <c r="N81" i="19"/>
  <c r="M105" i="16" s="1"/>
  <c r="N45" i="19"/>
  <c r="M68" i="16" s="1"/>
  <c r="N104" i="19"/>
  <c r="O50" i="23"/>
  <c r="N52" i="19"/>
  <c r="M76" i="16" s="1"/>
  <c r="N61" i="19"/>
  <c r="N76" i="19"/>
  <c r="M100" i="16" s="1"/>
  <c r="N91" i="19"/>
  <c r="O94" i="23"/>
  <c r="O81" i="23"/>
  <c r="O77" i="23"/>
  <c r="O69" i="23"/>
  <c r="O63" i="23"/>
  <c r="O56" i="23"/>
  <c r="O46" i="23"/>
  <c r="O59" i="23"/>
  <c r="O37" i="23"/>
  <c r="M65" i="16" s="1"/>
  <c r="N47" i="19"/>
  <c r="M70" i="16" s="1"/>
  <c r="N96" i="19"/>
  <c r="N102" i="19"/>
  <c r="N84" i="19"/>
  <c r="N53" i="19"/>
  <c r="N67" i="19"/>
  <c r="N77" i="19"/>
  <c r="N92" i="19"/>
  <c r="N51" i="19"/>
  <c r="M75" i="16" s="1"/>
  <c r="N75" i="19"/>
  <c r="M99" i="16" s="1"/>
  <c r="N79" i="19"/>
  <c r="N94" i="19"/>
  <c r="M139" i="17"/>
  <c r="N115" i="19"/>
  <c r="N107" i="19"/>
  <c r="N98" i="19"/>
  <c r="N97" i="19"/>
  <c r="N66" i="19"/>
  <c r="M90" i="16" s="1"/>
  <c r="N64" i="19"/>
  <c r="N80" i="19"/>
  <c r="N42" i="19"/>
  <c r="M64" i="16" s="1"/>
  <c r="A43" i="13"/>
  <c r="A43" i="12"/>
  <c r="A45" i="11"/>
  <c r="A45" i="10"/>
  <c r="A53" i="9"/>
  <c r="A52" i="8"/>
  <c r="A43" i="14"/>
  <c r="M92" i="16" l="1"/>
  <c r="M98" i="16"/>
  <c r="M95" i="17"/>
  <c r="M127" i="16"/>
  <c r="N71" i="19"/>
  <c r="M95" i="16" s="1"/>
  <c r="M67" i="16"/>
  <c r="M79" i="16"/>
  <c r="M101" i="16"/>
  <c r="M74" i="16"/>
  <c r="M77" i="16"/>
  <c r="M86" i="16"/>
  <c r="M78" i="16"/>
  <c r="M91" i="16"/>
  <c r="M97" i="16"/>
  <c r="M85" i="16"/>
  <c r="M118" i="16"/>
  <c r="M88" i="16"/>
  <c r="M94" i="16"/>
  <c r="M103" i="16"/>
  <c r="M126" i="16"/>
  <c r="M119" i="16"/>
  <c r="M140" i="17"/>
  <c r="M120" i="16"/>
  <c r="M115" i="16"/>
  <c r="M131" i="16"/>
  <c r="M123" i="16"/>
  <c r="N57" i="19"/>
  <c r="M81" i="16" s="1"/>
  <c r="M81" i="17"/>
  <c r="M128" i="16"/>
  <c r="M114" i="16"/>
  <c r="M122" i="16"/>
  <c r="M108" i="16"/>
  <c r="M116" i="16"/>
  <c r="M121" i="16"/>
  <c r="I48" i="44" l="1"/>
  <c r="I46" i="44"/>
  <c r="I45" i="44"/>
  <c r="I44" i="44"/>
  <c r="I43" i="44"/>
  <c r="I42" i="44"/>
  <c r="I41" i="44"/>
  <c r="I40" i="44"/>
  <c r="I39" i="44"/>
  <c r="I38" i="44"/>
  <c r="I37" i="44"/>
  <c r="I36" i="44"/>
  <c r="I35" i="44"/>
  <c r="I34" i="44"/>
  <c r="I33" i="44"/>
  <c r="I32" i="44"/>
  <c r="I31" i="44"/>
  <c r="I30" i="44"/>
  <c r="I29" i="44"/>
  <c r="I28" i="44"/>
  <c r="I27" i="44"/>
  <c r="I26" i="44"/>
  <c r="I25" i="44"/>
  <c r="I24" i="44"/>
  <c r="I23" i="44"/>
  <c r="I22" i="44"/>
  <c r="I21" i="44"/>
  <c r="I20" i="44"/>
  <c r="I19" i="44"/>
  <c r="I18" i="44"/>
  <c r="I17" i="44"/>
  <c r="I16" i="44"/>
  <c r="I15" i="44"/>
  <c r="I14" i="44"/>
  <c r="I13" i="44"/>
  <c r="I12" i="44"/>
  <c r="I11" i="44"/>
  <c r="I51" i="44"/>
  <c r="E51" i="44"/>
  <c r="E48" i="44"/>
  <c r="E46" i="44"/>
  <c r="E45" i="44"/>
  <c r="E44" i="44"/>
  <c r="E43" i="44"/>
  <c r="E42" i="44"/>
  <c r="E41" i="44"/>
  <c r="E40" i="44"/>
  <c r="E39" i="44"/>
  <c r="E38" i="44"/>
  <c r="E37" i="44"/>
  <c r="E36" i="44"/>
  <c r="E35" i="44"/>
  <c r="E34" i="44"/>
  <c r="E33" i="44"/>
  <c r="E32" i="44"/>
  <c r="E31" i="44"/>
  <c r="E30" i="44"/>
  <c r="E29" i="44"/>
  <c r="E28" i="44"/>
  <c r="E27" i="44"/>
  <c r="E26" i="44"/>
  <c r="E25" i="44"/>
  <c r="E24" i="44"/>
  <c r="E23" i="44"/>
  <c r="E22" i="44"/>
  <c r="E21" i="44"/>
  <c r="E20" i="44"/>
  <c r="E19" i="44"/>
  <c r="E18" i="44"/>
  <c r="E17" i="44"/>
  <c r="E16" i="44"/>
  <c r="E15" i="44"/>
  <c r="E14" i="44"/>
  <c r="E13" i="44"/>
  <c r="E12" i="44"/>
  <c r="E11" i="44"/>
  <c r="K20" i="41"/>
  <c r="K24" i="41" s="1"/>
  <c r="H43" i="40"/>
  <c r="H35" i="40"/>
  <c r="H22" i="40"/>
  <c r="H16" i="40"/>
  <c r="H45" i="39"/>
  <c r="H38" i="39"/>
  <c r="H28" i="39"/>
  <c r="H22" i="39"/>
  <c r="J29" i="36"/>
  <c r="H29" i="36"/>
  <c r="H21" i="36"/>
  <c r="H24" i="40" l="1"/>
  <c r="H46" i="40" s="1"/>
  <c r="H30" i="39"/>
  <c r="H48" i="39" s="1"/>
  <c r="M57" i="23" l="1"/>
  <c r="M25" i="23"/>
  <c r="M20" i="23"/>
  <c r="K105" i="17"/>
  <c r="K88" i="17"/>
  <c r="L59" i="19"/>
  <c r="L34" i="19"/>
  <c r="L28" i="19"/>
  <c r="L26" i="19"/>
  <c r="L24" i="19"/>
  <c r="L22" i="19"/>
  <c r="L20" i="19"/>
  <c r="K65" i="17"/>
  <c r="M83" i="23"/>
  <c r="M82" i="23"/>
  <c r="M92" i="23"/>
  <c r="M30" i="23"/>
  <c r="M27" i="23"/>
  <c r="M26" i="23"/>
  <c r="M22" i="23"/>
  <c r="M21" i="23"/>
  <c r="L106" i="19"/>
  <c r="K131" i="17"/>
  <c r="L49" i="19"/>
  <c r="K73" i="16" s="1"/>
  <c r="L35" i="19"/>
  <c r="L33" i="19"/>
  <c r="L27" i="19"/>
  <c r="L25" i="19"/>
  <c r="L23" i="19"/>
  <c r="L21" i="19"/>
  <c r="K28" i="16" l="1"/>
  <c r="L62" i="19"/>
  <c r="K47" i="17"/>
  <c r="K28" i="17"/>
  <c r="K68" i="17"/>
  <c r="M84" i="23"/>
  <c r="M70" i="23"/>
  <c r="L67" i="19"/>
  <c r="M45" i="23"/>
  <c r="L55" i="19"/>
  <c r="M77" i="23"/>
  <c r="L47" i="19"/>
  <c r="K70" i="16" s="1"/>
  <c r="L52" i="19"/>
  <c r="K76" i="16" s="1"/>
  <c r="L66" i="19"/>
  <c r="K90" i="16" s="1"/>
  <c r="L76" i="19"/>
  <c r="K100" i="16" s="1"/>
  <c r="K79" i="17"/>
  <c r="K98" i="17"/>
  <c r="K102" i="17"/>
  <c r="M47" i="23"/>
  <c r="K75" i="17"/>
  <c r="M44" i="23"/>
  <c r="L77" i="19"/>
  <c r="L51" i="19"/>
  <c r="K75" i="16" s="1"/>
  <c r="K103" i="17"/>
  <c r="M58" i="23"/>
  <c r="M46" i="23"/>
  <c r="L80" i="19"/>
  <c r="M93" i="23"/>
  <c r="K99" i="17"/>
  <c r="L45" i="19"/>
  <c r="K68" i="16" s="1"/>
  <c r="L50" i="19"/>
  <c r="L54" i="19"/>
  <c r="K83" i="16"/>
  <c r="K72" i="17"/>
  <c r="L46" i="19"/>
  <c r="K69" i="16" s="1"/>
  <c r="K89" i="17"/>
  <c r="K69" i="17"/>
  <c r="K74" i="17"/>
  <c r="K78" i="17"/>
  <c r="M43" i="23"/>
  <c r="K85" i="17"/>
  <c r="M54" i="23"/>
  <c r="K24" i="16"/>
  <c r="K126" i="17"/>
  <c r="L61" i="19"/>
  <c r="M94" i="23"/>
  <c r="M56" i="23"/>
  <c r="K53" i="16"/>
  <c r="K94" i="17"/>
  <c r="K90" i="17"/>
  <c r="L44" i="19"/>
  <c r="M37" i="23"/>
  <c r="K65" i="16" s="1"/>
  <c r="K53" i="17"/>
  <c r="K70" i="17"/>
  <c r="M60" i="23"/>
  <c r="K34" i="16"/>
  <c r="K49" i="16"/>
  <c r="L17" i="19"/>
  <c r="L58" i="19"/>
  <c r="K82" i="16" s="1"/>
  <c r="K82" i="17"/>
  <c r="L97" i="19"/>
  <c r="K55" i="17"/>
  <c r="K32" i="16"/>
  <c r="K35" i="16"/>
  <c r="M73" i="23"/>
  <c r="K27" i="17"/>
  <c r="K48" i="16"/>
  <c r="K54" i="17"/>
  <c r="K54" i="16"/>
  <c r="K91" i="17"/>
  <c r="K97" i="17"/>
  <c r="K101" i="17"/>
  <c r="K128" i="17"/>
  <c r="K38" i="16"/>
  <c r="L71" i="19"/>
  <c r="K95" i="16" s="1"/>
  <c r="K95" i="17"/>
  <c r="L102" i="19"/>
  <c r="L64" i="19"/>
  <c r="M52" i="23"/>
  <c r="K22" i="17"/>
  <c r="K22" i="16"/>
  <c r="K118" i="17"/>
  <c r="K23" i="17"/>
  <c r="K23" i="16"/>
  <c r="K34" i="17"/>
  <c r="K39" i="17"/>
  <c r="K119" i="17"/>
  <c r="K39" i="16"/>
  <c r="K46" i="16"/>
  <c r="L92" i="19"/>
  <c r="L103" i="19"/>
  <c r="L116" i="19"/>
  <c r="K86" i="17"/>
  <c r="K130" i="16"/>
  <c r="K130" i="17"/>
  <c r="M39" i="23"/>
  <c r="M49" i="23"/>
  <c r="M69" i="23"/>
  <c r="M74" i="23"/>
  <c r="M78" i="23"/>
  <c r="K38" i="17"/>
  <c r="L70" i="19"/>
  <c r="L72" i="19"/>
  <c r="K96" i="16" s="1"/>
  <c r="K96" i="17"/>
  <c r="K40" i="17"/>
  <c r="K77" i="17"/>
  <c r="M42" i="23"/>
  <c r="L32" i="19"/>
  <c r="K45" i="17"/>
  <c r="K29" i="16"/>
  <c r="K29" i="17"/>
  <c r="K46" i="17"/>
  <c r="K52" i="17"/>
  <c r="K52" i="16"/>
  <c r="K56" i="17"/>
  <c r="K67" i="17"/>
  <c r="K76" i="17"/>
  <c r="K83" i="17"/>
  <c r="L68" i="19"/>
  <c r="L78" i="19"/>
  <c r="K102" i="16" s="1"/>
  <c r="K48" i="17"/>
  <c r="K104" i="17"/>
  <c r="M41" i="23"/>
  <c r="M50" i="23"/>
  <c r="M55" i="23"/>
  <c r="M59" i="23"/>
  <c r="M75" i="23"/>
  <c r="K56" i="16"/>
  <c r="K47" i="16"/>
  <c r="L94" i="19"/>
  <c r="L95" i="19"/>
  <c r="K24" i="17"/>
  <c r="K116" i="17"/>
  <c r="L107" i="19"/>
  <c r="L60" i="19"/>
  <c r="K84" i="16" s="1"/>
  <c r="K84" i="17"/>
  <c r="L104" i="19"/>
  <c r="K21" i="16"/>
  <c r="K25" i="17"/>
  <c r="K25" i="16"/>
  <c r="K32" i="17"/>
  <c r="K41" i="17"/>
  <c r="K127" i="17"/>
  <c r="K37" i="16"/>
  <c r="K44" i="17"/>
  <c r="L65" i="19"/>
  <c r="K89" i="16" s="1"/>
  <c r="L79" i="19"/>
  <c r="L90" i="19"/>
  <c r="K123" i="17"/>
  <c r="L53" i="19"/>
  <c r="L73" i="19"/>
  <c r="L81" i="19"/>
  <c r="K105" i="16" s="1"/>
  <c r="L96" i="19"/>
  <c r="K92" i="17"/>
  <c r="K55" i="16"/>
  <c r="M51" i="23"/>
  <c r="M76" i="23"/>
  <c r="K33" i="17"/>
  <c r="M71" i="23"/>
  <c r="L57" i="19"/>
  <c r="K81" i="16" s="1"/>
  <c r="M81" i="23"/>
  <c r="M63" i="23"/>
  <c r="K36" i="16"/>
  <c r="K33" i="16"/>
  <c r="K57" i="16"/>
  <c r="L115" i="19"/>
  <c r="L91" i="19"/>
  <c r="L98" i="19"/>
  <c r="L84" i="19"/>
  <c r="L75" i="19"/>
  <c r="K99" i="16" s="1"/>
  <c r="L74" i="19"/>
  <c r="L42" i="19"/>
  <c r="K64" i="16" s="1"/>
  <c r="K115" i="17"/>
  <c r="L99" i="19"/>
  <c r="K122" i="17"/>
  <c r="K114" i="17"/>
  <c r="K108" i="17"/>
  <c r="K100" i="17"/>
  <c r="K73" i="17"/>
  <c r="K64" i="17"/>
  <c r="L31" i="19"/>
  <c r="K35" i="17"/>
  <c r="K36" i="17"/>
  <c r="K37" i="17"/>
  <c r="K120" i="17"/>
  <c r="K121" i="17"/>
  <c r="K72" i="16"/>
  <c r="K57" i="17"/>
  <c r="K49" i="17"/>
  <c r="K40" i="16"/>
  <c r="K41" i="16"/>
  <c r="K21" i="17"/>
  <c r="K139" i="17"/>
  <c r="D49" i="44"/>
  <c r="D53" i="44" s="1"/>
  <c r="F43" i="40"/>
  <c r="D43" i="40"/>
  <c r="F35" i="40"/>
  <c r="D35" i="40"/>
  <c r="F22" i="40"/>
  <c r="D22" i="40"/>
  <c r="F16" i="40"/>
  <c r="D16" i="40"/>
  <c r="F45" i="39"/>
  <c r="D45" i="39"/>
  <c r="F38" i="39"/>
  <c r="D38" i="39"/>
  <c r="F28" i="39"/>
  <c r="D28" i="39"/>
  <c r="F22" i="39"/>
  <c r="D22" i="39"/>
  <c r="K104" i="16" l="1"/>
  <c r="K86" i="16"/>
  <c r="K74" i="16"/>
  <c r="K91" i="16"/>
  <c r="K79" i="16"/>
  <c r="K77" i="16"/>
  <c r="K98" i="16"/>
  <c r="K140" i="17"/>
  <c r="K85" i="16"/>
  <c r="K78" i="16"/>
  <c r="K119" i="16"/>
  <c r="K67" i="16"/>
  <c r="K101" i="16"/>
  <c r="K128" i="16"/>
  <c r="F30" i="39"/>
  <c r="F48" i="39" s="1"/>
  <c r="D30" i="39"/>
  <c r="D48" i="39" s="1"/>
  <c r="D50" i="39" s="1"/>
  <c r="F12" i="39" s="1"/>
  <c r="K122" i="16"/>
  <c r="K88" i="16"/>
  <c r="K92" i="16"/>
  <c r="K120" i="16"/>
  <c r="K81" i="17"/>
  <c r="K97" i="16"/>
  <c r="K121" i="16"/>
  <c r="K116" i="16"/>
  <c r="K94" i="16"/>
  <c r="K103" i="16"/>
  <c r="K118" i="16"/>
  <c r="D24" i="40"/>
  <c r="D46" i="40" s="1"/>
  <c r="D48" i="40" s="1"/>
  <c r="F12" i="40" s="1"/>
  <c r="K123" i="16"/>
  <c r="K126" i="16"/>
  <c r="K131" i="16"/>
  <c r="K127" i="16"/>
  <c r="K45" i="16"/>
  <c r="K115" i="16"/>
  <c r="K44" i="16"/>
  <c r="K114" i="16"/>
  <c r="K108" i="16"/>
  <c r="F24" i="40"/>
  <c r="F46" i="40" s="1"/>
  <c r="F48" i="40" l="1"/>
  <c r="H12" i="40" s="1"/>
  <c r="H48" i="40" s="1"/>
  <c r="J12" i="40" s="1"/>
  <c r="J48" i="40" s="1"/>
  <c r="F50" i="39"/>
  <c r="H12" i="39" s="1"/>
  <c r="H50" i="39" s="1"/>
  <c r="J12" i="39" s="1"/>
  <c r="J50" i="39" s="1"/>
  <c r="K26" i="23" l="1"/>
  <c r="K22" i="23"/>
  <c r="I82" i="17"/>
  <c r="J33" i="19"/>
  <c r="J20" i="19"/>
  <c r="I23" i="16"/>
  <c r="K83" i="23"/>
  <c r="K82" i="23"/>
  <c r="K81" i="23"/>
  <c r="J58" i="19" l="1"/>
  <c r="I82" i="16" s="1"/>
  <c r="I105" i="17"/>
  <c r="I23" i="17"/>
  <c r="Y23" i="26" l="1"/>
  <c r="W23" i="26"/>
  <c r="U23" i="26"/>
  <c r="S23" i="26"/>
  <c r="Q23" i="26"/>
  <c r="O23" i="26"/>
  <c r="M23" i="26"/>
  <c r="K23" i="26"/>
  <c r="M30" i="24"/>
  <c r="O30" i="24"/>
  <c r="Q30" i="24"/>
  <c r="S30" i="24"/>
  <c r="U30" i="24"/>
  <c r="W30" i="24"/>
  <c r="Y30" i="24"/>
  <c r="AA30" i="24"/>
  <c r="I24" i="16" l="1"/>
  <c r="I24" i="17"/>
  <c r="G31" i="14" l="1"/>
  <c r="I25" i="16"/>
  <c r="I25" i="17"/>
  <c r="G192" i="42"/>
  <c r="X17" i="29"/>
  <c r="V17" i="29"/>
  <c r="T17" i="29"/>
  <c r="R17" i="29"/>
  <c r="P17" i="29"/>
  <c r="N17" i="29"/>
  <c r="L17" i="29"/>
  <c r="J17" i="29"/>
  <c r="X17" i="28"/>
  <c r="V17" i="28"/>
  <c r="T17" i="28"/>
  <c r="R17" i="28"/>
  <c r="P17" i="28"/>
  <c r="N17" i="28"/>
  <c r="L17" i="28"/>
  <c r="J17" i="28"/>
  <c r="K44" i="26"/>
  <c r="X23" i="22"/>
  <c r="X20" i="22"/>
  <c r="V23" i="22"/>
  <c r="V20" i="22"/>
  <c r="T23" i="22"/>
  <c r="T20" i="22"/>
  <c r="R23" i="22"/>
  <c r="R20" i="22"/>
  <c r="P23" i="22"/>
  <c r="L16" i="2" s="1"/>
  <c r="P20" i="22"/>
  <c r="L15" i="2" s="1"/>
  <c r="N23" i="22"/>
  <c r="N20" i="22"/>
  <c r="L23" i="22"/>
  <c r="L20" i="22"/>
  <c r="J23" i="22"/>
  <c r="J20" i="22"/>
  <c r="J59" i="19"/>
  <c r="X19" i="27"/>
  <c r="V19" i="27"/>
  <c r="T19" i="27"/>
  <c r="R19" i="27"/>
  <c r="P19" i="27"/>
  <c r="N19" i="27"/>
  <c r="L19" i="27"/>
  <c r="J19" i="27"/>
  <c r="H19" i="27"/>
  <c r="J80" i="19"/>
  <c r="J79" i="19"/>
  <c r="J35" i="19"/>
  <c r="J34" i="19"/>
  <c r="J32" i="19"/>
  <c r="J31" i="19"/>
  <c r="J28" i="19"/>
  <c r="J27" i="19"/>
  <c r="J26" i="19"/>
  <c r="J25" i="19"/>
  <c r="J24" i="19"/>
  <c r="J22" i="19"/>
  <c r="J21" i="19"/>
  <c r="J106" i="19"/>
  <c r="J95" i="19"/>
  <c r="J81" i="19"/>
  <c r="I105" i="16" s="1"/>
  <c r="J62" i="19"/>
  <c r="J55" i="19"/>
  <c r="K92" i="23"/>
  <c r="K74" i="23"/>
  <c r="K57" i="23"/>
  <c r="K27" i="23"/>
  <c r="K25" i="23"/>
  <c r="K21" i="23"/>
  <c r="K20" i="23"/>
  <c r="K77" i="23"/>
  <c r="K60" i="23"/>
  <c r="K59" i="23"/>
  <c r="G41" i="23"/>
  <c r="O11" i="42"/>
  <c r="K11" i="42"/>
  <c r="I11" i="42"/>
  <c r="J84" i="19" l="1"/>
  <c r="K63" i="23"/>
  <c r="G32" i="12"/>
  <c r="G27" i="9"/>
  <c r="G26" i="12"/>
  <c r="G25" i="12"/>
  <c r="K94" i="23"/>
  <c r="G32" i="14"/>
  <c r="G35" i="9"/>
  <c r="G36" i="9"/>
  <c r="G30" i="12"/>
  <c r="G20" i="12"/>
  <c r="I130" i="16"/>
  <c r="G31" i="12"/>
  <c r="G25" i="9"/>
  <c r="J88" i="21"/>
  <c r="H33" i="37"/>
  <c r="J75" i="19"/>
  <c r="I99" i="16" s="1"/>
  <c r="H42" i="37"/>
  <c r="J53" i="19"/>
  <c r="K41" i="23"/>
  <c r="K45" i="23"/>
  <c r="I79" i="16" s="1"/>
  <c r="K50" i="23"/>
  <c r="K55" i="23"/>
  <c r="K73" i="23"/>
  <c r="J46" i="19"/>
  <c r="I69" i="16" s="1"/>
  <c r="J51" i="19"/>
  <c r="I75" i="16" s="1"/>
  <c r="J68" i="19"/>
  <c r="J74" i="19"/>
  <c r="J78" i="19"/>
  <c r="I102" i="16" s="1"/>
  <c r="K39" i="23"/>
  <c r="K44" i="23"/>
  <c r="K49" i="23"/>
  <c r="K54" i="23"/>
  <c r="K58" i="23"/>
  <c r="K71" i="23"/>
  <c r="K76" i="23"/>
  <c r="J45" i="19"/>
  <c r="I68" i="16" s="1"/>
  <c r="J50" i="19"/>
  <c r="J54" i="19"/>
  <c r="J61" i="19"/>
  <c r="I23" i="26"/>
  <c r="J92" i="19"/>
  <c r="J23" i="19"/>
  <c r="J29" i="19" s="1"/>
  <c r="I35" i="17"/>
  <c r="J67" i="19"/>
  <c r="J73" i="19"/>
  <c r="J77" i="19"/>
  <c r="J94" i="19"/>
  <c r="J99" i="19"/>
  <c r="I131" i="17"/>
  <c r="J107" i="19"/>
  <c r="H20" i="22"/>
  <c r="K78" i="23"/>
  <c r="J71" i="19"/>
  <c r="I95" i="16" s="1"/>
  <c r="I88" i="17"/>
  <c r="J64" i="19"/>
  <c r="I33" i="26"/>
  <c r="I44" i="26"/>
  <c r="K30" i="23"/>
  <c r="K30" i="24"/>
  <c r="K42" i="23"/>
  <c r="K46" i="23"/>
  <c r="K51" i="23"/>
  <c r="K56" i="23"/>
  <c r="K69" i="23"/>
  <c r="J42" i="19"/>
  <c r="I64" i="16" s="1"/>
  <c r="J47" i="19"/>
  <c r="I70" i="16" s="1"/>
  <c r="J52" i="19"/>
  <c r="I76" i="16" s="1"/>
  <c r="J90" i="19"/>
  <c r="H17" i="28"/>
  <c r="J65" i="19"/>
  <c r="I89" i="16" s="1"/>
  <c r="J70" i="19"/>
  <c r="J97" i="19"/>
  <c r="J103" i="19"/>
  <c r="J17" i="19"/>
  <c r="H23" i="22"/>
  <c r="J96" i="19"/>
  <c r="J115" i="19"/>
  <c r="K37" i="23"/>
  <c r="I65" i="16" s="1"/>
  <c r="K43" i="23"/>
  <c r="K47" i="23"/>
  <c r="I86" i="16" s="1"/>
  <c r="K52" i="23"/>
  <c r="K70" i="23"/>
  <c r="K75" i="23"/>
  <c r="AI94" i="23"/>
  <c r="J44" i="19"/>
  <c r="I73" i="17"/>
  <c r="J49" i="19"/>
  <c r="I73" i="16" s="1"/>
  <c r="I84" i="17"/>
  <c r="J60" i="19"/>
  <c r="I84" i="16" s="1"/>
  <c r="J91" i="19"/>
  <c r="K84" i="23"/>
  <c r="J66" i="19"/>
  <c r="I90" i="16" s="1"/>
  <c r="I96" i="17"/>
  <c r="J72" i="19"/>
  <c r="I96" i="16" s="1"/>
  <c r="J76" i="19"/>
  <c r="I100" i="16" s="1"/>
  <c r="J98" i="19"/>
  <c r="H17" i="29"/>
  <c r="I48" i="16"/>
  <c r="I48" i="17"/>
  <c r="I78" i="17"/>
  <c r="I101" i="17"/>
  <c r="I21" i="16"/>
  <c r="I21" i="17"/>
  <c r="I27" i="17"/>
  <c r="I64" i="17"/>
  <c r="I91" i="17"/>
  <c r="I34" i="16"/>
  <c r="I34" i="17"/>
  <c r="I39" i="17"/>
  <c r="I39" i="16"/>
  <c r="I45" i="16"/>
  <c r="I45" i="17"/>
  <c r="I49" i="17"/>
  <c r="I49" i="16"/>
  <c r="I55" i="17"/>
  <c r="I65" i="17"/>
  <c r="I70" i="17"/>
  <c r="I75" i="17"/>
  <c r="I79" i="17"/>
  <c r="I92" i="17"/>
  <c r="I98" i="17"/>
  <c r="I102" i="17"/>
  <c r="I114" i="17"/>
  <c r="I119" i="17"/>
  <c r="I119" i="16"/>
  <c r="I123" i="17"/>
  <c r="I38" i="16"/>
  <c r="I38" i="17"/>
  <c r="I74" i="17"/>
  <c r="I122" i="17"/>
  <c r="I22" i="16"/>
  <c r="I22" i="17"/>
  <c r="I33" i="17"/>
  <c r="I33" i="16"/>
  <c r="I54" i="17"/>
  <c r="I54" i="16"/>
  <c r="I97" i="17"/>
  <c r="I118" i="17"/>
  <c r="I29" i="17"/>
  <c r="I29" i="16"/>
  <c r="I36" i="16"/>
  <c r="I36" i="17"/>
  <c r="I40" i="17"/>
  <c r="I40" i="16"/>
  <c r="I46" i="16"/>
  <c r="I46" i="17"/>
  <c r="I52" i="17"/>
  <c r="I52" i="16"/>
  <c r="I56" i="17"/>
  <c r="I56" i="16"/>
  <c r="I67" i="17"/>
  <c r="I72" i="16"/>
  <c r="I72" i="17"/>
  <c r="I76" i="17"/>
  <c r="I83" i="16"/>
  <c r="I83" i="17"/>
  <c r="I89" i="17"/>
  <c r="I94" i="17"/>
  <c r="I99" i="17"/>
  <c r="I103" i="17"/>
  <c r="I103" i="16"/>
  <c r="I115" i="17"/>
  <c r="I120" i="17"/>
  <c r="I44" i="17"/>
  <c r="I44" i="16"/>
  <c r="I86" i="17"/>
  <c r="I69" i="17"/>
  <c r="I32" i="16"/>
  <c r="I32" i="17"/>
  <c r="I37" i="17"/>
  <c r="I37" i="16"/>
  <c r="I41" i="17"/>
  <c r="I41" i="16"/>
  <c r="I47" i="16"/>
  <c r="I47" i="17"/>
  <c r="I53" i="17"/>
  <c r="I53" i="16"/>
  <c r="I57" i="16"/>
  <c r="I57" i="17"/>
  <c r="I68" i="17"/>
  <c r="I77" i="17"/>
  <c r="I85" i="17"/>
  <c r="I90" i="17"/>
  <c r="I100" i="17"/>
  <c r="I104" i="17"/>
  <c r="I104" i="16"/>
  <c r="I116" i="17"/>
  <c r="I121" i="17"/>
  <c r="AI93" i="23"/>
  <c r="D25" i="37"/>
  <c r="F25" i="37"/>
  <c r="W76" i="25"/>
  <c r="Z118" i="19"/>
  <c r="H33" i="28"/>
  <c r="L88" i="21"/>
  <c r="N88" i="21"/>
  <c r="X88" i="21"/>
  <c r="Z88" i="21"/>
  <c r="X33" i="28"/>
  <c r="Y44" i="26"/>
  <c r="S76" i="25"/>
  <c r="M27" i="24"/>
  <c r="P88" i="21"/>
  <c r="R27" i="22"/>
  <c r="R29" i="22" s="1"/>
  <c r="S44" i="26"/>
  <c r="M177" i="42"/>
  <c r="T25" i="29"/>
  <c r="T28" i="29" s="1"/>
  <c r="T33" i="29"/>
  <c r="P25" i="29"/>
  <c r="P28" i="29" s="1"/>
  <c r="R25" i="29"/>
  <c r="R28" i="29" s="1"/>
  <c r="J33" i="29"/>
  <c r="N25" i="29"/>
  <c r="N28" i="29" s="1"/>
  <c r="V33" i="28"/>
  <c r="P25" i="28"/>
  <c r="P28" i="28" s="1"/>
  <c r="L33" i="28"/>
  <c r="J25" i="28"/>
  <c r="J28" i="28" s="1"/>
  <c r="N25" i="28"/>
  <c r="N28" i="28" s="1"/>
  <c r="U33" i="26"/>
  <c r="U44" i="26"/>
  <c r="W44" i="26"/>
  <c r="O44" i="26"/>
  <c r="Q44" i="26"/>
  <c r="U76" i="25"/>
  <c r="AA76" i="25"/>
  <c r="Y76" i="25"/>
  <c r="Z36" i="20"/>
  <c r="N118" i="19"/>
  <c r="G34" i="9"/>
  <c r="V36" i="19"/>
  <c r="Z29" i="19"/>
  <c r="O60" i="25"/>
  <c r="O67" i="25" s="1"/>
  <c r="R25" i="28"/>
  <c r="R28" i="28" s="1"/>
  <c r="V33" i="29"/>
  <c r="T52" i="21"/>
  <c r="T56" i="21" s="1"/>
  <c r="U60" i="25"/>
  <c r="U67" i="25" s="1"/>
  <c r="L33" i="37"/>
  <c r="X25" i="37"/>
  <c r="L36" i="19"/>
  <c r="M33" i="26"/>
  <c r="T118" i="19"/>
  <c r="M44" i="26"/>
  <c r="R29" i="19"/>
  <c r="H15" i="2" s="1"/>
  <c r="R36" i="19"/>
  <c r="H16" i="2" s="1"/>
  <c r="L25" i="29"/>
  <c r="L28" i="29" s="1"/>
  <c r="T33" i="37"/>
  <c r="V42" i="37"/>
  <c r="V62" i="22"/>
  <c r="S60" i="25"/>
  <c r="S67" i="25" s="1"/>
  <c r="N29" i="19"/>
  <c r="N36" i="19"/>
  <c r="T29" i="19"/>
  <c r="J36" i="19"/>
  <c r="L29" i="19"/>
  <c r="T36" i="20"/>
  <c r="O22" i="24"/>
  <c r="Y27" i="24"/>
  <c r="T36" i="19"/>
  <c r="P29" i="19"/>
  <c r="J70" i="21"/>
  <c r="L70" i="21"/>
  <c r="L79" i="21" s="1"/>
  <c r="N70" i="21"/>
  <c r="N79" i="21" s="1"/>
  <c r="P36" i="19"/>
  <c r="X36" i="19"/>
  <c r="W22" i="24"/>
  <c r="Z36" i="19"/>
  <c r="P118" i="19"/>
  <c r="X29" i="19"/>
  <c r="X27" i="22"/>
  <c r="X29" i="22" s="1"/>
  <c r="R52" i="21"/>
  <c r="R56" i="21" s="1"/>
  <c r="V70" i="21"/>
  <c r="V79" i="21" s="1"/>
  <c r="X52" i="21"/>
  <c r="X56" i="21" s="1"/>
  <c r="M60" i="25"/>
  <c r="M67" i="25" s="1"/>
  <c r="V29" i="19"/>
  <c r="Q95" i="24"/>
  <c r="L33" i="29"/>
  <c r="L71" i="22"/>
  <c r="P50" i="22"/>
  <c r="L18" i="2" s="1"/>
  <c r="P71" i="22"/>
  <c r="T71" i="22"/>
  <c r="X71" i="22"/>
  <c r="K76" i="25"/>
  <c r="O42" i="25"/>
  <c r="O46" i="25" s="1"/>
  <c r="Q42" i="25"/>
  <c r="Q46" i="25" s="1"/>
  <c r="O33" i="26"/>
  <c r="W33" i="26"/>
  <c r="H25" i="28"/>
  <c r="N33" i="28"/>
  <c r="T25" i="28"/>
  <c r="T28" i="28" s="1"/>
  <c r="V25" i="28"/>
  <c r="V28" i="28" s="1"/>
  <c r="H33" i="29"/>
  <c r="V25" i="29"/>
  <c r="V28" i="29" s="1"/>
  <c r="X25" i="29"/>
  <c r="X28" i="29" s="1"/>
  <c r="J42" i="37"/>
  <c r="N25" i="37"/>
  <c r="N33" i="37"/>
  <c r="P42" i="37"/>
  <c r="T42" i="37"/>
  <c r="X33" i="37"/>
  <c r="K42" i="25"/>
  <c r="K46" i="25" s="1"/>
  <c r="M42" i="25"/>
  <c r="M46" i="25" s="1"/>
  <c r="Q76" i="25"/>
  <c r="Y60" i="25"/>
  <c r="Y67" i="25" s="1"/>
  <c r="Q33" i="26"/>
  <c r="Y33" i="26"/>
  <c r="J33" i="28"/>
  <c r="R33" i="29"/>
  <c r="X33" i="29"/>
  <c r="J25" i="37"/>
  <c r="J33" i="37"/>
  <c r="L42" i="37"/>
  <c r="L52" i="21"/>
  <c r="L56" i="21" s="1"/>
  <c r="P70" i="21"/>
  <c r="P79" i="21" s="1"/>
  <c r="K60" i="25"/>
  <c r="K67" i="25" s="1"/>
  <c r="AA42" i="25"/>
  <c r="AA46" i="25" s="1"/>
  <c r="P25" i="37"/>
  <c r="N52" i="21"/>
  <c r="N56" i="21" s="1"/>
  <c r="R70" i="21"/>
  <c r="R79" i="21" s="1"/>
  <c r="R88" i="21"/>
  <c r="T70" i="21"/>
  <c r="T79" i="21" s="1"/>
  <c r="T88" i="21"/>
  <c r="X70" i="21"/>
  <c r="X79" i="21" s="1"/>
  <c r="M76" i="25"/>
  <c r="AA60" i="25"/>
  <c r="AA67" i="25" s="1"/>
  <c r="K33" i="26"/>
  <c r="S33" i="26"/>
  <c r="S37" i="26" s="1"/>
  <c r="T33" i="28"/>
  <c r="J25" i="29"/>
  <c r="J28" i="29" s="1"/>
  <c r="P33" i="29"/>
  <c r="P33" i="37"/>
  <c r="R42" i="37"/>
  <c r="V25" i="37"/>
  <c r="V33" i="37"/>
  <c r="X42" i="37"/>
  <c r="V118" i="19"/>
  <c r="Q60" i="25"/>
  <c r="Q67" i="25" s="1"/>
  <c r="W42" i="25"/>
  <c r="W46" i="25" s="1"/>
  <c r="Y42" i="25"/>
  <c r="Y46" i="25" s="1"/>
  <c r="L25" i="28"/>
  <c r="L28" i="28" s="1"/>
  <c r="R33" i="28"/>
  <c r="Z52" i="21"/>
  <c r="Z56" i="21" s="1"/>
  <c r="O76" i="25"/>
  <c r="S42" i="25"/>
  <c r="S46" i="25" s="1"/>
  <c r="U42" i="25"/>
  <c r="U46" i="25" s="1"/>
  <c r="W60" i="25"/>
  <c r="W67" i="25" s="1"/>
  <c r="P33" i="28"/>
  <c r="X25" i="28"/>
  <c r="X28" i="28" s="1"/>
  <c r="H25" i="29"/>
  <c r="N33" i="29"/>
  <c r="R25" i="37"/>
  <c r="R33" i="37"/>
  <c r="N42" i="37"/>
  <c r="L25" i="37"/>
  <c r="T25" i="37"/>
  <c r="P52" i="21"/>
  <c r="P56" i="21" s="1"/>
  <c r="V52" i="21"/>
  <c r="V56" i="21" s="1"/>
  <c r="V88" i="21"/>
  <c r="Z70" i="21"/>
  <c r="Z79" i="21" s="1"/>
  <c r="L118" i="19"/>
  <c r="J52" i="21"/>
  <c r="J56" i="21" s="1"/>
  <c r="N100" i="20"/>
  <c r="N107" i="20" s="1"/>
  <c r="J71" i="22"/>
  <c r="N71" i="22"/>
  <c r="V71" i="22"/>
  <c r="M60" i="24"/>
  <c r="P36" i="20"/>
  <c r="L36" i="20"/>
  <c r="H27" i="22"/>
  <c r="J27" i="22"/>
  <c r="N27" i="22"/>
  <c r="V50" i="22"/>
  <c r="K27" i="24"/>
  <c r="O209" i="42"/>
  <c r="V27" i="22"/>
  <c r="V29" i="22" s="1"/>
  <c r="S95" i="24"/>
  <c r="W27" i="24"/>
  <c r="J36" i="20"/>
  <c r="X29" i="20"/>
  <c r="X36" i="20"/>
  <c r="X100" i="20"/>
  <c r="X107" i="20" s="1"/>
  <c r="U22" i="24"/>
  <c r="AA27" i="24"/>
  <c r="Q27" i="24"/>
  <c r="S78" i="24"/>
  <c r="S85" i="24" s="1"/>
  <c r="U60" i="24"/>
  <c r="W95" i="24"/>
  <c r="Y78" i="24"/>
  <c r="Y85" i="24" s="1"/>
  <c r="AA22" i="24"/>
  <c r="M78" i="24"/>
  <c r="M85" i="24" s="1"/>
  <c r="AA95" i="24"/>
  <c r="K78" i="24"/>
  <c r="K85" i="24" s="1"/>
  <c r="O95" i="24"/>
  <c r="Q78" i="24"/>
  <c r="Q85" i="24" s="1"/>
  <c r="U95" i="24"/>
  <c r="M22" i="24"/>
  <c r="W78" i="24"/>
  <c r="W85" i="24" s="1"/>
  <c r="Y60" i="24"/>
  <c r="U27" i="24"/>
  <c r="Y22" i="24"/>
  <c r="AA78" i="24"/>
  <c r="AA85" i="24" s="1"/>
  <c r="K60" i="24"/>
  <c r="Q60" i="24"/>
  <c r="Y95" i="24"/>
  <c r="K22" i="24"/>
  <c r="M95" i="24"/>
  <c r="O27" i="24"/>
  <c r="O78" i="24"/>
  <c r="O85" i="24" s="1"/>
  <c r="Q22" i="24"/>
  <c r="S27" i="24"/>
  <c r="U78" i="24"/>
  <c r="U85" i="24" s="1"/>
  <c r="W60" i="24"/>
  <c r="AA60" i="24"/>
  <c r="J50" i="22"/>
  <c r="R71" i="22"/>
  <c r="T50" i="22"/>
  <c r="X62" i="22"/>
  <c r="T62" i="22"/>
  <c r="J62" i="22"/>
  <c r="L27" i="22"/>
  <c r="H50" i="22"/>
  <c r="N50" i="22"/>
  <c r="X50" i="22"/>
  <c r="L62" i="22"/>
  <c r="N62" i="22"/>
  <c r="P27" i="22"/>
  <c r="L50" i="22"/>
  <c r="R50" i="22"/>
  <c r="P62" i="22"/>
  <c r="R62" i="22"/>
  <c r="T27" i="22"/>
  <c r="T29" i="22" s="1"/>
  <c r="Z29" i="20"/>
  <c r="R29" i="20"/>
  <c r="H16" i="3" s="1"/>
  <c r="V36" i="20"/>
  <c r="P29" i="20"/>
  <c r="P100" i="20"/>
  <c r="P107" i="20" s="1"/>
  <c r="J29" i="20"/>
  <c r="N36" i="20"/>
  <c r="R36" i="20"/>
  <c r="H17" i="3" s="1"/>
  <c r="Z100" i="20"/>
  <c r="Z107" i="20" s="1"/>
  <c r="R100" i="20"/>
  <c r="R107" i="20" s="1"/>
  <c r="T29" i="20"/>
  <c r="J100" i="20"/>
  <c r="L29" i="20"/>
  <c r="T100" i="20"/>
  <c r="T107" i="20" s="1"/>
  <c r="V29" i="20"/>
  <c r="L100" i="20"/>
  <c r="L107" i="20" s="1"/>
  <c r="N29" i="20"/>
  <c r="V100" i="20"/>
  <c r="V107" i="20" s="1"/>
  <c r="I101" i="42"/>
  <c r="J45" i="18"/>
  <c r="N45" i="18"/>
  <c r="V45" i="18"/>
  <c r="L45" i="18"/>
  <c r="T45" i="18"/>
  <c r="X45" i="18"/>
  <c r="J96" i="18"/>
  <c r="L96" i="18"/>
  <c r="N96" i="18"/>
  <c r="P96" i="18"/>
  <c r="R96" i="18"/>
  <c r="D18" i="2" s="1"/>
  <c r="T96" i="18"/>
  <c r="V96" i="18"/>
  <c r="X96" i="18"/>
  <c r="Z96" i="18"/>
  <c r="J114" i="18"/>
  <c r="P114" i="18"/>
  <c r="P120" i="18" s="1"/>
  <c r="R114" i="18"/>
  <c r="R120" i="18" s="1"/>
  <c r="T114" i="18"/>
  <c r="T120" i="18" s="1"/>
  <c r="X114" i="18"/>
  <c r="X120" i="18" s="1"/>
  <c r="Z114" i="18"/>
  <c r="Z120" i="18" s="1"/>
  <c r="N53" i="18"/>
  <c r="P53" i="18"/>
  <c r="R53" i="18"/>
  <c r="D17" i="2" s="1"/>
  <c r="V53" i="18"/>
  <c r="X53" i="18"/>
  <c r="J22" i="18"/>
  <c r="J26" i="18" s="1"/>
  <c r="J37" i="18"/>
  <c r="L22" i="18"/>
  <c r="L26" i="18" s="1"/>
  <c r="L37" i="18"/>
  <c r="P22" i="18"/>
  <c r="P26" i="18" s="1"/>
  <c r="P37" i="18"/>
  <c r="R37" i="18"/>
  <c r="D15" i="2" s="1"/>
  <c r="T37" i="18"/>
  <c r="V22" i="18"/>
  <c r="V26" i="18" s="1"/>
  <c r="X37" i="18"/>
  <c r="Z22" i="18"/>
  <c r="Z26" i="18" s="1"/>
  <c r="Z37" i="18"/>
  <c r="J53" i="18"/>
  <c r="L53" i="18"/>
  <c r="L114" i="18"/>
  <c r="L120" i="18" s="1"/>
  <c r="N22" i="18"/>
  <c r="N26" i="18" s="1"/>
  <c r="N37" i="18"/>
  <c r="N114" i="18"/>
  <c r="N120" i="18" s="1"/>
  <c r="P45" i="18"/>
  <c r="R22" i="18"/>
  <c r="R26" i="18" s="1"/>
  <c r="D14" i="2" s="1"/>
  <c r="R45" i="18"/>
  <c r="D16" i="2" s="1"/>
  <c r="T22" i="18"/>
  <c r="T26" i="18" s="1"/>
  <c r="T53" i="18"/>
  <c r="V37" i="18"/>
  <c r="V114" i="18"/>
  <c r="V120" i="18" s="1"/>
  <c r="X22" i="18"/>
  <c r="X26" i="18" s="1"/>
  <c r="Z45" i="18"/>
  <c r="Z53" i="18"/>
  <c r="X28" i="27"/>
  <c r="X32" i="27" s="1"/>
  <c r="N28" i="27"/>
  <c r="N32" i="27" s="1"/>
  <c r="L28" i="27"/>
  <c r="L32" i="27" s="1"/>
  <c r="T28" i="27"/>
  <c r="T32" i="27" s="1"/>
  <c r="R28" i="27"/>
  <c r="R32" i="27" s="1"/>
  <c r="P28" i="27"/>
  <c r="P32" i="27" s="1"/>
  <c r="V28" i="27"/>
  <c r="V32" i="27" s="1"/>
  <c r="J28" i="27"/>
  <c r="J32" i="27" s="1"/>
  <c r="H28" i="27"/>
  <c r="H32" i="27" s="1"/>
  <c r="I215" i="42"/>
  <c r="K101" i="42"/>
  <c r="K204" i="42"/>
  <c r="K209" i="42"/>
  <c r="I209" i="42"/>
  <c r="K215" i="42"/>
  <c r="O101" i="42"/>
  <c r="O204" i="42"/>
  <c r="I192" i="42"/>
  <c r="I204" i="42"/>
  <c r="K192" i="42"/>
  <c r="O192" i="42"/>
  <c r="D33" i="37"/>
  <c r="Z33" i="37"/>
  <c r="F33" i="37"/>
  <c r="P44" i="37" l="1"/>
  <c r="P37" i="29"/>
  <c r="P29" i="22"/>
  <c r="P54" i="22" s="1"/>
  <c r="P65" i="22" s="1"/>
  <c r="P75" i="22" s="1"/>
  <c r="L17" i="2"/>
  <c r="N37" i="29"/>
  <c r="N29" i="22"/>
  <c r="N54" i="22" s="1"/>
  <c r="N65" i="22" s="1"/>
  <c r="N75" i="22" s="1"/>
  <c r="N44" i="37"/>
  <c r="L29" i="22"/>
  <c r="L54" i="22" s="1"/>
  <c r="L65" i="22" s="1"/>
  <c r="L75" i="22" s="1"/>
  <c r="L44" i="37"/>
  <c r="L37" i="29"/>
  <c r="I78" i="16"/>
  <c r="T54" i="22"/>
  <c r="T65" i="22" s="1"/>
  <c r="T75" i="22" s="1"/>
  <c r="J37" i="29"/>
  <c r="J44" i="37"/>
  <c r="J29" i="22"/>
  <c r="J54" i="22" s="1"/>
  <c r="J65" i="22" s="1"/>
  <c r="J75" i="22" s="1"/>
  <c r="J104" i="19"/>
  <c r="I128" i="16" s="1"/>
  <c r="J107" i="20"/>
  <c r="I127" i="17"/>
  <c r="I128" i="17"/>
  <c r="H62" i="22"/>
  <c r="I130" i="17"/>
  <c r="J102" i="19"/>
  <c r="I85" i="16"/>
  <c r="I126" i="17"/>
  <c r="K95" i="24"/>
  <c r="K93" i="23"/>
  <c r="J116" i="19"/>
  <c r="H71" i="22"/>
  <c r="H44" i="37"/>
  <c r="J120" i="18"/>
  <c r="I108" i="17"/>
  <c r="H28" i="29"/>
  <c r="H37" i="29" s="1"/>
  <c r="J79" i="21"/>
  <c r="J82" i="21" s="1"/>
  <c r="J92" i="21" s="1"/>
  <c r="I28" i="16"/>
  <c r="H28" i="28"/>
  <c r="H37" i="28" s="1"/>
  <c r="I28" i="17"/>
  <c r="I95" i="17"/>
  <c r="I67" i="16"/>
  <c r="I122" i="16"/>
  <c r="I101" i="16"/>
  <c r="I94" i="16"/>
  <c r="I115" i="16"/>
  <c r="I123" i="16"/>
  <c r="I77" i="16"/>
  <c r="I88" i="16"/>
  <c r="I92" i="16"/>
  <c r="I127" i="16"/>
  <c r="I120" i="16"/>
  <c r="I74" i="16"/>
  <c r="I98" i="16"/>
  <c r="I116" i="16"/>
  <c r="I114" i="16"/>
  <c r="I97" i="16"/>
  <c r="I118" i="16"/>
  <c r="I91" i="16"/>
  <c r="I131" i="16"/>
  <c r="I55" i="16"/>
  <c r="I35" i="16"/>
  <c r="I121" i="16"/>
  <c r="I81" i="17"/>
  <c r="J57" i="19"/>
  <c r="I81" i="16" s="1"/>
  <c r="I37" i="26"/>
  <c r="I49" i="26" s="1"/>
  <c r="Z25" i="37"/>
  <c r="H25" i="37"/>
  <c r="H29" i="22"/>
  <c r="H54" i="22" s="1"/>
  <c r="I108" i="16"/>
  <c r="L38" i="19"/>
  <c r="R38" i="19"/>
  <c r="N82" i="21"/>
  <c r="N92" i="21" s="1"/>
  <c r="X37" i="28"/>
  <c r="S49" i="26"/>
  <c r="S51" i="26" s="1"/>
  <c r="T82" i="20"/>
  <c r="X118" i="19"/>
  <c r="Z38" i="20"/>
  <c r="Z82" i="21"/>
  <c r="Z92" i="21" s="1"/>
  <c r="P82" i="21"/>
  <c r="P92" i="21" s="1"/>
  <c r="U70" i="25"/>
  <c r="U80" i="25" s="1"/>
  <c r="L37" i="28"/>
  <c r="T100" i="19"/>
  <c r="T109" i="19" s="1"/>
  <c r="T38" i="20"/>
  <c r="V37" i="28"/>
  <c r="M32" i="24"/>
  <c r="M64" i="24" s="1"/>
  <c r="M88" i="24" s="1"/>
  <c r="M100" i="24" s="1"/>
  <c r="Z82" i="20"/>
  <c r="Q32" i="24"/>
  <c r="Q64" i="24" s="1"/>
  <c r="Q88" i="24" s="1"/>
  <c r="Q100" i="24" s="1"/>
  <c r="O32" i="24"/>
  <c r="M70" i="25"/>
  <c r="M80" i="25" s="1"/>
  <c r="V82" i="21"/>
  <c r="V92" i="21" s="1"/>
  <c r="P100" i="19"/>
  <c r="P109" i="19" s="1"/>
  <c r="L82" i="21"/>
  <c r="L92" i="21" s="1"/>
  <c r="N100" i="19"/>
  <c r="N109" i="19" s="1"/>
  <c r="V100" i="19"/>
  <c r="V109" i="19" s="1"/>
  <c r="R100" i="19"/>
  <c r="R109" i="19" s="1"/>
  <c r="W32" i="24"/>
  <c r="W64" i="24" s="1"/>
  <c r="W88" i="24" s="1"/>
  <c r="W100" i="24" s="1"/>
  <c r="N37" i="28"/>
  <c r="P38" i="19"/>
  <c r="R82" i="21"/>
  <c r="R92" i="21" s="1"/>
  <c r="V54" i="22"/>
  <c r="V65" i="22" s="1"/>
  <c r="V75" i="22" s="1"/>
  <c r="T82" i="21"/>
  <c r="T92" i="21" s="1"/>
  <c r="K32" i="24"/>
  <c r="K64" i="24" s="1"/>
  <c r="K88" i="24" s="1"/>
  <c r="K37" i="26"/>
  <c r="K49" i="26" s="1"/>
  <c r="Q37" i="26"/>
  <c r="Q49" i="26" s="1"/>
  <c r="U37" i="26"/>
  <c r="U49" i="26" s="1"/>
  <c r="U51" i="26" s="1"/>
  <c r="W37" i="26"/>
  <c r="W49" i="26" s="1"/>
  <c r="W51" i="26" s="1"/>
  <c r="J37" i="28"/>
  <c r="T37" i="28"/>
  <c r="R37" i="28"/>
  <c r="P37" i="28"/>
  <c r="Y37" i="26"/>
  <c r="Y49" i="26" s="1"/>
  <c r="Y51" i="26" s="1"/>
  <c r="M37" i="26"/>
  <c r="M49" i="26" s="1"/>
  <c r="Q70" i="25"/>
  <c r="Q80" i="25" s="1"/>
  <c r="S70" i="25"/>
  <c r="S80" i="25" s="1"/>
  <c r="Y70" i="25"/>
  <c r="Y80" i="25" s="1"/>
  <c r="O70" i="25"/>
  <c r="O80" i="25" s="1"/>
  <c r="R38" i="20"/>
  <c r="L100" i="19"/>
  <c r="L109" i="19" s="1"/>
  <c r="L82" i="20"/>
  <c r="V82" i="20"/>
  <c r="X38" i="19"/>
  <c r="L38" i="20"/>
  <c r="J38" i="20"/>
  <c r="L82" i="19"/>
  <c r="R82" i="20"/>
  <c r="H19" i="3" s="1"/>
  <c r="N82" i="20"/>
  <c r="Z100" i="19"/>
  <c r="Z109" i="19" s="1"/>
  <c r="T38" i="19"/>
  <c r="Z38" i="19"/>
  <c r="V82" i="19"/>
  <c r="V38" i="19"/>
  <c r="J38" i="19"/>
  <c r="P38" i="20"/>
  <c r="N38" i="19"/>
  <c r="X100" i="19"/>
  <c r="X109" i="19" s="1"/>
  <c r="P82" i="19"/>
  <c r="J82" i="20"/>
  <c r="X82" i="19"/>
  <c r="P82" i="20"/>
  <c r="R54" i="22"/>
  <c r="R65" i="22" s="1"/>
  <c r="R75" i="22" s="1"/>
  <c r="J100" i="19"/>
  <c r="O37" i="26"/>
  <c r="O49" i="26" s="1"/>
  <c r="K70" i="25"/>
  <c r="K80" i="25" s="1"/>
  <c r="R82" i="19"/>
  <c r="H18" i="2" s="1"/>
  <c r="W70" i="25"/>
  <c r="W80" i="25" s="1"/>
  <c r="AA32" i="24"/>
  <c r="AA64" i="24" s="1"/>
  <c r="AA88" i="24" s="1"/>
  <c r="AA100" i="24" s="1"/>
  <c r="X82" i="20"/>
  <c r="Y32" i="24"/>
  <c r="Y64" i="24" s="1"/>
  <c r="Y88" i="24" s="1"/>
  <c r="Y100" i="24" s="1"/>
  <c r="X38" i="20"/>
  <c r="Z82" i="19"/>
  <c r="U32" i="24"/>
  <c r="U64" i="24" s="1"/>
  <c r="U88" i="24" s="1"/>
  <c r="U100" i="24" s="1"/>
  <c r="N82" i="19"/>
  <c r="X82" i="21"/>
  <c r="X92" i="21" s="1"/>
  <c r="X54" i="22"/>
  <c r="X65" i="22" s="1"/>
  <c r="X75" i="22" s="1"/>
  <c r="T82" i="19"/>
  <c r="AA70" i="25"/>
  <c r="AA80" i="25" s="1"/>
  <c r="N38" i="20"/>
  <c r="V38" i="20"/>
  <c r="R55" i="18"/>
  <c r="R100" i="18" s="1"/>
  <c r="R123" i="18" s="1"/>
  <c r="P55" i="18"/>
  <c r="P100" i="18" s="1"/>
  <c r="P123" i="18" s="1"/>
  <c r="J55" i="18"/>
  <c r="J100" i="18" s="1"/>
  <c r="N55" i="18"/>
  <c r="N100" i="18" s="1"/>
  <c r="N123" i="18" s="1"/>
  <c r="V55" i="18"/>
  <c r="V100" i="18" s="1"/>
  <c r="V123" i="18" s="1"/>
  <c r="L55" i="18"/>
  <c r="L100" i="18" s="1"/>
  <c r="L123" i="18" s="1"/>
  <c r="Z55" i="18"/>
  <c r="Z100" i="18" s="1"/>
  <c r="Z123" i="18" s="1"/>
  <c r="X55" i="18"/>
  <c r="X100" i="18" s="1"/>
  <c r="X123" i="18" s="1"/>
  <c r="T55" i="18"/>
  <c r="T100" i="18" s="1"/>
  <c r="T123" i="18" s="1"/>
  <c r="AD17" i="29"/>
  <c r="AA17" i="29"/>
  <c r="F17" i="29"/>
  <c r="D17" i="29"/>
  <c r="AD17" i="28"/>
  <c r="AA25" i="28"/>
  <c r="AA17" i="28"/>
  <c r="F17" i="28"/>
  <c r="D17" i="28"/>
  <c r="AD19" i="27"/>
  <c r="AA19" i="27"/>
  <c r="F19" i="27"/>
  <c r="D19" i="27"/>
  <c r="AG30" i="24"/>
  <c r="AD30" i="24"/>
  <c r="G22" i="14" s="1"/>
  <c r="I30" i="24"/>
  <c r="G30" i="24"/>
  <c r="AD62" i="22"/>
  <c r="G22" i="12"/>
  <c r="G21" i="12"/>
  <c r="F62" i="22"/>
  <c r="F23" i="22"/>
  <c r="F20" i="22"/>
  <c r="D23" i="22"/>
  <c r="D20" i="22"/>
  <c r="AB118" i="19"/>
  <c r="AJ19" i="21"/>
  <c r="O39" i="14"/>
  <c r="U39" i="14" s="1"/>
  <c r="K32" i="14"/>
  <c r="K31" i="14"/>
  <c r="K26" i="14"/>
  <c r="K24" i="14"/>
  <c r="E39" i="14"/>
  <c r="K39" i="14" s="1"/>
  <c r="E39" i="12"/>
  <c r="K39" i="12" s="1"/>
  <c r="P41" i="11"/>
  <c r="V41" i="11" s="1"/>
  <c r="E41" i="11"/>
  <c r="K41" i="11" s="1"/>
  <c r="K41" i="9"/>
  <c r="K40" i="9"/>
  <c r="K36" i="9"/>
  <c r="K35" i="9"/>
  <c r="K34" i="9"/>
  <c r="K27" i="9"/>
  <c r="K25" i="9"/>
  <c r="E49" i="9"/>
  <c r="E48" i="8" s="1"/>
  <c r="H65" i="22" l="1"/>
  <c r="H75" i="22" s="1"/>
  <c r="I126" i="16"/>
  <c r="J123" i="18"/>
  <c r="J109" i="19"/>
  <c r="K100" i="24"/>
  <c r="J118" i="19"/>
  <c r="K22" i="14"/>
  <c r="K25" i="14"/>
  <c r="I49" i="9"/>
  <c r="K49" i="9"/>
  <c r="E39" i="13"/>
  <c r="J82" i="19"/>
  <c r="L86" i="19"/>
  <c r="L112" i="19" s="1"/>
  <c r="L122" i="19" s="1"/>
  <c r="T86" i="20"/>
  <c r="T110" i="20" s="1"/>
  <c r="R86" i="19"/>
  <c r="R112" i="19" s="1"/>
  <c r="Z86" i="20"/>
  <c r="Z110" i="20" s="1"/>
  <c r="V86" i="20"/>
  <c r="V110" i="20" s="1"/>
  <c r="P86" i="19"/>
  <c r="P112" i="19" s="1"/>
  <c r="P122" i="19" s="1"/>
  <c r="R86" i="20"/>
  <c r="R110" i="20" s="1"/>
  <c r="N86" i="20"/>
  <c r="N110" i="20" s="1"/>
  <c r="P86" i="20"/>
  <c r="P110" i="20" s="1"/>
  <c r="L86" i="20"/>
  <c r="L110" i="20" s="1"/>
  <c r="N86" i="19"/>
  <c r="N112" i="19" s="1"/>
  <c r="N122" i="19" s="1"/>
  <c r="J86" i="20"/>
  <c r="J110" i="20" s="1"/>
  <c r="V86" i="19"/>
  <c r="V112" i="19" s="1"/>
  <c r="Z86" i="19"/>
  <c r="Z112" i="19" s="1"/>
  <c r="T86" i="19"/>
  <c r="T112" i="19" s="1"/>
  <c r="X86" i="19"/>
  <c r="X112" i="19" s="1"/>
  <c r="X86" i="20"/>
  <c r="X110" i="20" s="1"/>
  <c r="V20" i="11"/>
  <c r="V31" i="11"/>
  <c r="K23" i="11"/>
  <c r="K34" i="11"/>
  <c r="V25" i="11"/>
  <c r="K24" i="11"/>
  <c r="K25" i="11"/>
  <c r="V30" i="11"/>
  <c r="K26" i="12"/>
  <c r="K25" i="12"/>
  <c r="K30" i="11"/>
  <c r="V21" i="11"/>
  <c r="V32" i="11"/>
  <c r="K30" i="12"/>
  <c r="V22" i="11"/>
  <c r="V33" i="11"/>
  <c r="K20" i="12"/>
  <c r="K31" i="12"/>
  <c r="K31" i="11"/>
  <c r="K32" i="11"/>
  <c r="V34" i="11"/>
  <c r="K21" i="12"/>
  <c r="K32" i="12"/>
  <c r="U31" i="14"/>
  <c r="K33" i="11"/>
  <c r="V24" i="11"/>
  <c r="K22" i="12"/>
  <c r="K20" i="14"/>
  <c r="AD28" i="27"/>
  <c r="AD32" i="27" s="1"/>
  <c r="E26" i="11"/>
  <c r="E23" i="26"/>
  <c r="J27" i="32"/>
  <c r="H19" i="32"/>
  <c r="G33" i="12"/>
  <c r="F50" i="22"/>
  <c r="F25" i="28"/>
  <c r="F28" i="28" s="1"/>
  <c r="AJ19" i="24"/>
  <c r="AL19" i="24" s="1"/>
  <c r="G60" i="25"/>
  <c r="G67" i="25" s="1"/>
  <c r="AG107" i="20"/>
  <c r="H52" i="21"/>
  <c r="H56" i="21" s="1"/>
  <c r="G78" i="24"/>
  <c r="G85" i="24" s="1"/>
  <c r="J19" i="32"/>
  <c r="D62" i="22"/>
  <c r="E33" i="26"/>
  <c r="AA62" i="22"/>
  <c r="AD27" i="22"/>
  <c r="AD29" i="22" s="1"/>
  <c r="AB33" i="26"/>
  <c r="F28" i="27"/>
  <c r="F32" i="27" s="1"/>
  <c r="D25" i="28"/>
  <c r="D28" i="28" s="1"/>
  <c r="N35" i="11"/>
  <c r="I27" i="24"/>
  <c r="AE33" i="26"/>
  <c r="H27" i="32"/>
  <c r="E27" i="14"/>
  <c r="M33" i="14"/>
  <c r="AG56" i="21"/>
  <c r="D50" i="22"/>
  <c r="G27" i="24"/>
  <c r="I78" i="24"/>
  <c r="I85" i="24" s="1"/>
  <c r="AG67" i="25"/>
  <c r="F27" i="32"/>
  <c r="O33" i="14"/>
  <c r="E35" i="11"/>
  <c r="P26" i="11"/>
  <c r="E33" i="14"/>
  <c r="AG79" i="21"/>
  <c r="AA27" i="22"/>
  <c r="I22" i="24"/>
  <c r="K21" i="14"/>
  <c r="I42" i="25"/>
  <c r="I46" i="25" s="1"/>
  <c r="D28" i="27"/>
  <c r="D32" i="27" s="1"/>
  <c r="I28" i="31"/>
  <c r="N26" i="11"/>
  <c r="E33" i="12"/>
  <c r="AG16" i="22"/>
  <c r="AI16" i="22" s="1"/>
  <c r="G24" i="12"/>
  <c r="K24" i="12" s="1"/>
  <c r="I60" i="25"/>
  <c r="I67" i="25" s="1"/>
  <c r="G23" i="26"/>
  <c r="AD25" i="28"/>
  <c r="AD28" i="28" s="1"/>
  <c r="F96" i="18"/>
  <c r="E27" i="12"/>
  <c r="F53" i="18"/>
  <c r="D27" i="22"/>
  <c r="D29" i="22" s="1"/>
  <c r="G22" i="24"/>
  <c r="G60" i="24"/>
  <c r="AG46" i="25"/>
  <c r="AB23" i="26"/>
  <c r="AA28" i="28"/>
  <c r="O27" i="14"/>
  <c r="F22" i="18"/>
  <c r="F26" i="18" s="1"/>
  <c r="F36" i="20"/>
  <c r="I60" i="24"/>
  <c r="M27" i="14"/>
  <c r="F27" i="22"/>
  <c r="F29" i="22" s="1"/>
  <c r="AG85" i="24"/>
  <c r="G42" i="25"/>
  <c r="G46" i="25" s="1"/>
  <c r="G33" i="26"/>
  <c r="AE23" i="26"/>
  <c r="AA28" i="27"/>
  <c r="AA32" i="27" s="1"/>
  <c r="G28" i="31"/>
  <c r="F19" i="32"/>
  <c r="M16" i="34"/>
  <c r="E28" i="31"/>
  <c r="G113" i="30"/>
  <c r="I24" i="30"/>
  <c r="G24" i="30"/>
  <c r="G91" i="30"/>
  <c r="I91" i="30"/>
  <c r="I113" i="30"/>
  <c r="I101" i="30"/>
  <c r="G101" i="30"/>
  <c r="E113" i="30"/>
  <c r="E24" i="30"/>
  <c r="E91" i="30"/>
  <c r="E101" i="30"/>
  <c r="C91" i="30"/>
  <c r="F25" i="29"/>
  <c r="F28" i="29" s="1"/>
  <c r="AD25" i="29"/>
  <c r="AD28" i="29" s="1"/>
  <c r="D25" i="29"/>
  <c r="D28" i="29" s="1"/>
  <c r="AA25" i="29"/>
  <c r="AA28" i="29" s="1"/>
  <c r="F52" i="21"/>
  <c r="F56" i="21" s="1"/>
  <c r="F70" i="21"/>
  <c r="F79" i="21" s="1"/>
  <c r="H70" i="21"/>
  <c r="H79" i="21" s="1"/>
  <c r="AL19" i="21"/>
  <c r="F114" i="18"/>
  <c r="F120" i="18" s="1"/>
  <c r="H96" i="18"/>
  <c r="G24" i="9"/>
  <c r="K24" i="9" s="1"/>
  <c r="F37" i="18"/>
  <c r="AC120" i="18"/>
  <c r="F45" i="18"/>
  <c r="H22" i="18"/>
  <c r="H26" i="18" s="1"/>
  <c r="H37" i="18"/>
  <c r="AC53" i="18"/>
  <c r="G23" i="9" s="1"/>
  <c r="K23" i="9" s="1"/>
  <c r="AF120" i="18"/>
  <c r="G20" i="9"/>
  <c r="K20" i="9" s="1"/>
  <c r="G21" i="9"/>
  <c r="K21" i="9" s="1"/>
  <c r="AF53" i="18"/>
  <c r="H53" i="18"/>
  <c r="G22" i="9"/>
  <c r="K22" i="9" s="1"/>
  <c r="H114" i="18"/>
  <c r="H120" i="18" s="1"/>
  <c r="H45" i="18"/>
  <c r="F29" i="20"/>
  <c r="F100" i="20"/>
  <c r="F107" i="20" s="1"/>
  <c r="H29" i="20"/>
  <c r="F82" i="20"/>
  <c r="H36" i="20"/>
  <c r="K21" i="11"/>
  <c r="H100" i="20"/>
  <c r="H107" i="20" s="1"/>
  <c r="AD36" i="20"/>
  <c r="G22" i="11" s="1"/>
  <c r="AG36" i="20"/>
  <c r="H82" i="20"/>
  <c r="K22" i="11" l="1"/>
  <c r="AD46" i="25"/>
  <c r="Q24" i="14" s="1"/>
  <c r="AD79" i="21"/>
  <c r="AD67" i="25"/>
  <c r="AD107" i="20"/>
  <c r="I20" i="9"/>
  <c r="AA29" i="22"/>
  <c r="AA54" i="22" s="1"/>
  <c r="AA65" i="22" s="1"/>
  <c r="G23" i="12"/>
  <c r="AD56" i="21"/>
  <c r="AD85" i="24"/>
  <c r="G30" i="14"/>
  <c r="J86" i="19"/>
  <c r="J112" i="19" s="1"/>
  <c r="J122" i="19" s="1"/>
  <c r="G70" i="25"/>
  <c r="K33" i="12"/>
  <c r="E37" i="26"/>
  <c r="F54" i="22"/>
  <c r="F65" i="22" s="1"/>
  <c r="D54" i="22"/>
  <c r="D65" i="22" s="1"/>
  <c r="AG32" i="24"/>
  <c r="AG70" i="25"/>
  <c r="I32" i="24"/>
  <c r="I64" i="24" s="1"/>
  <c r="I88" i="24" s="1"/>
  <c r="H82" i="21"/>
  <c r="AD32" i="24"/>
  <c r="O37" i="14"/>
  <c r="E37" i="14"/>
  <c r="N39" i="11"/>
  <c r="AE37" i="26"/>
  <c r="P39" i="11"/>
  <c r="F38" i="20"/>
  <c r="F86" i="20" s="1"/>
  <c r="F110" i="20" s="1"/>
  <c r="AB37" i="26"/>
  <c r="E39" i="11"/>
  <c r="AG82" i="21"/>
  <c r="AF55" i="18"/>
  <c r="AF100" i="18" s="1"/>
  <c r="AF123" i="18" s="1"/>
  <c r="AC55" i="18"/>
  <c r="AC100" i="18" s="1"/>
  <c r="AC123" i="18" s="1"/>
  <c r="AD38" i="20"/>
  <c r="AD86" i="20" s="1"/>
  <c r="G103" i="30"/>
  <c r="H38" i="20"/>
  <c r="H86" i="20" s="1"/>
  <c r="H110" i="20" s="1"/>
  <c r="AD54" i="22"/>
  <c r="AD65" i="22" s="1"/>
  <c r="I103" i="30"/>
  <c r="E37" i="12"/>
  <c r="M37" i="14"/>
  <c r="G32" i="24"/>
  <c r="G64" i="24" s="1"/>
  <c r="G88" i="24" s="1"/>
  <c r="AG38" i="20"/>
  <c r="AG86" i="20" s="1"/>
  <c r="AG110" i="20" s="1"/>
  <c r="H55" i="18"/>
  <c r="H100" i="18" s="1"/>
  <c r="H123" i="18" s="1"/>
  <c r="G37" i="26"/>
  <c r="F55" i="18"/>
  <c r="F100" i="18" s="1"/>
  <c r="F123" i="18" s="1"/>
  <c r="I70" i="25"/>
  <c r="E103" i="30"/>
  <c r="F82" i="21"/>
  <c r="G26" i="11" l="1"/>
  <c r="U24" i="14"/>
  <c r="AD82" i="21"/>
  <c r="AD70" i="25"/>
  <c r="K30" i="14"/>
  <c r="G33" i="14"/>
  <c r="K29" i="11"/>
  <c r="G35" i="11"/>
  <c r="V23" i="11"/>
  <c r="R26" i="11"/>
  <c r="U30" i="14"/>
  <c r="Q33" i="14"/>
  <c r="AD110" i="20"/>
  <c r="K23" i="12"/>
  <c r="G27" i="12"/>
  <c r="G37" i="12" s="1"/>
  <c r="V29" i="11"/>
  <c r="R35" i="11"/>
  <c r="G39" i="11" l="1"/>
  <c r="Q27" i="14"/>
  <c r="Q37" i="14" s="1"/>
  <c r="R39" i="11"/>
  <c r="AJ62" i="24" l="1"/>
  <c r="AL62" i="24" s="1"/>
  <c r="C48" i="8" l="1"/>
  <c r="A51" i="8" l="1"/>
  <c r="Z27" i="43" l="1"/>
  <c r="AE14" i="26" l="1"/>
  <c r="V12" i="2"/>
  <c r="X12" i="2"/>
  <c r="G27" i="23" l="1"/>
  <c r="T9" i="37"/>
  <c r="F22" i="19" l="1"/>
  <c r="F32" i="19"/>
  <c r="B15" i="6"/>
  <c r="F20" i="19" l="1"/>
  <c r="F31" i="19"/>
  <c r="E22" i="16"/>
  <c r="E34" i="16"/>
  <c r="F60" i="19"/>
  <c r="E84" i="16" s="1"/>
  <c r="E84" i="17"/>
  <c r="E57" i="16"/>
  <c r="E57" i="17"/>
  <c r="E34" i="17" l="1"/>
  <c r="E22" i="17"/>
  <c r="Q17" i="29"/>
  <c r="R39" i="27"/>
  <c r="H31" i="19" l="1"/>
  <c r="H20" i="19"/>
  <c r="H60" i="19"/>
  <c r="G84" i="16" s="1"/>
  <c r="H24" i="19"/>
  <c r="F95" i="19"/>
  <c r="G25" i="23"/>
  <c r="F17" i="19"/>
  <c r="F115" i="19"/>
  <c r="F103" i="19"/>
  <c r="G26" i="23"/>
  <c r="E23" i="17"/>
  <c r="G70" i="23"/>
  <c r="F24" i="19"/>
  <c r="G30" i="23"/>
  <c r="E55" i="16" s="1"/>
  <c r="G55" i="23"/>
  <c r="F27" i="19"/>
  <c r="E120" i="17"/>
  <c r="F21" i="19"/>
  <c r="G57" i="23"/>
  <c r="E74" i="17"/>
  <c r="G22" i="23"/>
  <c r="E86" i="17"/>
  <c r="G21" i="23"/>
  <c r="E25" i="17"/>
  <c r="G92" i="23"/>
  <c r="E41" i="16"/>
  <c r="G69" i="23"/>
  <c r="E65" i="17"/>
  <c r="G84" i="23"/>
  <c r="E73" i="17"/>
  <c r="G77" i="23"/>
  <c r="G63" i="23"/>
  <c r="F34" i="19"/>
  <c r="F25" i="19"/>
  <c r="E37" i="16" s="1"/>
  <c r="G71" i="23"/>
  <c r="G20" i="23"/>
  <c r="F28" i="19"/>
  <c r="E40" i="16" s="1"/>
  <c r="G39" i="23"/>
  <c r="E54" i="17"/>
  <c r="E105" i="17"/>
  <c r="F51" i="19"/>
  <c r="E75" i="16" s="1"/>
  <c r="F50" i="19"/>
  <c r="E64" i="17"/>
  <c r="F53" i="19"/>
  <c r="F106" i="19"/>
  <c r="F59" i="19"/>
  <c r="E83" i="16" s="1"/>
  <c r="G43" i="23"/>
  <c r="E72" i="16"/>
  <c r="F35" i="19"/>
  <c r="E49" i="16" s="1"/>
  <c r="G74" i="23"/>
  <c r="F76" i="19"/>
  <c r="G59" i="23"/>
  <c r="G50" i="23"/>
  <c r="E88" i="17"/>
  <c r="F98" i="19"/>
  <c r="E70" i="17"/>
  <c r="F61" i="19"/>
  <c r="E97" i="17"/>
  <c r="E75" i="17"/>
  <c r="G47" i="23"/>
  <c r="F99" i="19"/>
  <c r="E54" i="16"/>
  <c r="E36" i="17"/>
  <c r="F74" i="19"/>
  <c r="E118" i="17"/>
  <c r="F66" i="19"/>
  <c r="E90" i="16" s="1"/>
  <c r="F45" i="19"/>
  <c r="E68" i="16" s="1"/>
  <c r="F90" i="19"/>
  <c r="E114" i="17"/>
  <c r="F62" i="19"/>
  <c r="F94" i="19"/>
  <c r="G83" i="23"/>
  <c r="E95" i="17"/>
  <c r="E32" i="17"/>
  <c r="E126" i="17"/>
  <c r="E103" i="17"/>
  <c r="E39" i="17"/>
  <c r="F77" i="19"/>
  <c r="E76" i="17"/>
  <c r="E121" i="17"/>
  <c r="G76" i="23"/>
  <c r="F46" i="19"/>
  <c r="E69" i="16" s="1"/>
  <c r="E90" i="17"/>
  <c r="F49" i="19"/>
  <c r="E73" i="16" s="1"/>
  <c r="G46" i="23"/>
  <c r="G58" i="23"/>
  <c r="E68" i="17"/>
  <c r="F116" i="19"/>
  <c r="F73" i="19"/>
  <c r="E119" i="17"/>
  <c r="E115" i="17"/>
  <c r="F65" i="19"/>
  <c r="E89" i="16" s="1"/>
  <c r="E78" i="17"/>
  <c r="E79" i="17"/>
  <c r="E23" i="16"/>
  <c r="G81" i="23"/>
  <c r="G82" i="23"/>
  <c r="G54" i="23"/>
  <c r="E104" i="17"/>
  <c r="F84" i="19"/>
  <c r="E122" i="17"/>
  <c r="E100" i="17"/>
  <c r="E47" i="17"/>
  <c r="F97" i="19"/>
  <c r="F96" i="19"/>
  <c r="E49" i="17"/>
  <c r="E108" i="17"/>
  <c r="E53" i="17"/>
  <c r="F91" i="19"/>
  <c r="F81" i="19"/>
  <c r="E105" i="16" s="1"/>
  <c r="F47" i="19"/>
  <c r="E70" i="16" s="1"/>
  <c r="E98" i="17"/>
  <c r="E37" i="17"/>
  <c r="E77" i="17"/>
  <c r="F70" i="19"/>
  <c r="F67" i="19"/>
  <c r="F44" i="19"/>
  <c r="F68" i="19"/>
  <c r="E99" i="17"/>
  <c r="E94" i="17"/>
  <c r="F52" i="19"/>
  <c r="E76" i="16" s="1"/>
  <c r="E92" i="17"/>
  <c r="E101" i="17"/>
  <c r="E53" i="16"/>
  <c r="E44" i="17"/>
  <c r="E27" i="17"/>
  <c r="E127" i="17"/>
  <c r="E69" i="17"/>
  <c r="E48" i="16"/>
  <c r="F42" i="19"/>
  <c r="E64" i="16" s="1"/>
  <c r="E48" i="17"/>
  <c r="E56" i="16"/>
  <c r="E56" i="17"/>
  <c r="E41" i="17"/>
  <c r="F33" i="19"/>
  <c r="E46" i="17"/>
  <c r="E24" i="17"/>
  <c r="E24" i="16"/>
  <c r="F23" i="19"/>
  <c r="E35" i="17"/>
  <c r="E82" i="17"/>
  <c r="F58" i="19"/>
  <c r="E82" i="16" s="1"/>
  <c r="E85" i="17"/>
  <c r="E28" i="16"/>
  <c r="E28" i="17"/>
  <c r="E21" i="17"/>
  <c r="E21" i="16"/>
  <c r="E33" i="17"/>
  <c r="E130" i="16"/>
  <c r="E130" i="17"/>
  <c r="E116" i="17"/>
  <c r="E67" i="17"/>
  <c r="E131" i="17"/>
  <c r="F107" i="19"/>
  <c r="F104" i="19"/>
  <c r="G73" i="23"/>
  <c r="G37" i="23"/>
  <c r="E65" i="16" s="1"/>
  <c r="F57" i="19"/>
  <c r="E81" i="16" s="1"/>
  <c r="E81" i="17"/>
  <c r="G94" i="23"/>
  <c r="E83" i="17"/>
  <c r="E96" i="17"/>
  <c r="F72" i="19"/>
  <c r="E96" i="16" s="1"/>
  <c r="F80" i="19"/>
  <c r="F26" i="19"/>
  <c r="E38" i="17"/>
  <c r="F102" i="19"/>
  <c r="E45" i="17"/>
  <c r="E52" i="16"/>
  <c r="E52" i="17"/>
  <c r="E55" i="17"/>
  <c r="E91" i="17"/>
  <c r="F75" i="19"/>
  <c r="E99" i="16" s="1"/>
  <c r="F54" i="19"/>
  <c r="E29" i="17"/>
  <c r="E29" i="16"/>
  <c r="E128" i="17"/>
  <c r="G84" i="17" l="1"/>
  <c r="E67" i="16"/>
  <c r="E39" i="16"/>
  <c r="E97" i="16"/>
  <c r="E115" i="16"/>
  <c r="E100" i="16"/>
  <c r="E40" i="17"/>
  <c r="E47" i="16"/>
  <c r="E74" i="16"/>
  <c r="E45" i="16"/>
  <c r="E36" i="16"/>
  <c r="G49" i="23"/>
  <c r="G51" i="23"/>
  <c r="E91" i="16" s="1"/>
  <c r="G52" i="23"/>
  <c r="E92" i="16" s="1"/>
  <c r="G78" i="23"/>
  <c r="G44" i="23"/>
  <c r="E78" i="16" s="1"/>
  <c r="E119" i="16"/>
  <c r="G75" i="23"/>
  <c r="G60" i="23"/>
  <c r="E104" i="16" s="1"/>
  <c r="G56" i="23"/>
  <c r="E98" i="16" s="1"/>
  <c r="E44" i="16"/>
  <c r="E77" i="16"/>
  <c r="E33" i="16"/>
  <c r="E32" i="16"/>
  <c r="E102" i="17"/>
  <c r="E89" i="17"/>
  <c r="G93" i="23"/>
  <c r="F55" i="19"/>
  <c r="F78" i="19"/>
  <c r="E102" i="16" s="1"/>
  <c r="F79" i="19"/>
  <c r="E103" i="16" s="1"/>
  <c r="G42" i="23"/>
  <c r="F92" i="19"/>
  <c r="F64" i="19"/>
  <c r="E72" i="17"/>
  <c r="E25" i="16"/>
  <c r="G45" i="23"/>
  <c r="E123" i="17"/>
  <c r="E85" i="16"/>
  <c r="E86" i="16"/>
  <c r="E101" i="16"/>
  <c r="E122" i="16"/>
  <c r="F71" i="19"/>
  <c r="E95" i="16" s="1"/>
  <c r="E121" i="16"/>
  <c r="E127" i="16"/>
  <c r="E94" i="16"/>
  <c r="E114" i="16"/>
  <c r="E118" i="16"/>
  <c r="E126" i="16"/>
  <c r="E108" i="16"/>
  <c r="E128" i="16"/>
  <c r="E46" i="16"/>
  <c r="E38" i="16"/>
  <c r="E35" i="16"/>
  <c r="E131" i="16"/>
  <c r="E88" i="16" l="1"/>
  <c r="E79" i="16"/>
  <c r="E123" i="16"/>
  <c r="E120" i="16"/>
  <c r="E116" i="16"/>
  <c r="E9" i="45"/>
  <c r="I20" i="23" l="1"/>
  <c r="I22" i="23"/>
  <c r="I27" i="23"/>
  <c r="I21" i="23"/>
  <c r="M31" i="23"/>
  <c r="M23" i="23"/>
  <c r="L116" i="20"/>
  <c r="M28" i="23"/>
  <c r="M96" i="23" l="1"/>
  <c r="M79" i="23"/>
  <c r="M86" i="23" s="1"/>
  <c r="M61" i="23"/>
  <c r="M33" i="23"/>
  <c r="M65" i="23" l="1"/>
  <c r="M89" i="23" s="1"/>
  <c r="M101" i="23" s="1"/>
  <c r="D42" i="37" l="1"/>
  <c r="I26" i="23" l="1"/>
  <c r="H33" i="19"/>
  <c r="I70" i="23"/>
  <c r="G82" i="17"/>
  <c r="D44" i="37"/>
  <c r="G95" i="24"/>
  <c r="D71" i="22"/>
  <c r="F88" i="21"/>
  <c r="F53" i="44"/>
  <c r="G24" i="16" l="1"/>
  <c r="G24" i="17"/>
  <c r="H58" i="19"/>
  <c r="G82" i="16" s="1"/>
  <c r="G46" i="17"/>
  <c r="G46" i="16"/>
  <c r="G80" i="25"/>
  <c r="G100" i="24"/>
  <c r="D75" i="22"/>
  <c r="F92" i="21"/>
  <c r="I23" i="23" l="1"/>
  <c r="X38" i="43" l="1"/>
  <c r="V38" i="43"/>
  <c r="T38" i="43"/>
  <c r="R38" i="43"/>
  <c r="P38" i="43"/>
  <c r="N38" i="43"/>
  <c r="L38" i="43"/>
  <c r="J38" i="43"/>
  <c r="H38" i="43"/>
  <c r="F38" i="43"/>
  <c r="D38" i="43"/>
  <c r="B38" i="43"/>
  <c r="X34" i="43"/>
  <c r="V34" i="43"/>
  <c r="T34" i="43"/>
  <c r="R34" i="43"/>
  <c r="P34" i="43"/>
  <c r="N34" i="43"/>
  <c r="L34" i="43"/>
  <c r="J34" i="43"/>
  <c r="H34" i="43"/>
  <c r="F34" i="43"/>
  <c r="X17" i="43"/>
  <c r="V17" i="43"/>
  <c r="T17" i="43"/>
  <c r="R17" i="43"/>
  <c r="P17" i="43"/>
  <c r="N17" i="43"/>
  <c r="L17" i="43"/>
  <c r="J17" i="43"/>
  <c r="F17" i="43"/>
  <c r="D17" i="43"/>
  <c r="Y20" i="41"/>
  <c r="Y24" i="41" s="1"/>
  <c r="W20" i="41"/>
  <c r="W24" i="41" s="1"/>
  <c r="U20" i="41"/>
  <c r="U24" i="41" s="1"/>
  <c r="S20" i="41"/>
  <c r="S24" i="41" s="1"/>
  <c r="Q20" i="41"/>
  <c r="Q24" i="41" s="1"/>
  <c r="O20" i="41"/>
  <c r="O24" i="41" s="1"/>
  <c r="M20" i="41"/>
  <c r="M24" i="41" s="1"/>
  <c r="I20" i="41"/>
  <c r="I24" i="41" s="1"/>
  <c r="G20" i="41"/>
  <c r="G24" i="41" s="1"/>
  <c r="E20" i="41"/>
  <c r="E24" i="41" s="1"/>
  <c r="X40" i="43" l="1"/>
  <c r="N40" i="43"/>
  <c r="P40" i="43"/>
  <c r="L40" i="43"/>
  <c r="R40" i="43"/>
  <c r="T40" i="43"/>
  <c r="F40" i="43"/>
  <c r="V40" i="43"/>
  <c r="V42" i="43" s="1"/>
  <c r="H40" i="43"/>
  <c r="J40" i="43"/>
  <c r="X42" i="43" l="1"/>
  <c r="M12" i="40"/>
  <c r="H49" i="44"/>
  <c r="G44" i="17" l="1"/>
  <c r="H53" i="44"/>
  <c r="C49" i="44"/>
  <c r="C53" i="44" l="1"/>
  <c r="C26" i="45"/>
  <c r="H55" i="19" l="1"/>
  <c r="I73" i="23"/>
  <c r="I59" i="23"/>
  <c r="I74" i="23"/>
  <c r="I39" i="23"/>
  <c r="I41" i="23"/>
  <c r="N57" i="2"/>
  <c r="H25" i="19"/>
  <c r="H47" i="19"/>
  <c r="G65" i="17"/>
  <c r="I44" i="23"/>
  <c r="G91" i="17"/>
  <c r="H21" i="19"/>
  <c r="H27" i="19"/>
  <c r="H74" i="19"/>
  <c r="H80" i="19"/>
  <c r="G105" i="17"/>
  <c r="I75" i="23"/>
  <c r="I52" i="23"/>
  <c r="AE83" i="17"/>
  <c r="K137" i="30"/>
  <c r="I82" i="23"/>
  <c r="I46" i="23"/>
  <c r="I49" i="23"/>
  <c r="M178" i="42"/>
  <c r="G89" i="17"/>
  <c r="H106" i="19"/>
  <c r="I30" i="23"/>
  <c r="J57" i="3"/>
  <c r="I57" i="23"/>
  <c r="I69" i="23"/>
  <c r="I55" i="23"/>
  <c r="H35" i="19"/>
  <c r="I50" i="23"/>
  <c r="I25" i="23"/>
  <c r="I37" i="23"/>
  <c r="F57" i="2"/>
  <c r="I94" i="23"/>
  <c r="G76" i="17"/>
  <c r="H79" i="19"/>
  <c r="G88" i="17"/>
  <c r="AE81" i="17"/>
  <c r="H51" i="19"/>
  <c r="G102" i="17"/>
  <c r="H75" i="19"/>
  <c r="H26" i="19"/>
  <c r="H62" i="19"/>
  <c r="I51" i="23"/>
  <c r="I84" i="23"/>
  <c r="H34" i="19"/>
  <c r="AL58" i="25"/>
  <c r="H46" i="19"/>
  <c r="I77" i="23"/>
  <c r="H28" i="19"/>
  <c r="G70" i="17"/>
  <c r="G77" i="17"/>
  <c r="H45" i="19"/>
  <c r="H73" i="19"/>
  <c r="M175" i="42"/>
  <c r="AA13" i="28"/>
  <c r="H42" i="19"/>
  <c r="G64" i="16" s="1"/>
  <c r="H68" i="19"/>
  <c r="I47" i="23"/>
  <c r="AJ42" i="26"/>
  <c r="M164" i="42"/>
  <c r="I43" i="23"/>
  <c r="H103" i="19"/>
  <c r="H61" i="19"/>
  <c r="I63" i="23"/>
  <c r="I92" i="23"/>
  <c r="G92" i="17"/>
  <c r="M167" i="42"/>
  <c r="I76" i="23"/>
  <c r="I83" i="23"/>
  <c r="I78" i="23"/>
  <c r="H64" i="19"/>
  <c r="H77" i="19"/>
  <c r="S31" i="23"/>
  <c r="P17" i="2" s="1"/>
  <c r="I71" i="23" l="1"/>
  <c r="H66" i="19"/>
  <c r="G90" i="16" s="1"/>
  <c r="G78" i="17"/>
  <c r="G97" i="17"/>
  <c r="H52" i="19"/>
  <c r="G76" i="16" s="1"/>
  <c r="G68" i="16"/>
  <c r="G92" i="16"/>
  <c r="G69" i="16"/>
  <c r="G27" i="17"/>
  <c r="H91" i="19"/>
  <c r="G99" i="17"/>
  <c r="G99" i="16"/>
  <c r="G79" i="17"/>
  <c r="G28" i="17"/>
  <c r="G28" i="16"/>
  <c r="G53" i="16"/>
  <c r="G53" i="17"/>
  <c r="H104" i="19"/>
  <c r="H70" i="19"/>
  <c r="G98" i="17"/>
  <c r="H97" i="19"/>
  <c r="H96" i="19"/>
  <c r="H90" i="19"/>
  <c r="G114" i="16" s="1"/>
  <c r="G70" i="16"/>
  <c r="G36" i="17"/>
  <c r="G36" i="16"/>
  <c r="G88" i="16"/>
  <c r="H116" i="19"/>
  <c r="I56" i="23"/>
  <c r="G98" i="16" s="1"/>
  <c r="G56" i="16"/>
  <c r="G56" i="17"/>
  <c r="G120" i="17"/>
  <c r="H92" i="19"/>
  <c r="G81" i="17"/>
  <c r="H57" i="19"/>
  <c r="G81" i="16" s="1"/>
  <c r="H53" i="19"/>
  <c r="G77" i="16" s="1"/>
  <c r="G22" i="17"/>
  <c r="G22" i="16"/>
  <c r="G68" i="17"/>
  <c r="G32" i="17"/>
  <c r="G32" i="16"/>
  <c r="I81" i="23"/>
  <c r="H81" i="19"/>
  <c r="G105" i="16" s="1"/>
  <c r="G35" i="17"/>
  <c r="H23" i="19"/>
  <c r="G96" i="17"/>
  <c r="H72" i="19"/>
  <c r="G96" i="16" s="1"/>
  <c r="G54" i="17"/>
  <c r="G54" i="16"/>
  <c r="G40" i="16"/>
  <c r="G40" i="17"/>
  <c r="H78" i="19"/>
  <c r="G102" i="16" s="1"/>
  <c r="G44" i="16"/>
  <c r="I28" i="23"/>
  <c r="G38" i="16"/>
  <c r="G38" i="17"/>
  <c r="G108" i="17"/>
  <c r="G23" i="16"/>
  <c r="G23" i="17"/>
  <c r="G86" i="17"/>
  <c r="G128" i="17"/>
  <c r="I58" i="23"/>
  <c r="G101" i="16" s="1"/>
  <c r="G39" i="16"/>
  <c r="G39" i="17"/>
  <c r="G103" i="17"/>
  <c r="G103" i="16"/>
  <c r="G90" i="17"/>
  <c r="G37" i="16"/>
  <c r="G37" i="17"/>
  <c r="G94" i="17"/>
  <c r="H17" i="19"/>
  <c r="G57" i="17"/>
  <c r="G57" i="16"/>
  <c r="G101" i="17"/>
  <c r="G48" i="16"/>
  <c r="G48" i="17"/>
  <c r="G47" i="16"/>
  <c r="G47" i="17"/>
  <c r="G74" i="17"/>
  <c r="G67" i="17"/>
  <c r="H84" i="19"/>
  <c r="G75" i="16"/>
  <c r="G75" i="17"/>
  <c r="H59" i="19"/>
  <c r="G83" i="16" s="1"/>
  <c r="G83" i="17"/>
  <c r="H32" i="19"/>
  <c r="G45" i="17"/>
  <c r="G41" i="16"/>
  <c r="G41" i="17"/>
  <c r="H95" i="19"/>
  <c r="G127" i="17"/>
  <c r="G127" i="16"/>
  <c r="H94" i="19"/>
  <c r="G33" i="17"/>
  <c r="G33" i="16"/>
  <c r="H50" i="19"/>
  <c r="G74" i="16" s="1"/>
  <c r="I54" i="23"/>
  <c r="H76" i="19"/>
  <c r="G100" i="16" s="1"/>
  <c r="G100" i="17"/>
  <c r="G55" i="17"/>
  <c r="G55" i="16"/>
  <c r="G72" i="16"/>
  <c r="G72" i="17"/>
  <c r="I60" i="23"/>
  <c r="G104" i="16" s="1"/>
  <c r="I79" i="23"/>
  <c r="I31" i="23"/>
  <c r="H44" i="19"/>
  <c r="G67" i="16" s="1"/>
  <c r="G104" i="17"/>
  <c r="H67" i="19"/>
  <c r="G91" i="16" s="1"/>
  <c r="H54" i="19"/>
  <c r="G78" i="16" s="1"/>
  <c r="G69" i="17"/>
  <c r="G29" i="16"/>
  <c r="G29" i="17"/>
  <c r="H102" i="19"/>
  <c r="G21" i="17"/>
  <c r="G21" i="16"/>
  <c r="H115" i="19"/>
  <c r="G123" i="17"/>
  <c r="G116" i="17"/>
  <c r="G52" i="16"/>
  <c r="G52" i="17"/>
  <c r="G86" i="16"/>
  <c r="H98" i="19"/>
  <c r="G122" i="17"/>
  <c r="G97" i="16"/>
  <c r="G25" i="17"/>
  <c r="G25" i="16"/>
  <c r="I93" i="23"/>
  <c r="G118" i="17"/>
  <c r="H99" i="19"/>
  <c r="G49" i="17"/>
  <c r="G49" i="16"/>
  <c r="I45" i="23"/>
  <c r="G79" i="16" s="1"/>
  <c r="H65" i="19"/>
  <c r="G89" i="16" s="1"/>
  <c r="G64" i="17"/>
  <c r="G131" i="17"/>
  <c r="H107" i="19"/>
  <c r="G114" i="17"/>
  <c r="I42" i="23"/>
  <c r="G121" i="17"/>
  <c r="G126" i="17"/>
  <c r="G73" i="17"/>
  <c r="H49" i="19"/>
  <c r="G73" i="16" s="1"/>
  <c r="G85" i="16"/>
  <c r="G85" i="17"/>
  <c r="G130" i="16"/>
  <c r="G130" i="17"/>
  <c r="H22" i="19"/>
  <c r="G34" i="17"/>
  <c r="G115" i="17"/>
  <c r="G119" i="17"/>
  <c r="G65" i="16"/>
  <c r="V116" i="20"/>
  <c r="AB8" i="18"/>
  <c r="I86" i="23" l="1"/>
  <c r="V19" i="2"/>
  <c r="V23" i="15"/>
  <c r="G115" i="16"/>
  <c r="G50" i="17"/>
  <c r="G58" i="17"/>
  <c r="I61" i="23"/>
  <c r="G42" i="17"/>
  <c r="I96" i="23"/>
  <c r="G26" i="16"/>
  <c r="G30" i="16" s="1"/>
  <c r="G108" i="16"/>
  <c r="G124" i="17"/>
  <c r="G133" i="17" s="1"/>
  <c r="G116" i="16"/>
  <c r="G122" i="16"/>
  <c r="G58" i="16"/>
  <c r="G34" i="16"/>
  <c r="H118" i="19"/>
  <c r="G118" i="16"/>
  <c r="G119" i="16"/>
  <c r="G131" i="16"/>
  <c r="G26" i="17"/>
  <c r="G30" i="17" s="1"/>
  <c r="G94" i="16"/>
  <c r="G123" i="16"/>
  <c r="G45" i="16"/>
  <c r="G50" i="16" s="1"/>
  <c r="G95" i="17"/>
  <c r="G106" i="17" s="1"/>
  <c r="H71" i="19"/>
  <c r="G95" i="16" s="1"/>
  <c r="G121" i="16"/>
  <c r="I33" i="23"/>
  <c r="H100" i="19"/>
  <c r="H109" i="19" s="1"/>
  <c r="G128" i="16"/>
  <c r="G120" i="16"/>
  <c r="G126" i="16"/>
  <c r="G35" i="16"/>
  <c r="V120" i="20"/>
  <c r="G60" i="17" l="1"/>
  <c r="G110" i="17" s="1"/>
  <c r="G136" i="17" s="1"/>
  <c r="G124" i="16"/>
  <c r="G133" i="16" s="1"/>
  <c r="I65" i="23"/>
  <c r="I89" i="23" s="1"/>
  <c r="I101" i="23" s="1"/>
  <c r="G42" i="16"/>
  <c r="G60" i="16" s="1"/>
  <c r="Z16" i="43"/>
  <c r="Z15" i="43"/>
  <c r="Z12" i="43"/>
  <c r="H82" i="19" l="1"/>
  <c r="G106" i="16"/>
  <c r="G110" i="16" s="1"/>
  <c r="G136" i="16" s="1"/>
  <c r="E124" i="16" l="1"/>
  <c r="U50" i="17"/>
  <c r="U42" i="17"/>
  <c r="U58" i="17"/>
  <c r="U26" i="17"/>
  <c r="U30" i="17" s="1"/>
  <c r="U124" i="17"/>
  <c r="U133" i="17" s="1"/>
  <c r="U26" i="16"/>
  <c r="U30" i="16" s="1"/>
  <c r="U106" i="17"/>
  <c r="U142" i="17"/>
  <c r="U60" i="17" l="1"/>
  <c r="U110" i="17" s="1"/>
  <c r="U136" i="17" s="1"/>
  <c r="U146" i="17" s="1"/>
  <c r="C48" i="16" l="1"/>
  <c r="C48" i="17"/>
  <c r="B23" i="22"/>
  <c r="F17" i="15" l="1"/>
  <c r="W26" i="16"/>
  <c r="N45" i="15"/>
  <c r="W26" i="17"/>
  <c r="W142" i="17" l="1"/>
  <c r="L47" i="15"/>
  <c r="Y28" i="23"/>
  <c r="Y23" i="23"/>
  <c r="N16" i="2"/>
  <c r="N17" i="3" s="1"/>
  <c r="Y96" i="23"/>
  <c r="W58" i="17"/>
  <c r="Y31" i="23"/>
  <c r="W58" i="16" l="1"/>
  <c r="L17" i="3"/>
  <c r="W106" i="17"/>
  <c r="Y33" i="23"/>
  <c r="W30" i="17"/>
  <c r="W30" i="16"/>
  <c r="Y79" i="23"/>
  <c r="Y86" i="23" s="1"/>
  <c r="Y61" i="23"/>
  <c r="W42" i="17"/>
  <c r="W50" i="17"/>
  <c r="W124" i="17"/>
  <c r="W133" i="17" s="1"/>
  <c r="W42" i="16"/>
  <c r="W50" i="16"/>
  <c r="Y26" i="16"/>
  <c r="Y65" i="23" l="1"/>
  <c r="Y89" i="23" s="1"/>
  <c r="Y101" i="23" s="1"/>
  <c r="W106" i="16"/>
  <c r="W124" i="16"/>
  <c r="W133" i="16" s="1"/>
  <c r="W60" i="17"/>
  <c r="W110" i="17" s="1"/>
  <c r="W136" i="17" s="1"/>
  <c r="W146" i="17" s="1"/>
  <c r="W60" i="16"/>
  <c r="F45" i="15" l="1"/>
  <c r="X45" i="15" s="1"/>
  <c r="H26" i="5"/>
  <c r="W110" i="16"/>
  <c r="W136" i="16" s="1"/>
  <c r="AB48" i="16" l="1"/>
  <c r="AB48" i="17"/>
  <c r="D30" i="3"/>
  <c r="D29" i="3"/>
  <c r="D34" i="3"/>
  <c r="D31" i="3"/>
  <c r="V45" i="15"/>
  <c r="K50" i="16" l="1"/>
  <c r="K58" i="16"/>
  <c r="K106" i="16"/>
  <c r="K42" i="16"/>
  <c r="K26" i="16"/>
  <c r="K30" i="16" s="1"/>
  <c r="K124" i="16"/>
  <c r="K133" i="16" s="1"/>
  <c r="Z21" i="43"/>
  <c r="Z26" i="43"/>
  <c r="K60" i="16" l="1"/>
  <c r="K110" i="16" s="1"/>
  <c r="K136" i="16" s="1"/>
  <c r="O31" i="23" l="1"/>
  <c r="AJ34" i="20" l="1"/>
  <c r="AL34" i="20" s="1"/>
  <c r="D26" i="3"/>
  <c r="D39" i="3"/>
  <c r="D27" i="3"/>
  <c r="D38" i="3"/>
  <c r="AA14" i="27"/>
  <c r="D32" i="3"/>
  <c r="N23" i="15"/>
  <c r="AL41" i="21"/>
  <c r="AI84" i="23"/>
  <c r="AG21" i="19"/>
  <c r="F23" i="15"/>
  <c r="AG25" i="19"/>
  <c r="AL25" i="19" s="1"/>
  <c r="AI21" i="23"/>
  <c r="D20" i="3"/>
  <c r="F24" i="15"/>
  <c r="D25" i="3"/>
  <c r="F18" i="2"/>
  <c r="AI92" i="23"/>
  <c r="AK31" i="18"/>
  <c r="D37" i="3"/>
  <c r="H27" i="5"/>
  <c r="D33" i="3"/>
  <c r="AE21" i="17"/>
  <c r="AE21" i="16"/>
  <c r="AI32" i="18"/>
  <c r="F33" i="15"/>
  <c r="F16" i="15"/>
  <c r="F14" i="2"/>
  <c r="E92" i="23"/>
  <c r="AD95" i="24"/>
  <c r="G204" i="42"/>
  <c r="AG23" i="19"/>
  <c r="AJ33" i="20"/>
  <c r="AL33" i="20" s="1"/>
  <c r="C81" i="17"/>
  <c r="AE37" i="17"/>
  <c r="AK32" i="18"/>
  <c r="AE48" i="17"/>
  <c r="AE48" i="16"/>
  <c r="AH42" i="26"/>
  <c r="D25" i="19"/>
  <c r="AJ25" i="20"/>
  <c r="C96" i="17"/>
  <c r="C37" i="17"/>
  <c r="AB37" i="17" s="1"/>
  <c r="U31" i="23"/>
  <c r="O28" i="23"/>
  <c r="O23" i="23"/>
  <c r="AD48" i="2" l="1"/>
  <c r="AI48" i="2" s="1"/>
  <c r="AN92" i="23"/>
  <c r="AH48" i="17"/>
  <c r="AJ48" i="17" s="1"/>
  <c r="AJ37" i="17"/>
  <c r="AH37" i="17"/>
  <c r="AE37" i="16"/>
  <c r="AD33" i="15" s="1"/>
  <c r="AJ33" i="15" s="1"/>
  <c r="AD25" i="19"/>
  <c r="J33" i="15" s="1"/>
  <c r="X33" i="15" s="1"/>
  <c r="C37" i="16"/>
  <c r="AB37" i="16" s="1"/>
  <c r="V33" i="15"/>
  <c r="J18" i="6"/>
  <c r="D59" i="19"/>
  <c r="C83" i="17"/>
  <c r="AB83" i="17" s="1"/>
  <c r="AH83" i="17" s="1"/>
  <c r="AJ83" i="17" s="1"/>
  <c r="W31" i="23"/>
  <c r="U58" i="16"/>
  <c r="U42" i="16"/>
  <c r="W23" i="23"/>
  <c r="W28" i="23"/>
  <c r="U28" i="23"/>
  <c r="O96" i="23"/>
  <c r="O79" i="23"/>
  <c r="O86" i="23" s="1"/>
  <c r="O33" i="23"/>
  <c r="J116" i="20"/>
  <c r="AH37" i="16" l="1"/>
  <c r="AJ37" i="16"/>
  <c r="AJ25" i="19"/>
  <c r="C83" i="16"/>
  <c r="AB83" i="16" s="1"/>
  <c r="AD59" i="19"/>
  <c r="AH33" i="15"/>
  <c r="U50" i="16"/>
  <c r="U60" i="16" s="1"/>
  <c r="W96" i="23"/>
  <c r="U106" i="16"/>
  <c r="W79" i="23"/>
  <c r="W86" i="23" s="1"/>
  <c r="W61" i="23"/>
  <c r="W33" i="23"/>
  <c r="S106" i="17"/>
  <c r="S142" i="17"/>
  <c r="S124" i="17"/>
  <c r="S133" i="17" s="1"/>
  <c r="S42" i="17"/>
  <c r="S50" i="17"/>
  <c r="U61" i="23"/>
  <c r="U79" i="23"/>
  <c r="U86" i="23" s="1"/>
  <c r="S58" i="17"/>
  <c r="S26" i="17"/>
  <c r="S30" i="17" s="1"/>
  <c r="U96" i="23"/>
  <c r="J120" i="20"/>
  <c r="Z32" i="43"/>
  <c r="U124" i="16" l="1"/>
  <c r="U133" i="16" s="1"/>
  <c r="U110" i="16"/>
  <c r="W65" i="23"/>
  <c r="W89" i="23" s="1"/>
  <c r="W101" i="23" s="1"/>
  <c r="S60" i="17"/>
  <c r="S110" i="17" s="1"/>
  <c r="S136" i="17" s="1"/>
  <c r="S146" i="17" s="1"/>
  <c r="U136" i="16" l="1"/>
  <c r="D15" i="6"/>
  <c r="D14" i="6"/>
  <c r="D15" i="5"/>
  <c r="D14" i="5"/>
  <c r="AA71" i="22" l="1"/>
  <c r="N19" i="2"/>
  <c r="N50" i="2"/>
  <c r="F13" i="15"/>
  <c r="F12" i="15"/>
  <c r="P15" i="5" l="1"/>
  <c r="Z37" i="43" l="1"/>
  <c r="K58" i="17" l="1"/>
  <c r="K42" i="17"/>
  <c r="K106" i="17"/>
  <c r="K50" i="17"/>
  <c r="K26" i="17"/>
  <c r="K30" i="17" s="1"/>
  <c r="K142" i="17"/>
  <c r="K124" i="17"/>
  <c r="K60" i="17" l="1"/>
  <c r="K110" i="17" s="1"/>
  <c r="K262" i="42" l="1"/>
  <c r="C72" i="34"/>
  <c r="K265" i="42" l="1"/>
  <c r="Z33" i="43"/>
  <c r="Z25" i="43"/>
  <c r="Z24" i="43"/>
  <c r="Z23" i="43"/>
  <c r="Z22" i="43"/>
  <c r="W10" i="41" l="1"/>
  <c r="Y10" i="41" s="1"/>
  <c r="I10" i="41"/>
  <c r="O10" i="41" s="1"/>
  <c r="G10" i="41"/>
  <c r="M10" i="41" s="1"/>
  <c r="S10" i="41" s="1"/>
  <c r="E10" i="41"/>
  <c r="K10" i="41" s="1"/>
  <c r="Q10" i="41" s="1"/>
  <c r="A6" i="41"/>
  <c r="M10" i="40"/>
  <c r="AA10" i="41" s="1"/>
  <c r="B5" i="36"/>
  <c r="A7" i="31" l="1"/>
  <c r="A7" i="32" s="1"/>
  <c r="A6" i="33" s="1"/>
  <c r="D19" i="32" l="1"/>
  <c r="Z30" i="43"/>
  <c r="AG20" i="19" l="1"/>
  <c r="AD40" i="2"/>
  <c r="AI20" i="23"/>
  <c r="AI43" i="18"/>
  <c r="AK43" i="18" s="1"/>
  <c r="AJ57" i="20"/>
  <c r="AL57" i="20" s="1"/>
  <c r="AL34" i="25"/>
  <c r="AG42" i="19"/>
  <c r="AG59" i="19"/>
  <c r="AJ59" i="20"/>
  <c r="AL59" i="20" s="1"/>
  <c r="AJ73" i="25"/>
  <c r="AL73" i="25" s="1"/>
  <c r="AG23" i="22"/>
  <c r="AG22" i="22"/>
  <c r="AI22" i="22" s="1"/>
  <c r="AG20" i="22"/>
  <c r="AI76" i="18"/>
  <c r="AK76" i="18" s="1"/>
  <c r="AJ60" i="20"/>
  <c r="AL60" i="20" s="1"/>
  <c r="AL50" i="25"/>
  <c r="AJ58" i="20"/>
  <c r="AL58" i="20" s="1"/>
  <c r="AJ21" i="21"/>
  <c r="AI27" i="23"/>
  <c r="AD16" i="15"/>
  <c r="AE25" i="16"/>
  <c r="AA17" i="3"/>
  <c r="F28" i="2"/>
  <c r="AE83" i="16" l="1"/>
  <c r="AH83" i="16" s="1"/>
  <c r="AJ83" i="16" s="1"/>
  <c r="AI23" i="22"/>
  <c r="AJ59" i="19"/>
  <c r="AL59" i="19" s="1"/>
  <c r="AD45" i="15"/>
  <c r="AH48" i="16"/>
  <c r="AJ48" i="16" s="1"/>
  <c r="Q23" i="23"/>
  <c r="Q31" i="23"/>
  <c r="Q28" i="23"/>
  <c r="M42" i="40"/>
  <c r="M39" i="40"/>
  <c r="M38" i="40"/>
  <c r="M34" i="40"/>
  <c r="M33" i="40"/>
  <c r="M32" i="40"/>
  <c r="M31" i="40"/>
  <c r="M29" i="40"/>
  <c r="M28" i="40"/>
  <c r="M21" i="40"/>
  <c r="M20" i="40"/>
  <c r="M19" i="40"/>
  <c r="Q96" i="23" l="1"/>
  <c r="Q33" i="23"/>
  <c r="Q79" i="23"/>
  <c r="Q86" i="23" s="1"/>
  <c r="Q61" i="23"/>
  <c r="Q65" i="23" l="1"/>
  <c r="Q89" i="23" s="1"/>
  <c r="M41" i="40" l="1"/>
  <c r="G7" i="45" l="1"/>
  <c r="C7" i="45"/>
  <c r="AC12" i="18" l="1"/>
  <c r="AD13" i="20"/>
  <c r="AI15" i="23"/>
  <c r="AD14" i="24" l="1"/>
  <c r="G49" i="44" l="1"/>
  <c r="G53" i="44" s="1"/>
  <c r="M43" i="40"/>
  <c r="E41" i="10" l="1"/>
  <c r="E49" i="7" s="1"/>
  <c r="C41" i="10" l="1"/>
  <c r="C49" i="7" s="1"/>
  <c r="B17" i="43" l="1"/>
  <c r="AC9" i="21" l="1"/>
  <c r="D27" i="32" l="1"/>
  <c r="C28" i="31"/>
  <c r="D106" i="19" l="1"/>
  <c r="AE40" i="17" l="1"/>
  <c r="AG106" i="19"/>
  <c r="AD106" i="19"/>
  <c r="J40" i="2" s="1"/>
  <c r="AJ76" i="21"/>
  <c r="AL76" i="21" s="1"/>
  <c r="AE130" i="16" l="1"/>
  <c r="G32" i="10"/>
  <c r="K32" i="10" s="1"/>
  <c r="AI46" i="23"/>
  <c r="AG44" i="22"/>
  <c r="AI44" i="22" s="1"/>
  <c r="AE57" i="16"/>
  <c r="AD55" i="15" s="1"/>
  <c r="AE88" i="17"/>
  <c r="AJ106" i="19"/>
  <c r="AL106" i="19" s="1"/>
  <c r="Z17" i="43"/>
  <c r="AA75" i="22" l="1"/>
  <c r="B6" i="24" l="1"/>
  <c r="P116" i="20" l="1"/>
  <c r="I124" i="17" l="1"/>
  <c r="I133" i="17" s="1"/>
  <c r="J56" i="15" l="1"/>
  <c r="H56" i="15"/>
  <c r="Y58" i="16" l="1"/>
  <c r="Y58" i="17"/>
  <c r="K14" i="30" l="1"/>
  <c r="I262" i="42"/>
  <c r="M127" i="42" l="1"/>
  <c r="G101" i="42"/>
  <c r="M173" i="42"/>
  <c r="G209" i="42"/>
  <c r="G11" i="42"/>
  <c r="M162" i="42"/>
  <c r="M110" i="42"/>
  <c r="K89" i="30"/>
  <c r="G215" i="42"/>
  <c r="M138" i="42"/>
  <c r="G262" i="42"/>
  <c r="I265" i="42"/>
  <c r="M22" i="40"/>
  <c r="G265" i="42" l="1"/>
  <c r="AI80" i="18"/>
  <c r="AK80" i="18" s="1"/>
  <c r="D21" i="19" l="1"/>
  <c r="D35" i="19"/>
  <c r="D60" i="19"/>
  <c r="AD35" i="19" l="1"/>
  <c r="C25" i="16"/>
  <c r="S58" i="16" l="1"/>
  <c r="AC9" i="20"/>
  <c r="AE28" i="16" l="1"/>
  <c r="AE57" i="17"/>
  <c r="R21" i="15"/>
  <c r="P21" i="15"/>
  <c r="N21" i="15"/>
  <c r="L21" i="15"/>
  <c r="J21" i="15"/>
  <c r="H21" i="15"/>
  <c r="D57" i="19" l="1"/>
  <c r="C81" i="16" s="1"/>
  <c r="D26" i="19"/>
  <c r="D61" i="19"/>
  <c r="AG28" i="19"/>
  <c r="AE40" i="16" s="1"/>
  <c r="D81" i="19"/>
  <c r="D74" i="19"/>
  <c r="D79" i="19"/>
  <c r="D115" i="19"/>
  <c r="AD115" i="19" s="1"/>
  <c r="D55" i="19"/>
  <c r="D48" i="32"/>
  <c r="D45" i="19"/>
  <c r="D33" i="19"/>
  <c r="AD33" i="19" s="1"/>
  <c r="D62" i="19"/>
  <c r="D28" i="19"/>
  <c r="AJ28" i="20"/>
  <c r="AL28" i="20" s="1"/>
  <c r="D70" i="19"/>
  <c r="D22" i="19"/>
  <c r="AD22" i="19" s="1"/>
  <c r="AI36" i="18"/>
  <c r="AK36" i="18" s="1"/>
  <c r="F37" i="15"/>
  <c r="X37" i="15" s="1"/>
  <c r="D44" i="19"/>
  <c r="D92" i="19"/>
  <c r="D32" i="19"/>
  <c r="D34" i="19"/>
  <c r="C57" i="16"/>
  <c r="AI35" i="18"/>
  <c r="F36" i="15"/>
  <c r="D49" i="19"/>
  <c r="D80" i="19"/>
  <c r="D53" i="19"/>
  <c r="D23" i="19"/>
  <c r="D97" i="19"/>
  <c r="D47" i="19"/>
  <c r="D27" i="19"/>
  <c r="D78" i="19"/>
  <c r="D90" i="19"/>
  <c r="AE41" i="17"/>
  <c r="AE41" i="16"/>
  <c r="AD37" i="15" s="1"/>
  <c r="D24" i="19"/>
  <c r="D54" i="19"/>
  <c r="D76" i="19"/>
  <c r="D64" i="19"/>
  <c r="D31" i="19"/>
  <c r="D65" i="19"/>
  <c r="D72" i="19"/>
  <c r="D42" i="19"/>
  <c r="D20" i="19"/>
  <c r="AD20" i="19" s="1"/>
  <c r="D107" i="19"/>
  <c r="D58" i="19"/>
  <c r="D67" i="19"/>
  <c r="AK35" i="18"/>
  <c r="D51" i="19"/>
  <c r="D77" i="19"/>
  <c r="D73" i="19"/>
  <c r="C22" i="17"/>
  <c r="D104" i="19"/>
  <c r="D103" i="19"/>
  <c r="D17" i="19"/>
  <c r="B27" i="22"/>
  <c r="D84" i="19"/>
  <c r="J28" i="15" l="1"/>
  <c r="AD24" i="19"/>
  <c r="AD17" i="19"/>
  <c r="AD72" i="19"/>
  <c r="C96" i="16"/>
  <c r="AD28" i="19"/>
  <c r="J36" i="15" s="1"/>
  <c r="X36" i="15" s="1"/>
  <c r="V36" i="15"/>
  <c r="AH37" i="15"/>
  <c r="AJ37" i="15" s="1"/>
  <c r="AD36" i="15"/>
  <c r="C40" i="17"/>
  <c r="AB40" i="17" s="1"/>
  <c r="AH40" i="17" s="1"/>
  <c r="AJ40" i="17" s="1"/>
  <c r="D51" i="32"/>
  <c r="D75" i="19"/>
  <c r="D95" i="19"/>
  <c r="D46" i="19"/>
  <c r="D99" i="19"/>
  <c r="D98" i="19"/>
  <c r="D94" i="19"/>
  <c r="C131" i="17"/>
  <c r="D52" i="19"/>
  <c r="D96" i="19"/>
  <c r="D66" i="19"/>
  <c r="C57" i="17"/>
  <c r="D53" i="18"/>
  <c r="D71" i="19"/>
  <c r="D116" i="19"/>
  <c r="D102" i="19"/>
  <c r="C44" i="26"/>
  <c r="D68" i="19"/>
  <c r="D91" i="19"/>
  <c r="D50" i="19"/>
  <c r="C41" i="16"/>
  <c r="C41" i="17"/>
  <c r="AB41" i="17" s="1"/>
  <c r="AH41" i="17" s="1"/>
  <c r="AJ41" i="17" s="1"/>
  <c r="V37" i="15"/>
  <c r="C40" i="16"/>
  <c r="K12" i="34"/>
  <c r="M12" i="34" s="1"/>
  <c r="S12" i="34" s="1"/>
  <c r="K11" i="34"/>
  <c r="S11" i="34" s="1"/>
  <c r="L12" i="32"/>
  <c r="J13" i="33" s="1"/>
  <c r="D12" i="32"/>
  <c r="K14" i="31"/>
  <c r="C14" i="31"/>
  <c r="A8" i="31"/>
  <c r="A8" i="32" s="1"/>
  <c r="A7" i="33" s="1"/>
  <c r="L17" i="32" l="1"/>
  <c r="AJ28" i="19"/>
  <c r="AL28" i="19" s="1"/>
  <c r="AH36" i="15"/>
  <c r="AJ36" i="15" s="1"/>
  <c r="D13" i="33"/>
  <c r="J17" i="33" l="1"/>
  <c r="AB12" i="17"/>
  <c r="A40" i="14"/>
  <c r="A6" i="14"/>
  <c r="A6" i="13"/>
  <c r="A40" i="13"/>
  <c r="A40" i="12"/>
  <c r="A6" i="12"/>
  <c r="A6" i="11"/>
  <c r="A42" i="11"/>
  <c r="A42" i="10"/>
  <c r="A6" i="10"/>
  <c r="A50" i="9"/>
  <c r="A49" i="8"/>
  <c r="A6" i="9"/>
  <c r="A6" i="8"/>
  <c r="S26" i="16" l="1"/>
  <c r="AD11" i="2"/>
  <c r="X11" i="2"/>
  <c r="N11" i="2"/>
  <c r="J11" i="2"/>
  <c r="R11" i="2" s="1"/>
  <c r="L15" i="6"/>
  <c r="X13" i="15"/>
  <c r="P12" i="2"/>
  <c r="N12" i="2"/>
  <c r="L12" i="2"/>
  <c r="J12" i="2"/>
  <c r="H12" i="2"/>
  <c r="R12" i="2" l="1"/>
  <c r="L15" i="5"/>
  <c r="AI90" i="18" l="1"/>
  <c r="Q26" i="16" l="1"/>
  <c r="Q58" i="16" l="1"/>
  <c r="Q58" i="17"/>
  <c r="O58" i="17" l="1"/>
  <c r="O58" i="16"/>
  <c r="M58" i="17"/>
  <c r="M58" i="16"/>
  <c r="C65" i="17" l="1"/>
  <c r="AE96" i="17" l="1"/>
  <c r="AJ72" i="20"/>
  <c r="AL72" i="20" s="1"/>
  <c r="AG72" i="19"/>
  <c r="AE96" i="16" s="1"/>
  <c r="AB96" i="17"/>
  <c r="AH96" i="17" l="1"/>
  <c r="AJ96" i="17"/>
  <c r="E44" i="26" l="1"/>
  <c r="E58" i="16" l="1"/>
  <c r="E58" i="17"/>
  <c r="E50" i="16"/>
  <c r="C127" i="17" l="1"/>
  <c r="M16" i="40"/>
  <c r="M35" i="40" l="1"/>
  <c r="M24" i="40"/>
  <c r="A42" i="12" l="1"/>
  <c r="F20" i="15" l="1"/>
  <c r="AI52" i="18"/>
  <c r="AK52" i="18" s="1"/>
  <c r="F55" i="15"/>
  <c r="N55" i="15"/>
  <c r="AG26" i="22"/>
  <c r="AI26" i="22" s="1"/>
  <c r="X55" i="15" l="1"/>
  <c r="AH55" i="15" s="1"/>
  <c r="AJ55" i="15" s="1"/>
  <c r="V55" i="15"/>
  <c r="AB57" i="17"/>
  <c r="AH57" i="17" s="1"/>
  <c r="AJ57" i="17" s="1"/>
  <c r="AB57" i="16"/>
  <c r="AH57" i="16" s="1"/>
  <c r="AJ57" i="16" s="1"/>
  <c r="I58" i="17" l="1"/>
  <c r="I58" i="16"/>
  <c r="Z42" i="37" l="1"/>
  <c r="AE22" i="16"/>
  <c r="AA42" i="3"/>
  <c r="J42" i="3"/>
  <c r="T42" i="3" s="1"/>
  <c r="C21" i="17"/>
  <c r="AB21" i="17" s="1"/>
  <c r="C21" i="16"/>
  <c r="AB21" i="16" s="1"/>
  <c r="C20" i="41"/>
  <c r="C24" i="41" s="1"/>
  <c r="AA19" i="41"/>
  <c r="AA18" i="41"/>
  <c r="AA17" i="41"/>
  <c r="AA16" i="41"/>
  <c r="AA15" i="41"/>
  <c r="AA14" i="41"/>
  <c r="L56" i="15" l="1"/>
  <c r="AD42" i="3"/>
  <c r="AF42" i="3" s="1"/>
  <c r="AB131" i="17"/>
  <c r="R42" i="3"/>
  <c r="AA20" i="41"/>
  <c r="AA24" i="41" s="1"/>
  <c r="D18" i="3" l="1"/>
  <c r="D56" i="15"/>
  <c r="C25" i="17"/>
  <c r="O26" i="17" l="1"/>
  <c r="O26" i="16"/>
  <c r="O106" i="17"/>
  <c r="O142" i="17"/>
  <c r="Q26" i="17" l="1"/>
  <c r="A52" i="9"/>
  <c r="A42" i="14" l="1"/>
  <c r="A42" i="13"/>
  <c r="A44" i="11"/>
  <c r="A44" i="10"/>
  <c r="M26" i="16" l="1"/>
  <c r="M26" i="17" l="1"/>
  <c r="C24" i="16" l="1"/>
  <c r="C24" i="17"/>
  <c r="AB24" i="17" s="1"/>
  <c r="AA31" i="23" l="1"/>
  <c r="AA23" i="23" l="1"/>
  <c r="AA28" i="23"/>
  <c r="AA96" i="23" l="1"/>
  <c r="Y50" i="16"/>
  <c r="Y106" i="17"/>
  <c r="Y42" i="17"/>
  <c r="Y30" i="16"/>
  <c r="Y50" i="17"/>
  <c r="Y124" i="17"/>
  <c r="Y133" i="17" s="1"/>
  <c r="Y26" i="17"/>
  <c r="AA33" i="23"/>
  <c r="AA79" i="23"/>
  <c r="AA86" i="23" s="1"/>
  <c r="Y106" i="16"/>
  <c r="AA61" i="23"/>
  <c r="Y42" i="16"/>
  <c r="B34" i="43"/>
  <c r="AD116" i="20" l="1"/>
  <c r="AD120" i="20" s="1"/>
  <c r="P18" i="6"/>
  <c r="C29" i="16"/>
  <c r="C73" i="17"/>
  <c r="C82" i="17"/>
  <c r="C104" i="17"/>
  <c r="C113" i="30"/>
  <c r="P18" i="5"/>
  <c r="C23" i="16"/>
  <c r="AA39" i="27"/>
  <c r="C38" i="17"/>
  <c r="AL85" i="21"/>
  <c r="AG37" i="27"/>
  <c r="AI37" i="27" s="1"/>
  <c r="AE22" i="17"/>
  <c r="F19" i="6"/>
  <c r="C156" i="30"/>
  <c r="C54" i="17"/>
  <c r="C88" i="17"/>
  <c r="C35" i="17"/>
  <c r="C33" i="17"/>
  <c r="C97" i="17"/>
  <c r="B26" i="6"/>
  <c r="C121" i="17"/>
  <c r="C100" i="17"/>
  <c r="C99" i="17"/>
  <c r="AG95" i="24"/>
  <c r="C130" i="17"/>
  <c r="AC96" i="23"/>
  <c r="P25" i="5"/>
  <c r="AE99" i="17"/>
  <c r="L38" i="15"/>
  <c r="C105" i="17"/>
  <c r="AG103" i="19"/>
  <c r="C24" i="30"/>
  <c r="E94" i="23"/>
  <c r="B19" i="6"/>
  <c r="C102" i="17"/>
  <c r="D22" i="18"/>
  <c r="AD71" i="22"/>
  <c r="AG71" i="22" s="1"/>
  <c r="C84" i="17"/>
  <c r="C54" i="16"/>
  <c r="C118" i="17"/>
  <c r="C36" i="17"/>
  <c r="C23" i="17"/>
  <c r="AB23" i="17" s="1"/>
  <c r="C67" i="17"/>
  <c r="Y124" i="16"/>
  <c r="Y133" i="16" s="1"/>
  <c r="AA65" i="23"/>
  <c r="AA89" i="23" s="1"/>
  <c r="AF94" i="23" l="1"/>
  <c r="B29" i="6"/>
  <c r="AJ95" i="24"/>
  <c r="AI22" i="18"/>
  <c r="AK22" i="18" s="1"/>
  <c r="C74" i="17"/>
  <c r="C45" i="17"/>
  <c r="C70" i="17"/>
  <c r="B21" i="5"/>
  <c r="C94" i="17"/>
  <c r="C123" i="17"/>
  <c r="C101" i="17"/>
  <c r="C122" i="17"/>
  <c r="C76" i="17"/>
  <c r="C68" i="17"/>
  <c r="AB68" i="17" s="1"/>
  <c r="C46" i="17"/>
  <c r="C49" i="17"/>
  <c r="C90" i="17"/>
  <c r="C98" i="17"/>
  <c r="B29" i="5"/>
  <c r="D114" i="18"/>
  <c r="D120" i="18" s="1"/>
  <c r="E93" i="23"/>
  <c r="C114" i="17"/>
  <c r="C89" i="17"/>
  <c r="C128" i="17"/>
  <c r="C91" i="17"/>
  <c r="C79" i="17"/>
  <c r="C103" i="17"/>
  <c r="C28" i="16"/>
  <c r="C108" i="17"/>
  <c r="C95" i="17"/>
  <c r="C34" i="17"/>
  <c r="C27" i="17"/>
  <c r="C52" i="17"/>
  <c r="C28" i="17"/>
  <c r="C44" i="17"/>
  <c r="C130" i="16"/>
  <c r="C72" i="17"/>
  <c r="C72" i="16"/>
  <c r="C56" i="16"/>
  <c r="C56" i="17"/>
  <c r="C92" i="17"/>
  <c r="C85" i="17"/>
  <c r="C77" i="17"/>
  <c r="D96" i="18"/>
  <c r="C64" i="17"/>
  <c r="C39" i="17"/>
  <c r="C32" i="17"/>
  <c r="C52" i="16"/>
  <c r="C29" i="17"/>
  <c r="C69" i="17"/>
  <c r="C53" i="17"/>
  <c r="C53" i="16"/>
  <c r="C78" i="17"/>
  <c r="C75" i="17"/>
  <c r="C115" i="17"/>
  <c r="C116" i="17"/>
  <c r="C26" i="17"/>
  <c r="C22" i="16"/>
  <c r="C26" i="16" s="1"/>
  <c r="D21" i="15"/>
  <c r="D25" i="15" s="1"/>
  <c r="C47" i="17"/>
  <c r="C126" i="17"/>
  <c r="C55" i="17"/>
  <c r="C120" i="17"/>
  <c r="C119" i="17"/>
  <c r="C86" i="17"/>
  <c r="AF93" i="23" l="1"/>
  <c r="C42" i="17"/>
  <c r="C58" i="17"/>
  <c r="D34" i="2"/>
  <c r="D42" i="2" s="1"/>
  <c r="D38" i="15"/>
  <c r="D47" i="15"/>
  <c r="AB82" i="19"/>
  <c r="AB36" i="19"/>
  <c r="AB29" i="19"/>
  <c r="D58" i="15" l="1"/>
  <c r="AB38" i="19"/>
  <c r="AB86" i="19" s="1"/>
  <c r="AJ79" i="20" l="1"/>
  <c r="I34" i="10"/>
  <c r="P32" i="6"/>
  <c r="I26" i="17" l="1"/>
  <c r="I26" i="16"/>
  <c r="AB96" i="16"/>
  <c r="AH96" i="16" s="1"/>
  <c r="AJ96" i="16" s="1"/>
  <c r="AJ21" i="24"/>
  <c r="AL21" i="24" s="1"/>
  <c r="R50" i="2" l="1"/>
  <c r="AJ72" i="19"/>
  <c r="AL72" i="19" s="1"/>
  <c r="H35" i="3" l="1"/>
  <c r="H43" i="3" s="1"/>
  <c r="AG48" i="22"/>
  <c r="AI48" i="22" s="1"/>
  <c r="AE103" i="17"/>
  <c r="AK90" i="18"/>
  <c r="M30" i="16"/>
  <c r="M124" i="17"/>
  <c r="M30" i="17"/>
  <c r="M42" i="17"/>
  <c r="M50" i="17"/>
  <c r="M106" i="17"/>
  <c r="AG13" i="19" l="1"/>
  <c r="M50" i="16"/>
  <c r="F29" i="19"/>
  <c r="F36" i="19"/>
  <c r="G23" i="23"/>
  <c r="G28" i="23"/>
  <c r="Y60" i="16"/>
  <c r="Y110" i="16" s="1"/>
  <c r="Y136" i="16" s="1"/>
  <c r="M124" i="16"/>
  <c r="M60" i="17"/>
  <c r="M142" i="17"/>
  <c r="L34" i="2"/>
  <c r="G79" i="23" l="1"/>
  <c r="G86" i="23" s="1"/>
  <c r="G61" i="23"/>
  <c r="G31" i="23"/>
  <c r="F100" i="19"/>
  <c r="F109" i="19" s="1"/>
  <c r="G33" i="23" l="1"/>
  <c r="G65" i="23" s="1"/>
  <c r="G89" i="23" s="1"/>
  <c r="F82" i="19"/>
  <c r="M22" i="39" l="1"/>
  <c r="M45" i="39"/>
  <c r="M38" i="39"/>
  <c r="M28" i="39"/>
  <c r="M30" i="39" l="1"/>
  <c r="M48" i="39" l="1"/>
  <c r="M50" i="39" s="1"/>
  <c r="C47" i="16"/>
  <c r="X116" i="20" l="1"/>
  <c r="X120" i="20" s="1"/>
  <c r="M46" i="40"/>
  <c r="M48" i="40" s="1"/>
  <c r="E59" i="23" l="1"/>
  <c r="AF59" i="23" s="1"/>
  <c r="E60" i="23"/>
  <c r="AD55" i="19"/>
  <c r="C34" i="16" l="1"/>
  <c r="C103" i="16"/>
  <c r="AB103" i="16" s="1"/>
  <c r="AD21" i="19"/>
  <c r="E52" i="23"/>
  <c r="AF52" i="23" s="1"/>
  <c r="AK68" i="18"/>
  <c r="E70" i="23"/>
  <c r="E49" i="23"/>
  <c r="AF49" i="23" s="1"/>
  <c r="AE35" i="17"/>
  <c r="E58" i="23"/>
  <c r="E30" i="23"/>
  <c r="P23" i="6"/>
  <c r="C102" i="16"/>
  <c r="AG22" i="19"/>
  <c r="AI68" i="18"/>
  <c r="E22" i="23"/>
  <c r="E77" i="23"/>
  <c r="AE95" i="17"/>
  <c r="E26" i="23"/>
  <c r="AF26" i="23" s="1"/>
  <c r="AJ19" i="25"/>
  <c r="F30" i="2"/>
  <c r="C82" i="16"/>
  <c r="C95" i="16"/>
  <c r="C104" i="16"/>
  <c r="AI43" i="23"/>
  <c r="AI74" i="23"/>
  <c r="E63" i="23"/>
  <c r="AF63" i="23" s="1"/>
  <c r="C73" i="16"/>
  <c r="P35" i="5"/>
  <c r="E69" i="23"/>
  <c r="AF69" i="23" s="1"/>
  <c r="E74" i="23"/>
  <c r="I25" i="10"/>
  <c r="C68" i="16"/>
  <c r="E25" i="23"/>
  <c r="C84" i="16"/>
  <c r="E57" i="23"/>
  <c r="E43" i="23"/>
  <c r="AF43" i="23" s="1"/>
  <c r="E20" i="23"/>
  <c r="E27" i="23"/>
  <c r="E54" i="23"/>
  <c r="E21" i="23"/>
  <c r="AF21" i="23" s="1"/>
  <c r="AJ33" i="25"/>
  <c r="E81" i="23"/>
  <c r="AC79" i="23"/>
  <c r="AC86" i="23" s="1"/>
  <c r="AC61" i="23"/>
  <c r="AC31" i="23"/>
  <c r="AC28" i="23"/>
  <c r="AC23" i="23"/>
  <c r="AF22" i="23" l="1"/>
  <c r="AF27" i="23"/>
  <c r="P47" i="15"/>
  <c r="P56" i="15"/>
  <c r="C55" i="16"/>
  <c r="C58" i="16" s="1"/>
  <c r="C46" i="16"/>
  <c r="C35" i="16"/>
  <c r="AB35" i="16" s="1"/>
  <c r="C38" i="16"/>
  <c r="C32" i="16"/>
  <c r="AD102" i="19"/>
  <c r="C44" i="16"/>
  <c r="C88" i="16"/>
  <c r="C33" i="16"/>
  <c r="C39" i="16"/>
  <c r="C115" i="16"/>
  <c r="C101" i="16"/>
  <c r="C119" i="16"/>
  <c r="C49" i="16"/>
  <c r="C126" i="16"/>
  <c r="C45" i="16"/>
  <c r="C36" i="16"/>
  <c r="AD52" i="19"/>
  <c r="C76" i="16"/>
  <c r="AD61" i="19"/>
  <c r="E106" i="16"/>
  <c r="E106" i="17"/>
  <c r="AB23" i="16"/>
  <c r="E42" i="16"/>
  <c r="E42" i="17"/>
  <c r="E124" i="17"/>
  <c r="E133" i="17" s="1"/>
  <c r="E50" i="17"/>
  <c r="E42" i="23"/>
  <c r="E82" i="23"/>
  <c r="C69" i="16"/>
  <c r="C105" i="16"/>
  <c r="C75" i="16"/>
  <c r="C92" i="16"/>
  <c r="C90" i="16"/>
  <c r="C89" i="16"/>
  <c r="E51" i="23"/>
  <c r="E73" i="23"/>
  <c r="E45" i="23"/>
  <c r="E41" i="23"/>
  <c r="C74" i="16" s="1"/>
  <c r="C64" i="16"/>
  <c r="D29" i="19"/>
  <c r="C99" i="16"/>
  <c r="D36" i="19"/>
  <c r="E56" i="23"/>
  <c r="E44" i="23"/>
  <c r="C78" i="16" s="1"/>
  <c r="E76" i="23"/>
  <c r="AF76" i="23" s="1"/>
  <c r="E39" i="23"/>
  <c r="C67" i="16" s="1"/>
  <c r="E84" i="23"/>
  <c r="E71" i="23"/>
  <c r="E37" i="23"/>
  <c r="C65" i="16" s="1"/>
  <c r="E50" i="23"/>
  <c r="E46" i="23"/>
  <c r="AF46" i="23" s="1"/>
  <c r="E83" i="23"/>
  <c r="C70" i="16"/>
  <c r="E55" i="23"/>
  <c r="C100" i="16"/>
  <c r="E78" i="23"/>
  <c r="E75" i="23"/>
  <c r="C94" i="16"/>
  <c r="C77" i="16"/>
  <c r="E47" i="23"/>
  <c r="AD44" i="19"/>
  <c r="AD103" i="19"/>
  <c r="AC33" i="23"/>
  <c r="AC65" i="23" s="1"/>
  <c r="AC89" i="23" s="1"/>
  <c r="AC101" i="23" s="1"/>
  <c r="AF78" i="23" l="1"/>
  <c r="AF84" i="23"/>
  <c r="C79" i="16"/>
  <c r="AF45" i="23"/>
  <c r="AF75" i="23"/>
  <c r="C42" i="16"/>
  <c r="D38" i="19"/>
  <c r="H47" i="15"/>
  <c r="H38" i="15"/>
  <c r="C118" i="16"/>
  <c r="C121" i="16"/>
  <c r="C128" i="16"/>
  <c r="C127" i="16"/>
  <c r="AF92" i="23"/>
  <c r="AF96" i="23" s="1"/>
  <c r="P51" i="2"/>
  <c r="C122" i="16"/>
  <c r="C114" i="16"/>
  <c r="C108" i="16"/>
  <c r="C98" i="16"/>
  <c r="AB22" i="17"/>
  <c r="E26" i="17"/>
  <c r="AB22" i="16"/>
  <c r="E26" i="16"/>
  <c r="AB26" i="16" s="1"/>
  <c r="C91" i="16"/>
  <c r="C116" i="16"/>
  <c r="C97" i="16"/>
  <c r="C131" i="16"/>
  <c r="C85" i="16"/>
  <c r="C120" i="16"/>
  <c r="C86" i="16"/>
  <c r="C123" i="16"/>
  <c r="AB123" i="16" s="1"/>
  <c r="Z44" i="37"/>
  <c r="E133" i="16"/>
  <c r="D82" i="19"/>
  <c r="D100" i="19"/>
  <c r="D109" i="19" s="1"/>
  <c r="D118" i="19"/>
  <c r="C124" i="17"/>
  <c r="C133" i="17" s="1"/>
  <c r="D20" i="33"/>
  <c r="E30" i="17" l="1"/>
  <c r="E60" i="17" s="1"/>
  <c r="E110" i="17" s="1"/>
  <c r="E136" i="17" s="1"/>
  <c r="E30" i="16"/>
  <c r="E60" i="16" s="1"/>
  <c r="E110" i="16" s="1"/>
  <c r="E136" i="16" s="1"/>
  <c r="D86" i="19"/>
  <c r="D112" i="19" s="1"/>
  <c r="D122" i="19" s="1"/>
  <c r="B34" i="6" l="1"/>
  <c r="B39" i="6" s="1"/>
  <c r="AE108" i="17"/>
  <c r="A6" i="34"/>
  <c r="F34" i="6" l="1"/>
  <c r="S28" i="23"/>
  <c r="P16" i="2" s="1"/>
  <c r="L51" i="2"/>
  <c r="A6" i="37"/>
  <c r="B9" i="37"/>
  <c r="A5" i="44" l="1"/>
  <c r="A5" i="45" s="1"/>
  <c r="A6" i="38"/>
  <c r="S79" i="23"/>
  <c r="S86" i="23" s="1"/>
  <c r="S96" i="23"/>
  <c r="A6" i="43" l="1"/>
  <c r="T9" i="43"/>
  <c r="B9" i="43"/>
  <c r="AD12" i="29"/>
  <c r="AD12" i="28"/>
  <c r="AD12" i="27"/>
  <c r="AG12" i="25"/>
  <c r="AG12" i="24"/>
  <c r="AI13" i="23"/>
  <c r="AD10" i="22"/>
  <c r="AG11" i="21"/>
  <c r="AG11" i="20"/>
  <c r="AG11" i="19"/>
  <c r="AF10" i="18"/>
  <c r="AE14" i="17"/>
  <c r="AA12" i="29"/>
  <c r="AA12" i="28"/>
  <c r="AA12" i="27"/>
  <c r="AB14" i="26"/>
  <c r="AD12" i="25"/>
  <c r="AD12" i="24"/>
  <c r="AF13" i="23"/>
  <c r="AA10" i="22"/>
  <c r="AD11" i="21"/>
  <c r="AD11" i="20"/>
  <c r="AD11" i="19"/>
  <c r="AC10" i="18"/>
  <c r="AB14" i="17"/>
  <c r="T11" i="29"/>
  <c r="T11" i="28"/>
  <c r="T11" i="27"/>
  <c r="U13" i="26"/>
  <c r="W11" i="25"/>
  <c r="W11" i="24"/>
  <c r="W12" i="23"/>
  <c r="T9" i="22"/>
  <c r="V10" i="21"/>
  <c r="V10" i="20"/>
  <c r="V10" i="19"/>
  <c r="V9" i="18"/>
  <c r="U13" i="17"/>
  <c r="B11" i="29"/>
  <c r="B11" i="28"/>
  <c r="B11" i="27"/>
  <c r="C13" i="26"/>
  <c r="E11" i="25"/>
  <c r="E11" i="24"/>
  <c r="E12" i="23"/>
  <c r="B9" i="22"/>
  <c r="D10" i="21"/>
  <c r="D10" i="20"/>
  <c r="D10" i="19"/>
  <c r="D9" i="18"/>
  <c r="C13" i="17"/>
  <c r="A6" i="29"/>
  <c r="A6" i="28"/>
  <c r="A6" i="27"/>
  <c r="A6" i="26"/>
  <c r="B6" i="25"/>
  <c r="B6" i="23"/>
  <c r="A6" i="22"/>
  <c r="B6" i="21"/>
  <c r="B6" i="20"/>
  <c r="B6" i="19"/>
  <c r="B6" i="18"/>
  <c r="A6" i="17"/>
  <c r="AD13" i="15"/>
  <c r="AB13" i="15"/>
  <c r="D13" i="15"/>
  <c r="P15" i="6"/>
  <c r="N15" i="6"/>
  <c r="N15" i="5"/>
  <c r="B15" i="5"/>
  <c r="AB38" i="15" l="1"/>
  <c r="B37" i="5"/>
  <c r="F29" i="15"/>
  <c r="AI51" i="23"/>
  <c r="AG17" i="19"/>
  <c r="AD14" i="2" s="1"/>
  <c r="AI87" i="18"/>
  <c r="AK87" i="18" s="1"/>
  <c r="AI56" i="23"/>
  <c r="AI26" i="23"/>
  <c r="Q50" i="17" l="1"/>
  <c r="Q42" i="17"/>
  <c r="F29" i="5"/>
  <c r="V35" i="15"/>
  <c r="F26" i="6"/>
  <c r="F29" i="6" s="1"/>
  <c r="F39" i="6" s="1"/>
  <c r="F37" i="5"/>
  <c r="AF57" i="23"/>
  <c r="M25" i="42" l="1"/>
  <c r="M50" i="34"/>
  <c r="M110" i="17"/>
  <c r="Q106" i="17"/>
  <c r="Q124" i="17"/>
  <c r="Q133" i="17" s="1"/>
  <c r="Q124" i="16"/>
  <c r="Q50" i="16"/>
  <c r="Q142" i="17" l="1"/>
  <c r="AD33" i="29" l="1"/>
  <c r="AD76" i="25" l="1"/>
  <c r="AF58" i="23"/>
  <c r="AB44" i="26"/>
  <c r="AF77" i="23"/>
  <c r="AF56" i="23"/>
  <c r="AF41" i="23"/>
  <c r="AF44" i="23"/>
  <c r="AF74" i="23"/>
  <c r="AF30" i="23"/>
  <c r="AF31" i="23" s="1"/>
  <c r="AF54" i="23"/>
  <c r="AF39" i="23"/>
  <c r="AF51" i="23"/>
  <c r="AF42" i="23"/>
  <c r="AF55" i="23"/>
  <c r="F42" i="37"/>
  <c r="B42" i="37"/>
  <c r="B33" i="37"/>
  <c r="B25" i="37"/>
  <c r="AD37" i="29" l="1"/>
  <c r="AD80" i="25"/>
  <c r="AB49" i="26"/>
  <c r="AA44" i="27"/>
  <c r="AF50" i="23"/>
  <c r="AF81" i="23"/>
  <c r="AF47" i="23"/>
  <c r="AF70" i="23"/>
  <c r="AF73" i="23"/>
  <c r="AF71" i="23"/>
  <c r="AF83" i="23"/>
  <c r="AF82" i="23"/>
  <c r="F44" i="37"/>
  <c r="B44" i="37"/>
  <c r="AB100" i="19" l="1"/>
  <c r="B25" i="29" l="1"/>
  <c r="B17" i="29"/>
  <c r="B25" i="28"/>
  <c r="B17" i="28"/>
  <c r="B28" i="27"/>
  <c r="B19" i="27"/>
  <c r="C33" i="26"/>
  <c r="C23" i="26"/>
  <c r="E60" i="25"/>
  <c r="E67" i="25" s="1"/>
  <c r="E42" i="25"/>
  <c r="E46" i="25" s="1"/>
  <c r="E78" i="24"/>
  <c r="E85" i="24" s="1"/>
  <c r="E60" i="24"/>
  <c r="E30" i="24"/>
  <c r="E27" i="24"/>
  <c r="E22" i="24"/>
  <c r="K31" i="23"/>
  <c r="E31" i="23"/>
  <c r="K28" i="23"/>
  <c r="B62" i="22"/>
  <c r="B50" i="22"/>
  <c r="B20" i="22"/>
  <c r="D70" i="21"/>
  <c r="D79" i="21" s="1"/>
  <c r="D52" i="21"/>
  <c r="D56" i="21" s="1"/>
  <c r="D100" i="20"/>
  <c r="D107" i="20" s="1"/>
  <c r="D82" i="20"/>
  <c r="D36" i="20"/>
  <c r="D29" i="20"/>
  <c r="H36" i="19"/>
  <c r="D45" i="18"/>
  <c r="D37" i="18"/>
  <c r="E70" i="25" l="1"/>
  <c r="B29" i="22"/>
  <c r="B54" i="22" s="1"/>
  <c r="B65" i="22" s="1"/>
  <c r="C37" i="26"/>
  <c r="C49" i="26" s="1"/>
  <c r="D38" i="20"/>
  <c r="D86" i="20" s="1"/>
  <c r="D110" i="20" s="1"/>
  <c r="H29" i="19"/>
  <c r="B32" i="27"/>
  <c r="E49" i="26"/>
  <c r="K23" i="23"/>
  <c r="E79" i="23"/>
  <c r="E86" i="23" s="1"/>
  <c r="E28" i="23"/>
  <c r="B28" i="29"/>
  <c r="B28" i="28"/>
  <c r="D82" i="21"/>
  <c r="E32" i="24"/>
  <c r="E64" i="24" s="1"/>
  <c r="E88" i="24" s="1"/>
  <c r="K79" i="23"/>
  <c r="K86" i="23" s="1"/>
  <c r="E61" i="23"/>
  <c r="K61" i="23"/>
  <c r="AB40" i="16" l="1"/>
  <c r="AH40" i="16" s="1"/>
  <c r="AJ40" i="16" s="1"/>
  <c r="H38" i="19"/>
  <c r="H86" i="19" s="1"/>
  <c r="H112" i="19" s="1"/>
  <c r="H122" i="19" s="1"/>
  <c r="K33" i="23"/>
  <c r="K65" i="23" s="1"/>
  <c r="A5" i="14"/>
  <c r="A5" i="13"/>
  <c r="A5" i="12"/>
  <c r="A5" i="11"/>
  <c r="A5" i="10"/>
  <c r="A5" i="9"/>
  <c r="A5" i="8"/>
  <c r="E32" i="13" l="1"/>
  <c r="E20" i="13"/>
  <c r="E31" i="13"/>
  <c r="E30" i="13"/>
  <c r="E25" i="13"/>
  <c r="E23" i="13"/>
  <c r="E22" i="13"/>
  <c r="E24" i="13"/>
  <c r="E21" i="13"/>
  <c r="E26" i="13"/>
  <c r="I40" i="9"/>
  <c r="I41" i="9"/>
  <c r="I35" i="9"/>
  <c r="I22" i="12"/>
  <c r="I24" i="12"/>
  <c r="T22" i="11"/>
  <c r="T21" i="11"/>
  <c r="T33" i="11"/>
  <c r="T32" i="11"/>
  <c r="I32" i="11"/>
  <c r="U20" i="14"/>
  <c r="U26" i="14"/>
  <c r="U25" i="14"/>
  <c r="U22" i="14"/>
  <c r="U21" i="14"/>
  <c r="K89" i="23"/>
  <c r="R41" i="15" l="1"/>
  <c r="K139" i="30" l="1"/>
  <c r="K136" i="30"/>
  <c r="D19" i="3" l="1"/>
  <c r="O124" i="17"/>
  <c r="O133" i="17" s="1"/>
  <c r="O50" i="17"/>
  <c r="I50" i="17" l="1"/>
  <c r="O42" i="17" l="1"/>
  <c r="U23" i="23" l="1"/>
  <c r="Y142" i="17"/>
  <c r="U33" i="23" l="1"/>
  <c r="U65" i="23" s="1"/>
  <c r="U89" i="23" s="1"/>
  <c r="U101" i="23" s="1"/>
  <c r="I42" i="17"/>
  <c r="I30" i="17"/>
  <c r="I30" i="16"/>
  <c r="K96" i="23"/>
  <c r="B71" i="22"/>
  <c r="S42" i="16"/>
  <c r="O42" i="16"/>
  <c r="S124" i="16"/>
  <c r="S133" i="16" s="1"/>
  <c r="O50" i="16"/>
  <c r="S50" i="16"/>
  <c r="AA101" i="23" l="1"/>
  <c r="AI57" i="23"/>
  <c r="I124" i="16"/>
  <c r="I133" i="16" s="1"/>
  <c r="I50" i="16"/>
  <c r="I60" i="17"/>
  <c r="I42" i="16"/>
  <c r="I106" i="16"/>
  <c r="I106" i="17"/>
  <c r="I110" i="17" l="1"/>
  <c r="I136" i="17" s="1"/>
  <c r="K101" i="23"/>
  <c r="I60" i="16"/>
  <c r="I110" i="16" s="1"/>
  <c r="I136" i="16" s="1"/>
  <c r="P28" i="5" l="1"/>
  <c r="J49" i="3" l="1"/>
  <c r="I25" i="11"/>
  <c r="I42" i="10"/>
  <c r="I35" i="10"/>
  <c r="I40" i="13"/>
  <c r="N28" i="15" l="1"/>
  <c r="N38" i="15" s="1"/>
  <c r="G96" i="23" l="1"/>
  <c r="G101" i="23" l="1"/>
  <c r="T34" i="11" l="1"/>
  <c r="AG31" i="19"/>
  <c r="AI55" i="23" l="1"/>
  <c r="AG55" i="19"/>
  <c r="AG61" i="19"/>
  <c r="AI52" i="23"/>
  <c r="AG57" i="19"/>
  <c r="AE81" i="16" s="1"/>
  <c r="AG24" i="19"/>
  <c r="AI50" i="23"/>
  <c r="AI71" i="23"/>
  <c r="AI58" i="23"/>
  <c r="AI49" i="23"/>
  <c r="P33" i="6"/>
  <c r="AG62" i="19"/>
  <c r="AG77" i="19"/>
  <c r="AG96" i="19"/>
  <c r="AG45" i="19"/>
  <c r="AI82" i="23"/>
  <c r="AG76" i="19"/>
  <c r="AG49" i="19"/>
  <c r="AI30" i="23"/>
  <c r="AG98" i="19"/>
  <c r="AI45" i="23"/>
  <c r="AI39" i="23"/>
  <c r="AI37" i="23"/>
  <c r="AG73" i="19"/>
  <c r="AG75" i="19"/>
  <c r="AE99" i="16" s="1"/>
  <c r="AG90" i="19"/>
  <c r="AI70" i="23"/>
  <c r="AG32" i="19"/>
  <c r="AG99" i="19"/>
  <c r="AG54" i="19"/>
  <c r="AI83" i="23"/>
  <c r="AG60" i="19"/>
  <c r="AE84" i="16" s="1"/>
  <c r="AG26" i="19"/>
  <c r="P24" i="6"/>
  <c r="AE35" i="16"/>
  <c r="AG97" i="19"/>
  <c r="AG52" i="19"/>
  <c r="P26" i="5"/>
  <c r="AG81" i="19"/>
  <c r="AG64" i="19"/>
  <c r="AG33" i="19"/>
  <c r="AG80" i="19"/>
  <c r="AI76" i="23"/>
  <c r="AG95" i="19"/>
  <c r="AG51" i="19"/>
  <c r="AG35" i="19"/>
  <c r="AG53" i="19"/>
  <c r="AI73" i="23"/>
  <c r="AI22" i="23"/>
  <c r="AI59" i="23"/>
  <c r="AI47" i="23"/>
  <c r="AE64" i="16"/>
  <c r="AI54" i="23"/>
  <c r="P20" i="5"/>
  <c r="AG102" i="19"/>
  <c r="AG34" i="19"/>
  <c r="AI69" i="23"/>
  <c r="P36" i="5"/>
  <c r="AG58" i="19"/>
  <c r="AG50" i="19"/>
  <c r="AG91" i="19"/>
  <c r="AI78" i="23"/>
  <c r="AG44" i="19"/>
  <c r="AI81" i="23"/>
  <c r="AI41" i="23"/>
  <c r="AI75" i="23"/>
  <c r="AG74" i="19"/>
  <c r="AG70" i="19"/>
  <c r="AG66" i="19"/>
  <c r="AI25" i="23"/>
  <c r="AG47" i="19"/>
  <c r="AI63" i="23"/>
  <c r="AI77" i="23"/>
  <c r="AG27" i="19"/>
  <c r="P25" i="6"/>
  <c r="AG92" i="19"/>
  <c r="AG84" i="19"/>
  <c r="AG67" i="19"/>
  <c r="P19" i="5"/>
  <c r="AG107" i="19"/>
  <c r="AE131" i="17" s="1"/>
  <c r="AG104" i="19"/>
  <c r="P27" i="5"/>
  <c r="AI42" i="23"/>
  <c r="AG65" i="19"/>
  <c r="AG79" i="19"/>
  <c r="AI44" i="23"/>
  <c r="AG94" i="19"/>
  <c r="AG78" i="19"/>
  <c r="AG46" i="19"/>
  <c r="AG68" i="19"/>
  <c r="AE128" i="16" l="1"/>
  <c r="AE47" i="16"/>
  <c r="AI96" i="23"/>
  <c r="AL96" i="23" s="1"/>
  <c r="AE88" i="16"/>
  <c r="AI31" i="23"/>
  <c r="AE55" i="16"/>
  <c r="AH131" i="17"/>
  <c r="AJ131" i="17" s="1"/>
  <c r="AE98" i="16"/>
  <c r="AL22" i="23"/>
  <c r="AN22" i="23" s="1"/>
  <c r="AE103" i="16"/>
  <c r="I26" i="13"/>
  <c r="I27" i="13" s="1"/>
  <c r="I32" i="13"/>
  <c r="I33" i="13" s="1"/>
  <c r="AD31" i="15"/>
  <c r="AI23" i="23"/>
  <c r="AI28" i="23"/>
  <c r="AI79" i="23"/>
  <c r="AI86" i="23" s="1"/>
  <c r="AD41" i="2"/>
  <c r="AD28" i="2"/>
  <c r="P26" i="6"/>
  <c r="AD30" i="2"/>
  <c r="AD33" i="2"/>
  <c r="AD29" i="2"/>
  <c r="AD25" i="2"/>
  <c r="AD38" i="2"/>
  <c r="AD36" i="2"/>
  <c r="AD32" i="2"/>
  <c r="AD37" i="2"/>
  <c r="AD24" i="2"/>
  <c r="AD31" i="2"/>
  <c r="AG71" i="19"/>
  <c r="AD19" i="2"/>
  <c r="AD26" i="2"/>
  <c r="AE139" i="16" l="1"/>
  <c r="AJ139" i="16" s="1"/>
  <c r="AC103" i="23"/>
  <c r="AG82" i="19"/>
  <c r="AE95" i="16"/>
  <c r="AI33" i="23"/>
  <c r="F32" i="15" l="1"/>
  <c r="F35" i="15"/>
  <c r="AI64" i="18"/>
  <c r="N53" i="15"/>
  <c r="N56" i="15" s="1"/>
  <c r="F34" i="15"/>
  <c r="AJ74" i="25"/>
  <c r="AL74" i="25" s="1"/>
  <c r="AB35" i="17" l="1"/>
  <c r="AH35" i="17" s="1"/>
  <c r="AJ35" i="17" s="1"/>
  <c r="AJ23" i="20"/>
  <c r="AL23" i="20" s="1"/>
  <c r="V31" i="15"/>
  <c r="AD23" i="19" l="1"/>
  <c r="AJ23" i="19" l="1"/>
  <c r="AL23" i="19" s="1"/>
  <c r="J31" i="15"/>
  <c r="AH35" i="16"/>
  <c r="AJ35" i="16" s="1"/>
  <c r="AE73" i="17" l="1"/>
  <c r="AB73" i="17" l="1"/>
  <c r="AH73" i="17" s="1"/>
  <c r="AJ73" i="17" s="1"/>
  <c r="AJ49" i="20" l="1"/>
  <c r="AL49" i="20" s="1"/>
  <c r="AE73" i="16" l="1"/>
  <c r="AD49" i="19"/>
  <c r="AJ49" i="19" s="1"/>
  <c r="AL49" i="19" s="1"/>
  <c r="AB73" i="16"/>
  <c r="AH73" i="16" l="1"/>
  <c r="AJ73" i="16" s="1"/>
  <c r="V13" i="15" l="1"/>
  <c r="R13" i="15"/>
  <c r="P13" i="15"/>
  <c r="N13" i="15"/>
  <c r="L13" i="15"/>
  <c r="J13" i="15"/>
  <c r="H13" i="15"/>
  <c r="AD12" i="15"/>
  <c r="X12" i="15"/>
  <c r="R12" i="15"/>
  <c r="N12" i="15"/>
  <c r="J12" i="15"/>
  <c r="AJ55" i="24" l="1"/>
  <c r="AL55" i="24" s="1"/>
  <c r="AJ38" i="25"/>
  <c r="AL38" i="25" s="1"/>
  <c r="AL56" i="23" l="1"/>
  <c r="AN56" i="23" s="1"/>
  <c r="E22" i="8" l="1"/>
  <c r="E32" i="10"/>
  <c r="O32" i="10" s="1"/>
  <c r="AL52" i="25"/>
  <c r="AL39" i="25"/>
  <c r="AL37" i="25"/>
  <c r="AL36" i="25"/>
  <c r="AL32" i="25"/>
  <c r="AL33" i="25"/>
  <c r="AL29" i="25"/>
  <c r="AL31" i="25"/>
  <c r="AL24" i="25"/>
  <c r="AL25" i="25"/>
  <c r="AL26" i="25"/>
  <c r="AL27" i="25"/>
  <c r="AL28" i="25"/>
  <c r="AL23" i="25"/>
  <c r="AL21" i="25"/>
  <c r="AL19" i="25"/>
  <c r="AL41" i="24"/>
  <c r="AL24" i="24"/>
  <c r="AN25" i="23"/>
  <c r="AL27" i="21"/>
  <c r="AL28" i="21"/>
  <c r="AL29" i="21"/>
  <c r="AL30" i="21"/>
  <c r="AL26" i="21"/>
  <c r="AL22" i="21"/>
  <c r="AL23" i="21"/>
  <c r="AL24" i="21"/>
  <c r="E32" i="7" l="1"/>
  <c r="V54" i="15"/>
  <c r="V53" i="15"/>
  <c r="V52" i="15"/>
  <c r="V51" i="15"/>
  <c r="V50" i="15"/>
  <c r="N47" i="15"/>
  <c r="V46" i="15"/>
  <c r="V43" i="15"/>
  <c r="V42" i="15"/>
  <c r="V41" i="15"/>
  <c r="V34" i="15"/>
  <c r="V32" i="15"/>
  <c r="V30" i="15"/>
  <c r="V28" i="15"/>
  <c r="V24" i="15"/>
  <c r="R25" i="15"/>
  <c r="P25" i="15"/>
  <c r="N25" i="15"/>
  <c r="V56" i="15" l="1"/>
  <c r="V47" i="15"/>
  <c r="N58" i="15"/>
  <c r="AE44" i="26" l="1"/>
  <c r="F18" i="15" l="1"/>
  <c r="F19" i="15"/>
  <c r="F22" i="15"/>
  <c r="X23" i="15"/>
  <c r="X24" i="15"/>
  <c r="F28" i="15"/>
  <c r="F30" i="15"/>
  <c r="F41" i="15"/>
  <c r="F42" i="15"/>
  <c r="F43" i="15"/>
  <c r="F44" i="15"/>
  <c r="F51" i="15"/>
  <c r="X51" i="15" s="1"/>
  <c r="F52" i="15"/>
  <c r="X52" i="15" s="1"/>
  <c r="F54" i="15"/>
  <c r="X54" i="15" s="1"/>
  <c r="X16" i="15" l="1"/>
  <c r="F21" i="15"/>
  <c r="F25" i="15" s="1"/>
  <c r="X18" i="15"/>
  <c r="X19" i="15"/>
  <c r="X17" i="15"/>
  <c r="X20" i="15"/>
  <c r="X21" i="15" l="1"/>
  <c r="K39" i="30" l="1"/>
  <c r="Z38" i="43"/>
  <c r="B40" i="43" l="1"/>
  <c r="B42" i="43" s="1"/>
  <c r="D12" i="43" l="1"/>
  <c r="AL57" i="23" l="1"/>
  <c r="AN57" i="23" s="1"/>
  <c r="AJ56" i="24" l="1"/>
  <c r="AL56" i="24" s="1"/>
  <c r="AJ49" i="21" l="1"/>
  <c r="AL49" i="21" s="1"/>
  <c r="AD75" i="22" l="1"/>
  <c r="F71" i="22" l="1"/>
  <c r="F75" i="22" l="1"/>
  <c r="G25" i="13" l="1"/>
  <c r="G40" i="7"/>
  <c r="AN42" i="23" l="1"/>
  <c r="AJ24" i="25"/>
  <c r="AJ41" i="24"/>
  <c r="AL42" i="23" l="1"/>
  <c r="AA34" i="3" l="1"/>
  <c r="AI91" i="18" l="1"/>
  <c r="AK91" i="18" s="1"/>
  <c r="AI92" i="18"/>
  <c r="AK92" i="18" s="1"/>
  <c r="AE104" i="17"/>
  <c r="AE68" i="17"/>
  <c r="AG49" i="22" l="1"/>
  <c r="AI49" i="22" s="1"/>
  <c r="AG33" i="22"/>
  <c r="AI33" i="22" s="1"/>
  <c r="AE100" i="17" l="1"/>
  <c r="AN50" i="23" l="1"/>
  <c r="AJ32" i="25"/>
  <c r="AJ49" i="24"/>
  <c r="AL49" i="24" s="1"/>
  <c r="AL50" i="23" l="1"/>
  <c r="AL25" i="23" l="1"/>
  <c r="A39" i="13" l="1"/>
  <c r="A41" i="11"/>
  <c r="A41" i="10"/>
  <c r="A49" i="9"/>
  <c r="S31" i="14" l="1"/>
  <c r="AL59" i="25"/>
  <c r="I32" i="14"/>
  <c r="T31" i="11"/>
  <c r="I31" i="11"/>
  <c r="AJ77" i="20"/>
  <c r="AL77" i="20" s="1"/>
  <c r="AJ65" i="20"/>
  <c r="AL65" i="20" s="1"/>
  <c r="AE27" i="17"/>
  <c r="AE28" i="17"/>
  <c r="AE78" i="17"/>
  <c r="AE77" i="17"/>
  <c r="AE76" i="17"/>
  <c r="AE75" i="17"/>
  <c r="AE74" i="17"/>
  <c r="AE72" i="17"/>
  <c r="AE72" i="16"/>
  <c r="AG40" i="22"/>
  <c r="AI40" i="22" s="1"/>
  <c r="AG39" i="22"/>
  <c r="AI39" i="22" s="1"/>
  <c r="AG38" i="22"/>
  <c r="AI38" i="22" s="1"/>
  <c r="AG37" i="22"/>
  <c r="AI37" i="22" s="1"/>
  <c r="AG35" i="22"/>
  <c r="AI35" i="22" s="1"/>
  <c r="AE56" i="17"/>
  <c r="AE55" i="17"/>
  <c r="AE56" i="16"/>
  <c r="AE54" i="16"/>
  <c r="AE53" i="16"/>
  <c r="AE100" i="16"/>
  <c r="AE76" i="16"/>
  <c r="AE75" i="16"/>
  <c r="AE68" i="16"/>
  <c r="I20" i="11" l="1"/>
  <c r="I33" i="11"/>
  <c r="G33" i="8"/>
  <c r="AD23" i="15"/>
  <c r="AH23" i="15" s="1"/>
  <c r="AJ23" i="15" s="1"/>
  <c r="AD52" i="15"/>
  <c r="AH52" i="15" s="1"/>
  <c r="AJ52" i="15" s="1"/>
  <c r="AD54" i="15"/>
  <c r="AD51" i="15"/>
  <c r="AH51" i="15" s="1"/>
  <c r="AJ51" i="15" s="1"/>
  <c r="I30" i="11"/>
  <c r="T30" i="11"/>
  <c r="AL54" i="21"/>
  <c r="T24" i="11"/>
  <c r="I26" i="14"/>
  <c r="I31" i="14"/>
  <c r="AJ93" i="24"/>
  <c r="AL93" i="24" s="1"/>
  <c r="T23" i="11"/>
  <c r="N14" i="2"/>
  <c r="AE74" i="16"/>
  <c r="AE77" i="16"/>
  <c r="U23" i="14"/>
  <c r="I20" i="12"/>
  <c r="AE78" i="16"/>
  <c r="AG36" i="22"/>
  <c r="AI36" i="22" s="1"/>
  <c r="I34" i="11"/>
  <c r="AJ31" i="21"/>
  <c r="AL31" i="21" s="1"/>
  <c r="U32" i="14" l="1"/>
  <c r="S32" i="14"/>
  <c r="AH54" i="15"/>
  <c r="AJ54" i="15" s="1"/>
  <c r="G32" i="13"/>
  <c r="G31" i="13"/>
  <c r="G24" i="13"/>
  <c r="J28" i="5" l="1"/>
  <c r="J19" i="5"/>
  <c r="H14" i="5"/>
  <c r="P14" i="5" s="1"/>
  <c r="L14" i="5"/>
  <c r="F15" i="5"/>
  <c r="H15" i="5"/>
  <c r="J15" i="5"/>
  <c r="J20" i="5"/>
  <c r="P21" i="5"/>
  <c r="P29" i="5"/>
  <c r="P37" i="5"/>
  <c r="P32" i="5" l="1"/>
  <c r="P42" i="5" s="1"/>
  <c r="J27" i="5"/>
  <c r="J26" i="5"/>
  <c r="J36" i="5"/>
  <c r="J35" i="5"/>
  <c r="J25" i="5"/>
  <c r="J37" i="5" l="1"/>
  <c r="J29" i="5"/>
  <c r="P120" i="20" l="1"/>
  <c r="L120" i="20"/>
  <c r="AE105" i="17" l="1"/>
  <c r="AE102" i="17"/>
  <c r="AE101" i="17"/>
  <c r="AE98" i="17"/>
  <c r="AE97" i="17"/>
  <c r="AE94" i="17"/>
  <c r="AE92" i="17"/>
  <c r="AE86" i="17"/>
  <c r="AE91" i="17"/>
  <c r="AE90" i="17"/>
  <c r="AE89" i="17"/>
  <c r="AE85" i="17"/>
  <c r="AE84" i="17"/>
  <c r="AE82" i="17"/>
  <c r="AE79" i="17"/>
  <c r="AE70" i="17"/>
  <c r="AE69" i="17"/>
  <c r="AE67" i="17"/>
  <c r="AE65" i="17"/>
  <c r="AE33" i="17"/>
  <c r="AE39" i="17"/>
  <c r="AE36" i="17"/>
  <c r="AE49" i="17"/>
  <c r="AE45" i="17"/>
  <c r="AE130" i="17"/>
  <c r="AE127" i="17"/>
  <c r="AE128" i="17"/>
  <c r="AE126" i="17"/>
  <c r="AE123" i="17"/>
  <c r="AE122" i="17"/>
  <c r="AE121" i="17"/>
  <c r="AE120" i="17"/>
  <c r="AE119" i="17"/>
  <c r="AE118" i="17"/>
  <c r="AE116" i="17"/>
  <c r="AE115" i="17"/>
  <c r="AE114" i="17"/>
  <c r="AE65" i="16" l="1"/>
  <c r="AE64" i="17"/>
  <c r="AE124" i="17"/>
  <c r="AE133" i="17" s="1"/>
  <c r="L16" i="32" l="1"/>
  <c r="L19" i="32" s="1"/>
  <c r="I23" i="11"/>
  <c r="D17" i="3" l="1"/>
  <c r="AD17" i="2" l="1"/>
  <c r="AA18" i="3"/>
  <c r="AE52" i="16"/>
  <c r="AE29" i="16"/>
  <c r="AE24" i="16"/>
  <c r="AE23" i="16"/>
  <c r="AD18" i="15" s="1"/>
  <c r="AE54" i="17"/>
  <c r="AE53" i="17"/>
  <c r="AE52" i="17"/>
  <c r="AE47" i="17"/>
  <c r="AE46" i="17"/>
  <c r="AE44" i="17"/>
  <c r="AE38" i="17"/>
  <c r="AE34" i="17"/>
  <c r="AE32" i="17"/>
  <c r="AE29" i="17"/>
  <c r="AE25" i="17"/>
  <c r="AE24" i="17"/>
  <c r="AH24" i="17" s="1"/>
  <c r="AE23" i="17"/>
  <c r="AJ25" i="24"/>
  <c r="AL25" i="24" s="1"/>
  <c r="AJ24" i="24"/>
  <c r="AE58" i="16" l="1"/>
  <c r="AE58" i="17"/>
  <c r="AD50" i="15"/>
  <c r="AD17" i="15"/>
  <c r="AD24" i="15"/>
  <c r="AH24" i="15" s="1"/>
  <c r="AJ24" i="15" s="1"/>
  <c r="AH18" i="15"/>
  <c r="AJ18" i="15" s="1"/>
  <c r="AD53" i="15"/>
  <c r="AD19" i="15"/>
  <c r="AH19" i="15" s="1"/>
  <c r="AJ19" i="15" s="1"/>
  <c r="AD20" i="15"/>
  <c r="AH20" i="15" s="1"/>
  <c r="AJ20" i="15" s="1"/>
  <c r="AE50" i="17"/>
  <c r="C50" i="17"/>
  <c r="AJ29" i="24"/>
  <c r="AL29" i="24" s="1"/>
  <c r="AE42" i="17"/>
  <c r="C30" i="17"/>
  <c r="AH17" i="15" l="1"/>
  <c r="AJ17" i="15" s="1"/>
  <c r="G22" i="13"/>
  <c r="K22" i="13" s="1"/>
  <c r="O22" i="13" s="1"/>
  <c r="AJ30" i="24"/>
  <c r="AL30" i="24" s="1"/>
  <c r="R42" i="15"/>
  <c r="R53" i="15"/>
  <c r="R56" i="15" s="1"/>
  <c r="AG25" i="22"/>
  <c r="AI25" i="22" s="1"/>
  <c r="AG19" i="22"/>
  <c r="AI19" i="22" s="1"/>
  <c r="C30" i="16"/>
  <c r="AJ41" i="25"/>
  <c r="AL41" i="25" s="1"/>
  <c r="AJ40" i="25"/>
  <c r="AL40" i="25" s="1"/>
  <c r="AJ39" i="25"/>
  <c r="AJ37" i="25"/>
  <c r="AJ36" i="25"/>
  <c r="AJ34" i="25"/>
  <c r="AJ29" i="25"/>
  <c r="AJ31" i="25"/>
  <c r="AJ28" i="25"/>
  <c r="AJ27" i="25"/>
  <c r="AJ26" i="25"/>
  <c r="AJ25" i="25"/>
  <c r="AJ23" i="25"/>
  <c r="AJ21" i="25"/>
  <c r="AJ58" i="24"/>
  <c r="AL58" i="24" s="1"/>
  <c r="AJ57" i="24"/>
  <c r="AL57" i="24" s="1"/>
  <c r="AJ54" i="24"/>
  <c r="AL54" i="24" s="1"/>
  <c r="AJ53" i="24"/>
  <c r="AL53" i="24" s="1"/>
  <c r="AJ51" i="24"/>
  <c r="AL51" i="24" s="1"/>
  <c r="AJ50" i="24"/>
  <c r="AL50" i="24" s="1"/>
  <c r="AJ45" i="24"/>
  <c r="AL45" i="24" s="1"/>
  <c r="AJ44" i="24"/>
  <c r="AL44" i="24" s="1"/>
  <c r="AJ42" i="24"/>
  <c r="AL42" i="24" s="1"/>
  <c r="AE108" i="16"/>
  <c r="AE94" i="16"/>
  <c r="AE70" i="16"/>
  <c r="AG116" i="20"/>
  <c r="AJ35" i="20"/>
  <c r="AL35" i="20" s="1"/>
  <c r="AJ32" i="20"/>
  <c r="AL32" i="20" s="1"/>
  <c r="AJ27" i="20"/>
  <c r="AL27" i="20" s="1"/>
  <c r="AJ26" i="20"/>
  <c r="AJ24" i="20"/>
  <c r="AL24" i="20" s="1"/>
  <c r="AJ22" i="20"/>
  <c r="AL22" i="20" s="1"/>
  <c r="AJ21" i="20"/>
  <c r="AL21" i="20" s="1"/>
  <c r="AL27" i="23" l="1"/>
  <c r="AN27" i="23" s="1"/>
  <c r="R46" i="15"/>
  <c r="R47" i="15" s="1"/>
  <c r="AL21" i="23"/>
  <c r="AN21" i="23" s="1"/>
  <c r="R32" i="15"/>
  <c r="R35" i="15"/>
  <c r="B75" i="22"/>
  <c r="AJ42" i="25"/>
  <c r="AL42" i="25" s="1"/>
  <c r="AB27" i="16"/>
  <c r="AE27" i="16"/>
  <c r="AD22" i="15" s="1"/>
  <c r="C50" i="16"/>
  <c r="AL30" i="23"/>
  <c r="AN30" i="23" s="1"/>
  <c r="AE69" i="16"/>
  <c r="AE86" i="16"/>
  <c r="AE97" i="16"/>
  <c r="AE105" i="16"/>
  <c r="AJ31" i="20"/>
  <c r="AE79" i="16"/>
  <c r="AE85" i="16"/>
  <c r="AE33" i="16"/>
  <c r="AE39" i="16"/>
  <c r="AE46" i="16"/>
  <c r="AD43" i="15" s="1"/>
  <c r="AE67" i="16"/>
  <c r="AE90" i="16"/>
  <c r="AE32" i="16"/>
  <c r="AD28" i="15" s="1"/>
  <c r="AE38" i="16"/>
  <c r="AE45" i="16"/>
  <c r="AE101" i="16"/>
  <c r="AE34" i="16"/>
  <c r="AE91" i="16"/>
  <c r="AE82" i="16"/>
  <c r="AE89" i="16"/>
  <c r="AE92" i="16"/>
  <c r="AE102" i="16"/>
  <c r="AE36" i="16"/>
  <c r="AD32" i="15" s="1"/>
  <c r="AE49" i="16"/>
  <c r="AH45" i="15" s="1"/>
  <c r="AJ45" i="15" s="1"/>
  <c r="AD26" i="19"/>
  <c r="C60" i="17"/>
  <c r="AD27" i="19"/>
  <c r="AD34" i="19"/>
  <c r="AG36" i="19"/>
  <c r="AD16" i="2" s="1"/>
  <c r="AE44" i="16"/>
  <c r="AD41" i="15" s="1"/>
  <c r="AG118" i="19"/>
  <c r="AD31" i="19"/>
  <c r="AG100" i="19"/>
  <c r="AG109" i="19" s="1"/>
  <c r="AD32" i="19"/>
  <c r="AG29" i="19"/>
  <c r="AD15" i="2" s="1"/>
  <c r="AF28" i="23"/>
  <c r="AL26" i="23"/>
  <c r="AN26" i="23" s="1"/>
  <c r="AJ43" i="24"/>
  <c r="AL43" i="24" s="1"/>
  <c r="AJ48" i="24"/>
  <c r="AL48" i="24" s="1"/>
  <c r="AJ46" i="24"/>
  <c r="AL46" i="24" s="1"/>
  <c r="AJ40" i="24"/>
  <c r="AL40" i="24" s="1"/>
  <c r="AJ36" i="24"/>
  <c r="AL36" i="24" s="1"/>
  <c r="AJ38" i="24"/>
  <c r="AL38" i="24" s="1"/>
  <c r="AJ17" i="20"/>
  <c r="AL17" i="20" s="1"/>
  <c r="AJ20" i="20"/>
  <c r="J15" i="3"/>
  <c r="AI51" i="18"/>
  <c r="AK51" i="18" s="1"/>
  <c r="AI49" i="18"/>
  <c r="AK49" i="18" s="1"/>
  <c r="AI48" i="18"/>
  <c r="AK48" i="18" s="1"/>
  <c r="F50" i="15"/>
  <c r="AI42" i="18"/>
  <c r="AK42" i="18" s="1"/>
  <c r="AI41" i="18"/>
  <c r="AK41" i="18" s="1"/>
  <c r="AI40" i="18"/>
  <c r="AK40" i="18" s="1"/>
  <c r="AI39" i="18"/>
  <c r="AK39" i="18" s="1"/>
  <c r="AI33" i="18"/>
  <c r="AK33" i="18" s="1"/>
  <c r="AI30" i="18"/>
  <c r="AK30" i="18" s="1"/>
  <c r="AI28" i="18"/>
  <c r="AK28" i="18" s="1"/>
  <c r="AI23" i="18"/>
  <c r="AK23" i="18" s="1"/>
  <c r="AI21" i="18"/>
  <c r="AK21" i="18" s="1"/>
  <c r="AI20" i="18"/>
  <c r="AK20" i="18" s="1"/>
  <c r="AI19" i="18"/>
  <c r="AK19" i="18" s="1"/>
  <c r="AI18" i="18"/>
  <c r="AK18" i="18" s="1"/>
  <c r="AA13" i="3"/>
  <c r="Y13" i="3"/>
  <c r="F13" i="3"/>
  <c r="F12" i="3"/>
  <c r="D13" i="3"/>
  <c r="AB105" i="17"/>
  <c r="AE106" i="17"/>
  <c r="AA19" i="3" l="1"/>
  <c r="AE42" i="16"/>
  <c r="AG38" i="19"/>
  <c r="AG86" i="19" s="1"/>
  <c r="AG112" i="19" s="1"/>
  <c r="AG122" i="19" s="1"/>
  <c r="AD46" i="15"/>
  <c r="AD42" i="15"/>
  <c r="AD44" i="15"/>
  <c r="AD56" i="15"/>
  <c r="AD34" i="15"/>
  <c r="AD35" i="15"/>
  <c r="AD30" i="15"/>
  <c r="AD29" i="15"/>
  <c r="AA16" i="3"/>
  <c r="AJ34" i="19"/>
  <c r="AL34" i="19" s="1"/>
  <c r="J44" i="15"/>
  <c r="X44" i="15" s="1"/>
  <c r="AJ35" i="19"/>
  <c r="AL35" i="19" s="1"/>
  <c r="J46" i="15"/>
  <c r="AJ31" i="19"/>
  <c r="AL31" i="19" s="1"/>
  <c r="J41" i="15"/>
  <c r="AJ32" i="19"/>
  <c r="AL32" i="19" s="1"/>
  <c r="J42" i="15"/>
  <c r="X42" i="15" s="1"/>
  <c r="AJ33" i="19"/>
  <c r="AL33" i="19" s="1"/>
  <c r="J43" i="15"/>
  <c r="X43" i="15" s="1"/>
  <c r="AJ27" i="19"/>
  <c r="AL27" i="19" s="1"/>
  <c r="J35" i="15"/>
  <c r="AJ26" i="19"/>
  <c r="AL26" i="19" s="1"/>
  <c r="J34" i="15"/>
  <c r="AJ24" i="19"/>
  <c r="AL24" i="19" s="1"/>
  <c r="J32" i="15"/>
  <c r="X32" i="15" s="1"/>
  <c r="AJ22" i="19"/>
  <c r="AL22" i="19" s="1"/>
  <c r="J30" i="15"/>
  <c r="X30" i="15" s="1"/>
  <c r="AJ21" i="19"/>
  <c r="AL21" i="19" s="1"/>
  <c r="J29" i="15"/>
  <c r="AJ20" i="19"/>
  <c r="AL20" i="19" s="1"/>
  <c r="X50" i="15"/>
  <c r="AI29" i="18"/>
  <c r="AK29" i="18" s="1"/>
  <c r="AI34" i="18"/>
  <c r="AK34" i="18" s="1"/>
  <c r="AI31" i="18"/>
  <c r="X31" i="15"/>
  <c r="AH31" i="15" s="1"/>
  <c r="AJ31" i="15" s="1"/>
  <c r="AI44" i="18"/>
  <c r="F46" i="15"/>
  <c r="AI50" i="18"/>
  <c r="AK50" i="18" s="1"/>
  <c r="F53" i="15"/>
  <c r="X53" i="15" s="1"/>
  <c r="AH53" i="15" s="1"/>
  <c r="AJ53" i="15" s="1"/>
  <c r="J17" i="3"/>
  <c r="I22" i="11"/>
  <c r="J16" i="3"/>
  <c r="I21" i="11"/>
  <c r="AJ36" i="20"/>
  <c r="AL36" i="20" s="1"/>
  <c r="AL31" i="20"/>
  <c r="AJ29" i="20"/>
  <c r="AL29" i="20" s="1"/>
  <c r="AL20" i="20"/>
  <c r="AL52" i="21"/>
  <c r="G20" i="10"/>
  <c r="K20" i="10" s="1"/>
  <c r="AI25" i="18"/>
  <c r="AK25" i="18" s="1"/>
  <c r="AH27" i="16"/>
  <c r="AJ27" i="16" s="1"/>
  <c r="C60" i="16"/>
  <c r="AI24" i="18"/>
  <c r="AK24" i="18" s="1"/>
  <c r="AE50" i="16"/>
  <c r="AL46" i="25"/>
  <c r="AI47" i="18"/>
  <c r="I23" i="9"/>
  <c r="I22" i="9"/>
  <c r="AG27" i="22"/>
  <c r="I23" i="12"/>
  <c r="N17" i="2"/>
  <c r="AI20" i="22"/>
  <c r="I21" i="12"/>
  <c r="N15" i="2"/>
  <c r="AD36" i="19"/>
  <c r="J16" i="2" s="1"/>
  <c r="AL31" i="23"/>
  <c r="AN31" i="23" s="1"/>
  <c r="R17" i="2"/>
  <c r="R16" i="2"/>
  <c r="AL28" i="23"/>
  <c r="AN28" i="23" s="1"/>
  <c r="AD29" i="19"/>
  <c r="AB81" i="17"/>
  <c r="AB84" i="17"/>
  <c r="AB99" i="17"/>
  <c r="AB82" i="17"/>
  <c r="AH82" i="17" s="1"/>
  <c r="AJ82" i="17" s="1"/>
  <c r="AA41" i="3"/>
  <c r="AA39" i="3"/>
  <c r="AA38" i="3"/>
  <c r="AA37" i="3"/>
  <c r="AA33" i="3"/>
  <c r="AA32" i="3"/>
  <c r="AA31" i="3"/>
  <c r="AA30" i="3"/>
  <c r="AI27" i="22" l="1"/>
  <c r="AG29" i="22"/>
  <c r="AI29" i="22" s="1"/>
  <c r="AB41" i="16"/>
  <c r="AH41" i="16" s="1"/>
  <c r="AJ41" i="16" s="1"/>
  <c r="F56" i="15"/>
  <c r="AK47" i="18"/>
  <c r="AI53" i="18"/>
  <c r="AK53" i="18" s="1"/>
  <c r="G23" i="7"/>
  <c r="AJ38" i="20"/>
  <c r="AL38" i="20" s="1"/>
  <c r="J15" i="2"/>
  <c r="AD38" i="15"/>
  <c r="AH30" i="15"/>
  <c r="AJ30" i="15" s="1"/>
  <c r="AH42" i="15"/>
  <c r="AJ42" i="15" s="1"/>
  <c r="AH32" i="15"/>
  <c r="AJ32" i="15" s="1"/>
  <c r="AH44" i="15"/>
  <c r="AJ44" i="15" s="1"/>
  <c r="AH43" i="15"/>
  <c r="AJ43" i="15" s="1"/>
  <c r="AD47" i="15"/>
  <c r="AI45" i="18"/>
  <c r="AJ36" i="19"/>
  <c r="AL36" i="19" s="1"/>
  <c r="J47" i="15"/>
  <c r="X41" i="15"/>
  <c r="AH41" i="15" s="1"/>
  <c r="AJ41" i="15" s="1"/>
  <c r="X34" i="15"/>
  <c r="AH34" i="15" s="1"/>
  <c r="AJ34" i="15" s="1"/>
  <c r="X35" i="15"/>
  <c r="AH35" i="15" s="1"/>
  <c r="AJ35" i="15" s="1"/>
  <c r="AJ29" i="19"/>
  <c r="AL29" i="19" s="1"/>
  <c r="J38" i="15"/>
  <c r="X28" i="15"/>
  <c r="AH28" i="15" s="1"/>
  <c r="AJ28" i="15" s="1"/>
  <c r="AI37" i="18"/>
  <c r="AH50" i="15"/>
  <c r="AJ50" i="15" s="1"/>
  <c r="X46" i="15"/>
  <c r="F47" i="15"/>
  <c r="I21" i="9"/>
  <c r="G22" i="10"/>
  <c r="K22" i="10" s="1"/>
  <c r="G21" i="10"/>
  <c r="K21" i="10" s="1"/>
  <c r="X56" i="15" l="1"/>
  <c r="AH56" i="15" s="1"/>
  <c r="AJ56" i="15" s="1"/>
  <c r="AH46" i="15"/>
  <c r="AJ46" i="15" s="1"/>
  <c r="X47" i="15"/>
  <c r="AH47" i="15" s="1"/>
  <c r="AJ47" i="15" s="1"/>
  <c r="F38" i="15"/>
  <c r="F58" i="15" s="1"/>
  <c r="G20" i="7"/>
  <c r="AJ114" i="20"/>
  <c r="AL114" i="20" s="1"/>
  <c r="J50" i="3"/>
  <c r="AA29" i="3" l="1"/>
  <c r="AA27" i="3"/>
  <c r="AA26" i="3"/>
  <c r="AA25" i="3"/>
  <c r="AA20" i="3"/>
  <c r="AH105" i="17"/>
  <c r="AJ105" i="17" s="1"/>
  <c r="AH99" i="17"/>
  <c r="AJ99" i="17" s="1"/>
  <c r="AH84" i="17"/>
  <c r="AJ84" i="17" s="1"/>
  <c r="AH81" i="17"/>
  <c r="AJ81" i="17" s="1"/>
  <c r="AJ51" i="21" l="1"/>
  <c r="AL51" i="21" s="1"/>
  <c r="AJ50" i="21"/>
  <c r="AL50" i="21" s="1"/>
  <c r="AJ48" i="21"/>
  <c r="AL48" i="21" s="1"/>
  <c r="AJ47" i="21"/>
  <c r="AL47" i="21" s="1"/>
  <c r="AJ46" i="21"/>
  <c r="AL46" i="21" s="1"/>
  <c r="AJ45" i="21"/>
  <c r="AL45" i="21" s="1"/>
  <c r="AJ44" i="21"/>
  <c r="AL44" i="21" s="1"/>
  <c r="AJ43" i="21"/>
  <c r="AL43" i="21" s="1"/>
  <c r="AJ42" i="21"/>
  <c r="AL42" i="21" s="1"/>
  <c r="AJ41" i="21"/>
  <c r="AJ39" i="21"/>
  <c r="AL39" i="21" s="1"/>
  <c r="AJ33" i="21"/>
  <c r="AL33" i="21" s="1"/>
  <c r="AJ38" i="21"/>
  <c r="AL38" i="21" s="1"/>
  <c r="AJ37" i="21"/>
  <c r="AL37" i="21" s="1"/>
  <c r="AJ36" i="21"/>
  <c r="AL36" i="21" s="1"/>
  <c r="AJ35" i="21"/>
  <c r="AL35" i="21" s="1"/>
  <c r="AJ32" i="21"/>
  <c r="AL32" i="21" s="1"/>
  <c r="AJ30" i="21"/>
  <c r="AJ29" i="21"/>
  <c r="AJ28" i="21"/>
  <c r="AJ27" i="21"/>
  <c r="AJ26" i="21"/>
  <c r="AJ24" i="21"/>
  <c r="AJ23" i="21"/>
  <c r="AJ22" i="21"/>
  <c r="AL21" i="21"/>
  <c r="AJ81" i="20"/>
  <c r="AL81" i="20" s="1"/>
  <c r="AJ80" i="20"/>
  <c r="AL80" i="20" s="1"/>
  <c r="AL79" i="20"/>
  <c r="AJ78" i="20"/>
  <c r="AL78" i="20" s="1"/>
  <c r="AJ76" i="20"/>
  <c r="AL76" i="20" s="1"/>
  <c r="AJ75" i="20"/>
  <c r="AL75" i="20" s="1"/>
  <c r="AJ74" i="20"/>
  <c r="AL74" i="20" s="1"/>
  <c r="AJ73" i="20"/>
  <c r="AL73" i="20" s="1"/>
  <c r="AJ71" i="20"/>
  <c r="AL71" i="20" s="1"/>
  <c r="AJ68" i="20"/>
  <c r="AL68" i="20" s="1"/>
  <c r="AJ62" i="20"/>
  <c r="AL62" i="20" s="1"/>
  <c r="AJ67" i="20"/>
  <c r="AL67" i="20" s="1"/>
  <c r="AJ66" i="20"/>
  <c r="AL66" i="20" s="1"/>
  <c r="AJ64" i="20"/>
  <c r="AL64" i="20" s="1"/>
  <c r="AJ61" i="20"/>
  <c r="AL61" i="20" s="1"/>
  <c r="AJ55" i="20"/>
  <c r="AL55" i="20" s="1"/>
  <c r="AJ54" i="20"/>
  <c r="AL54" i="20" s="1"/>
  <c r="AJ53" i="20"/>
  <c r="AL53" i="20" s="1"/>
  <c r="AJ52" i="20"/>
  <c r="AL52" i="20" s="1"/>
  <c r="AJ51" i="20"/>
  <c r="AL51" i="20" s="1"/>
  <c r="AJ50" i="20"/>
  <c r="AL50" i="20" s="1"/>
  <c r="AJ47" i="20"/>
  <c r="AL47" i="20" s="1"/>
  <c r="AJ46" i="20"/>
  <c r="AL46" i="20" s="1"/>
  <c r="AJ45" i="20"/>
  <c r="AL45" i="20" s="1"/>
  <c r="AJ44" i="20"/>
  <c r="AL44" i="20" s="1"/>
  <c r="AJ42" i="20"/>
  <c r="AL42" i="20" s="1"/>
  <c r="AJ86" i="21" l="1"/>
  <c r="AL86" i="21" s="1"/>
  <c r="AL56" i="21"/>
  <c r="AJ70" i="20"/>
  <c r="AL70" i="20" s="1"/>
  <c r="AB99" i="16"/>
  <c r="AB82" i="16"/>
  <c r="AB81" i="16"/>
  <c r="AB84" i="16"/>
  <c r="AB105" i="16"/>
  <c r="AH105" i="16" l="1"/>
  <c r="AJ105" i="16" s="1"/>
  <c r="AH99" i="16"/>
  <c r="AJ99" i="16" s="1"/>
  <c r="AH84" i="16"/>
  <c r="AJ84" i="16" s="1"/>
  <c r="AH82" i="16"/>
  <c r="AJ82" i="16" s="1"/>
  <c r="AH81" i="16"/>
  <c r="AJ81" i="16" s="1"/>
  <c r="AJ52" i="21"/>
  <c r="J19" i="3"/>
  <c r="AJ82" i="20"/>
  <c r="J18" i="33" l="1"/>
  <c r="G23" i="10"/>
  <c r="K23" i="10" s="1"/>
  <c r="AL82" i="20"/>
  <c r="AD39" i="27" l="1"/>
  <c r="AG39" i="27" s="1"/>
  <c r="AD33" i="28"/>
  <c r="AG32" i="28"/>
  <c r="AI32" i="28" s="1"/>
  <c r="AG31" i="28"/>
  <c r="AI31" i="28" s="1"/>
  <c r="AG24" i="28"/>
  <c r="AI24" i="28" s="1"/>
  <c r="AG23" i="28"/>
  <c r="AI23" i="28" s="1"/>
  <c r="AG22" i="28"/>
  <c r="AI22" i="28" s="1"/>
  <c r="D26" i="5"/>
  <c r="A39" i="12"/>
  <c r="A48" i="8"/>
  <c r="AE49" i="26" l="1"/>
  <c r="D36" i="5"/>
  <c r="D35" i="5"/>
  <c r="AH31" i="26"/>
  <c r="AJ31" i="26" s="1"/>
  <c r="D28" i="5"/>
  <c r="L28" i="5" s="1"/>
  <c r="S28" i="5" s="1"/>
  <c r="AH30" i="26"/>
  <c r="AJ30" i="26" s="1"/>
  <c r="D27" i="5"/>
  <c r="AH29" i="26"/>
  <c r="AJ29" i="26" s="1"/>
  <c r="AH28" i="26"/>
  <c r="AJ28" i="26" s="1"/>
  <c r="D25" i="5"/>
  <c r="AH21" i="26"/>
  <c r="AJ21" i="26" s="1"/>
  <c r="D20" i="5"/>
  <c r="L20" i="5" s="1"/>
  <c r="S20" i="5" s="1"/>
  <c r="U20" i="5" s="1"/>
  <c r="AH20" i="26"/>
  <c r="AJ20" i="26" s="1"/>
  <c r="D19" i="5"/>
  <c r="L19" i="5" s="1"/>
  <c r="S19" i="5" s="1"/>
  <c r="U19" i="5" s="1"/>
  <c r="AH19" i="26"/>
  <c r="AJ19" i="26" s="1"/>
  <c r="D18" i="5"/>
  <c r="H36" i="5"/>
  <c r="AG36" i="27"/>
  <c r="AI36" i="27" s="1"/>
  <c r="H35" i="5"/>
  <c r="AG26" i="27"/>
  <c r="AI26" i="27" s="1"/>
  <c r="AG25" i="27"/>
  <c r="AI25" i="27" s="1"/>
  <c r="L26" i="5"/>
  <c r="S26" i="5" s="1"/>
  <c r="U26" i="5" s="1"/>
  <c r="AG24" i="27"/>
  <c r="AI24" i="27" s="1"/>
  <c r="H25" i="5"/>
  <c r="H18" i="5"/>
  <c r="AH41" i="26"/>
  <c r="AJ41" i="26" s="1"/>
  <c r="AG33" i="28"/>
  <c r="AI33" i="28" s="1"/>
  <c r="AD44" i="27"/>
  <c r="AA33" i="28"/>
  <c r="AG17" i="27"/>
  <c r="AI17" i="27" s="1"/>
  <c r="AG25" i="28"/>
  <c r="AI25" i="28" s="1"/>
  <c r="L36" i="5" l="1"/>
  <c r="S36" i="5" s="1"/>
  <c r="U36" i="5" s="1"/>
  <c r="AI39" i="27"/>
  <c r="L18" i="5"/>
  <c r="D37" i="5"/>
  <c r="AH44" i="26"/>
  <c r="AJ44" i="26" s="1"/>
  <c r="D29" i="5"/>
  <c r="L27" i="5"/>
  <c r="S27" i="5" s="1"/>
  <c r="U27" i="5" s="1"/>
  <c r="AH33" i="26"/>
  <c r="AJ33" i="26" s="1"/>
  <c r="AH23" i="26"/>
  <c r="AJ23" i="26" s="1"/>
  <c r="D21" i="5"/>
  <c r="H37" i="5"/>
  <c r="L35" i="5"/>
  <c r="H29" i="5"/>
  <c r="L25" i="5"/>
  <c r="AG28" i="27"/>
  <c r="AI28" i="27" s="1"/>
  <c r="H21" i="5"/>
  <c r="AG19" i="27"/>
  <c r="AI19" i="27" s="1"/>
  <c r="AA37" i="28" l="1"/>
  <c r="D32" i="5"/>
  <c r="D42" i="5" s="1"/>
  <c r="AH37" i="26"/>
  <c r="L37" i="5"/>
  <c r="S37" i="5" s="1"/>
  <c r="S35" i="5"/>
  <c r="U35" i="5" s="1"/>
  <c r="S25" i="5"/>
  <c r="L29" i="5"/>
  <c r="H32" i="5"/>
  <c r="H42" i="5" s="1"/>
  <c r="L21" i="5"/>
  <c r="S18" i="5"/>
  <c r="AG32" i="27"/>
  <c r="AI32" i="27" s="1"/>
  <c r="AL55" i="23"/>
  <c r="AN55" i="23" s="1"/>
  <c r="AL54" i="23"/>
  <c r="AN54" i="23" s="1"/>
  <c r="AL51" i="23"/>
  <c r="AN51" i="23" s="1"/>
  <c r="AL49" i="23"/>
  <c r="AN49" i="23" s="1"/>
  <c r="AL46" i="23"/>
  <c r="AN46" i="23" s="1"/>
  <c r="AL44" i="23"/>
  <c r="AN44" i="23" s="1"/>
  <c r="AG45" i="22"/>
  <c r="AI45" i="22" s="1"/>
  <c r="AG42" i="22"/>
  <c r="AI42" i="22" s="1"/>
  <c r="AJ37" i="26" l="1"/>
  <c r="AH49" i="26"/>
  <c r="AJ49" i="26" s="1"/>
  <c r="U37" i="5"/>
  <c r="AG47" i="22"/>
  <c r="AI47" i="22" s="1"/>
  <c r="AL39" i="23"/>
  <c r="AN39" i="23" s="1"/>
  <c r="AL58" i="23"/>
  <c r="AN58" i="23" s="1"/>
  <c r="AL43" i="23"/>
  <c r="AN43" i="23" s="1"/>
  <c r="AL47" i="23"/>
  <c r="AN47" i="23" s="1"/>
  <c r="AL41" i="23"/>
  <c r="AN41" i="23" s="1"/>
  <c r="AL52" i="23"/>
  <c r="AN52" i="23" s="1"/>
  <c r="AL59" i="23"/>
  <c r="AN59" i="23" s="1"/>
  <c r="AL45" i="23"/>
  <c r="AN45" i="23" s="1"/>
  <c r="U25" i="5"/>
  <c r="S29" i="5"/>
  <c r="U29" i="5" s="1"/>
  <c r="L32" i="5"/>
  <c r="L42" i="5" s="1"/>
  <c r="S21" i="5"/>
  <c r="U21" i="5" s="1"/>
  <c r="U18" i="5"/>
  <c r="AG41" i="22"/>
  <c r="AI41" i="22" s="1"/>
  <c r="AG44" i="27"/>
  <c r="AI44" i="27" s="1"/>
  <c r="S32" i="5" l="1"/>
  <c r="U32" i="5" s="1"/>
  <c r="AG50" i="22"/>
  <c r="AI50" i="22" s="1"/>
  <c r="S42" i="5" l="1"/>
  <c r="U42" i="5" s="1"/>
  <c r="U27" i="14" l="1"/>
  <c r="G26" i="13"/>
  <c r="N39" i="3"/>
  <c r="L39" i="3"/>
  <c r="N37" i="3"/>
  <c r="L37" i="3"/>
  <c r="N34" i="3"/>
  <c r="L34" i="3"/>
  <c r="N33" i="3"/>
  <c r="L33" i="3"/>
  <c r="N32" i="3"/>
  <c r="L32" i="3"/>
  <c r="N31" i="3"/>
  <c r="L31" i="3"/>
  <c r="N30" i="3"/>
  <c r="L30" i="3"/>
  <c r="N29" i="3"/>
  <c r="L29" i="3"/>
  <c r="N27" i="3"/>
  <c r="L27" i="3"/>
  <c r="N26" i="3"/>
  <c r="L26" i="3"/>
  <c r="N25" i="3"/>
  <c r="L25" i="3"/>
  <c r="T13" i="3"/>
  <c r="R13" i="3"/>
  <c r="N13" i="3"/>
  <c r="L13" i="3"/>
  <c r="J13" i="3"/>
  <c r="H13" i="3"/>
  <c r="T12" i="3"/>
  <c r="N12" i="3"/>
  <c r="J12" i="3"/>
  <c r="N35" i="3" l="1"/>
  <c r="L35" i="3"/>
  <c r="H51" i="3"/>
  <c r="K25" i="13" l="1"/>
  <c r="O25" i="13" s="1"/>
  <c r="AA35" i="3"/>
  <c r="AA43" i="3" s="1"/>
  <c r="AJ44" i="19" l="1"/>
  <c r="AL44" i="19" s="1"/>
  <c r="AD45" i="19"/>
  <c r="AJ45" i="19" s="1"/>
  <c r="AL45" i="19" s="1"/>
  <c r="AD47" i="19"/>
  <c r="AJ47" i="19" s="1"/>
  <c r="AL47" i="19" s="1"/>
  <c r="AD51" i="19"/>
  <c r="AJ51" i="19" s="1"/>
  <c r="AL51" i="19" s="1"/>
  <c r="AJ52" i="19"/>
  <c r="AL52" i="19" s="1"/>
  <c r="AD54" i="19"/>
  <c r="AJ54" i="19" s="1"/>
  <c r="AL54" i="19" s="1"/>
  <c r="AD58" i="19"/>
  <c r="AJ58" i="19" s="1"/>
  <c r="AL58" i="19" s="1"/>
  <c r="AD65" i="19"/>
  <c r="AJ65" i="19" s="1"/>
  <c r="AL65" i="19" s="1"/>
  <c r="AD67" i="19"/>
  <c r="AJ67" i="19" s="1"/>
  <c r="AL67" i="19" s="1"/>
  <c r="AD62" i="19"/>
  <c r="AJ62" i="19" s="1"/>
  <c r="AL62" i="19" s="1"/>
  <c r="AD68" i="19"/>
  <c r="AJ68" i="19" s="1"/>
  <c r="AL68" i="19" s="1"/>
  <c r="AD71" i="19"/>
  <c r="AJ71" i="19" s="1"/>
  <c r="AL71" i="19" s="1"/>
  <c r="AD74" i="19"/>
  <c r="AJ74" i="19" s="1"/>
  <c r="AL74" i="19" s="1"/>
  <c r="AD75" i="19"/>
  <c r="AJ75" i="19" s="1"/>
  <c r="AL75" i="19" s="1"/>
  <c r="AD76" i="19"/>
  <c r="AJ76" i="19" s="1"/>
  <c r="AL76" i="19" s="1"/>
  <c r="AD78" i="19"/>
  <c r="AJ78" i="19" s="1"/>
  <c r="AL78" i="19" s="1"/>
  <c r="AD81" i="19"/>
  <c r="AJ81" i="19" s="1"/>
  <c r="AL81" i="19" s="1"/>
  <c r="AD80" i="19"/>
  <c r="AJ80" i="19" s="1"/>
  <c r="AL80" i="19" s="1"/>
  <c r="AD60" i="19"/>
  <c r="AJ60" i="19" s="1"/>
  <c r="AL60" i="19" s="1"/>
  <c r="AD50" i="19"/>
  <c r="AJ50" i="19" s="1"/>
  <c r="AL50" i="19" s="1"/>
  <c r="AD64" i="19"/>
  <c r="AJ64" i="19" s="1"/>
  <c r="AL64" i="19" s="1"/>
  <c r="AD57" i="19"/>
  <c r="AJ57" i="19" s="1"/>
  <c r="AL57" i="19" s="1"/>
  <c r="AI94" i="18"/>
  <c r="AK94" i="18" s="1"/>
  <c r="AI78" i="18"/>
  <c r="AI77" i="18"/>
  <c r="AK77" i="18" s="1"/>
  <c r="AI63" i="18"/>
  <c r="AK63" i="18" s="1"/>
  <c r="AI62" i="18"/>
  <c r="AB88" i="17" l="1"/>
  <c r="AH88" i="17" s="1"/>
  <c r="AJ88" i="17" s="1"/>
  <c r="AI65" i="18"/>
  <c r="AK65" i="18" s="1"/>
  <c r="AK64" i="18"/>
  <c r="AI83" i="18"/>
  <c r="AK83" i="18" s="1"/>
  <c r="AI86" i="18"/>
  <c r="AK86" i="18" s="1"/>
  <c r="AB88" i="16"/>
  <c r="AI95" i="18"/>
  <c r="AD79" i="19"/>
  <c r="AJ79" i="19" s="1"/>
  <c r="AL79" i="19" s="1"/>
  <c r="AD77" i="19"/>
  <c r="AJ77" i="19" s="1"/>
  <c r="AL77" i="19" s="1"/>
  <c r="AD73" i="19"/>
  <c r="AJ73" i="19" s="1"/>
  <c r="AL73" i="19" s="1"/>
  <c r="AD70" i="19"/>
  <c r="AJ70" i="19" s="1"/>
  <c r="AL70" i="19" s="1"/>
  <c r="AD66" i="19"/>
  <c r="AJ66" i="19" s="1"/>
  <c r="AL66" i="19" s="1"/>
  <c r="AJ61" i="19"/>
  <c r="AL61" i="19" s="1"/>
  <c r="AJ55" i="19"/>
  <c r="AL55" i="19" s="1"/>
  <c r="AD53" i="19"/>
  <c r="AJ53" i="19" s="1"/>
  <c r="AL53" i="19" s="1"/>
  <c r="AD46" i="19"/>
  <c r="AJ46" i="19" s="1"/>
  <c r="AL46" i="19" s="1"/>
  <c r="AD42" i="19"/>
  <c r="AI93" i="18"/>
  <c r="AK93" i="18" s="1"/>
  <c r="AI89" i="18"/>
  <c r="AK89" i="18" s="1"/>
  <c r="AI88" i="18"/>
  <c r="AI84" i="18"/>
  <c r="AK84" i="18" s="1"/>
  <c r="AI82" i="18"/>
  <c r="AK82" i="18" s="1"/>
  <c r="AI81" i="18"/>
  <c r="AK81" i="18" s="1"/>
  <c r="AI74" i="18"/>
  <c r="AK74" i="18" s="1"/>
  <c r="AI73" i="18"/>
  <c r="AK73" i="18" s="1"/>
  <c r="AI72" i="18"/>
  <c r="AK72" i="18" s="1"/>
  <c r="AI71" i="18"/>
  <c r="AK71" i="18" s="1"/>
  <c r="AI70" i="18"/>
  <c r="AK70" i="18" s="1"/>
  <c r="AI69" i="18"/>
  <c r="AK69" i="18" s="1"/>
  <c r="AI67" i="18"/>
  <c r="AK67" i="18" s="1"/>
  <c r="AI60" i="18"/>
  <c r="AK60" i="18" s="1"/>
  <c r="AI59" i="18"/>
  <c r="AK59" i="18" s="1"/>
  <c r="AD82" i="19" l="1"/>
  <c r="AH88" i="16"/>
  <c r="AJ88" i="16" s="1"/>
  <c r="C106" i="17"/>
  <c r="C110" i="17" s="1"/>
  <c r="C136" i="17" s="1"/>
  <c r="C106" i="16"/>
  <c r="AJ42" i="19"/>
  <c r="AL42" i="19" s="1"/>
  <c r="AI96" i="18"/>
  <c r="AK96" i="18" s="1"/>
  <c r="I24" i="9"/>
  <c r="AJ82" i="19" l="1"/>
  <c r="F19" i="3" l="1"/>
  <c r="L50" i="3" l="1"/>
  <c r="L49" i="3"/>
  <c r="L19" i="3"/>
  <c r="L18" i="3"/>
  <c r="L16" i="3"/>
  <c r="L51" i="3" l="1"/>
  <c r="G25" i="10" l="1"/>
  <c r="L20" i="3"/>
  <c r="F15" i="6" l="1"/>
  <c r="J38" i="3" l="1"/>
  <c r="J34" i="3"/>
  <c r="J33" i="3"/>
  <c r="J32" i="3"/>
  <c r="J31" i="3"/>
  <c r="J30" i="3"/>
  <c r="J29" i="3"/>
  <c r="J27" i="3"/>
  <c r="J26" i="3"/>
  <c r="J25" i="3"/>
  <c r="J20" i="3" l="1"/>
  <c r="AL86" i="20"/>
  <c r="J39" i="3"/>
  <c r="J37" i="3"/>
  <c r="J35" i="3"/>
  <c r="AJ82" i="24"/>
  <c r="AL82" i="24" s="1"/>
  <c r="AJ81" i="24"/>
  <c r="AL81" i="24" s="1"/>
  <c r="AJ80" i="24"/>
  <c r="AL80" i="24" s="1"/>
  <c r="AJ77" i="24"/>
  <c r="AL77" i="24" s="1"/>
  <c r="AJ75" i="24"/>
  <c r="AL75" i="24" s="1"/>
  <c r="AJ74" i="24"/>
  <c r="AL74" i="24" s="1"/>
  <c r="AJ73" i="24"/>
  <c r="AL73" i="24" s="1"/>
  <c r="AJ72" i="24"/>
  <c r="AL72" i="24" s="1"/>
  <c r="AG76" i="25"/>
  <c r="AJ76" i="25" s="1"/>
  <c r="I76" i="25"/>
  <c r="E76" i="25"/>
  <c r="AJ64" i="25"/>
  <c r="AL64" i="25" s="1"/>
  <c r="AJ63" i="25"/>
  <c r="AL63" i="25" s="1"/>
  <c r="AJ62" i="25"/>
  <c r="AL62" i="25" s="1"/>
  <c r="AJ58" i="25"/>
  <c r="AJ57" i="25"/>
  <c r="AL57" i="25" s="1"/>
  <c r="AJ56" i="25"/>
  <c r="AL56" i="25" s="1"/>
  <c r="AJ55" i="25"/>
  <c r="AL55" i="25" s="1"/>
  <c r="AJ54" i="25"/>
  <c r="AL54" i="25" s="1"/>
  <c r="AJ52" i="25"/>
  <c r="AJ50" i="25"/>
  <c r="I95" i="24"/>
  <c r="G44" i="26"/>
  <c r="AG32" i="29"/>
  <c r="AI32" i="29" s="1"/>
  <c r="AG31" i="29"/>
  <c r="AI31" i="29" s="1"/>
  <c r="X39" i="27"/>
  <c r="V39" i="27"/>
  <c r="T39" i="27"/>
  <c r="P39" i="27"/>
  <c r="N39" i="27"/>
  <c r="L39" i="27"/>
  <c r="L44" i="27" s="1"/>
  <c r="J39" i="27"/>
  <c r="H39" i="27"/>
  <c r="H44" i="27" s="1"/>
  <c r="F39" i="27"/>
  <c r="D39" i="27"/>
  <c r="B39" i="27"/>
  <c r="F33" i="29"/>
  <c r="D33" i="29"/>
  <c r="B33" i="29"/>
  <c r="AG24" i="29"/>
  <c r="AI24" i="29" s="1"/>
  <c r="AG23" i="29"/>
  <c r="AI23" i="29" s="1"/>
  <c r="AG22" i="29"/>
  <c r="AI22" i="29" s="1"/>
  <c r="F33" i="28"/>
  <c r="D33" i="28"/>
  <c r="B33" i="28"/>
  <c r="C42" i="31"/>
  <c r="E95" i="24"/>
  <c r="I32" i="12"/>
  <c r="I26" i="12"/>
  <c r="I30" i="12"/>
  <c r="AG88" i="21"/>
  <c r="H88" i="21"/>
  <c r="D88" i="21"/>
  <c r="I29" i="11"/>
  <c r="Z116" i="20"/>
  <c r="T116" i="20"/>
  <c r="R116" i="20"/>
  <c r="N116" i="20"/>
  <c r="N120" i="20" s="1"/>
  <c r="H116" i="20"/>
  <c r="F116" i="20"/>
  <c r="D116" i="20"/>
  <c r="F118" i="19"/>
  <c r="H51" i="2" l="1"/>
  <c r="R118" i="19"/>
  <c r="R122" i="19" s="1"/>
  <c r="AD116" i="19"/>
  <c r="J50" i="2" s="1"/>
  <c r="AL76" i="25"/>
  <c r="E29" i="8"/>
  <c r="E31" i="10"/>
  <c r="E29" i="10"/>
  <c r="E21" i="8"/>
  <c r="E32" i="8"/>
  <c r="E24" i="10"/>
  <c r="E30" i="8"/>
  <c r="E40" i="7"/>
  <c r="K40" i="7" s="1"/>
  <c r="E21" i="10"/>
  <c r="O21" i="10" s="1"/>
  <c r="E23" i="10"/>
  <c r="O23" i="10" s="1"/>
  <c r="E25" i="8"/>
  <c r="E24" i="8"/>
  <c r="E30" i="10"/>
  <c r="E25" i="10"/>
  <c r="E33" i="10"/>
  <c r="E33" i="8"/>
  <c r="K33" i="8" s="1"/>
  <c r="E23" i="8"/>
  <c r="E34" i="10"/>
  <c r="E31" i="8"/>
  <c r="E20" i="8"/>
  <c r="E20" i="10"/>
  <c r="O20" i="10" s="1"/>
  <c r="E22" i="10"/>
  <c r="O22" i="10" s="1"/>
  <c r="J43" i="3"/>
  <c r="V44" i="27"/>
  <c r="T44" i="27"/>
  <c r="J44" i="27"/>
  <c r="R44" i="27"/>
  <c r="N44" i="27"/>
  <c r="B37" i="28"/>
  <c r="I21" i="14"/>
  <c r="AL100" i="20"/>
  <c r="G31" i="10"/>
  <c r="K31" i="10" s="1"/>
  <c r="G33" i="10"/>
  <c r="F44" i="27"/>
  <c r="G24" i="10"/>
  <c r="K24" i="10" s="1"/>
  <c r="E100" i="24"/>
  <c r="E80" i="25"/>
  <c r="T120" i="20"/>
  <c r="X44" i="27"/>
  <c r="D44" i="27"/>
  <c r="B37" i="29"/>
  <c r="F37" i="29"/>
  <c r="G30" i="10"/>
  <c r="K30" i="10" s="1"/>
  <c r="D120" i="20"/>
  <c r="AG52" i="22"/>
  <c r="AI52" i="22" s="1"/>
  <c r="I25" i="12"/>
  <c r="AG33" i="29"/>
  <c r="AI33" i="29" s="1"/>
  <c r="AG25" i="29"/>
  <c r="AI25" i="29" s="1"/>
  <c r="R120" i="20"/>
  <c r="AJ91" i="24"/>
  <c r="J21" i="3"/>
  <c r="AJ83" i="24"/>
  <c r="AL83" i="24" s="1"/>
  <c r="AJ51" i="25"/>
  <c r="AL51" i="25" s="1"/>
  <c r="B44" i="27"/>
  <c r="D37" i="29"/>
  <c r="AG60" i="22"/>
  <c r="AI60" i="22" s="1"/>
  <c r="I31" i="12"/>
  <c r="G49" i="26"/>
  <c r="AG69" i="22"/>
  <c r="AI69" i="22" s="1"/>
  <c r="AG68" i="22"/>
  <c r="AI68" i="22" s="1"/>
  <c r="F37" i="28"/>
  <c r="H120" i="20"/>
  <c r="AJ65" i="25"/>
  <c r="AL65" i="25" s="1"/>
  <c r="I80" i="25"/>
  <c r="AJ70" i="24"/>
  <c r="AL70" i="24" s="1"/>
  <c r="I100" i="24"/>
  <c r="AJ26" i="24"/>
  <c r="AL26" i="24" s="1"/>
  <c r="AJ92" i="24"/>
  <c r="AL92" i="24" s="1"/>
  <c r="AJ20" i="24"/>
  <c r="AL20" i="24" s="1"/>
  <c r="D37" i="28"/>
  <c r="AJ76" i="24"/>
  <c r="AL76" i="24" s="1"/>
  <c r="AJ69" i="24"/>
  <c r="AL69" i="24" s="1"/>
  <c r="AJ68" i="24"/>
  <c r="AL68" i="24" s="1"/>
  <c r="AJ59" i="25"/>
  <c r="S30" i="14"/>
  <c r="AJ44" i="25"/>
  <c r="AL44" i="25" s="1"/>
  <c r="AG58" i="22"/>
  <c r="AI58" i="22" s="1"/>
  <c r="AG120" i="20"/>
  <c r="AJ100" i="20"/>
  <c r="F120" i="20"/>
  <c r="AL107" i="20"/>
  <c r="C45" i="31"/>
  <c r="AA33" i="29"/>
  <c r="N34" i="2"/>
  <c r="C101" i="30"/>
  <c r="O30" i="10" l="1"/>
  <c r="O31" i="10"/>
  <c r="O24" i="10"/>
  <c r="J46" i="3"/>
  <c r="K27" i="12"/>
  <c r="E22" i="7"/>
  <c r="C103" i="30"/>
  <c r="C158" i="30" s="1"/>
  <c r="AJ82" i="21"/>
  <c r="AG92" i="21"/>
  <c r="E40" i="14"/>
  <c r="U33" i="14"/>
  <c r="U37" i="14" s="1"/>
  <c r="G32" i="7"/>
  <c r="K32" i="7" s="1"/>
  <c r="E30" i="7"/>
  <c r="E20" i="7"/>
  <c r="K20" i="7" s="1"/>
  <c r="E31" i="7"/>
  <c r="E40" i="12"/>
  <c r="O40" i="14"/>
  <c r="E35" i="10"/>
  <c r="E34" i="8"/>
  <c r="E42" i="11"/>
  <c r="E24" i="7"/>
  <c r="E25" i="7"/>
  <c r="K26" i="11"/>
  <c r="K35" i="11"/>
  <c r="E29" i="7"/>
  <c r="E21" i="7"/>
  <c r="E26" i="10"/>
  <c r="E33" i="13"/>
  <c r="E26" i="8"/>
  <c r="E33" i="7"/>
  <c r="E27" i="13"/>
  <c r="E23" i="7"/>
  <c r="K23" i="7" s="1"/>
  <c r="K33" i="10"/>
  <c r="O33" i="10" s="1"/>
  <c r="G33" i="7"/>
  <c r="O124" i="16"/>
  <c r="O133" i="16" s="1"/>
  <c r="AF79" i="23"/>
  <c r="AF86" i="23" s="1"/>
  <c r="G21" i="13"/>
  <c r="G22" i="7" s="1"/>
  <c r="K32" i="13"/>
  <c r="O32" i="13" s="1"/>
  <c r="I30" i="14"/>
  <c r="I20" i="14"/>
  <c r="AL60" i="25"/>
  <c r="G26" i="10"/>
  <c r="K24" i="13"/>
  <c r="O24" i="13" s="1"/>
  <c r="AI71" i="22"/>
  <c r="K31" i="13"/>
  <c r="O31" i="13" s="1"/>
  <c r="AJ46" i="25"/>
  <c r="AJ27" i="24"/>
  <c r="AL27" i="24" s="1"/>
  <c r="AJ22" i="24"/>
  <c r="AL22" i="24" s="1"/>
  <c r="AG54" i="22"/>
  <c r="AI54" i="22" s="1"/>
  <c r="AJ60" i="25"/>
  <c r="AJ78" i="24"/>
  <c r="AL78" i="24" s="1"/>
  <c r="AL95" i="24"/>
  <c r="AG62" i="22"/>
  <c r="AI62" i="22" s="1"/>
  <c r="AJ107" i="20"/>
  <c r="H24" i="6"/>
  <c r="AK37" i="18"/>
  <c r="AI105" i="18"/>
  <c r="AK105" i="18" s="1"/>
  <c r="AI108" i="18"/>
  <c r="AK108" i="18" s="1"/>
  <c r="AI109" i="18"/>
  <c r="AK109" i="18" s="1"/>
  <c r="AI110" i="18"/>
  <c r="AK110" i="18" s="1"/>
  <c r="AI111" i="18"/>
  <c r="AK111" i="18" s="1"/>
  <c r="AI112" i="18"/>
  <c r="AK112" i="18" s="1"/>
  <c r="AI113" i="18"/>
  <c r="AK113" i="18" s="1"/>
  <c r="Q133" i="16"/>
  <c r="AI116" i="18"/>
  <c r="AK116" i="18" s="1"/>
  <c r="I27" i="9"/>
  <c r="K22" i="7" l="1"/>
  <c r="K33" i="7"/>
  <c r="I25" i="9"/>
  <c r="K39" i="11"/>
  <c r="K33" i="14"/>
  <c r="P42" i="11"/>
  <c r="K37" i="12"/>
  <c r="E39" i="10"/>
  <c r="E42" i="10" s="1"/>
  <c r="E37" i="8"/>
  <c r="E37" i="13"/>
  <c r="E26" i="7"/>
  <c r="K21" i="13"/>
  <c r="O21" i="13" s="1"/>
  <c r="G20" i="13"/>
  <c r="G30" i="13"/>
  <c r="D92" i="21"/>
  <c r="G25" i="7"/>
  <c r="K25" i="7" s="1"/>
  <c r="AJ32" i="24"/>
  <c r="AL32" i="24" s="1"/>
  <c r="AI98" i="18"/>
  <c r="AK98" i="18" s="1"/>
  <c r="AI131" i="18"/>
  <c r="AK131" i="18" s="1"/>
  <c r="AI118" i="18"/>
  <c r="AK118" i="18" s="1"/>
  <c r="I36" i="9"/>
  <c r="AI117" i="18"/>
  <c r="AK117" i="18" s="1"/>
  <c r="AK45" i="18"/>
  <c r="H92" i="21"/>
  <c r="AJ85" i="24"/>
  <c r="AL85" i="24" s="1"/>
  <c r="AI127" i="18"/>
  <c r="AK127" i="18" s="1"/>
  <c r="AJ110" i="20"/>
  <c r="AL110" i="20" s="1"/>
  <c r="AI104" i="18"/>
  <c r="AK104" i="18" s="1"/>
  <c r="K30" i="13" l="1"/>
  <c r="O30" i="13" s="1"/>
  <c r="G31" i="7"/>
  <c r="K31" i="7" s="1"/>
  <c r="G30" i="7"/>
  <c r="K30" i="7" s="1"/>
  <c r="AG65" i="22"/>
  <c r="H33" i="6"/>
  <c r="H32" i="6"/>
  <c r="D33" i="6"/>
  <c r="D32" i="6"/>
  <c r="L32" i="6" l="1"/>
  <c r="S32" i="6" s="1"/>
  <c r="U32" i="6" s="1"/>
  <c r="O33" i="13"/>
  <c r="K33" i="13"/>
  <c r="G33" i="13"/>
  <c r="K20" i="13"/>
  <c r="O20" i="13" s="1"/>
  <c r="G21" i="7"/>
  <c r="K21" i="7" s="1"/>
  <c r="AG75" i="22"/>
  <c r="AI75" i="22" s="1"/>
  <c r="AI65" i="22"/>
  <c r="D34" i="6"/>
  <c r="L33" i="6"/>
  <c r="S33" i="6" s="1"/>
  <c r="U33" i="6" s="1"/>
  <c r="P34" i="6"/>
  <c r="J32" i="6"/>
  <c r="J33" i="6"/>
  <c r="H34" i="6"/>
  <c r="G34" i="10"/>
  <c r="U34" i="6" l="1"/>
  <c r="K34" i="10"/>
  <c r="O34" i="10" s="1"/>
  <c r="S34" i="6"/>
  <c r="L34" i="6"/>
  <c r="J34" i="6"/>
  <c r="AE131" i="16" l="1"/>
  <c r="AJ74" i="21"/>
  <c r="AL74" i="21" s="1"/>
  <c r="AJ68" i="21"/>
  <c r="AL68" i="21" s="1"/>
  <c r="AJ96" i="20"/>
  <c r="AL96" i="20" s="1"/>
  <c r="AJ77" i="21"/>
  <c r="AL77" i="21" s="1"/>
  <c r="AJ73" i="21"/>
  <c r="AL73" i="21" s="1"/>
  <c r="AJ72" i="21"/>
  <c r="AL72" i="21" s="1"/>
  <c r="AJ69" i="21"/>
  <c r="AL69" i="21" s="1"/>
  <c r="AJ67" i="21"/>
  <c r="AL67" i="21" s="1"/>
  <c r="AJ66" i="21"/>
  <c r="AL66" i="21" s="1"/>
  <c r="AJ65" i="21"/>
  <c r="AL65" i="21" s="1"/>
  <c r="AJ64" i="21"/>
  <c r="AL64" i="21" s="1"/>
  <c r="AJ61" i="21"/>
  <c r="AL61" i="21" s="1"/>
  <c r="AJ62" i="21"/>
  <c r="AL62" i="21" s="1"/>
  <c r="AJ54" i="21"/>
  <c r="AJ56" i="21" s="1"/>
  <c r="AJ105" i="20"/>
  <c r="AL105" i="20" s="1"/>
  <c r="AJ104" i="20"/>
  <c r="AL104" i="20" s="1"/>
  <c r="AJ103" i="20"/>
  <c r="AL103" i="20" s="1"/>
  <c r="AJ102" i="20"/>
  <c r="AL102" i="20" s="1"/>
  <c r="AJ99" i="20"/>
  <c r="AL99" i="20" s="1"/>
  <c r="AJ98" i="20"/>
  <c r="AL98" i="20" s="1"/>
  <c r="AJ97" i="20"/>
  <c r="AL97" i="20" s="1"/>
  <c r="AJ95" i="20"/>
  <c r="AL95" i="20" s="1"/>
  <c r="AJ94" i="20"/>
  <c r="AL94" i="20" s="1"/>
  <c r="AJ92" i="20"/>
  <c r="AL92" i="20" s="1"/>
  <c r="AJ91" i="20"/>
  <c r="AL91" i="20" s="1"/>
  <c r="AJ90" i="20"/>
  <c r="AL90" i="20" s="1"/>
  <c r="AJ84" i="20"/>
  <c r="AL84" i="20" s="1"/>
  <c r="V26" i="11" l="1"/>
  <c r="T25" i="11"/>
  <c r="AE121" i="16"/>
  <c r="AE119" i="16"/>
  <c r="AE116" i="16"/>
  <c r="AE115" i="16"/>
  <c r="AE114" i="16"/>
  <c r="AE122" i="16"/>
  <c r="AE123" i="16"/>
  <c r="AE127" i="16"/>
  <c r="AE120" i="16"/>
  <c r="AE126" i="16"/>
  <c r="AE118" i="16"/>
  <c r="AJ86" i="20"/>
  <c r="J51" i="3"/>
  <c r="J55" i="3" s="1"/>
  <c r="AD88" i="21"/>
  <c r="AJ85" i="21"/>
  <c r="AJ113" i="20"/>
  <c r="AL113" i="20" s="1"/>
  <c r="AJ60" i="21"/>
  <c r="AL60" i="21" s="1"/>
  <c r="V35" i="11" l="1"/>
  <c r="V39" i="11" s="1"/>
  <c r="T29" i="11"/>
  <c r="AL88" i="21"/>
  <c r="AD92" i="21"/>
  <c r="K59" i="30"/>
  <c r="I26" i="10"/>
  <c r="K25" i="10"/>
  <c r="O25" i="10" s="1"/>
  <c r="AL70" i="21"/>
  <c r="AL116" i="20"/>
  <c r="AE124" i="16"/>
  <c r="AJ88" i="21"/>
  <c r="AJ116" i="20"/>
  <c r="AJ120" i="20" s="1"/>
  <c r="AL79" i="21"/>
  <c r="AJ70" i="21"/>
  <c r="O26" i="10" l="1"/>
  <c r="K26" i="10"/>
  <c r="AL120" i="20"/>
  <c r="G29" i="10"/>
  <c r="AJ79" i="21"/>
  <c r="AL82" i="21"/>
  <c r="K29" i="10" l="1"/>
  <c r="O29" i="10" s="1"/>
  <c r="G35" i="10"/>
  <c r="G39" i="10" s="1"/>
  <c r="AJ92" i="21"/>
  <c r="J15" i="6"/>
  <c r="O35" i="10" l="1"/>
  <c r="O39" i="10" s="1"/>
  <c r="AL92" i="21"/>
  <c r="K35" i="10"/>
  <c r="K39" i="10"/>
  <c r="AL69" i="23" l="1"/>
  <c r="AN69" i="23" s="1"/>
  <c r="AL74" i="23"/>
  <c r="AN74" i="23" s="1"/>
  <c r="AL78" i="23"/>
  <c r="AN78" i="23" s="1"/>
  <c r="AL92" i="23"/>
  <c r="E96" i="23"/>
  <c r="AL77" i="23"/>
  <c r="AN77" i="23" s="1"/>
  <c r="AL76" i="23"/>
  <c r="AN76" i="23" s="1"/>
  <c r="AL82" i="23"/>
  <c r="AN82" i="23" s="1"/>
  <c r="AL93" i="23"/>
  <c r="AN93" i="23" s="1"/>
  <c r="AL73" i="23"/>
  <c r="AN73" i="23" s="1"/>
  <c r="AL83" i="23"/>
  <c r="AN83" i="23" s="1"/>
  <c r="AL70" i="23"/>
  <c r="AN70" i="23" s="1"/>
  <c r="AL75" i="23"/>
  <c r="AN75" i="23" s="1"/>
  <c r="AL81" i="23"/>
  <c r="AN81" i="23" s="1"/>
  <c r="AD95" i="19"/>
  <c r="AJ95" i="19" s="1"/>
  <c r="AL95" i="19" s="1"/>
  <c r="AD107" i="19"/>
  <c r="AJ107" i="19" s="1"/>
  <c r="AL107" i="19" s="1"/>
  <c r="AD98" i="19"/>
  <c r="AD92" i="19"/>
  <c r="AJ92" i="19" s="1"/>
  <c r="AL92" i="19" s="1"/>
  <c r="AD90" i="19"/>
  <c r="AD99" i="19"/>
  <c r="AJ99" i="19" s="1"/>
  <c r="AL99" i="19" s="1"/>
  <c r="AD104" i="19"/>
  <c r="AD91" i="19"/>
  <c r="J25" i="2" s="1"/>
  <c r="AD96" i="19"/>
  <c r="AJ96" i="19" s="1"/>
  <c r="AL96" i="19" s="1"/>
  <c r="AJ102" i="19"/>
  <c r="AL102" i="19" s="1"/>
  <c r="AD84" i="19"/>
  <c r="AJ103" i="19"/>
  <c r="AL103" i="19" s="1"/>
  <c r="AD97" i="19"/>
  <c r="AJ97" i="19" s="1"/>
  <c r="AL97" i="19" s="1"/>
  <c r="AJ116" i="19"/>
  <c r="AL116" i="19" s="1"/>
  <c r="AD94" i="19"/>
  <c r="AB20" i="2"/>
  <c r="V48" i="2"/>
  <c r="Q139" i="16" s="1"/>
  <c r="AJ104" i="19" l="1"/>
  <c r="AL104" i="19" s="1"/>
  <c r="J38" i="2"/>
  <c r="AJ91" i="19"/>
  <c r="AL91" i="19" s="1"/>
  <c r="AJ98" i="19"/>
  <c r="AL98" i="19" s="1"/>
  <c r="J32" i="2"/>
  <c r="AJ94" i="19"/>
  <c r="AL94" i="19" s="1"/>
  <c r="AD100" i="19"/>
  <c r="C110" i="16"/>
  <c r="AL94" i="23"/>
  <c r="AN94" i="23" s="1"/>
  <c r="AJ84" i="19"/>
  <c r="AL84" i="19" s="1"/>
  <c r="AL63" i="23"/>
  <c r="AN63" i="23" s="1"/>
  <c r="AL82" i="19"/>
  <c r="AJ115" i="19"/>
  <c r="AL115" i="19" s="1"/>
  <c r="AD118" i="19"/>
  <c r="AJ118" i="19" s="1"/>
  <c r="AL118" i="19" s="1"/>
  <c r="AJ90" i="19"/>
  <c r="AL90" i="19" s="1"/>
  <c r="AL84" i="23"/>
  <c r="AN84" i="23" s="1"/>
  <c r="AL71" i="23"/>
  <c r="AN71" i="23" s="1"/>
  <c r="AN96" i="23"/>
  <c r="P34" i="2"/>
  <c r="P42" i="2" s="1"/>
  <c r="H34" i="2"/>
  <c r="H42" i="2" s="1"/>
  <c r="AL79" i="23" l="1"/>
  <c r="AJ100" i="19"/>
  <c r="AD109" i="19"/>
  <c r="AN79" i="23" l="1"/>
  <c r="AL86" i="23"/>
  <c r="AJ109" i="19"/>
  <c r="AL109" i="19" s="1"/>
  <c r="AL100" i="19"/>
  <c r="AL70" i="25" l="1"/>
  <c r="AL67" i="25"/>
  <c r="AJ67" i="25"/>
  <c r="AJ70" i="25" l="1"/>
  <c r="AG80" i="25"/>
  <c r="AL80" i="25" l="1"/>
  <c r="AJ80" i="25"/>
  <c r="E34" i="7" l="1"/>
  <c r="E37" i="7" l="1"/>
  <c r="AD34" i="2" l="1"/>
  <c r="AD42" i="2" s="1"/>
  <c r="H25" i="6" l="1"/>
  <c r="H23" i="6" l="1"/>
  <c r="H26" i="6" s="1"/>
  <c r="K50" i="30" l="1"/>
  <c r="K15" i="30"/>
  <c r="K142" i="30"/>
  <c r="D25" i="6"/>
  <c r="L25" i="6" s="1"/>
  <c r="S25" i="6" s="1"/>
  <c r="U25" i="6" s="1"/>
  <c r="D24" i="6"/>
  <c r="L24" i="6" s="1"/>
  <c r="D23" i="6"/>
  <c r="D18" i="6"/>
  <c r="D19" i="6" l="1"/>
  <c r="D26" i="6"/>
  <c r="D29" i="6" l="1"/>
  <c r="D39" i="6" s="1"/>
  <c r="W28" i="27"/>
  <c r="F20" i="33" l="1"/>
  <c r="M29" i="42"/>
  <c r="M55" i="42"/>
  <c r="M46" i="42"/>
  <c r="M91" i="42"/>
  <c r="M42" i="42"/>
  <c r="S23" i="14"/>
  <c r="S20" i="14"/>
  <c r="K88" i="30"/>
  <c r="M63" i="42"/>
  <c r="M45" i="42"/>
  <c r="K116" i="30"/>
  <c r="M46" i="34"/>
  <c r="M30" i="42"/>
  <c r="M18" i="42"/>
  <c r="K95" i="30"/>
  <c r="M49" i="42"/>
  <c r="C22" i="8"/>
  <c r="L23" i="32"/>
  <c r="M23" i="42"/>
  <c r="S26" i="14"/>
  <c r="M80" i="42"/>
  <c r="M41" i="34"/>
  <c r="K27" i="31"/>
  <c r="M176" i="42"/>
  <c r="M24" i="42"/>
  <c r="M44" i="42"/>
  <c r="M59" i="34"/>
  <c r="M64" i="42"/>
  <c r="M67" i="42"/>
  <c r="M22" i="42"/>
  <c r="M22" i="34"/>
  <c r="M57" i="42"/>
  <c r="M64" i="34"/>
  <c r="M41" i="42"/>
  <c r="M35" i="42"/>
  <c r="M53" i="42"/>
  <c r="M50" i="42"/>
  <c r="M56" i="34"/>
  <c r="M40" i="42"/>
  <c r="J19" i="33"/>
  <c r="M126" i="42"/>
  <c r="M125" i="42"/>
  <c r="M38" i="42"/>
  <c r="M36" i="34"/>
  <c r="M70" i="42"/>
  <c r="M66" i="42"/>
  <c r="S25" i="14"/>
  <c r="M57" i="34"/>
  <c r="M66" i="34"/>
  <c r="M55" i="34"/>
  <c r="M19" i="34"/>
  <c r="E72" i="34"/>
  <c r="M26" i="42"/>
  <c r="J16" i="33"/>
  <c r="H20" i="33"/>
  <c r="K117" i="30"/>
  <c r="M38" i="34"/>
  <c r="I24" i="11"/>
  <c r="K85" i="30"/>
  <c r="M54" i="42"/>
  <c r="M33" i="42"/>
  <c r="K107" i="30"/>
  <c r="M34" i="42"/>
  <c r="M51" i="42"/>
  <c r="K64" i="30"/>
  <c r="M52" i="42"/>
  <c r="S22" i="14"/>
  <c r="Z12" i="37"/>
  <c r="M58" i="42"/>
  <c r="M89" i="42"/>
  <c r="M56" i="42"/>
  <c r="K112" i="30"/>
  <c r="I25" i="14"/>
  <c r="S21" i="14"/>
  <c r="M17" i="42"/>
  <c r="M87" i="42"/>
  <c r="M60" i="42"/>
  <c r="M58" i="34"/>
  <c r="M37" i="42"/>
  <c r="M99" i="42"/>
  <c r="M39" i="42"/>
  <c r="M20" i="42"/>
  <c r="M21" i="42"/>
  <c r="I24" i="14"/>
  <c r="M33" i="34"/>
  <c r="M68" i="42"/>
  <c r="M65" i="42"/>
  <c r="M63" i="34"/>
  <c r="T20" i="11"/>
  <c r="M86" i="42"/>
  <c r="C32" i="10"/>
  <c r="M32" i="10" s="1"/>
  <c r="K18" i="31"/>
  <c r="M23" i="34"/>
  <c r="M72" i="42"/>
  <c r="M97" i="42"/>
  <c r="M59" i="42"/>
  <c r="M48" i="42"/>
  <c r="M16" i="42"/>
  <c r="M37" i="34"/>
  <c r="K149" i="30"/>
  <c r="M47" i="42"/>
  <c r="M45" i="34"/>
  <c r="M62" i="42"/>
  <c r="M43" i="42"/>
  <c r="M60" i="34"/>
  <c r="M15" i="42"/>
  <c r="M31" i="42"/>
  <c r="M28" i="42"/>
  <c r="M32" i="42"/>
  <c r="M73" i="42"/>
  <c r="M19" i="42"/>
  <c r="M10" i="42"/>
  <c r="M42" i="34"/>
  <c r="M71" i="42"/>
  <c r="M27" i="42"/>
  <c r="M69" i="34"/>
  <c r="M36" i="42"/>
  <c r="R48" i="2"/>
  <c r="R30" i="2"/>
  <c r="R37" i="2"/>
  <c r="R36" i="2"/>
  <c r="R28" i="2"/>
  <c r="R38" i="2"/>
  <c r="R41" i="2"/>
  <c r="R33" i="2"/>
  <c r="R32" i="2"/>
  <c r="R31" i="2"/>
  <c r="R29" i="2"/>
  <c r="R26" i="2"/>
  <c r="R24" i="2"/>
  <c r="R19" i="2"/>
  <c r="J20" i="33" l="1"/>
  <c r="X48" i="2"/>
  <c r="R49" i="2"/>
  <c r="R51" i="2" s="1"/>
  <c r="R25" i="2"/>
  <c r="R34" i="2" s="1"/>
  <c r="R42" i="2" s="1"/>
  <c r="AB139" i="16" l="1"/>
  <c r="AN86" i="23" l="1"/>
  <c r="AH139" i="16"/>
  <c r="N50" i="3" l="1"/>
  <c r="N49" i="2"/>
  <c r="N49" i="3" s="1"/>
  <c r="N40" i="2"/>
  <c r="N37" i="2"/>
  <c r="N38" i="3" s="1"/>
  <c r="N20" i="3"/>
  <c r="N18" i="2"/>
  <c r="N18" i="3"/>
  <c r="N16" i="3"/>
  <c r="N15" i="3"/>
  <c r="N19" i="3" l="1"/>
  <c r="T19" i="3" s="1"/>
  <c r="G24" i="8" s="1"/>
  <c r="K24" i="8" s="1"/>
  <c r="N20" i="2"/>
  <c r="X40" i="2"/>
  <c r="AI40" i="2" s="1"/>
  <c r="N41" i="3"/>
  <c r="T41" i="3" s="1"/>
  <c r="N51" i="3"/>
  <c r="N42" i="2"/>
  <c r="N51" i="2"/>
  <c r="N21" i="3" l="1"/>
  <c r="AD19" i="3"/>
  <c r="AF19" i="3" s="1"/>
  <c r="N43" i="3"/>
  <c r="AG40" i="2"/>
  <c r="G32" i="8"/>
  <c r="K32" i="8" s="1"/>
  <c r="AD41" i="3"/>
  <c r="AF41" i="3" s="1"/>
  <c r="N45" i="2"/>
  <c r="N55" i="2" s="1"/>
  <c r="N46" i="3" l="1"/>
  <c r="N55" i="3" s="1"/>
  <c r="J49" i="2" l="1"/>
  <c r="J51" i="2" l="1"/>
  <c r="V41" i="2" l="1"/>
  <c r="J30" i="2"/>
  <c r="J26" i="2"/>
  <c r="J37" i="2" l="1"/>
  <c r="J31" i="2"/>
  <c r="J29" i="2"/>
  <c r="J28" i="2"/>
  <c r="J33" i="2"/>
  <c r="J24" i="2"/>
  <c r="J41" i="2"/>
  <c r="X41" i="2" s="1"/>
  <c r="AI41" i="2" s="1"/>
  <c r="J34" i="2" l="1"/>
  <c r="AG41" i="2"/>
  <c r="J36" i="2"/>
  <c r="J19" i="2"/>
  <c r="J18" i="2"/>
  <c r="J42" i="2" l="1"/>
  <c r="F38" i="2" l="1"/>
  <c r="F39" i="3" s="1"/>
  <c r="T39" i="3" s="1"/>
  <c r="F37" i="2"/>
  <c r="F36" i="2"/>
  <c r="F33" i="2"/>
  <c r="X33" i="2" s="1"/>
  <c r="F32" i="2"/>
  <c r="F31" i="2"/>
  <c r="F29" i="2"/>
  <c r="F19" i="2"/>
  <c r="F17" i="2"/>
  <c r="F15" i="2"/>
  <c r="F16" i="3" l="1"/>
  <c r="T16" i="3" s="1"/>
  <c r="X29" i="2"/>
  <c r="F30" i="3"/>
  <c r="T30" i="3" s="1"/>
  <c r="AD30" i="3" s="1"/>
  <c r="AF30" i="3" s="1"/>
  <c r="AI33" i="2"/>
  <c r="F34" i="3"/>
  <c r="T34" i="3" s="1"/>
  <c r="AD34" i="3" s="1"/>
  <c r="AF34" i="3" s="1"/>
  <c r="G31" i="8"/>
  <c r="K31" i="8" s="1"/>
  <c r="AD39" i="3"/>
  <c r="AF39" i="3" s="1"/>
  <c r="F20" i="3"/>
  <c r="T20" i="3" s="1"/>
  <c r="X31" i="2"/>
  <c r="F32" i="3"/>
  <c r="T32" i="3" s="1"/>
  <c r="AD32" i="3" s="1"/>
  <c r="AF32" i="3" s="1"/>
  <c r="X37" i="2"/>
  <c r="AI37" i="2" s="1"/>
  <c r="F38" i="3"/>
  <c r="T38" i="3" s="1"/>
  <c r="AD38" i="3" s="1"/>
  <c r="AF38" i="3" s="1"/>
  <c r="X28" i="2"/>
  <c r="F29" i="3"/>
  <c r="T29" i="3" s="1"/>
  <c r="AD29" i="3" s="1"/>
  <c r="AF29" i="3" s="1"/>
  <c r="X32" i="2"/>
  <c r="F33" i="3"/>
  <c r="T33" i="3" s="1"/>
  <c r="AD33" i="3" s="1"/>
  <c r="AF33" i="3" s="1"/>
  <c r="F18" i="3"/>
  <c r="T18" i="3" s="1"/>
  <c r="X30" i="2"/>
  <c r="F31" i="3"/>
  <c r="T31" i="3" s="1"/>
  <c r="AD31" i="3" s="1"/>
  <c r="AF31" i="3" s="1"/>
  <c r="X36" i="2"/>
  <c r="F37" i="3"/>
  <c r="T37" i="3" s="1"/>
  <c r="X19" i="2"/>
  <c r="AI19" i="2" s="1"/>
  <c r="X38" i="2"/>
  <c r="AI38" i="2" s="1"/>
  <c r="X17" i="2"/>
  <c r="AI17" i="2" s="1"/>
  <c r="F16" i="2"/>
  <c r="F24" i="2"/>
  <c r="F25" i="3" s="1"/>
  <c r="F25" i="2"/>
  <c r="F26" i="3" s="1"/>
  <c r="T26" i="3" s="1"/>
  <c r="AD26" i="3" s="1"/>
  <c r="AF26" i="3" s="1"/>
  <c r="AG36" i="2" l="1"/>
  <c r="AI36" i="2"/>
  <c r="AG32" i="2"/>
  <c r="AI32" i="2"/>
  <c r="AG31" i="2"/>
  <c r="AI31" i="2"/>
  <c r="AG30" i="2"/>
  <c r="AI30" i="2"/>
  <c r="AG29" i="2"/>
  <c r="AI29" i="2"/>
  <c r="AG28" i="2"/>
  <c r="AI28" i="2"/>
  <c r="AG33" i="2"/>
  <c r="AD16" i="3"/>
  <c r="AF16" i="3" s="1"/>
  <c r="G21" i="8"/>
  <c r="K21" i="8" s="1"/>
  <c r="T25" i="3"/>
  <c r="AD18" i="3"/>
  <c r="AF18" i="3" s="1"/>
  <c r="G23" i="8"/>
  <c r="K23" i="8" s="1"/>
  <c r="AG37" i="2"/>
  <c r="AD20" i="3"/>
  <c r="AF20" i="3" s="1"/>
  <c r="G25" i="8"/>
  <c r="K25" i="8" s="1"/>
  <c r="F17" i="3"/>
  <c r="T17" i="3" s="1"/>
  <c r="AD37" i="3"/>
  <c r="AF37" i="3" s="1"/>
  <c r="G30" i="8"/>
  <c r="K30" i="8" s="1"/>
  <c r="X24" i="2"/>
  <c r="AG19" i="2"/>
  <c r="AG38" i="2"/>
  <c r="X25" i="2"/>
  <c r="AI25" i="2" s="1"/>
  <c r="AG17" i="2"/>
  <c r="X16" i="2"/>
  <c r="AI16" i="2" s="1"/>
  <c r="AI24" i="2" l="1"/>
  <c r="AD25" i="3"/>
  <c r="AF25" i="3" s="1"/>
  <c r="G22" i="8"/>
  <c r="AD17" i="3"/>
  <c r="AF17" i="3" s="1"/>
  <c r="AG24" i="2"/>
  <c r="AG25" i="2"/>
  <c r="AG16" i="2"/>
  <c r="I22" i="8" l="1"/>
  <c r="K22" i="8"/>
  <c r="AE133" i="16"/>
  <c r="J25" i="6" l="1"/>
  <c r="S24" i="6"/>
  <c r="U24" i="6" s="1"/>
  <c r="J24" i="6"/>
  <c r="L23" i="6"/>
  <c r="S23" i="6" s="1"/>
  <c r="U23" i="6" s="1"/>
  <c r="J23" i="6"/>
  <c r="J19" i="6"/>
  <c r="H15" i="6"/>
  <c r="L14" i="6"/>
  <c r="H14" i="6"/>
  <c r="P14" i="6" s="1"/>
  <c r="S26" i="6" l="1"/>
  <c r="U26" i="6" s="1"/>
  <c r="J26" i="6"/>
  <c r="J29" i="6" s="1"/>
  <c r="J39" i="6" s="1"/>
  <c r="L26" i="6"/>
  <c r="AG48" i="2" l="1"/>
  <c r="AB131" i="16"/>
  <c r="AA12" i="3"/>
  <c r="C124" i="16" l="1"/>
  <c r="C133" i="16" s="1"/>
  <c r="AH131" i="16"/>
  <c r="AJ131" i="16" s="1"/>
  <c r="F15" i="3" l="1"/>
  <c r="F20" i="2"/>
  <c r="F21" i="3" l="1"/>
  <c r="T15" i="3"/>
  <c r="C136" i="16"/>
  <c r="G20" i="8" l="1"/>
  <c r="K20" i="8" s="1"/>
  <c r="T21" i="3"/>
  <c r="G26" i="8" l="1"/>
  <c r="K26" i="8"/>
  <c r="AA37" i="29" l="1"/>
  <c r="AB42" i="2" l="1"/>
  <c r="AB45" i="2" s="1"/>
  <c r="AG16" i="29"/>
  <c r="AI16" i="29" s="1"/>
  <c r="H18" i="6"/>
  <c r="L18" i="6" s="1"/>
  <c r="H19" i="6" l="1"/>
  <c r="H29" i="6" s="1"/>
  <c r="H39" i="6" s="1"/>
  <c r="AG17" i="29"/>
  <c r="AI17" i="29" s="1"/>
  <c r="L19" i="6" l="1"/>
  <c r="L29" i="6" s="1"/>
  <c r="AG28" i="29"/>
  <c r="AI28" i="29" s="1"/>
  <c r="L39" i="6" l="1"/>
  <c r="AG37" i="29"/>
  <c r="AI37" i="29" s="1"/>
  <c r="AG16" i="28" l="1"/>
  <c r="AG17" i="28" s="1"/>
  <c r="P19" i="6"/>
  <c r="P29" i="6" s="1"/>
  <c r="AG28" i="28" l="1"/>
  <c r="AI28" i="28" s="1"/>
  <c r="AD37" i="28"/>
  <c r="AI17" i="28"/>
  <c r="AI16" i="28"/>
  <c r="P39" i="6"/>
  <c r="S29" i="6"/>
  <c r="U29" i="6" s="1"/>
  <c r="S18" i="6"/>
  <c r="S39" i="6" l="1"/>
  <c r="S19" i="6"/>
  <c r="U19" i="6" s="1"/>
  <c r="U18" i="6"/>
  <c r="AG37" i="28"/>
  <c r="AI37" i="28" s="1"/>
  <c r="U39" i="6" l="1"/>
  <c r="AE26" i="16"/>
  <c r="AH26" i="16" s="1"/>
  <c r="AI17" i="18"/>
  <c r="AK17" i="18" s="1"/>
  <c r="AE26" i="17"/>
  <c r="AA15" i="3" l="1"/>
  <c r="AD21" i="15"/>
  <c r="AE30" i="17"/>
  <c r="AE60" i="17" s="1"/>
  <c r="AE110" i="17" s="1"/>
  <c r="AH21" i="15" l="1"/>
  <c r="AJ21" i="15" s="1"/>
  <c r="K110" i="30"/>
  <c r="AH16" i="15"/>
  <c r="AJ16" i="15" s="1"/>
  <c r="AD25" i="15"/>
  <c r="AE30" i="16"/>
  <c r="AE60" i="16" s="1"/>
  <c r="AI26" i="18"/>
  <c r="AD15" i="3"/>
  <c r="AA21" i="3"/>
  <c r="AA46" i="3" s="1"/>
  <c r="AE136" i="17"/>
  <c r="AD58" i="15" l="1"/>
  <c r="AF15" i="3"/>
  <c r="AD21" i="3"/>
  <c r="AI55" i="18"/>
  <c r="AK26" i="18"/>
  <c r="AD38" i="28" l="1"/>
  <c r="AI100" i="18"/>
  <c r="AK100" i="18" s="1"/>
  <c r="AK55" i="18"/>
  <c r="AF21" i="3"/>
  <c r="Z31" i="43" l="1"/>
  <c r="F26" i="2" l="1"/>
  <c r="X26" i="2" s="1"/>
  <c r="X34" i="2" s="1"/>
  <c r="I34" i="9"/>
  <c r="AI106" i="18"/>
  <c r="AK106" i="18" s="1"/>
  <c r="AI34" i="2" l="1"/>
  <c r="X42" i="2"/>
  <c r="F34" i="2"/>
  <c r="F42" i="2" s="1"/>
  <c r="F45" i="2" s="1"/>
  <c r="F27" i="3"/>
  <c r="AI123" i="18"/>
  <c r="AK123" i="18" s="1"/>
  <c r="AI26" i="2"/>
  <c r="AG26" i="2"/>
  <c r="AG34" i="2" s="1"/>
  <c r="AG42" i="2" s="1"/>
  <c r="G29" i="7"/>
  <c r="K29" i="7" s="1"/>
  <c r="AI114" i="18"/>
  <c r="K34" i="7" l="1"/>
  <c r="AI42" i="2"/>
  <c r="F35" i="3"/>
  <c r="T27" i="3"/>
  <c r="AK114" i="18"/>
  <c r="AI120" i="18"/>
  <c r="AK120" i="18" s="1"/>
  <c r="G34" i="7"/>
  <c r="F43" i="3" l="1"/>
  <c r="F46" i="3" s="1"/>
  <c r="AD27" i="3"/>
  <c r="T35" i="3"/>
  <c r="T43" i="3" s="1"/>
  <c r="S143" i="16" l="1"/>
  <c r="U143" i="16"/>
  <c r="U147" i="16" s="1"/>
  <c r="G29" i="8"/>
  <c r="K29" i="8" s="1"/>
  <c r="T46" i="3"/>
  <c r="AF27" i="3"/>
  <c r="AD35" i="3"/>
  <c r="AD43" i="3" s="1"/>
  <c r="AF43" i="3" s="1"/>
  <c r="W143" i="16" l="1"/>
  <c r="W147" i="16" s="1"/>
  <c r="AD46" i="3"/>
  <c r="AF46" i="3" s="1"/>
  <c r="G34" i="8"/>
  <c r="K34" i="8"/>
  <c r="AF35" i="3"/>
  <c r="G37" i="8" l="1"/>
  <c r="K37" i="8"/>
  <c r="D26" i="18" l="1"/>
  <c r="K94" i="30" l="1"/>
  <c r="D55" i="18"/>
  <c r="D100" i="18" s="1"/>
  <c r="D123" i="18" s="1"/>
  <c r="E23" i="23" l="1"/>
  <c r="E33" i="23" l="1"/>
  <c r="E65" i="23" s="1"/>
  <c r="E89" i="23" s="1"/>
  <c r="E101" i="23" s="1"/>
  <c r="AB122" i="19" l="1"/>
  <c r="AB124" i="19" s="1"/>
  <c r="D16" i="3" l="1"/>
  <c r="V20" i="15" l="1"/>
  <c r="V18" i="15"/>
  <c r="V17" i="15"/>
  <c r="V19" i="15"/>
  <c r="V21" i="15" l="1"/>
  <c r="S30" i="16" l="1"/>
  <c r="S60" i="16" l="1"/>
  <c r="S106" i="16" l="1"/>
  <c r="S110" i="16" s="1"/>
  <c r="S136" i="16" s="1"/>
  <c r="S147" i="16" s="1"/>
  <c r="R34" i="3" l="1"/>
  <c r="AB44" i="17"/>
  <c r="AH44" i="17" s="1"/>
  <c r="V30" i="2"/>
  <c r="V16" i="2"/>
  <c r="V31" i="2"/>
  <c r="AB55" i="17"/>
  <c r="AH55" i="17" s="1"/>
  <c r="AJ55" i="17" s="1"/>
  <c r="AB104" i="17"/>
  <c r="AH104" i="17" s="1"/>
  <c r="AJ104" i="17" s="1"/>
  <c r="AB64" i="16"/>
  <c r="R33" i="3"/>
  <c r="AB98" i="16"/>
  <c r="AH98" i="16" s="1"/>
  <c r="AJ98" i="16" s="1"/>
  <c r="AB115" i="16"/>
  <c r="AH115" i="16" s="1"/>
  <c r="AJ115" i="16" s="1"/>
  <c r="AB68" i="16"/>
  <c r="AH68" i="16" s="1"/>
  <c r="AJ68" i="16" s="1"/>
  <c r="AB38" i="16"/>
  <c r="AH38" i="16" s="1"/>
  <c r="AJ38" i="16" s="1"/>
  <c r="AB64" i="17"/>
  <c r="AH64" i="17" s="1"/>
  <c r="AJ64" i="17" s="1"/>
  <c r="AB97" i="17"/>
  <c r="AH97" i="17" s="1"/>
  <c r="AJ97" i="17" s="1"/>
  <c r="AB86" i="17"/>
  <c r="AH86" i="17" s="1"/>
  <c r="AJ86" i="17" s="1"/>
  <c r="AB45" i="16"/>
  <c r="AH45" i="16" s="1"/>
  <c r="AJ45" i="16" s="1"/>
  <c r="AB116" i="16"/>
  <c r="AH116" i="16" s="1"/>
  <c r="AJ116" i="16" s="1"/>
  <c r="AB54" i="17"/>
  <c r="AH54" i="17" s="1"/>
  <c r="AJ54" i="17" s="1"/>
  <c r="AB101" i="17"/>
  <c r="AH101" i="17" s="1"/>
  <c r="AJ101" i="17" s="1"/>
  <c r="AB69" i="16"/>
  <c r="AH69" i="16" s="1"/>
  <c r="AJ69" i="16" s="1"/>
  <c r="AB126" i="16"/>
  <c r="AH126" i="16" s="1"/>
  <c r="AJ126" i="16" s="1"/>
  <c r="AB34" i="16"/>
  <c r="AH34" i="16" s="1"/>
  <c r="AJ34" i="16" s="1"/>
  <c r="AB46" i="16"/>
  <c r="AH46" i="16" s="1"/>
  <c r="AJ46" i="16" s="1"/>
  <c r="AB69" i="17"/>
  <c r="AH69" i="17" s="1"/>
  <c r="AJ69" i="17" s="1"/>
  <c r="AB34" i="17"/>
  <c r="AH34" i="17" s="1"/>
  <c r="AJ34" i="17" s="1"/>
  <c r="AB102" i="16"/>
  <c r="AH102" i="16" s="1"/>
  <c r="AJ102" i="16" s="1"/>
  <c r="AB79" i="17"/>
  <c r="AH79" i="17" s="1"/>
  <c r="AJ79" i="17" s="1"/>
  <c r="V29" i="2"/>
  <c r="AB85" i="17"/>
  <c r="AH85" i="17" s="1"/>
  <c r="AJ85" i="17" s="1"/>
  <c r="AB47" i="16"/>
  <c r="AH47" i="16" s="1"/>
  <c r="AJ47" i="16" s="1"/>
  <c r="V25" i="2"/>
  <c r="AB91" i="16"/>
  <c r="AH91" i="16" s="1"/>
  <c r="AJ91" i="16" s="1"/>
  <c r="AH123" i="16"/>
  <c r="AJ123" i="16" s="1"/>
  <c r="AB86" i="16"/>
  <c r="AH86" i="16" s="1"/>
  <c r="AJ86" i="16" s="1"/>
  <c r="AB67" i="17"/>
  <c r="AH67" i="17" s="1"/>
  <c r="AJ67" i="17" s="1"/>
  <c r="AB56" i="17"/>
  <c r="AH56" i="17" s="1"/>
  <c r="AJ56" i="17" s="1"/>
  <c r="AB24" i="16"/>
  <c r="AB95" i="16"/>
  <c r="AH95" i="16" s="1"/>
  <c r="AJ95" i="16" s="1"/>
  <c r="AB114" i="16"/>
  <c r="AB75" i="17"/>
  <c r="AH75" i="17" s="1"/>
  <c r="AJ75" i="17" s="1"/>
  <c r="AB72" i="17"/>
  <c r="AH72" i="17" s="1"/>
  <c r="AJ72" i="17" s="1"/>
  <c r="AB74" i="17"/>
  <c r="AH74" i="17" s="1"/>
  <c r="AJ74" i="17" s="1"/>
  <c r="AB122" i="16"/>
  <c r="AH122" i="16" s="1"/>
  <c r="AJ122" i="16" s="1"/>
  <c r="AB101" i="16"/>
  <c r="AH101" i="16" s="1"/>
  <c r="AJ101" i="16" s="1"/>
  <c r="AJ24" i="17"/>
  <c r="AB100" i="17"/>
  <c r="AH100" i="17" s="1"/>
  <c r="AJ100" i="17" s="1"/>
  <c r="AB77" i="16"/>
  <c r="AH77" i="16" s="1"/>
  <c r="AJ77" i="16" s="1"/>
  <c r="AB102" i="17"/>
  <c r="AH102" i="17" s="1"/>
  <c r="AJ102" i="17" s="1"/>
  <c r="AB126" i="17"/>
  <c r="AH126" i="17" s="1"/>
  <c r="AJ126" i="17" s="1"/>
  <c r="AB85" i="16"/>
  <c r="AH85" i="16" s="1"/>
  <c r="AJ85" i="16" s="1"/>
  <c r="AB91" i="17"/>
  <c r="AH91" i="17" s="1"/>
  <c r="AJ91" i="17" s="1"/>
  <c r="AB29" i="16"/>
  <c r="AH29" i="16" s="1"/>
  <c r="AJ29" i="16" s="1"/>
  <c r="AB70" i="16"/>
  <c r="AH70" i="16" s="1"/>
  <c r="AJ70" i="16" s="1"/>
  <c r="AB44" i="16"/>
  <c r="AB128" i="17"/>
  <c r="AH128" i="17" s="1"/>
  <c r="AJ128" i="17" s="1"/>
  <c r="AB92" i="17"/>
  <c r="AH92" i="17" s="1"/>
  <c r="AJ92" i="17" s="1"/>
  <c r="AH68" i="17"/>
  <c r="AJ68" i="17" s="1"/>
  <c r="AB119" i="16"/>
  <c r="AH119" i="16" s="1"/>
  <c r="AJ119" i="16" s="1"/>
  <c r="AB75" i="16"/>
  <c r="AH75" i="16" s="1"/>
  <c r="AJ75" i="16" s="1"/>
  <c r="AB76" i="17"/>
  <c r="AH76" i="17" s="1"/>
  <c r="AJ76" i="17" s="1"/>
  <c r="AB94" i="16"/>
  <c r="AH94" i="16" s="1"/>
  <c r="AJ94" i="16" s="1"/>
  <c r="AB53" i="16"/>
  <c r="AH53" i="16" s="1"/>
  <c r="AJ53" i="16" s="1"/>
  <c r="AH22" i="16"/>
  <c r="AJ22" i="16" s="1"/>
  <c r="AB118" i="16"/>
  <c r="AH118" i="16" s="1"/>
  <c r="AJ118" i="16" s="1"/>
  <c r="AB103" i="17"/>
  <c r="AH103" i="17" s="1"/>
  <c r="AJ103" i="17" s="1"/>
  <c r="AB36" i="16"/>
  <c r="AH36" i="16" s="1"/>
  <c r="AJ36" i="16" s="1"/>
  <c r="AB89" i="16"/>
  <c r="AH89" i="16" s="1"/>
  <c r="AJ89" i="16" s="1"/>
  <c r="AB67" i="16"/>
  <c r="AH67" i="16" s="1"/>
  <c r="AJ67" i="16" s="1"/>
  <c r="AH21" i="16"/>
  <c r="AJ21" i="16" s="1"/>
  <c r="AH22" i="17"/>
  <c r="AJ22" i="17" s="1"/>
  <c r="AH21" i="17"/>
  <c r="AJ21" i="17" s="1"/>
  <c r="AB45" i="17"/>
  <c r="AH45" i="17" s="1"/>
  <c r="AJ45" i="17" s="1"/>
  <c r="AB77" i="17"/>
  <c r="AH77" i="17" s="1"/>
  <c r="AJ77" i="17" s="1"/>
  <c r="AB38" i="17"/>
  <c r="AH38" i="17" s="1"/>
  <c r="AJ38" i="17" s="1"/>
  <c r="AB32" i="16"/>
  <c r="AB90" i="17"/>
  <c r="AH90" i="17" s="1"/>
  <c r="AJ90" i="17" s="1"/>
  <c r="AB49" i="17"/>
  <c r="AH49" i="17" s="1"/>
  <c r="AJ49" i="17" s="1"/>
  <c r="AB74" i="16"/>
  <c r="AH74" i="16" s="1"/>
  <c r="AJ74" i="16" s="1"/>
  <c r="AB115" i="17"/>
  <c r="AH115" i="17" s="1"/>
  <c r="AJ115" i="17" s="1"/>
  <c r="AB78" i="17"/>
  <c r="AH78" i="17" s="1"/>
  <c r="AJ78" i="17" s="1"/>
  <c r="AB121" i="17"/>
  <c r="AH121" i="17" s="1"/>
  <c r="AJ121" i="17" s="1"/>
  <c r="AB46" i="17"/>
  <c r="AH46" i="17" s="1"/>
  <c r="AJ46" i="17" s="1"/>
  <c r="AB53" i="17"/>
  <c r="AH53" i="17" s="1"/>
  <c r="AJ53" i="17" s="1"/>
  <c r="AB90" i="16"/>
  <c r="AH90" i="16" s="1"/>
  <c r="AJ90" i="16" s="1"/>
  <c r="AB54" i="16"/>
  <c r="AH54" i="16" s="1"/>
  <c r="AJ54" i="16" s="1"/>
  <c r="AB39" i="17"/>
  <c r="AH39" i="17" s="1"/>
  <c r="AJ39" i="17" s="1"/>
  <c r="AB39" i="16"/>
  <c r="AH39" i="16" s="1"/>
  <c r="AJ39" i="16" s="1"/>
  <c r="AB97" i="16"/>
  <c r="AH97" i="16" s="1"/>
  <c r="AJ97" i="16" s="1"/>
  <c r="AB55" i="16"/>
  <c r="AH55" i="16" s="1"/>
  <c r="AJ55" i="16" s="1"/>
  <c r="AB25" i="16"/>
  <c r="AH25" i="16" s="1"/>
  <c r="AJ25" i="16" s="1"/>
  <c r="AB108" i="17"/>
  <c r="AB56" i="16"/>
  <c r="AH56" i="16" s="1"/>
  <c r="AJ56" i="16" s="1"/>
  <c r="AB72" i="16"/>
  <c r="AH72" i="16" s="1"/>
  <c r="AJ72" i="16" s="1"/>
  <c r="AB114" i="17"/>
  <c r="AH114" i="17" s="1"/>
  <c r="AJ114" i="17" s="1"/>
  <c r="AH23" i="16"/>
  <c r="AJ23" i="16" s="1"/>
  <c r="AB25" i="17"/>
  <c r="AH25" i="17" s="1"/>
  <c r="AJ25" i="17" s="1"/>
  <c r="AB100" i="16"/>
  <c r="AH100" i="16" s="1"/>
  <c r="AJ100" i="16" s="1"/>
  <c r="AB29" i="17"/>
  <c r="AH29" i="17" s="1"/>
  <c r="AJ29" i="17" s="1"/>
  <c r="AB118" i="17"/>
  <c r="AH118" i="17" s="1"/>
  <c r="AJ118" i="17" s="1"/>
  <c r="AB65" i="17"/>
  <c r="AB122" i="17"/>
  <c r="AH122" i="17" s="1"/>
  <c r="AJ122" i="17" s="1"/>
  <c r="AB36" i="17"/>
  <c r="AH36" i="17" s="1"/>
  <c r="AJ36" i="17" s="1"/>
  <c r="AB120" i="16"/>
  <c r="AH120" i="16" s="1"/>
  <c r="AJ120" i="16" s="1"/>
  <c r="AB119" i="17"/>
  <c r="AH119" i="17" s="1"/>
  <c r="AJ119" i="17" s="1"/>
  <c r="AB95" i="17"/>
  <c r="AB78" i="16"/>
  <c r="AH78" i="16" s="1"/>
  <c r="AJ78" i="16" s="1"/>
  <c r="AB108" i="16"/>
  <c r="AB94" i="17"/>
  <c r="AH94" i="17" s="1"/>
  <c r="AJ94" i="17" s="1"/>
  <c r="AB92" i="16"/>
  <c r="AH92" i="16" s="1"/>
  <c r="AJ92" i="16" s="1"/>
  <c r="AB128" i="16"/>
  <c r="AH128" i="16" s="1"/>
  <c r="AJ128" i="16" s="1"/>
  <c r="AB47" i="17"/>
  <c r="AH47" i="17" s="1"/>
  <c r="AJ47" i="17" s="1"/>
  <c r="AB33" i="17"/>
  <c r="AH33" i="17" s="1"/>
  <c r="AB121" i="16"/>
  <c r="AH121" i="16" s="1"/>
  <c r="AJ121" i="16" s="1"/>
  <c r="AH103" i="16"/>
  <c r="AJ103" i="16" s="1"/>
  <c r="AB120" i="17"/>
  <c r="AH120" i="17" s="1"/>
  <c r="AJ120" i="17" s="1"/>
  <c r="D15" i="3"/>
  <c r="AB79" i="16"/>
  <c r="AH79" i="16" s="1"/>
  <c r="AJ79" i="16" s="1"/>
  <c r="AB49" i="16"/>
  <c r="AH49" i="16" s="1"/>
  <c r="AJ49" i="16" s="1"/>
  <c r="AB70" i="17"/>
  <c r="AH70" i="17" s="1"/>
  <c r="AJ70" i="17" s="1"/>
  <c r="AB123" i="17"/>
  <c r="AH123" i="17" s="1"/>
  <c r="AJ123" i="17" s="1"/>
  <c r="AB116" i="17"/>
  <c r="AH116" i="17" s="1"/>
  <c r="AJ116" i="17" s="1"/>
  <c r="AB76" i="16"/>
  <c r="AH76" i="16" s="1"/>
  <c r="AJ76" i="16" s="1"/>
  <c r="AB89" i="17"/>
  <c r="AH89" i="17" s="1"/>
  <c r="AJ89" i="17" s="1"/>
  <c r="AB98" i="17"/>
  <c r="AH98" i="17" s="1"/>
  <c r="AJ98" i="17" s="1"/>
  <c r="AB52" i="17"/>
  <c r="AH95" i="17" l="1"/>
  <c r="AJ95" i="17" s="1"/>
  <c r="AH24" i="16"/>
  <c r="AJ24" i="16" s="1"/>
  <c r="AB58" i="17"/>
  <c r="AH23" i="17"/>
  <c r="AJ23" i="17" s="1"/>
  <c r="AB26" i="17"/>
  <c r="R30" i="3"/>
  <c r="V33" i="2"/>
  <c r="R26" i="3"/>
  <c r="R17" i="3"/>
  <c r="R32" i="3"/>
  <c r="R31" i="3"/>
  <c r="V36" i="2"/>
  <c r="AH52" i="17"/>
  <c r="AH58" i="17" s="1"/>
  <c r="R18" i="3"/>
  <c r="V17" i="2"/>
  <c r="AB106" i="17"/>
  <c r="AH65" i="17"/>
  <c r="AH44" i="16"/>
  <c r="AB50" i="16"/>
  <c r="AH124" i="17"/>
  <c r="AH64" i="16"/>
  <c r="V28" i="2"/>
  <c r="R29" i="3"/>
  <c r="AH108" i="16"/>
  <c r="AB124" i="17"/>
  <c r="AH108" i="17"/>
  <c r="AJ108" i="17" s="1"/>
  <c r="V24" i="2"/>
  <c r="AB124" i="16"/>
  <c r="AH114" i="16"/>
  <c r="V38" i="2"/>
  <c r="R39" i="3"/>
  <c r="AH32" i="16"/>
  <c r="R19" i="3"/>
  <c r="AB52" i="16"/>
  <c r="AB58" i="16" s="1"/>
  <c r="AJ44" i="17"/>
  <c r="AH50" i="17"/>
  <c r="AJ50" i="17" s="1"/>
  <c r="AB50" i="17"/>
  <c r="AB32" i="17"/>
  <c r="R20" i="3"/>
  <c r="R37" i="3"/>
  <c r="V26" i="2"/>
  <c r="R27" i="3"/>
  <c r="R16" i="3"/>
  <c r="V32" i="2"/>
  <c r="E143" i="16" l="1"/>
  <c r="E147" i="16" s="1"/>
  <c r="C143" i="16"/>
  <c r="C147" i="16" s="1"/>
  <c r="Y143" i="16"/>
  <c r="Y147" i="16" s="1"/>
  <c r="AH32" i="17"/>
  <c r="AB42" i="17"/>
  <c r="V34" i="2"/>
  <c r="AJ64" i="16"/>
  <c r="AJ32" i="16"/>
  <c r="AJ108" i="16"/>
  <c r="AJ44" i="16"/>
  <c r="AH50" i="16"/>
  <c r="AJ50" i="16" s="1"/>
  <c r="AJ65" i="17"/>
  <c r="AH106" i="17"/>
  <c r="AJ106" i="17" s="1"/>
  <c r="AJ52" i="17"/>
  <c r="AJ58" i="17"/>
  <c r="AH26" i="17"/>
  <c r="AJ26" i="17" s="1"/>
  <c r="AJ114" i="16"/>
  <c r="AH124" i="16"/>
  <c r="AJ124" i="16" s="1"/>
  <c r="D20" i="2"/>
  <c r="AH52" i="16"/>
  <c r="AH58" i="16" s="1"/>
  <c r="D35" i="3"/>
  <c r="D43" i="3" s="1"/>
  <c r="R25" i="3"/>
  <c r="R35" i="3" s="1"/>
  <c r="AJ124" i="17"/>
  <c r="D45" i="2" l="1"/>
  <c r="AJ26" i="16"/>
  <c r="AJ52" i="16"/>
  <c r="AH42" i="17"/>
  <c r="AJ42" i="17" s="1"/>
  <c r="AJ32" i="17"/>
  <c r="D21" i="3"/>
  <c r="D46" i="3" s="1"/>
  <c r="K108" i="30" l="1"/>
  <c r="AJ58" i="16"/>
  <c r="B32" i="5" l="1"/>
  <c r="B42" i="5" s="1"/>
  <c r="O30" i="17" l="1"/>
  <c r="O60" i="17" s="1"/>
  <c r="O110" i="17" l="1"/>
  <c r="O136" i="17" s="1"/>
  <c r="O146" i="17" s="1"/>
  <c r="O30" i="16"/>
  <c r="O60" i="16" l="1"/>
  <c r="E40" i="13" l="1"/>
  <c r="K46" i="30" l="1"/>
  <c r="K96" i="30"/>
  <c r="K38" i="31" l="1"/>
  <c r="M42" i="16" l="1"/>
  <c r="M60" i="16" s="1"/>
  <c r="G72" i="34" l="1"/>
  <c r="AB25" i="15" l="1"/>
  <c r="N19" i="35"/>
  <c r="R19" i="35" s="1"/>
  <c r="H31" i="35"/>
  <c r="K39" i="31" l="1"/>
  <c r="AF37" i="23"/>
  <c r="AL37" i="23" s="1"/>
  <c r="AN37" i="23" s="1"/>
  <c r="Q101" i="23"/>
  <c r="AB65" i="16" l="1"/>
  <c r="O106" i="16"/>
  <c r="O110" i="16" s="1"/>
  <c r="O136" i="16" s="1"/>
  <c r="AH65" i="16" l="1"/>
  <c r="AJ65" i="16" l="1"/>
  <c r="N22" i="35" l="1"/>
  <c r="R22" i="35" s="1"/>
  <c r="P44" i="27" l="1"/>
  <c r="F21" i="5"/>
  <c r="F32" i="5" s="1"/>
  <c r="F42" i="5" s="1"/>
  <c r="J18" i="5" l="1"/>
  <c r="J21" i="5" s="1"/>
  <c r="J32" i="5" s="1"/>
  <c r="J42" i="5" s="1"/>
  <c r="Z120" i="20" l="1"/>
  <c r="AB27" i="17"/>
  <c r="H21" i="3" l="1"/>
  <c r="H46" i="3" s="1"/>
  <c r="H55" i="3" s="1"/>
  <c r="H20" i="2"/>
  <c r="H45" i="2" s="1"/>
  <c r="H55" i="2" s="1"/>
  <c r="AH27" i="17"/>
  <c r="Y30" i="17"/>
  <c r="Y60" i="17" s="1"/>
  <c r="AJ27" i="17" l="1"/>
  <c r="Y110" i="17"/>
  <c r="Y136" i="17" s="1"/>
  <c r="Y146" i="17" s="1"/>
  <c r="AD46" i="27" l="1"/>
  <c r="AG122" i="20" l="1"/>
  <c r="AG124" i="19"/>
  <c r="Z46" i="37"/>
  <c r="B46" i="37"/>
  <c r="AB47" i="15"/>
  <c r="AG94" i="21"/>
  <c r="D12" i="37" l="1"/>
  <c r="D46" i="37" s="1"/>
  <c r="F12" i="37" s="1"/>
  <c r="M14" i="42"/>
  <c r="F57" i="3" l="1"/>
  <c r="F46" i="37"/>
  <c r="M204" i="42"/>
  <c r="AI12" i="18"/>
  <c r="AK12" i="18" s="1"/>
  <c r="AJ13" i="20"/>
  <c r="D122" i="20"/>
  <c r="F13" i="20" s="1"/>
  <c r="I41" i="11"/>
  <c r="D13" i="19"/>
  <c r="J57" i="2" s="1"/>
  <c r="D94" i="21"/>
  <c r="AD13" i="21"/>
  <c r="AJ13" i="21" s="1"/>
  <c r="AL13" i="21" s="1"/>
  <c r="H12" i="37" l="1"/>
  <c r="H46" i="37" s="1"/>
  <c r="J12" i="37" s="1"/>
  <c r="J46" i="37" s="1"/>
  <c r="V42" i="11"/>
  <c r="T41" i="11"/>
  <c r="J59" i="3"/>
  <c r="F13" i="21"/>
  <c r="F94" i="21" s="1"/>
  <c r="H13" i="21" s="1"/>
  <c r="K42" i="11"/>
  <c r="AD94" i="21"/>
  <c r="G42" i="11"/>
  <c r="AD122" i="20"/>
  <c r="G41" i="10"/>
  <c r="K41" i="10" s="1"/>
  <c r="R42" i="11"/>
  <c r="AD13" i="19"/>
  <c r="D124" i="19"/>
  <c r="F13" i="19" s="1"/>
  <c r="AL13" i="20"/>
  <c r="AJ122" i="20"/>
  <c r="AL122" i="20" s="1"/>
  <c r="L12" i="37" l="1"/>
  <c r="L46" i="37" s="1"/>
  <c r="M41" i="10"/>
  <c r="O41" i="10"/>
  <c r="O42" i="10" s="1"/>
  <c r="AJ94" i="21"/>
  <c r="AL94" i="21" s="1"/>
  <c r="H94" i="21"/>
  <c r="F122" i="20"/>
  <c r="H13" i="20" s="1"/>
  <c r="G42" i="10"/>
  <c r="AL13" i="19"/>
  <c r="AJ13" i="19"/>
  <c r="K42" i="10"/>
  <c r="N12" i="37" l="1"/>
  <c r="N46" i="37" s="1"/>
  <c r="J13" i="21"/>
  <c r="J94" i="21" s="1"/>
  <c r="H122" i="20"/>
  <c r="J13" i="20" s="1"/>
  <c r="K34" i="31"/>
  <c r="P12" i="37" l="1"/>
  <c r="P46" i="37" s="1"/>
  <c r="R46" i="37" s="1"/>
  <c r="T46" i="37" s="1"/>
  <c r="V46" i="37" s="1"/>
  <c r="X46" i="37" s="1"/>
  <c r="L13" i="21"/>
  <c r="L94" i="21" s="1"/>
  <c r="J122" i="20"/>
  <c r="L13" i="20" s="1"/>
  <c r="K40" i="30"/>
  <c r="N13" i="21" l="1"/>
  <c r="N94" i="21" s="1"/>
  <c r="L122" i="20"/>
  <c r="N13" i="20" s="1"/>
  <c r="G42" i="31"/>
  <c r="G45" i="31" s="1"/>
  <c r="P13" i="21" l="1"/>
  <c r="P94" i="21" s="1"/>
  <c r="K97" i="30"/>
  <c r="R13" i="21" l="1"/>
  <c r="R94" i="21" s="1"/>
  <c r="T94" i="21" s="1"/>
  <c r="V94" i="21" s="1"/>
  <c r="X94" i="21" s="1"/>
  <c r="Z94" i="21" s="1"/>
  <c r="K153" i="30"/>
  <c r="N122" i="20" l="1"/>
  <c r="P13" i="20" s="1"/>
  <c r="K60" i="30"/>
  <c r="K40" i="31" l="1"/>
  <c r="P122" i="20" l="1"/>
  <c r="R13" i="20" s="1"/>
  <c r="H57" i="3" s="1"/>
  <c r="N24" i="35" l="1"/>
  <c r="R24" i="35" s="1"/>
  <c r="R122" i="20" l="1"/>
  <c r="T122" i="20" l="1"/>
  <c r="B77" i="22"/>
  <c r="D12" i="22" s="1"/>
  <c r="C16" i="17"/>
  <c r="AB16" i="17" s="1"/>
  <c r="AA12" i="22"/>
  <c r="N59" i="2" l="1"/>
  <c r="D77" i="22"/>
  <c r="F12" i="22" s="1"/>
  <c r="V122" i="20"/>
  <c r="AA77" i="22"/>
  <c r="I39" i="12"/>
  <c r="N57" i="3"/>
  <c r="K40" i="12" l="1"/>
  <c r="T57" i="3"/>
  <c r="N59" i="3"/>
  <c r="G40" i="12"/>
  <c r="G48" i="8" l="1"/>
  <c r="I48" i="8" l="1"/>
  <c r="K48" i="8"/>
  <c r="F77" i="22"/>
  <c r="X122" i="20"/>
  <c r="H12" i="22" l="1"/>
  <c r="Z122" i="20"/>
  <c r="H59" i="3"/>
  <c r="K98" i="30"/>
  <c r="H77" i="22" l="1"/>
  <c r="J12" i="22" l="1"/>
  <c r="E49" i="44"/>
  <c r="K118" i="30"/>
  <c r="J77" i="22" l="1"/>
  <c r="E53" i="44"/>
  <c r="L12" i="22" l="1"/>
  <c r="I49" i="44"/>
  <c r="K45" i="30"/>
  <c r="L77" i="22" l="1"/>
  <c r="I53" i="44"/>
  <c r="N15" i="35"/>
  <c r="R15" i="35" s="1"/>
  <c r="N12" i="22" l="1"/>
  <c r="L31" i="32"/>
  <c r="N77" i="22" l="1"/>
  <c r="N21" i="35"/>
  <c r="N20" i="35"/>
  <c r="N27" i="35"/>
  <c r="R27" i="35" s="1"/>
  <c r="K151" i="30"/>
  <c r="P12" i="22" l="1"/>
  <c r="L57" i="2" s="1"/>
  <c r="C30" i="45"/>
  <c r="P77" i="22" l="1"/>
  <c r="R77" i="22" s="1"/>
  <c r="T77" i="22" s="1"/>
  <c r="V77" i="22" s="1"/>
  <c r="X77" i="22" s="1"/>
  <c r="I72" i="34"/>
  <c r="K109" i="30"/>
  <c r="S72" i="34"/>
  <c r="K111" i="30"/>
  <c r="E156" i="30" l="1"/>
  <c r="P31" i="35"/>
  <c r="I156" i="30"/>
  <c r="J48" i="32"/>
  <c r="N18" i="35"/>
  <c r="R18" i="35" s="1"/>
  <c r="H48" i="32"/>
  <c r="H51" i="32" s="1"/>
  <c r="K72" i="34"/>
  <c r="I42" i="31"/>
  <c r="F31" i="35"/>
  <c r="F48" i="32"/>
  <c r="F51" i="32" s="1"/>
  <c r="G156" i="30"/>
  <c r="E42" i="31"/>
  <c r="E45" i="31" s="1"/>
  <c r="J31" i="35"/>
  <c r="M153" i="42"/>
  <c r="M139" i="42"/>
  <c r="AB16" i="26"/>
  <c r="D44" i="5" s="1"/>
  <c r="C51" i="26"/>
  <c r="E16" i="26" s="1"/>
  <c r="M147" i="42"/>
  <c r="K29" i="30"/>
  <c r="C25" i="8"/>
  <c r="I25" i="8" s="1"/>
  <c r="M151" i="42"/>
  <c r="K121" i="30"/>
  <c r="E82" i="25"/>
  <c r="S39" i="14"/>
  <c r="AD14" i="25"/>
  <c r="AD82" i="25" s="1"/>
  <c r="K20" i="31"/>
  <c r="C34" i="10"/>
  <c r="M34" i="10" s="1"/>
  <c r="K53" i="30"/>
  <c r="L46" i="32"/>
  <c r="K23" i="30"/>
  <c r="K69" i="30"/>
  <c r="C30" i="10"/>
  <c r="M30" i="10" s="1"/>
  <c r="K21" i="31"/>
  <c r="K150" i="30"/>
  <c r="M119" i="42"/>
  <c r="N29" i="35"/>
  <c r="R29" i="35" s="1"/>
  <c r="K84" i="30"/>
  <c r="K65" i="30"/>
  <c r="M166" i="42"/>
  <c r="M129" i="42"/>
  <c r="M93" i="42"/>
  <c r="M169" i="42"/>
  <c r="O262" i="42"/>
  <c r="M218" i="42"/>
  <c r="M116" i="42"/>
  <c r="K17" i="30"/>
  <c r="K133" i="30"/>
  <c r="M156" i="42"/>
  <c r="N28" i="35"/>
  <c r="R28" i="35" s="1"/>
  <c r="D31" i="35"/>
  <c r="K128" i="30"/>
  <c r="K82" i="30"/>
  <c r="C23" i="13"/>
  <c r="K18" i="30"/>
  <c r="K19" i="31"/>
  <c r="M146" i="42"/>
  <c r="M115" i="42"/>
  <c r="K129" i="30"/>
  <c r="C24" i="13"/>
  <c r="M24" i="13" s="1"/>
  <c r="L32" i="32"/>
  <c r="M48" i="34"/>
  <c r="M108" i="42"/>
  <c r="L31" i="35"/>
  <c r="K130" i="30"/>
  <c r="C31" i="10"/>
  <c r="M31" i="10" s="1"/>
  <c r="L44" i="32"/>
  <c r="M163" i="42"/>
  <c r="K86" i="30"/>
  <c r="M136" i="42"/>
  <c r="K43" i="30"/>
  <c r="K147" i="30"/>
  <c r="L36" i="32"/>
  <c r="M128" i="42"/>
  <c r="M111" i="42"/>
  <c r="M131" i="42"/>
  <c r="K36" i="30"/>
  <c r="M122" i="42"/>
  <c r="M143" i="42"/>
  <c r="K54" i="30"/>
  <c r="C21" i="13"/>
  <c r="M21" i="13" s="1"/>
  <c r="K22" i="30"/>
  <c r="K32" i="30"/>
  <c r="K47" i="30"/>
  <c r="L45" i="32"/>
  <c r="M144" i="42"/>
  <c r="K140" i="30"/>
  <c r="L39" i="32"/>
  <c r="L38" i="32"/>
  <c r="K52" i="30"/>
  <c r="L41" i="32"/>
  <c r="M157" i="42"/>
  <c r="K120" i="30"/>
  <c r="L40" i="32"/>
  <c r="M137" i="42"/>
  <c r="K155" i="30"/>
  <c r="C22" i="10"/>
  <c r="M22" i="10" s="1"/>
  <c r="M130" i="42"/>
  <c r="M83" i="42"/>
  <c r="M159" i="42"/>
  <c r="K123" i="30"/>
  <c r="M134" i="42"/>
  <c r="M20" i="34"/>
  <c r="L34" i="32"/>
  <c r="K55" i="30"/>
  <c r="M113" i="42"/>
  <c r="M82" i="42"/>
  <c r="N25" i="35"/>
  <c r="R25" i="35" s="1"/>
  <c r="C32" i="13"/>
  <c r="M32" i="13" s="1"/>
  <c r="M11" i="42"/>
  <c r="K106" i="30"/>
  <c r="M74" i="42"/>
  <c r="K41" i="30"/>
  <c r="M155" i="42"/>
  <c r="M75" i="42"/>
  <c r="K90" i="30"/>
  <c r="M123" i="42"/>
  <c r="K33" i="30"/>
  <c r="M100" i="42"/>
  <c r="K31" i="30"/>
  <c r="K21" i="30"/>
  <c r="K154" i="30"/>
  <c r="R21" i="35"/>
  <c r="C24" i="8"/>
  <c r="I24" i="8" s="1"/>
  <c r="C23" i="8"/>
  <c r="I23" i="8" s="1"/>
  <c r="K71" i="30"/>
  <c r="M165" i="42"/>
  <c r="M172" i="42"/>
  <c r="B38" i="28"/>
  <c r="D13" i="28" s="1"/>
  <c r="D41" i="6"/>
  <c r="C24" i="10"/>
  <c r="M24" i="10" s="1"/>
  <c r="C25" i="10"/>
  <c r="M25" i="10" s="1"/>
  <c r="M150" i="42"/>
  <c r="K80" i="30"/>
  <c r="K135" i="30"/>
  <c r="M152" i="42"/>
  <c r="M70" i="34"/>
  <c r="M160" i="42"/>
  <c r="K63" i="30"/>
  <c r="L33" i="32"/>
  <c r="K26" i="13"/>
  <c r="O26" i="13" s="1"/>
  <c r="C26" i="13"/>
  <c r="M121" i="42"/>
  <c r="C35" i="11"/>
  <c r="C29" i="10"/>
  <c r="M29" i="10" s="1"/>
  <c r="M140" i="42"/>
  <c r="K36" i="31"/>
  <c r="AB56" i="15"/>
  <c r="AB58" i="15" s="1"/>
  <c r="K30" i="30"/>
  <c r="C32" i="7"/>
  <c r="I32" i="7" s="1"/>
  <c r="C32" i="8"/>
  <c r="I32" i="8" s="1"/>
  <c r="K37" i="31"/>
  <c r="L37" i="32"/>
  <c r="M76" i="42"/>
  <c r="C29" i="8"/>
  <c r="I29" i="8" s="1"/>
  <c r="B46" i="27"/>
  <c r="D14" i="27" s="1"/>
  <c r="K20" i="30"/>
  <c r="K145" i="30"/>
  <c r="K138" i="30"/>
  <c r="K79" i="30"/>
  <c r="M148" i="42"/>
  <c r="C30" i="13"/>
  <c r="M30" i="13" s="1"/>
  <c r="C33" i="14"/>
  <c r="K23" i="31"/>
  <c r="C20" i="13"/>
  <c r="M20" i="13" s="1"/>
  <c r="C27" i="14"/>
  <c r="C25" i="13"/>
  <c r="M25" i="13" s="1"/>
  <c r="C40" i="7"/>
  <c r="I40" i="7" s="1"/>
  <c r="K58" i="30"/>
  <c r="M107" i="42"/>
  <c r="R20" i="35"/>
  <c r="K134" i="30"/>
  <c r="K77" i="30"/>
  <c r="M207" i="42"/>
  <c r="M133" i="42"/>
  <c r="C31" i="13"/>
  <c r="M31" i="13" s="1"/>
  <c r="K37" i="30"/>
  <c r="K148" i="30"/>
  <c r="M77" i="42"/>
  <c r="M85" i="42"/>
  <c r="M158" i="42"/>
  <c r="C22" i="13"/>
  <c r="M22" i="13" s="1"/>
  <c r="K66" i="30"/>
  <c r="K35" i="30"/>
  <c r="C33" i="8"/>
  <c r="I33" i="8" s="1"/>
  <c r="C33" i="10"/>
  <c r="M33" i="10" s="1"/>
  <c r="K68" i="30"/>
  <c r="M142" i="42"/>
  <c r="M106" i="42"/>
  <c r="M112" i="42"/>
  <c r="K146" i="30"/>
  <c r="M117" i="42"/>
  <c r="K73" i="30"/>
  <c r="K81" i="30"/>
  <c r="L42" i="32"/>
  <c r="AD77" i="22"/>
  <c r="AG12" i="22"/>
  <c r="AI12" i="22" s="1"/>
  <c r="AA57" i="3"/>
  <c r="AE16" i="17"/>
  <c r="M171" i="42"/>
  <c r="K99" i="30"/>
  <c r="AG82" i="25"/>
  <c r="M69" i="42"/>
  <c r="M114" i="42"/>
  <c r="P41" i="6"/>
  <c r="P42" i="6" s="1"/>
  <c r="AD38" i="29"/>
  <c r="K72" i="30"/>
  <c r="AE51" i="26"/>
  <c r="P44" i="5"/>
  <c r="P45" i="5" s="1"/>
  <c r="M120" i="42"/>
  <c r="M174" i="42"/>
  <c r="M149" i="42"/>
  <c r="M84" i="42"/>
  <c r="C23" i="10"/>
  <c r="M23" i="10" s="1"/>
  <c r="K131" i="30"/>
  <c r="K16" i="30"/>
  <c r="M170" i="42"/>
  <c r="K51" i="30"/>
  <c r="K152" i="30"/>
  <c r="C21" i="8"/>
  <c r="I21" i="8" s="1"/>
  <c r="M105" i="42"/>
  <c r="C27" i="12"/>
  <c r="N17" i="35"/>
  <c r="R17" i="35" s="1"/>
  <c r="K56" i="30"/>
  <c r="M94" i="42"/>
  <c r="M145" i="42"/>
  <c r="M90" i="42"/>
  <c r="K49" i="30"/>
  <c r="K42" i="30"/>
  <c r="K87" i="30"/>
  <c r="E102" i="24"/>
  <c r="I39" i="14"/>
  <c r="E15" i="23"/>
  <c r="R57" i="2" s="1"/>
  <c r="X57" i="2" s="1"/>
  <c r="M132" i="42"/>
  <c r="M78" i="42"/>
  <c r="B38" i="29"/>
  <c r="D13" i="29" s="1"/>
  <c r="AA13" i="29"/>
  <c r="AG13" i="29" s="1"/>
  <c r="AI13" i="29" s="1"/>
  <c r="M135" i="42"/>
  <c r="C20" i="10"/>
  <c r="M20" i="10" s="1"/>
  <c r="C26" i="11"/>
  <c r="K44" i="30"/>
  <c r="K57" i="30"/>
  <c r="M79" i="42"/>
  <c r="M118" i="42"/>
  <c r="C33" i="12"/>
  <c r="K19" i="30"/>
  <c r="K22" i="31"/>
  <c r="M109" i="42"/>
  <c r="M95" i="42"/>
  <c r="K78" i="30"/>
  <c r="K122" i="30"/>
  <c r="M98" i="42"/>
  <c r="M52" i="34"/>
  <c r="M161" i="42"/>
  <c r="K25" i="31"/>
  <c r="M96" i="42"/>
  <c r="K38" i="30"/>
  <c r="C20" i="8"/>
  <c r="I20" i="8" s="1"/>
  <c r="K125" i="30"/>
  <c r="K24" i="31"/>
  <c r="M154" i="42"/>
  <c r="M61" i="42"/>
  <c r="K126" i="30"/>
  <c r="L43" i="32"/>
  <c r="M92" i="42"/>
  <c r="M124" i="42"/>
  <c r="L35" i="32"/>
  <c r="C31" i="8"/>
  <c r="I31" i="8" s="1"/>
  <c r="K70" i="30"/>
  <c r="M88" i="42"/>
  <c r="K41" i="31"/>
  <c r="L25" i="32"/>
  <c r="K141" i="30"/>
  <c r="M141" i="42"/>
  <c r="K28" i="30"/>
  <c r="K144" i="30"/>
  <c r="K119" i="30"/>
  <c r="K83" i="30"/>
  <c r="C21" i="10"/>
  <c r="M21" i="10" s="1"/>
  <c r="C30" i="8"/>
  <c r="I30" i="8" s="1"/>
  <c r="K127" i="30"/>
  <c r="L24" i="32"/>
  <c r="K75" i="30"/>
  <c r="M104" i="42"/>
  <c r="K76" i="30"/>
  <c r="K35" i="31"/>
  <c r="K100" i="30"/>
  <c r="K48" i="30"/>
  <c r="M81" i="42"/>
  <c r="M168" i="42"/>
  <c r="K143" i="30"/>
  <c r="K124" i="30"/>
  <c r="K26" i="31"/>
  <c r="M192" i="42" l="1"/>
  <c r="M26" i="13"/>
  <c r="G14" i="25"/>
  <c r="G82" i="25" s="1"/>
  <c r="I14" i="25" s="1"/>
  <c r="G14" i="24"/>
  <c r="G102" i="24" s="1"/>
  <c r="I14" i="24" s="1"/>
  <c r="D45" i="5"/>
  <c r="O265" i="42"/>
  <c r="Q40" i="14"/>
  <c r="AF15" i="23"/>
  <c r="M26" i="10"/>
  <c r="C22" i="7"/>
  <c r="I22" i="7" s="1"/>
  <c r="H44" i="5"/>
  <c r="H45" i="5" s="1"/>
  <c r="AA46" i="27"/>
  <c r="AG46" i="27" s="1"/>
  <c r="AI46" i="27" s="1"/>
  <c r="U40" i="14"/>
  <c r="L27" i="32"/>
  <c r="K101" i="30"/>
  <c r="AA38" i="28"/>
  <c r="AG38" i="28" s="1"/>
  <c r="AI38" i="28" s="1"/>
  <c r="K113" i="30"/>
  <c r="G158" i="30"/>
  <c r="M209" i="42"/>
  <c r="S33" i="14"/>
  <c r="AG77" i="22"/>
  <c r="AI77" i="22" s="1"/>
  <c r="K28" i="31"/>
  <c r="AJ14" i="24"/>
  <c r="I35" i="11"/>
  <c r="C23" i="7"/>
  <c r="I23" i="7" s="1"/>
  <c r="C33" i="13"/>
  <c r="I33" i="12"/>
  <c r="AG13" i="28"/>
  <c r="AI13" i="28" s="1"/>
  <c r="M72" i="34"/>
  <c r="K24" i="30"/>
  <c r="I158" i="30"/>
  <c r="K42" i="31"/>
  <c r="AG14" i="27"/>
  <c r="AI14" i="27" s="1"/>
  <c r="I27" i="12"/>
  <c r="C37" i="14"/>
  <c r="I45" i="31"/>
  <c r="N42" i="11"/>
  <c r="C39" i="11"/>
  <c r="C42" i="11" s="1"/>
  <c r="AB51" i="26"/>
  <c r="AH51" i="26" s="1"/>
  <c r="AJ51" i="26" s="1"/>
  <c r="J51" i="32"/>
  <c r="AJ14" i="25"/>
  <c r="AL14" i="25" s="1"/>
  <c r="G39" i="13"/>
  <c r="G49" i="7" s="1"/>
  <c r="E103" i="23"/>
  <c r="G15" i="23" s="1"/>
  <c r="M33" i="13"/>
  <c r="I33" i="14"/>
  <c r="R31" i="35"/>
  <c r="T35" i="11"/>
  <c r="E158" i="30"/>
  <c r="T26" i="11"/>
  <c r="I26" i="11"/>
  <c r="C37" i="12"/>
  <c r="C40" i="12" s="1"/>
  <c r="AL82" i="25"/>
  <c r="N31" i="35"/>
  <c r="L48" i="32"/>
  <c r="K156" i="30"/>
  <c r="H41" i="6"/>
  <c r="H42" i="6" s="1"/>
  <c r="AA38" i="29"/>
  <c r="AG38" i="29" s="1"/>
  <c r="AI38" i="29" s="1"/>
  <c r="AH16" i="26"/>
  <c r="AJ16" i="26" s="1"/>
  <c r="S27" i="14"/>
  <c r="AD57" i="2"/>
  <c r="AE16" i="16"/>
  <c r="C16" i="16"/>
  <c r="AB16" i="16" s="1"/>
  <c r="I26" i="8"/>
  <c r="K91" i="30"/>
  <c r="M262" i="42"/>
  <c r="M35" i="10"/>
  <c r="I34" i="8"/>
  <c r="C27" i="13"/>
  <c r="C21" i="7"/>
  <c r="I21" i="7" s="1"/>
  <c r="C30" i="7"/>
  <c r="I30" i="7" s="1"/>
  <c r="C34" i="8"/>
  <c r="C29" i="7"/>
  <c r="I29" i="7" s="1"/>
  <c r="C33" i="7"/>
  <c r="I33" i="7" s="1"/>
  <c r="M101" i="42"/>
  <c r="C26" i="10"/>
  <c r="C25" i="7"/>
  <c r="I25" i="7" s="1"/>
  <c r="C35" i="10"/>
  <c r="C24" i="7"/>
  <c r="C31" i="7"/>
  <c r="I31" i="7" s="1"/>
  <c r="C26" i="8"/>
  <c r="C20" i="7"/>
  <c r="I20" i="7" s="1"/>
  <c r="AD57" i="3"/>
  <c r="AH16" i="17"/>
  <c r="AJ16" i="17" s="1"/>
  <c r="D42" i="6"/>
  <c r="I49" i="7" l="1"/>
  <c r="K49" i="7"/>
  <c r="C40" i="14"/>
  <c r="M40" i="14"/>
  <c r="S37" i="14"/>
  <c r="S40" i="14" s="1"/>
  <c r="I37" i="12"/>
  <c r="I40" i="12" s="1"/>
  <c r="AI57" i="2"/>
  <c r="L44" i="5"/>
  <c r="L45" i="5" s="1"/>
  <c r="I39" i="11"/>
  <c r="I42" i="11" s="1"/>
  <c r="I82" i="25"/>
  <c r="I102" i="24"/>
  <c r="E51" i="26"/>
  <c r="G16" i="26" s="1"/>
  <c r="D46" i="27"/>
  <c r="F14" i="27" s="1"/>
  <c r="D38" i="29"/>
  <c r="F13" i="29" s="1"/>
  <c r="D38" i="28"/>
  <c r="F13" i="28" s="1"/>
  <c r="K103" i="30"/>
  <c r="K158" i="30" s="1"/>
  <c r="AL14" i="24"/>
  <c r="C37" i="13"/>
  <c r="C40" i="13" s="1"/>
  <c r="K45" i="31"/>
  <c r="AJ82" i="25"/>
  <c r="AL15" i="23"/>
  <c r="AN15" i="23" s="1"/>
  <c r="K39" i="13"/>
  <c r="L51" i="32"/>
  <c r="T39" i="11"/>
  <c r="T42" i="11" s="1"/>
  <c r="L41" i="6"/>
  <c r="S41" i="6" s="1"/>
  <c r="I37" i="8"/>
  <c r="C37" i="8"/>
  <c r="AH16" i="16"/>
  <c r="AJ16" i="16" s="1"/>
  <c r="C149" i="16"/>
  <c r="E16" i="16" s="1"/>
  <c r="M265" i="42"/>
  <c r="I34" i="7"/>
  <c r="M39" i="10"/>
  <c r="M42" i="10" s="1"/>
  <c r="C34" i="7"/>
  <c r="AF57" i="3"/>
  <c r="C39" i="10"/>
  <c r="C42" i="10" s="1"/>
  <c r="C26" i="7"/>
  <c r="M39" i="13" l="1"/>
  <c r="O39" i="13"/>
  <c r="K14" i="24"/>
  <c r="K102" i="24" s="1"/>
  <c r="K14" i="25"/>
  <c r="K82" i="25" s="1"/>
  <c r="AG57" i="2"/>
  <c r="S44" i="5"/>
  <c r="U44" i="5" s="1"/>
  <c r="E149" i="16"/>
  <c r="G103" i="23"/>
  <c r="I15" i="23" s="1"/>
  <c r="L42" i="6"/>
  <c r="C37" i="7"/>
  <c r="U41" i="6"/>
  <c r="S42" i="6"/>
  <c r="U42" i="6" s="1"/>
  <c r="V22" i="15"/>
  <c r="F38" i="19"/>
  <c r="F86" i="19" s="1"/>
  <c r="F112" i="19" s="1"/>
  <c r="F122" i="19" s="1"/>
  <c r="F124" i="19" s="1"/>
  <c r="H13" i="19" s="1"/>
  <c r="AD38" i="19"/>
  <c r="AD86" i="19" s="1"/>
  <c r="AD112" i="19" s="1"/>
  <c r="AD122" i="19" s="1"/>
  <c r="M14" i="25" l="1"/>
  <c r="M82" i="25" s="1"/>
  <c r="M14" i="24"/>
  <c r="M102" i="24" s="1"/>
  <c r="G16" i="16"/>
  <c r="H124" i="19"/>
  <c r="I103" i="23"/>
  <c r="K15" i="23" s="1"/>
  <c r="S45" i="5"/>
  <c r="U45" i="5" s="1"/>
  <c r="F38" i="29"/>
  <c r="F38" i="28"/>
  <c r="F46" i="27"/>
  <c r="H14" i="27" s="1"/>
  <c r="G51" i="26"/>
  <c r="I16" i="26" s="1"/>
  <c r="AJ122" i="19"/>
  <c r="AL122" i="19" s="1"/>
  <c r="AD124" i="19"/>
  <c r="AJ124" i="19" s="1"/>
  <c r="AL124" i="19" s="1"/>
  <c r="AJ17" i="19"/>
  <c r="J14" i="2"/>
  <c r="H25" i="15"/>
  <c r="H58" i="15" s="1"/>
  <c r="J22" i="15"/>
  <c r="O14" i="25" l="1"/>
  <c r="O82" i="25" s="1"/>
  <c r="O14" i="24"/>
  <c r="I51" i="26"/>
  <c r="K16" i="26" s="1"/>
  <c r="H13" i="29"/>
  <c r="J13" i="19"/>
  <c r="H13" i="28"/>
  <c r="AJ38" i="19"/>
  <c r="AL38" i="19" s="1"/>
  <c r="AL17" i="19"/>
  <c r="X22" i="15"/>
  <c r="J25" i="15"/>
  <c r="J58" i="15" s="1"/>
  <c r="X14" i="2"/>
  <c r="J20" i="2"/>
  <c r="J45" i="2" s="1"/>
  <c r="J55" i="2" s="1"/>
  <c r="J59" i="2" s="1"/>
  <c r="Q14" i="25" l="1"/>
  <c r="Q82" i="25" s="1"/>
  <c r="K51" i="26"/>
  <c r="M16" i="26" s="1"/>
  <c r="J124" i="19"/>
  <c r="H38" i="29"/>
  <c r="H38" i="28"/>
  <c r="AJ86" i="19"/>
  <c r="AL86" i="19" s="1"/>
  <c r="H46" i="27"/>
  <c r="J14" i="27" s="1"/>
  <c r="AG14" i="2"/>
  <c r="AI14" i="2"/>
  <c r="X25" i="15"/>
  <c r="AH22" i="15"/>
  <c r="AJ22" i="15" s="1"/>
  <c r="S14" i="25" l="1"/>
  <c r="S82" i="25" s="1"/>
  <c r="U82" i="25" s="1"/>
  <c r="W82" i="25" s="1"/>
  <c r="Y82" i="25" s="1"/>
  <c r="AA82" i="25" s="1"/>
  <c r="M51" i="26"/>
  <c r="O16" i="26" s="1"/>
  <c r="J13" i="29"/>
  <c r="J13" i="28"/>
  <c r="L13" i="19"/>
  <c r="AJ112" i="19"/>
  <c r="AL112" i="19" s="1"/>
  <c r="K103" i="23"/>
  <c r="M15" i="23" s="1"/>
  <c r="AH25" i="15"/>
  <c r="AJ25" i="15" s="1"/>
  <c r="O51" i="26" l="1"/>
  <c r="Q16" i="26" s="1"/>
  <c r="L124" i="19"/>
  <c r="J38" i="28"/>
  <c r="J38" i="29"/>
  <c r="M103" i="23"/>
  <c r="O15" i="23" s="1"/>
  <c r="J46" i="27"/>
  <c r="L14" i="27" s="1"/>
  <c r="B44" i="5" l="1"/>
  <c r="Q51" i="26"/>
  <c r="L13" i="29"/>
  <c r="L13" i="28"/>
  <c r="N13" i="19"/>
  <c r="L46" i="27"/>
  <c r="N14" i="27" s="1"/>
  <c r="V37" i="2"/>
  <c r="L41" i="3"/>
  <c r="R41" i="3" s="1"/>
  <c r="L38" i="28" l="1"/>
  <c r="N124" i="19"/>
  <c r="L38" i="29"/>
  <c r="AB130" i="17"/>
  <c r="AH130" i="17" s="1"/>
  <c r="AJ130" i="17" s="1"/>
  <c r="K133" i="17"/>
  <c r="K136" i="17" s="1"/>
  <c r="K146" i="17" s="1"/>
  <c r="V40" i="2"/>
  <c r="V42" i="2" s="1"/>
  <c r="AB127" i="16"/>
  <c r="AH127" i="16" s="1"/>
  <c r="AJ127" i="16" s="1"/>
  <c r="L38" i="3"/>
  <c r="L43" i="3" s="1"/>
  <c r="M133" i="17"/>
  <c r="M136" i="17" s="1"/>
  <c r="M146" i="17" s="1"/>
  <c r="AB127" i="17"/>
  <c r="AB130" i="16"/>
  <c r="AH130" i="16" s="1"/>
  <c r="AJ130" i="16" s="1"/>
  <c r="L42" i="2"/>
  <c r="N13" i="29" l="1"/>
  <c r="N13" i="28"/>
  <c r="P13" i="19"/>
  <c r="N46" i="27"/>
  <c r="P14" i="27" s="1"/>
  <c r="F44" i="5" s="1"/>
  <c r="R38" i="3"/>
  <c r="R43" i="3" s="1"/>
  <c r="AB133" i="17"/>
  <c r="AH127" i="17"/>
  <c r="M133" i="16"/>
  <c r="AB133" i="16"/>
  <c r="P124" i="19" l="1"/>
  <c r="N38" i="28"/>
  <c r="N38" i="29"/>
  <c r="AH133" i="16"/>
  <c r="AJ133" i="16" s="1"/>
  <c r="AH133" i="17"/>
  <c r="AJ133" i="17" s="1"/>
  <c r="AJ127" i="17"/>
  <c r="P13" i="29" l="1"/>
  <c r="F41" i="6" s="1"/>
  <c r="P13" i="28"/>
  <c r="B41" i="6" s="1"/>
  <c r="R13" i="19"/>
  <c r="H57" i="2" s="1"/>
  <c r="H59" i="2" s="1"/>
  <c r="P46" i="27"/>
  <c r="P38" i="29" l="1"/>
  <c r="R38" i="29" s="1"/>
  <c r="T38" i="29" s="1"/>
  <c r="V38" i="29" s="1"/>
  <c r="X38" i="29" s="1"/>
  <c r="P38" i="28"/>
  <c r="R38" i="28" s="1"/>
  <c r="T38" i="28" s="1"/>
  <c r="V38" i="28" s="1"/>
  <c r="X38" i="28" s="1"/>
  <c r="R124" i="19"/>
  <c r="T124" i="19" s="1"/>
  <c r="V124" i="19" s="1"/>
  <c r="X124" i="19" s="1"/>
  <c r="Z124" i="19" s="1"/>
  <c r="R46" i="27"/>
  <c r="U103" i="23"/>
  <c r="W103" i="23" l="1"/>
  <c r="Y103" i="23" l="1"/>
  <c r="T46" i="27"/>
  <c r="AA103" i="23" l="1"/>
  <c r="V46" i="27" l="1"/>
  <c r="B42" i="6" l="1"/>
  <c r="F42" i="6"/>
  <c r="F45" i="5"/>
  <c r="X46" i="27"/>
  <c r="B45" i="5"/>
  <c r="J41" i="6" l="1"/>
  <c r="J42" i="6" s="1"/>
  <c r="J44" i="5"/>
  <c r="J45" i="5" s="1"/>
  <c r="L25" i="15"/>
  <c r="L58" i="15" s="1"/>
  <c r="Q30" i="17"/>
  <c r="Q60" i="17" s="1"/>
  <c r="Q30" i="16"/>
  <c r="AB30" i="16" s="1"/>
  <c r="V14" i="2"/>
  <c r="L15" i="3" l="1"/>
  <c r="R15" i="3" s="1"/>
  <c r="R21" i="3" s="1"/>
  <c r="R46" i="3" s="1"/>
  <c r="L20" i="2"/>
  <c r="L45" i="2" s="1"/>
  <c r="L55" i="2" s="1"/>
  <c r="Q110" i="17"/>
  <c r="Q136" i="17" s="1"/>
  <c r="Q146" i="17" s="1"/>
  <c r="AB60" i="17"/>
  <c r="AB28" i="16"/>
  <c r="AH28" i="16" s="1"/>
  <c r="V25" i="15"/>
  <c r="AB28" i="17"/>
  <c r="Y149" i="16" l="1"/>
  <c r="AH30" i="16"/>
  <c r="AJ28" i="16"/>
  <c r="L21" i="3"/>
  <c r="L46" i="3" s="1"/>
  <c r="L55" i="3" s="1"/>
  <c r="AB30" i="17"/>
  <c r="AH28" i="17"/>
  <c r="AH60" i="17"/>
  <c r="AB110" i="17"/>
  <c r="AB136" i="17" s="1"/>
  <c r="AJ30" i="16" l="1"/>
  <c r="AH30" i="17"/>
  <c r="AJ30" i="17" s="1"/>
  <c r="AJ28" i="17"/>
  <c r="AJ60" i="17"/>
  <c r="AH110" i="17"/>
  <c r="AJ110" i="17" s="1"/>
  <c r="AH136" i="17"/>
  <c r="AJ136" i="17" s="1"/>
  <c r="L59" i="2" l="1"/>
  <c r="L57" i="3" l="1"/>
  <c r="L59" i="3" l="1"/>
  <c r="R42" i="43" l="1"/>
  <c r="T42" i="43"/>
  <c r="Z34" i="43"/>
  <c r="Z40" i="43" s="1"/>
  <c r="Z42" i="43" s="1"/>
  <c r="D34" i="43"/>
  <c r="D40" i="43" s="1"/>
  <c r="D42" i="43" s="1"/>
  <c r="F12" i="43" s="1"/>
  <c r="F42" i="43" s="1"/>
  <c r="H12" i="43" s="1"/>
  <c r="H42" i="43" s="1"/>
  <c r="J12" i="43" s="1"/>
  <c r="J42" i="43" s="1"/>
  <c r="L12" i="43" s="1"/>
  <c r="L42" i="43" s="1"/>
  <c r="N12" i="43" s="1"/>
  <c r="N42" i="43" s="1"/>
  <c r="P12" i="43" s="1"/>
  <c r="P42" i="43" s="1"/>
  <c r="G38" i="9" l="1"/>
  <c r="G39" i="9"/>
  <c r="G29" i="9"/>
  <c r="G28" i="9"/>
  <c r="AE140" i="17"/>
  <c r="E139" i="17"/>
  <c r="C139" i="17"/>
  <c r="V137" i="18"/>
  <c r="V141" i="18" s="1"/>
  <c r="N137" i="18"/>
  <c r="N141" i="18" s="1"/>
  <c r="AI129" i="18"/>
  <c r="AK129" i="18" s="1"/>
  <c r="E140" i="17"/>
  <c r="I140" i="17"/>
  <c r="AI132" i="18"/>
  <c r="AK132" i="18" s="1"/>
  <c r="L137" i="18"/>
  <c r="L141" i="18" s="1"/>
  <c r="C140" i="17"/>
  <c r="AI133" i="18"/>
  <c r="AK133" i="18" s="1"/>
  <c r="AA49" i="3"/>
  <c r="AI128" i="18"/>
  <c r="AK128" i="18" s="1"/>
  <c r="V49" i="2" l="1"/>
  <c r="Q140" i="16" s="1"/>
  <c r="G30" i="9"/>
  <c r="K29" i="9"/>
  <c r="I29" i="9"/>
  <c r="J137" i="18"/>
  <c r="J141" i="18" s="1"/>
  <c r="I139" i="17"/>
  <c r="I142" i="17" s="1"/>
  <c r="I146" i="17" s="1"/>
  <c r="V50" i="2"/>
  <c r="Q141" i="16" s="1"/>
  <c r="T137" i="18"/>
  <c r="T141" i="18" s="1"/>
  <c r="AA50" i="3"/>
  <c r="AA51" i="3" s="1"/>
  <c r="AA55" i="3" s="1"/>
  <c r="AA59" i="3" s="1"/>
  <c r="G140" i="17"/>
  <c r="AB140" i="17" s="1"/>
  <c r="AH140" i="17" s="1"/>
  <c r="AJ140" i="17" s="1"/>
  <c r="E142" i="17"/>
  <c r="E146" i="17" s="1"/>
  <c r="F137" i="18"/>
  <c r="F141" i="18" s="1"/>
  <c r="AI134" i="18"/>
  <c r="AK134" i="18" s="1"/>
  <c r="X137" i="18"/>
  <c r="X141" i="18" s="1"/>
  <c r="AI130" i="18"/>
  <c r="AK130" i="18" s="1"/>
  <c r="R137" i="18"/>
  <c r="R141" i="18" s="1"/>
  <c r="Z137" i="18"/>
  <c r="Z141" i="18" s="1"/>
  <c r="P137" i="18"/>
  <c r="P141" i="18" s="1"/>
  <c r="G139" i="17"/>
  <c r="AD49" i="2"/>
  <c r="D137" i="18"/>
  <c r="D141" i="18" s="1"/>
  <c r="D143" i="18" s="1"/>
  <c r="F12" i="18" s="1"/>
  <c r="AE139" i="17"/>
  <c r="AE142" i="17" s="1"/>
  <c r="AE146" i="17" s="1"/>
  <c r="AE148" i="17" s="1"/>
  <c r="F50" i="2"/>
  <c r="X50" i="2" s="1"/>
  <c r="AF137" i="18"/>
  <c r="AF141" i="18" s="1"/>
  <c r="AF143" i="18" s="1"/>
  <c r="C142" i="17"/>
  <c r="C146" i="17" s="1"/>
  <c r="C148" i="17" s="1"/>
  <c r="E16" i="17" s="1"/>
  <c r="D49" i="3"/>
  <c r="AC137" i="18"/>
  <c r="F49" i="2"/>
  <c r="H137" i="18"/>
  <c r="H141" i="18" s="1"/>
  <c r="AD50" i="2"/>
  <c r="AE141" i="16" s="1"/>
  <c r="Q143" i="16" l="1"/>
  <c r="O143" i="16"/>
  <c r="O147" i="16" s="1"/>
  <c r="M143" i="16"/>
  <c r="G142" i="17"/>
  <c r="G146" i="17" s="1"/>
  <c r="K143" i="16"/>
  <c r="K147" i="16" s="1"/>
  <c r="D50" i="3"/>
  <c r="R50" i="3" s="1"/>
  <c r="D51" i="2"/>
  <c r="D55" i="2" s="1"/>
  <c r="I143" i="16"/>
  <c r="I147" i="16" s="1"/>
  <c r="F143" i="18"/>
  <c r="H12" i="18" s="1"/>
  <c r="H143" i="18" s="1"/>
  <c r="E148" i="17"/>
  <c r="G16" i="17" s="1"/>
  <c r="AB139" i="17"/>
  <c r="AH139" i="17" s="1"/>
  <c r="AD51" i="2"/>
  <c r="AE140" i="16"/>
  <c r="AE143" i="16" s="1"/>
  <c r="F50" i="3"/>
  <c r="T50" i="3" s="1"/>
  <c r="AD50" i="3" s="1"/>
  <c r="AF50" i="3" s="1"/>
  <c r="AC141" i="18"/>
  <c r="AI137" i="18"/>
  <c r="AK137" i="18" s="1"/>
  <c r="R49" i="3"/>
  <c r="V51" i="2"/>
  <c r="AG50" i="2"/>
  <c r="AI50" i="2"/>
  <c r="F51" i="2"/>
  <c r="F55" i="2" s="1"/>
  <c r="F59" i="2" s="1"/>
  <c r="X49" i="2"/>
  <c r="F49" i="3"/>
  <c r="G148" i="17" l="1"/>
  <c r="I16" i="17" s="1"/>
  <c r="I148" i="17" s="1"/>
  <c r="K16" i="17" s="1"/>
  <c r="K148" i="17" s="1"/>
  <c r="M16" i="17" s="1"/>
  <c r="M148" i="17" s="1"/>
  <c r="O16" i="17" s="1"/>
  <c r="O148" i="17" s="1"/>
  <c r="Q16" i="17" s="1"/>
  <c r="Q148" i="17" s="1"/>
  <c r="S148" i="17" s="1"/>
  <c r="U148" i="17" s="1"/>
  <c r="W148" i="17" s="1"/>
  <c r="Y148" i="17" s="1"/>
  <c r="D51" i="3"/>
  <c r="D55" i="3" s="1"/>
  <c r="R51" i="3"/>
  <c r="R55" i="3" s="1"/>
  <c r="AB141" i="16"/>
  <c r="AH141" i="16" s="1"/>
  <c r="AJ141" i="16" s="1"/>
  <c r="J12" i="18"/>
  <c r="G41" i="8"/>
  <c r="AB142" i="17"/>
  <c r="AB146" i="17" s="1"/>
  <c r="AH146" i="17" s="1"/>
  <c r="AJ146" i="17" s="1"/>
  <c r="T49" i="3"/>
  <c r="F51" i="3"/>
  <c r="F55" i="3" s="1"/>
  <c r="F59" i="3" s="1"/>
  <c r="AC143" i="18"/>
  <c r="AI143" i="18" s="1"/>
  <c r="AK143" i="18" s="1"/>
  <c r="AI141" i="18"/>
  <c r="AK141" i="18" s="1"/>
  <c r="G143" i="16"/>
  <c r="G147" i="16" s="1"/>
  <c r="G149" i="16" s="1"/>
  <c r="I16" i="16" s="1"/>
  <c r="I149" i="16" s="1"/>
  <c r="AB140" i="16"/>
  <c r="AG49" i="2"/>
  <c r="AG51" i="2" s="1"/>
  <c r="AI49" i="2"/>
  <c r="X51" i="2"/>
  <c r="AJ139" i="17"/>
  <c r="AH142" i="17"/>
  <c r="AJ142" i="17" s="1"/>
  <c r="K16" i="16" l="1"/>
  <c r="K149" i="16" s="1"/>
  <c r="M16" i="16" s="1"/>
  <c r="J143" i="18"/>
  <c r="AB148" i="17"/>
  <c r="AH148" i="17" s="1"/>
  <c r="AJ148" i="17" s="1"/>
  <c r="AH140" i="16"/>
  <c r="AB143" i="16"/>
  <c r="AD49" i="3"/>
  <c r="G40" i="8"/>
  <c r="T51" i="3"/>
  <c r="T55" i="3" s="1"/>
  <c r="T59" i="3" s="1"/>
  <c r="AI51" i="2"/>
  <c r="L12" i="18" l="1"/>
  <c r="AH143" i="16"/>
  <c r="AJ143" i="16" s="1"/>
  <c r="AJ140" i="16"/>
  <c r="G42" i="8"/>
  <c r="G46" i="8" s="1"/>
  <c r="G49" i="8" s="1"/>
  <c r="AF49" i="3"/>
  <c r="AD51" i="3"/>
  <c r="L143" i="18" l="1"/>
  <c r="AF51" i="3"/>
  <c r="AD55" i="3"/>
  <c r="N12" i="18" l="1"/>
  <c r="AF55" i="3"/>
  <c r="AD59" i="3"/>
  <c r="AF59" i="3" s="1"/>
  <c r="N143" i="18" l="1"/>
  <c r="P12" i="18" l="1"/>
  <c r="G31" i="9"/>
  <c r="P143" i="18" l="1"/>
  <c r="G41" i="7"/>
  <c r="G43" i="9"/>
  <c r="G47" i="9" s="1"/>
  <c r="G50" i="9" s="1"/>
  <c r="G42" i="7"/>
  <c r="R12" i="18" l="1"/>
  <c r="D57" i="2" s="1"/>
  <c r="D57" i="3" s="1"/>
  <c r="G43" i="7"/>
  <c r="N19" i="6"/>
  <c r="D59" i="2" l="1"/>
  <c r="R143" i="18"/>
  <c r="T143" i="18" s="1"/>
  <c r="V143" i="18" s="1"/>
  <c r="X143" i="18" s="1"/>
  <c r="Z143" i="18" s="1"/>
  <c r="D59" i="3"/>
  <c r="R57" i="3"/>
  <c r="R59" i="3" s="1"/>
  <c r="N21" i="5"/>
  <c r="N37" i="5"/>
  <c r="N29" i="5"/>
  <c r="N26" i="6"/>
  <c r="N29" i="6" s="1"/>
  <c r="N34" i="6"/>
  <c r="Y51" i="3"/>
  <c r="Y21" i="3"/>
  <c r="Y43" i="3"/>
  <c r="N32" i="5" l="1"/>
  <c r="N42" i="5" s="1"/>
  <c r="N45" i="5" s="1"/>
  <c r="N39" i="6"/>
  <c r="N42" i="6" s="1"/>
  <c r="Y46" i="3"/>
  <c r="Y55" i="3" s="1"/>
  <c r="Y59" i="3" s="1"/>
  <c r="O60" i="23" l="1"/>
  <c r="O60" i="24"/>
  <c r="O64" i="24" s="1"/>
  <c r="O88" i="24" s="1"/>
  <c r="O100" i="24" s="1"/>
  <c r="O102" i="24" s="1"/>
  <c r="Q14" i="24" l="1"/>
  <c r="Q102" i="24" s="1"/>
  <c r="S14" i="24" s="1"/>
  <c r="M104" i="16"/>
  <c r="O61" i="23"/>
  <c r="O65" i="23" l="1"/>
  <c r="O89" i="23" s="1"/>
  <c r="O101" i="23" s="1"/>
  <c r="O103" i="23" s="1"/>
  <c r="Q15" i="23" s="1"/>
  <c r="M106" i="16"/>
  <c r="M110" i="16" s="1"/>
  <c r="M136" i="16" s="1"/>
  <c r="M147" i="16" s="1"/>
  <c r="M149" i="16" s="1"/>
  <c r="Q103" i="23" l="1"/>
  <c r="S15" i="23" s="1"/>
  <c r="P57" i="2" s="1"/>
  <c r="V57" i="2" s="1"/>
  <c r="O16" i="16"/>
  <c r="O149" i="16" s="1"/>
  <c r="Q16" i="16" s="1"/>
  <c r="S149" i="16" l="1"/>
  <c r="U149" i="16"/>
  <c r="W149" i="16"/>
  <c r="U102" i="24"/>
  <c r="W102" i="24"/>
  <c r="Y102" i="24"/>
  <c r="AA102" i="24"/>
  <c r="S22" i="24"/>
  <c r="S32" i="24" s="1"/>
  <c r="S20" i="23"/>
  <c r="Q33" i="16" s="1"/>
  <c r="Q42" i="16" l="1"/>
  <c r="Q60" i="16" s="1"/>
  <c r="AB33" i="16"/>
  <c r="AF20" i="23"/>
  <c r="S23" i="23"/>
  <c r="P29" i="15"/>
  <c r="S33" i="23" l="1"/>
  <c r="P15" i="2"/>
  <c r="AL20" i="23"/>
  <c r="AN20" i="23" s="1"/>
  <c r="AF23" i="23"/>
  <c r="R29" i="15"/>
  <c r="V29" i="15"/>
  <c r="V38" i="15" s="1"/>
  <c r="V58" i="15" s="1"/>
  <c r="P38" i="15"/>
  <c r="P58" i="15" s="1"/>
  <c r="AH33" i="16"/>
  <c r="AB42" i="16"/>
  <c r="AB60" i="16" s="1"/>
  <c r="AJ33" i="16" l="1"/>
  <c r="AH42" i="16"/>
  <c r="R38" i="15"/>
  <c r="R58" i="15" s="1"/>
  <c r="X29" i="15"/>
  <c r="R15" i="2"/>
  <c r="AL23" i="23"/>
  <c r="AN23" i="23" s="1"/>
  <c r="AF33" i="23"/>
  <c r="V15" i="2"/>
  <c r="AL33" i="23" l="1"/>
  <c r="X15" i="2"/>
  <c r="AH29" i="15"/>
  <c r="AJ29" i="15" s="1"/>
  <c r="X38" i="15"/>
  <c r="AH60" i="16"/>
  <c r="AJ42" i="16"/>
  <c r="AI15" i="2" l="1"/>
  <c r="AG15" i="2"/>
  <c r="AH38" i="15"/>
  <c r="AJ38" i="15" s="1"/>
  <c r="X58" i="15"/>
  <c r="AH58" i="15" s="1"/>
  <c r="AJ58" i="15" s="1"/>
  <c r="AN33" i="23"/>
  <c r="AJ60" i="16"/>
  <c r="S59" i="24" l="1"/>
  <c r="AJ59" i="24"/>
  <c r="AJ60" i="24" s="1"/>
  <c r="AJ64" i="24" s="1"/>
  <c r="AI60" i="23"/>
  <c r="K38" i="9"/>
  <c r="I38" i="9"/>
  <c r="K42" i="9"/>
  <c r="K39" i="9"/>
  <c r="I42" i="9"/>
  <c r="I39" i="9"/>
  <c r="K30" i="9"/>
  <c r="K28" i="9"/>
  <c r="I30" i="9"/>
  <c r="I28" i="9"/>
  <c r="AL59" i="24" l="1"/>
  <c r="I31" i="9"/>
  <c r="E41" i="7"/>
  <c r="K41" i="7" s="1"/>
  <c r="C40" i="8"/>
  <c r="I40" i="8" s="1"/>
  <c r="E31" i="9"/>
  <c r="C31" i="9"/>
  <c r="E40" i="8"/>
  <c r="K40" i="8" s="1"/>
  <c r="I43" i="9"/>
  <c r="K43" i="9"/>
  <c r="AI61" i="23"/>
  <c r="AE104" i="16"/>
  <c r="AG64" i="24"/>
  <c r="AG88" i="24" s="1"/>
  <c r="AL60" i="24"/>
  <c r="AD64" i="24"/>
  <c r="AD88" i="24" s="1"/>
  <c r="S60" i="23"/>
  <c r="S60" i="24"/>
  <c r="S64" i="24" s="1"/>
  <c r="S88" i="24" s="1"/>
  <c r="S100" i="24" s="1"/>
  <c r="S102" i="24" s="1"/>
  <c r="C41" i="8"/>
  <c r="I41" i="8" s="1"/>
  <c r="C43" i="9"/>
  <c r="C41" i="7"/>
  <c r="C42" i="7"/>
  <c r="I42" i="7" s="1"/>
  <c r="K31" i="9"/>
  <c r="E43" i="9"/>
  <c r="E42" i="7"/>
  <c r="K42" i="7" s="1"/>
  <c r="E41" i="8"/>
  <c r="K41" i="8" s="1"/>
  <c r="I47" i="9" l="1"/>
  <c r="I50" i="9" s="1"/>
  <c r="K47" i="9"/>
  <c r="K50" i="9" s="1"/>
  <c r="C47" i="9"/>
  <c r="C50" i="9" s="1"/>
  <c r="E47" i="9"/>
  <c r="E50" i="9" s="1"/>
  <c r="AJ88" i="24"/>
  <c r="AJ100" i="24" s="1"/>
  <c r="AJ102" i="24" s="1"/>
  <c r="AD100" i="24"/>
  <c r="AD102" i="24" s="1"/>
  <c r="G27" i="14"/>
  <c r="G37" i="14" s="1"/>
  <c r="K23" i="14"/>
  <c r="K27" i="14" s="1"/>
  <c r="K37" i="14" s="1"/>
  <c r="K40" i="14" s="1"/>
  <c r="I23" i="14"/>
  <c r="I27" i="14" s="1"/>
  <c r="G23" i="13"/>
  <c r="AL64" i="24"/>
  <c r="AG100" i="24"/>
  <c r="AE106" i="16"/>
  <c r="Q104" i="16"/>
  <c r="S61" i="23"/>
  <c r="AF60" i="23"/>
  <c r="AD18" i="2"/>
  <c r="AD20" i="2" s="1"/>
  <c r="AD45" i="2" s="1"/>
  <c r="AD55" i="2" s="1"/>
  <c r="AD59" i="2" s="1"/>
  <c r="AI65" i="23"/>
  <c r="AI89" i="23" s="1"/>
  <c r="AI101" i="23" s="1"/>
  <c r="E42" i="8"/>
  <c r="E46" i="8" s="1"/>
  <c r="E49" i="8" s="1"/>
  <c r="K43" i="7"/>
  <c r="E43" i="7"/>
  <c r="E47" i="7" s="1"/>
  <c r="E50" i="7" s="1"/>
  <c r="C42" i="8"/>
  <c r="C46" i="8" s="1"/>
  <c r="C49" i="8" s="1"/>
  <c r="K42" i="8"/>
  <c r="K46" i="8" s="1"/>
  <c r="K49" i="8" s="1"/>
  <c r="I41" i="7"/>
  <c r="I43" i="7" s="1"/>
  <c r="C43" i="7"/>
  <c r="C47" i="7" s="1"/>
  <c r="C50" i="7" s="1"/>
  <c r="I42" i="8"/>
  <c r="I46" i="8" s="1"/>
  <c r="I49" i="8" s="1"/>
  <c r="AL88" i="24" l="1"/>
  <c r="AI103" i="23"/>
  <c r="AL60" i="23"/>
  <c r="AF61" i="23"/>
  <c r="G27" i="13"/>
  <c r="G37" i="13" s="1"/>
  <c r="G40" i="13" s="1"/>
  <c r="K23" i="13"/>
  <c r="G24" i="7"/>
  <c r="P18" i="2"/>
  <c r="S65" i="23"/>
  <c r="S89" i="23" s="1"/>
  <c r="S101" i="23" s="1"/>
  <c r="S103" i="23" s="1"/>
  <c r="Q106" i="16"/>
  <c r="Q110" i="16" s="1"/>
  <c r="Q136" i="16" s="1"/>
  <c r="Q147" i="16" s="1"/>
  <c r="Q149" i="16" s="1"/>
  <c r="AB104" i="16"/>
  <c r="G40" i="14"/>
  <c r="I37" i="14"/>
  <c r="I40" i="14" s="1"/>
  <c r="AE110" i="16"/>
  <c r="AE136" i="16" s="1"/>
  <c r="AE147" i="16" s="1"/>
  <c r="AE149" i="16" s="1"/>
  <c r="AG102" i="24"/>
  <c r="AL102" i="24" s="1"/>
  <c r="AL100" i="24"/>
  <c r="K24" i="7" l="1"/>
  <c r="K26" i="7" s="1"/>
  <c r="G26" i="7"/>
  <c r="I24" i="7"/>
  <c r="I26" i="7" s="1"/>
  <c r="M23" i="13"/>
  <c r="M27" i="13" s="1"/>
  <c r="K27" i="13"/>
  <c r="K37" i="13" s="1"/>
  <c r="O23" i="13"/>
  <c r="O27" i="13" s="1"/>
  <c r="O37" i="13" s="1"/>
  <c r="O40" i="13" s="1"/>
  <c r="R18" i="2"/>
  <c r="AF65" i="23"/>
  <c r="AF89" i="23" s="1"/>
  <c r="AF101" i="23" s="1"/>
  <c r="AB106" i="16"/>
  <c r="AB110" i="16" s="1"/>
  <c r="AB136" i="16" s="1"/>
  <c r="AH104" i="16"/>
  <c r="AL61" i="23"/>
  <c r="AN60" i="23"/>
  <c r="V18" i="2"/>
  <c r="V20" i="2" s="1"/>
  <c r="V45" i="2" s="1"/>
  <c r="V55" i="2" s="1"/>
  <c r="V59" i="2" s="1"/>
  <c r="P20" i="2"/>
  <c r="P45" i="2" s="1"/>
  <c r="P55" i="2" s="1"/>
  <c r="P59" i="2" s="1"/>
  <c r="M37" i="13" l="1"/>
  <c r="M40" i="13" s="1"/>
  <c r="K40" i="13"/>
  <c r="AN61" i="23"/>
  <c r="AL65" i="23"/>
  <c r="I37" i="7"/>
  <c r="I47" i="7"/>
  <c r="I50" i="7" s="1"/>
  <c r="AF103" i="23"/>
  <c r="AN103" i="23" s="1"/>
  <c r="AL101" i="23"/>
  <c r="X18" i="2"/>
  <c r="R20" i="2"/>
  <c r="R45" i="2" s="1"/>
  <c r="R55" i="2" s="1"/>
  <c r="R59" i="2" s="1"/>
  <c r="AH106" i="16"/>
  <c r="AJ104" i="16"/>
  <c r="G47" i="7"/>
  <c r="G50" i="7" s="1"/>
  <c r="G37" i="7"/>
  <c r="AB147" i="16"/>
  <c r="AH136" i="16"/>
  <c r="AJ136" i="16" s="1"/>
  <c r="K37" i="7"/>
  <c r="K47" i="7"/>
  <c r="K50" i="7" s="1"/>
  <c r="AL89" i="23" l="1"/>
  <c r="AN89" i="23" s="1"/>
  <c r="AN65" i="23"/>
  <c r="AH110" i="16"/>
  <c r="AJ110" i="16" s="1"/>
  <c r="AJ106" i="16"/>
  <c r="AL103" i="23"/>
  <c r="AN101" i="23"/>
  <c r="AH147" i="16"/>
  <c r="AJ147" i="16" s="1"/>
  <c r="AB149" i="16"/>
  <c r="AH149" i="16" s="1"/>
  <c r="AJ149" i="16" s="1"/>
  <c r="AI18" i="2"/>
  <c r="AG18" i="2"/>
  <c r="AG20" i="2" s="1"/>
  <c r="X20" i="2"/>
  <c r="X45" i="2" l="1"/>
  <c r="AI20" i="2"/>
  <c r="AI45" i="2" l="1"/>
  <c r="X55" i="2"/>
  <c r="AG45" i="2"/>
  <c r="AG55" i="2" s="1"/>
  <c r="AG59" i="2" s="1"/>
  <c r="X59" i="2" l="1"/>
  <c r="AI59" i="2" s="1"/>
  <c r="AI55" i="2"/>
  <c r="AB51" i="2" l="1"/>
  <c r="AB55" i="2" s="1"/>
  <c r="AB59" i="2" s="1"/>
</calcChain>
</file>

<file path=xl/sharedStrings.xml><?xml version="1.0" encoding="utf-8"?>
<sst xmlns="http://schemas.openxmlformats.org/spreadsheetml/2006/main" count="4287" uniqueCount="1595">
  <si>
    <t xml:space="preserve">                             STATE OF NEW YORK</t>
  </si>
  <si>
    <t>THOMAS P. DiNAPOLI</t>
  </si>
  <si>
    <t xml:space="preserve">                               OFFICE OF OPERATIONS  </t>
  </si>
  <si>
    <t>STATE COMPTROLLER</t>
  </si>
  <si>
    <t xml:space="preserve">DIVISION OF PAYROLL, ACCOUNTING AND REVENUE SERVICES    </t>
  </si>
  <si>
    <t xml:space="preserve">BUREAU OF FINANCIAL REPORTING AND OIL SPILL REMEDIATION   </t>
  </si>
  <si>
    <t>COMPTROLLER'S MONTHLY REPORT TO THE LEGISLATURE ON STATE FUNDS - CASH BASIS OF ACCOUNTING</t>
  </si>
  <si>
    <t xml:space="preserve">TABLE OF CONTENTS  </t>
  </si>
  <si>
    <t xml:space="preserve">Combined Statements of Cash Receipts, Disbursements and Changes in Fund Balances       </t>
  </si>
  <si>
    <t>Exhibit A</t>
  </si>
  <si>
    <t xml:space="preserve">Governmental Funds  </t>
  </si>
  <si>
    <t xml:space="preserve">Exhibit A Supplemental </t>
  </si>
  <si>
    <t>Governmental Funds - State Operating</t>
  </si>
  <si>
    <t>Exhibit A Notes</t>
  </si>
  <si>
    <t>Governmental Funds Footnotes</t>
  </si>
  <si>
    <t>Exhibit B</t>
  </si>
  <si>
    <t xml:space="preserve">Proprietary Funds  </t>
  </si>
  <si>
    <t>Exhibit C</t>
  </si>
  <si>
    <t xml:space="preserve">Trust Funds  </t>
  </si>
  <si>
    <t>Exhibit D Governmental</t>
  </si>
  <si>
    <t>Governmental Funds - Budgetary Basis - Financial Plan and Actual - Governmental</t>
  </si>
  <si>
    <t>Exhibit D State Operating</t>
  </si>
  <si>
    <t xml:space="preserve">Governmental Funds - Budgetary Basis - Financial Plan and Actual - State Operating  </t>
  </si>
  <si>
    <t>Exhibit D General Fund</t>
  </si>
  <si>
    <t>Governmental Funds - Budgetary Basis - Financial Plan and Actual - General Fund</t>
  </si>
  <si>
    <t>Exhibit D Special Revenue</t>
  </si>
  <si>
    <t xml:space="preserve">Governmental Funds - Budgetary Basis - Financial Plan and Actual - Special Revenue  </t>
  </si>
  <si>
    <t>Exhibit D Special Revenue State/Federal</t>
  </si>
  <si>
    <t xml:space="preserve">Governmental Funds - Budgetary Basis - Financial Plan and Actual - Special Revenue State and Federal  </t>
  </si>
  <si>
    <t>Exhibit D Debt</t>
  </si>
  <si>
    <t xml:space="preserve">Governmental Funds - Budgetary Basis - Financial Plan and Actual - Debt Service  </t>
  </si>
  <si>
    <t>Exhibit D Capital Projects</t>
  </si>
  <si>
    <t xml:space="preserve">Governmental Funds - Budgetary Basis - Financial Plan and Actual - Capital Projects  </t>
  </si>
  <si>
    <t>Exhibit D Capital Projects State/Federal</t>
  </si>
  <si>
    <t xml:space="preserve">Governmental Funds - Budgetary Basis - Financial Plan and Actual - Capital Projects State and Federal  </t>
  </si>
  <si>
    <t>Exhibit E</t>
  </si>
  <si>
    <t xml:space="preserve">Comparative Schedule of Tax Receipts  </t>
  </si>
  <si>
    <t>Cash Flow - Governmental</t>
  </si>
  <si>
    <t>Governmental Funds - Governmental</t>
  </si>
  <si>
    <t>Cash Flow - State Operating</t>
  </si>
  <si>
    <t xml:space="preserve">Combining Statements of Cash Receipts, Disbursements and Changes in Fund Balances   </t>
  </si>
  <si>
    <t>Exhibit F</t>
  </si>
  <si>
    <t xml:space="preserve">General Fund - Statement of Cash Flow  </t>
  </si>
  <si>
    <t>Exhibit G</t>
  </si>
  <si>
    <t xml:space="preserve">Special Revenue Funds Combined - Statement of Cash Flow  </t>
  </si>
  <si>
    <t>Exhibit G State</t>
  </si>
  <si>
    <t xml:space="preserve">Special Revenue Funds State - Statement of Cash Flow  </t>
  </si>
  <si>
    <t>Exhibit G Federal</t>
  </si>
  <si>
    <t xml:space="preserve">Special Revenue Funds Federal - Statement of Cash Flow  </t>
  </si>
  <si>
    <t>Exhibit H</t>
  </si>
  <si>
    <t xml:space="preserve">Debt Service Funds - Statement of Cash Flow  </t>
  </si>
  <si>
    <t>Exhibit I</t>
  </si>
  <si>
    <t xml:space="preserve">Capital Projects Funds Combined - Statement of Cash Flow  </t>
  </si>
  <si>
    <t>Exhibit I State</t>
  </si>
  <si>
    <t xml:space="preserve">Capital Projects Funds State - Statement of Cash Flow  </t>
  </si>
  <si>
    <t>Exhibit I Federal</t>
  </si>
  <si>
    <t xml:space="preserve">Capital Projects Funds Federal - Statement of Cash Flow  </t>
  </si>
  <si>
    <t>Exhibit J</t>
  </si>
  <si>
    <t xml:space="preserve">Enterprise Funds - Statement of Cash Flow  </t>
  </si>
  <si>
    <t>Exhibit K</t>
  </si>
  <si>
    <t xml:space="preserve">Internal Service Funds - Statement of Cash Flow  </t>
  </si>
  <si>
    <t>Exhibit L</t>
  </si>
  <si>
    <t xml:space="preserve">Trust Funds - Statement of Cash Flow  </t>
  </si>
  <si>
    <t>Exhibit M</t>
  </si>
  <si>
    <t xml:space="preserve">Private Purpose Trust Funds - Statement of Cash Flow  </t>
  </si>
  <si>
    <t>Supplementary Schedules</t>
  </si>
  <si>
    <t>Schedule 1</t>
  </si>
  <si>
    <t xml:space="preserve">Governmental Funds - Summary of Cash Receipts, Disbursements and Changes in Fund Balances  </t>
  </si>
  <si>
    <t>Schedule 2</t>
  </si>
  <si>
    <t xml:space="preserve">Proprietary Funds - Summary of Cash Receipts, Disbursements and Changes in Fund Balances     </t>
  </si>
  <si>
    <t>Schedule 3</t>
  </si>
  <si>
    <t xml:space="preserve">Fiduciary Funds - Summary of Cash Receipts, Disbursements and Changes in Fund Balances    </t>
  </si>
  <si>
    <t>Schedule 4</t>
  </si>
  <si>
    <t xml:space="preserve">Sole Custody and Investment Accounts - Statement of Cash Receipts and Disbursements  </t>
  </si>
  <si>
    <t>Schedule 5</t>
  </si>
  <si>
    <t xml:space="preserve">Debt Service Funds - Statement of Direct State Debt Activity  </t>
  </si>
  <si>
    <t>Schedule 5a</t>
  </si>
  <si>
    <t xml:space="preserve">Debt Service Funds - Financing Agreements  </t>
  </si>
  <si>
    <t>Schedule 6</t>
  </si>
  <si>
    <t xml:space="preserve">Summary of the Operating Fund Investments  </t>
  </si>
  <si>
    <t xml:space="preserve">Appendix A </t>
  </si>
  <si>
    <t xml:space="preserve">HCRA Resources Fund - Statement of Receipts and Disbursements by Account  </t>
  </si>
  <si>
    <t>Appendix B</t>
  </si>
  <si>
    <t xml:space="preserve">HCRA Resources Fund - Statement of Program Disbursements  </t>
  </si>
  <si>
    <t>Appendix C</t>
  </si>
  <si>
    <t xml:space="preserve">HCRA Public Goods Pool - Statement of Cash Flow  </t>
  </si>
  <si>
    <t>Appendix D</t>
  </si>
  <si>
    <t xml:space="preserve">HCRA Medicaid Disproportionate Share - Statement of Cash Flow  </t>
  </si>
  <si>
    <t>Appendix E</t>
  </si>
  <si>
    <t xml:space="preserve">Summary of Off-Budget Spending Report  </t>
  </si>
  <si>
    <t>Appendix F</t>
  </si>
  <si>
    <t xml:space="preserve">Schedule of Month-End Temporary Loans Outstanding  </t>
  </si>
  <si>
    <t>Appendix G</t>
  </si>
  <si>
    <t>Dedicated Infrastructure Investment Fund - Statement of Receipts and Disbursements</t>
  </si>
  <si>
    <t>Appendix H</t>
  </si>
  <si>
    <t>Medical Assistance Disbursements - State Funds</t>
  </si>
  <si>
    <t>Appendix I</t>
  </si>
  <si>
    <t>Medical Assistance Disbursements - Federal Funds</t>
  </si>
  <si>
    <t>Note to users: This Excel file contains formulas and links.</t>
  </si>
  <si>
    <t>STATE OF NEW YORK</t>
  </si>
  <si>
    <t>EXHIBIT A</t>
  </si>
  <si>
    <t>GOVERNMENTAL FUNDS</t>
  </si>
  <si>
    <t xml:space="preserve">COMBINED STATEMENT OF CASH RECEIPTS, DISBURSEMENTS AND CHANGES IN FUND BALANCES  </t>
  </si>
  <si>
    <t>(amounts in millions)</t>
  </si>
  <si>
    <t xml:space="preserve"> </t>
  </si>
  <si>
    <t xml:space="preserve">GENERAL </t>
  </si>
  <si>
    <t xml:space="preserve">SPECIAL REVENUE </t>
  </si>
  <si>
    <t xml:space="preserve">DEBT SERVICE </t>
  </si>
  <si>
    <t xml:space="preserve">CAPITAL PROJECTS </t>
  </si>
  <si>
    <t xml:space="preserve">                        TOTAL GOVERNMENTAL FUNDS                                              YEAR OVER YEAR</t>
  </si>
  <si>
    <t>MONTH OF</t>
  </si>
  <si>
    <t>$ Increase/</t>
  </si>
  <si>
    <t>% Increase/</t>
  </si>
  <si>
    <t>(Decrease)</t>
  </si>
  <si>
    <t>Decrease</t>
  </si>
  <si>
    <t>RECEIPTS:</t>
  </si>
  <si>
    <t xml:space="preserve">  Personal Income Tax     </t>
  </si>
  <si>
    <t xml:space="preserve">  Consumption/Use Taxes</t>
  </si>
  <si>
    <t xml:space="preserve">  Business Taxes</t>
  </si>
  <si>
    <t xml:space="preserve">  Other Taxes</t>
  </si>
  <si>
    <t xml:space="preserve">  Miscellaneous Receipts</t>
  </si>
  <si>
    <t xml:space="preserve">  Federal Receipts</t>
  </si>
  <si>
    <t xml:space="preserve">       Total Receipts</t>
  </si>
  <si>
    <t>DISBURSEMENTS:</t>
  </si>
  <si>
    <t xml:space="preserve">  Local Assistance Grants:</t>
  </si>
  <si>
    <t xml:space="preserve">       Education</t>
  </si>
  <si>
    <t xml:space="preserve">       Environment and Recreation</t>
  </si>
  <si>
    <t xml:space="preserve">       General Government</t>
  </si>
  <si>
    <t xml:space="preserve">       Public Health:</t>
  </si>
  <si>
    <t xml:space="preserve">         Medicaid</t>
  </si>
  <si>
    <t xml:space="preserve">         Other Public Health </t>
  </si>
  <si>
    <t xml:space="preserve">       Public Safety </t>
  </si>
  <si>
    <t xml:space="preserve">       Public Welfare </t>
  </si>
  <si>
    <t xml:space="preserve">       Support and Regulate Business </t>
  </si>
  <si>
    <t xml:space="preserve">       Transportation</t>
  </si>
  <si>
    <t xml:space="preserve">          Total Local Assistance Grants</t>
  </si>
  <si>
    <t xml:space="preserve">  Departmental Operations:</t>
  </si>
  <si>
    <t xml:space="preserve">       Personal Service</t>
  </si>
  <si>
    <t xml:space="preserve">       Non-Personal Service</t>
  </si>
  <si>
    <t xml:space="preserve">  General State Charges </t>
  </si>
  <si>
    <t xml:space="preserve">  Debt Service, Including Payments on</t>
  </si>
  <si>
    <t xml:space="preserve">    Financing Agreements</t>
  </si>
  <si>
    <t xml:space="preserve">  Capital Projects</t>
  </si>
  <si>
    <t>(1)</t>
  </si>
  <si>
    <t xml:space="preserve">        Total Disbursements</t>
  </si>
  <si>
    <t>Excess (Deficiency) of Receipts</t>
  </si>
  <si>
    <t xml:space="preserve">  over Disbursements</t>
  </si>
  <si>
    <t>OTHER FINANCING SOURCES (USES):</t>
  </si>
  <si>
    <t xml:space="preserve">  Bond and Note Proceeds (net)</t>
  </si>
  <si>
    <t xml:space="preserve">  Transfers from Other Funds</t>
  </si>
  <si>
    <t>(2)</t>
  </si>
  <si>
    <t xml:space="preserve">  Transfers to Other Funds </t>
  </si>
  <si>
    <t xml:space="preserve">       Total Other Financing Sources (Uses)</t>
  </si>
  <si>
    <t xml:space="preserve"> and Other Financing Sources over</t>
  </si>
  <si>
    <t xml:space="preserve"> Disbursements and Other Financing Uses</t>
  </si>
  <si>
    <t xml:space="preserve">Beginning Fund Balances (Deficits) </t>
  </si>
  <si>
    <t xml:space="preserve">Ending Fund Balances (Deficits)                          </t>
  </si>
  <si>
    <t xml:space="preserve">EXHIBIT A </t>
  </si>
  <si>
    <t>GOVERNMENTAL FUNDS - STATE OPERATING (*)</t>
  </si>
  <si>
    <t>SUPPLEMENTAL</t>
  </si>
  <si>
    <t xml:space="preserve">COMBINED STATEMENT OF CASH RECEIPTS, DISBURSEMENTS AND CHANGES IN FUND BALANCES </t>
  </si>
  <si>
    <t>STATE SPECIAL REVENUE (**)</t>
  </si>
  <si>
    <t xml:space="preserve">                                                                                                                                                             TOTAL STATE OPERATING FUNDS                                                </t>
  </si>
  <si>
    <t xml:space="preserve">  Personal Income Tax       </t>
  </si>
  <si>
    <t xml:space="preserve">       Total Disbursements</t>
  </si>
  <si>
    <t>and Other Financing Sources over</t>
  </si>
  <si>
    <t>Disbursements and Other Financing Uses</t>
  </si>
  <si>
    <t>Ending Fund Balances (Deficits)                            $</t>
  </si>
  <si>
    <r>
      <t xml:space="preserve">(*) </t>
    </r>
    <r>
      <rPr>
        <u/>
        <sz val="12"/>
        <rFont val="Arial"/>
        <family val="2"/>
      </rPr>
      <t>State Operating Funds</t>
    </r>
    <r>
      <rPr>
        <sz val="12"/>
        <rFont val="Arial"/>
        <family val="2"/>
      </rPr>
      <t xml:space="preserve"> are comprised of the General Fund, State Special Revenue Funds supported by activities from dedicated revenue sources (including operating transfers from Federal Funds) and Debt Service Funds.          </t>
    </r>
  </si>
  <si>
    <t>(**) Eliminations between Special Revenue - State and Federal Funds are not included.</t>
  </si>
  <si>
    <t xml:space="preserve">GOVERNMENTAL FUNDS FOOTNOTES </t>
  </si>
  <si>
    <t>EXHIBIT A NOTES</t>
  </si>
  <si>
    <t>1.</t>
  </si>
  <si>
    <t xml:space="preserve">Certain disbursements from Capital Projects funds are financed by operating transfers from other </t>
  </si>
  <si>
    <r>
      <t>Special Revenue Funds</t>
    </r>
    <r>
      <rPr>
        <b/>
        <sz val="9"/>
        <rFont val="Arial"/>
        <family val="2"/>
      </rPr>
      <t xml:space="preserve"> </t>
    </r>
    <r>
      <rPr>
        <sz val="9"/>
        <rFont val="Arial"/>
        <family val="2"/>
      </rPr>
      <t xml:space="preserve"> “Transfers To Other Funds” includes transfers to Mental Health Services</t>
    </r>
    <r>
      <rPr>
        <b/>
        <sz val="9"/>
        <rFont val="Arial"/>
        <family val="2"/>
      </rPr>
      <t xml:space="preserve"> </t>
    </r>
  </si>
  <si>
    <t xml:space="preserve">funds, proceeds of State bonds and notes, and reimbursements received from Public Authorities </t>
  </si>
  <si>
    <t xml:space="preserve">and the Federal Government.  The amounts shown below represent disbursements to be </t>
  </si>
  <si>
    <t xml:space="preserve">payments for patients residing in State-operated Health and Mental Hygiene facilities, SUNY Capital </t>
  </si>
  <si>
    <t>reimbursed in future months from the sources indicated:</t>
  </si>
  <si>
    <t xml:space="preserve">Urban Development Corporation (Correctional Facilities)       </t>
  </si>
  <si>
    <t>million</t>
  </si>
  <si>
    <t>Also included in Special Revenue funds are transfers to the General Fund from the following:</t>
  </si>
  <si>
    <t xml:space="preserve">Urban Development Corporation (Youth Facilities) </t>
  </si>
  <si>
    <t>Housing Finance Agency (HFA)</t>
  </si>
  <si>
    <t>Federal Health and Human Services Fund</t>
  </si>
  <si>
    <t>Housing Assistance Fund</t>
  </si>
  <si>
    <t xml:space="preserve">Dormitory Authority (Mental Hygiene)  </t>
  </si>
  <si>
    <t>Dormitory Authority and State University Income Fund</t>
  </si>
  <si>
    <r>
      <t>Debt Service Funds</t>
    </r>
    <r>
      <rPr>
        <b/>
        <sz val="9"/>
        <rFont val="Arial"/>
        <family val="2"/>
      </rPr>
      <t xml:space="preserve"> </t>
    </r>
    <r>
      <rPr>
        <sz val="9"/>
        <rFont val="Arial"/>
        <family val="2"/>
      </rPr>
      <t>“Transfers To Other Funds” includes transfers to the General Fund from the following:</t>
    </r>
  </si>
  <si>
    <t>Federal Capital Projects</t>
  </si>
  <si>
    <t xml:space="preserve">State bond and note proceeds </t>
  </si>
  <si>
    <t>Revenue Bond Tax Fund</t>
  </si>
  <si>
    <t>Sales Tax Revenue Bond Tax Fund</t>
  </si>
  <si>
    <t>2.</t>
  </si>
  <si>
    <t xml:space="preserve">Operating Transfers constitute legally authorized transfers from a fund receiving revenues to a </t>
  </si>
  <si>
    <t>Clean Water/Clean Air Fund</t>
  </si>
  <si>
    <t>fund through which disbursements will ultimately be made.  The more significant transfers include:</t>
  </si>
  <si>
    <t>Mental Health Services Fund</t>
  </si>
  <si>
    <r>
      <t>General Fund</t>
    </r>
    <r>
      <rPr>
        <sz val="9"/>
        <rFont val="Arial"/>
        <family val="2"/>
      </rPr>
      <t xml:space="preserve">  “Transfers to Other Funds” are as follows:</t>
    </r>
  </si>
  <si>
    <t xml:space="preserve">Also included in Debt Service funds are transfers to Special Revenue funds representing receipts in excess </t>
  </si>
  <si>
    <t>State Capital Projects Fund</t>
  </si>
  <si>
    <t>of lease-purchase obligations that are used to finance a portion of the operating expenses for the Department</t>
  </si>
  <si>
    <t>General Debt Service Fund</t>
  </si>
  <si>
    <t>Banking Services Account</t>
  </si>
  <si>
    <t>Court Facilities Incentive Aid Fund</t>
  </si>
  <si>
    <t>Dedicated Highway Bridge Trust Fund</t>
  </si>
  <si>
    <t>Dedicated Infrastructure Investment Fund</t>
  </si>
  <si>
    <t>Dedicated Mass Transportation (Non MTA)</t>
  </si>
  <si>
    <t>Dedicated Mass Transportation - Railroad Account</t>
  </si>
  <si>
    <t>Dedicated Mass Transportation - Transit Authority Account</t>
  </si>
  <si>
    <t>Environmental Protection Fund</t>
  </si>
  <si>
    <t>Hazardous Waste Oversight &amp; Assistance Account</t>
  </si>
  <si>
    <t>Mass Transportation Financial Assistance</t>
  </si>
  <si>
    <t>Mass Transportation Operating Assistance Fund</t>
  </si>
  <si>
    <t>New York Central Business District Trust Fund</t>
  </si>
  <si>
    <t>New York City County Clerks' Operations Offset</t>
  </si>
  <si>
    <t>Recruitment Incentive Account</t>
  </si>
  <si>
    <t>State Fair Receipts</t>
  </si>
  <si>
    <t>State University Income Fund</t>
  </si>
  <si>
    <t>Also included in the General Fund are transfers representing payments for patients residing in State-</t>
  </si>
  <si>
    <t xml:space="preserve">§72(4)(b) was added to the State Finance Law in 2010 to permit the State's General Debt Service </t>
  </si>
  <si>
    <t xml:space="preserve">Fund to maintain a cash reserve for the payment of debt service, and related expenses, during </t>
  </si>
  <si>
    <t>EXHIBIT B</t>
  </si>
  <si>
    <t>PROPRIETARY FUNDS</t>
  </si>
  <si>
    <t>ENTERPRISE</t>
  </si>
  <si>
    <t>INTERNAL SERVICE</t>
  </si>
  <si>
    <t>TOTAL PROPRIETARY FUNDS</t>
  </si>
  <si>
    <t>YEAR OVER YEAR</t>
  </si>
  <si>
    <t xml:space="preserve">  Federal Receipts </t>
  </si>
  <si>
    <t xml:space="preserve">  Unemployment Taxes</t>
  </si>
  <si>
    <t xml:space="preserve">     Personal Service</t>
  </si>
  <si>
    <t xml:space="preserve">     Non-Personal Service</t>
  </si>
  <si>
    <t xml:space="preserve">  General State Charges</t>
  </si>
  <si>
    <t xml:space="preserve">  Unemployment Benefits</t>
  </si>
  <si>
    <t xml:space="preserve">  Over Disbursements</t>
  </si>
  <si>
    <t xml:space="preserve">  Transfers to Other Funds  </t>
  </si>
  <si>
    <t xml:space="preserve">  and Other Financing Sources </t>
  </si>
  <si>
    <t xml:space="preserve">  over Disbursements and Other  </t>
  </si>
  <si>
    <t xml:space="preserve">  Financing Uses</t>
  </si>
  <si>
    <t>Beginning Fund Balances (Deficits)</t>
  </si>
  <si>
    <t>Ending Fund Balances (Deficits)</t>
  </si>
  <si>
    <t>EXHIBIT C</t>
  </si>
  <si>
    <t>TRUST FUNDS</t>
  </si>
  <si>
    <r>
      <t>TRUST</t>
    </r>
    <r>
      <rPr>
        <b/>
        <vertAlign val="superscript"/>
        <sz val="12"/>
        <rFont val="Arial"/>
        <family val="2"/>
      </rPr>
      <t>(*)</t>
    </r>
  </si>
  <si>
    <t>PRIVATE PURPOSE</t>
  </si>
  <si>
    <t>TOTAL TRUST FUNDS</t>
  </si>
  <si>
    <r>
      <rPr>
        <vertAlign val="superscript"/>
        <sz val="12"/>
        <rFont val="Arial"/>
        <family val="2"/>
      </rPr>
      <t>(*)</t>
    </r>
    <r>
      <rPr>
        <sz val="12"/>
        <rFont val="Arial"/>
        <family val="2"/>
      </rPr>
      <t xml:space="preserve"> Includes Common Retirement Administration and Retiree Health Benefit Trust.</t>
    </r>
  </si>
  <si>
    <t>EXHIBIT D</t>
  </si>
  <si>
    <t xml:space="preserve">BUDGETARY BASIS - FINANCIAL PLAN AND ACTUAL  </t>
  </si>
  <si>
    <t>FISCAL YEAR 2023-2024</t>
  </si>
  <si>
    <t xml:space="preserve">(amounts in millions)  </t>
  </si>
  <si>
    <t xml:space="preserve">                                   ALL GOVERNMENTAL FUNDS</t>
  </si>
  <si>
    <t>Actual</t>
  </si>
  <si>
    <t>Over/</t>
  </si>
  <si>
    <t xml:space="preserve">  </t>
  </si>
  <si>
    <t>Enacted</t>
  </si>
  <si>
    <t>Updated</t>
  </si>
  <si>
    <t>(Under)</t>
  </si>
  <si>
    <t>Financial</t>
  </si>
  <si>
    <t xml:space="preserve">  Plan (*)</t>
  </si>
  <si>
    <t>Financial Plan</t>
  </si>
  <si>
    <t xml:space="preserve">  Taxes:</t>
  </si>
  <si>
    <t xml:space="preserve">    Personal Income</t>
  </si>
  <si>
    <t xml:space="preserve">    Consumption/Use</t>
  </si>
  <si>
    <t xml:space="preserve">    Business</t>
  </si>
  <si>
    <t xml:space="preserve">    Other</t>
  </si>
  <si>
    <t xml:space="preserve">      Total Receipts</t>
  </si>
  <si>
    <t xml:space="preserve">  Local Assistance Grants</t>
  </si>
  <si>
    <t xml:space="preserve">  Departmental Operations</t>
  </si>
  <si>
    <t xml:space="preserve">  Debt Service</t>
  </si>
  <si>
    <t xml:space="preserve">      Total Disbursements</t>
  </si>
  <si>
    <t xml:space="preserve">  Bond and Note Proceeds, net</t>
  </si>
  <si>
    <t xml:space="preserve">  Transfers to Other Funds</t>
  </si>
  <si>
    <t xml:space="preserve">      Total Other Financing Sources (Uses)</t>
  </si>
  <si>
    <t xml:space="preserve">Excess (Deficiency) of Receipts and Other   </t>
  </si>
  <si>
    <t xml:space="preserve">  Financing Sources over Disbursements    </t>
  </si>
  <si>
    <t xml:space="preserve">  and Other Financing Uses</t>
  </si>
  <si>
    <t>Fund Balances (Deficits) at April 1</t>
  </si>
  <si>
    <t xml:space="preserve">(*)    Source: 2023-24 Enacted Financial Plan dated June 9, 2023. </t>
  </si>
  <si>
    <t>(***)</t>
  </si>
  <si>
    <t xml:space="preserve">       by activities from dedicated revenue sources (including operating transfers from Federal Funds) and Debt Service Funds. </t>
  </si>
  <si>
    <t xml:space="preserve">                                GENERAL FUND</t>
  </si>
  <si>
    <t xml:space="preserve">  Transfers From:</t>
  </si>
  <si>
    <t xml:space="preserve">    Revenue Bond Tax Fund</t>
  </si>
  <si>
    <t xml:space="preserve">    Sales Tax in excess of STRBF Debt Service</t>
  </si>
  <si>
    <t xml:space="preserve">    Real Estate Taxes in excess of CW/CA Debt Service</t>
  </si>
  <si>
    <t xml:space="preserve">    All Other</t>
  </si>
  <si>
    <t xml:space="preserve">      Total Receipts and Other Financing Sources</t>
  </si>
  <si>
    <t xml:space="preserve">  Transfers To:</t>
  </si>
  <si>
    <t xml:space="preserve">    Debt Service</t>
  </si>
  <si>
    <t xml:space="preserve">    Capital Projects</t>
  </si>
  <si>
    <t xml:space="preserve">    State Share Medicaid</t>
  </si>
  <si>
    <t>(**)</t>
  </si>
  <si>
    <t xml:space="preserve">    SUNY Operations</t>
  </si>
  <si>
    <t xml:space="preserve">   </t>
  </si>
  <si>
    <t xml:space="preserve">    Other Purposes</t>
  </si>
  <si>
    <t xml:space="preserve">      Total Disbursements and Other Financing Uses</t>
  </si>
  <si>
    <t xml:space="preserve">Excess (Deficiency) of Receipts and Other     </t>
  </si>
  <si>
    <t xml:space="preserve">  Financing Sources over Disbursements   </t>
  </si>
  <si>
    <t xml:space="preserve">        for patients residing in State-Operated Health and State University facilities.</t>
  </si>
  <si>
    <t xml:space="preserve">                                                                    SPECIAL REVENUE FUNDS</t>
  </si>
  <si>
    <t>Eliminations</t>
  </si>
  <si>
    <t>Total</t>
  </si>
  <si>
    <t xml:space="preserve">  Transfers from Other Funds (**)</t>
  </si>
  <si>
    <t xml:space="preserve">  Transfers to Other Funds (**)</t>
  </si>
  <si>
    <t xml:space="preserve">                 STATE SPECIAL REVENUE FUNDS</t>
  </si>
  <si>
    <t xml:space="preserve">                 FEDERAL SPECIAL REVENUE FUNDS</t>
  </si>
  <si>
    <t xml:space="preserve">                                           DEBT SERVICE FUNDS</t>
  </si>
  <si>
    <t xml:space="preserve">     CAPITAL PROJECTS FUNDS</t>
  </si>
  <si>
    <t xml:space="preserve">BUDGETARY BASIS - FINANCIAL PLAN AND ACTUAL     </t>
  </si>
  <si>
    <t xml:space="preserve">                             STATE CAPITAL PROJECTS FUNDS</t>
  </si>
  <si>
    <t xml:space="preserve">                     FEDERAL CAPITAL PROJECTS FUNDS</t>
  </si>
  <si>
    <t xml:space="preserve">COMPARATIVE SCHEDULE OF TAX RECEIPTS                   </t>
  </si>
  <si>
    <t>EXHIBIT E</t>
  </si>
  <si>
    <t>SPECIAL REVENUE</t>
  </si>
  <si>
    <t>CAPITAL PROJECTS</t>
  </si>
  <si>
    <t>TOTAL GOVERNMENTAL FUNDS</t>
  </si>
  <si>
    <t>PERSONAL INCOME TAX</t>
  </si>
  <si>
    <t xml:space="preserve">  Withholdings</t>
  </si>
  <si>
    <t xml:space="preserve">  Estimated Payments </t>
  </si>
  <si>
    <t xml:space="preserve">  Returns</t>
  </si>
  <si>
    <t xml:space="preserve">  State/City Offsets</t>
  </si>
  <si>
    <t xml:space="preserve">  Other (Assessments/LLC)</t>
  </si>
  <si>
    <t xml:space="preserve">    Gross Receipts</t>
  </si>
  <si>
    <t xml:space="preserve">  Transfers to School Tax Relief Fund</t>
  </si>
  <si>
    <t xml:space="preserve">  Transfers to Revenue Bond Tax Fund</t>
  </si>
  <si>
    <t xml:space="preserve">  Less: Refunds Issued</t>
  </si>
  <si>
    <t xml:space="preserve">    Total  </t>
  </si>
  <si>
    <t xml:space="preserve">CONSUMPTION/USE TAXES </t>
  </si>
  <si>
    <t xml:space="preserve">  Sales and Use </t>
  </si>
  <si>
    <t xml:space="preserve">  Auto Rental </t>
  </si>
  <si>
    <t xml:space="preserve">  Cigarette/Tobacco Products </t>
  </si>
  <si>
    <t xml:space="preserve">  Cannabis</t>
  </si>
  <si>
    <t xml:space="preserve">  Motor Fuel </t>
  </si>
  <si>
    <t xml:space="preserve">  Peer-to-Peer Car Sharing</t>
  </si>
  <si>
    <t xml:space="preserve">  Alcoholic Beverage </t>
  </si>
  <si>
    <t xml:space="preserve">  Highway Use </t>
  </si>
  <si>
    <t xml:space="preserve">  Vapor Excise </t>
  </si>
  <si>
    <t xml:space="preserve">  Opioid Excise </t>
  </si>
  <si>
    <t xml:space="preserve">    Total</t>
  </si>
  <si>
    <t>BUSINESS TAXES</t>
  </si>
  <si>
    <t xml:space="preserve">  Corporation Franchise </t>
  </si>
  <si>
    <t xml:space="preserve">  Corporation and Utilities </t>
  </si>
  <si>
    <t xml:space="preserve">  Insurance </t>
  </si>
  <si>
    <t xml:space="preserve">  Bank </t>
  </si>
  <si>
    <t xml:space="preserve">  Pass-Through Entity </t>
  </si>
  <si>
    <t xml:space="preserve">  Petroleum Business</t>
  </si>
  <si>
    <t xml:space="preserve">OTHER TAXES </t>
  </si>
  <si>
    <t xml:space="preserve">  Real Property Gains </t>
  </si>
  <si>
    <t xml:space="preserve">  Estate and Gift </t>
  </si>
  <si>
    <t xml:space="preserve">  Pari-Mutuel </t>
  </si>
  <si>
    <t xml:space="preserve">  Real Estate Transfer </t>
  </si>
  <si>
    <t xml:space="preserve">  Racing and Combative Sports </t>
  </si>
  <si>
    <t xml:space="preserve">  Employer Compensation Expense Tax</t>
  </si>
  <si>
    <t xml:space="preserve">    Total Tax Receipts</t>
  </si>
  <si>
    <t>GOVERNMENTAL FUNDS (*)</t>
  </si>
  <si>
    <t xml:space="preserve">STATEMENT OF CASH FLOW </t>
  </si>
  <si>
    <t>2023</t>
  </si>
  <si>
    <t>APRIL</t>
  </si>
  <si>
    <t>MAY</t>
  </si>
  <si>
    <t>JUNE</t>
  </si>
  <si>
    <t>JULY</t>
  </si>
  <si>
    <t>AUGUST</t>
  </si>
  <si>
    <t xml:space="preserve"> SEPTEMBER</t>
  </si>
  <si>
    <t xml:space="preserve"> OCTOBER</t>
  </si>
  <si>
    <t>NOVEMBER</t>
  </si>
  <si>
    <t>DECEMBER</t>
  </si>
  <si>
    <t>JANUARY</t>
  </si>
  <si>
    <t>FEBRUARY</t>
  </si>
  <si>
    <t xml:space="preserve"> MARCH</t>
  </si>
  <si>
    <t>Beginning Fund Balance</t>
  </si>
  <si>
    <t xml:space="preserve">   Taxes:</t>
  </si>
  <si>
    <t xml:space="preserve">     Personal Income Tax:</t>
  </si>
  <si>
    <t xml:space="preserve">         Withholdings</t>
  </si>
  <si>
    <t xml:space="preserve">         Estimated Payments</t>
  </si>
  <si>
    <t xml:space="preserve">         Returns</t>
  </si>
  <si>
    <t xml:space="preserve">         State/City Offsets</t>
  </si>
  <si>
    <t xml:space="preserve">         Other (Assessments/LLC)</t>
  </si>
  <si>
    <t xml:space="preserve">               Gross Receipts</t>
  </si>
  <si>
    <t xml:space="preserve">         Transfers to School Tax Relief Fund</t>
  </si>
  <si>
    <t xml:space="preserve">         Transfers to Revenue Bond Tax Fund</t>
  </si>
  <si>
    <t xml:space="preserve">         Refunds Issued</t>
  </si>
  <si>
    <t xml:space="preserve">                  Total Personal Income Tax</t>
  </si>
  <si>
    <t xml:space="preserve">     Consumption/Use Taxes:</t>
  </si>
  <si>
    <t xml:space="preserve">         Sales and Use </t>
  </si>
  <si>
    <t xml:space="preserve">         Auto Rental </t>
  </si>
  <si>
    <t xml:space="preserve">         Cigarette/Tobacco Products </t>
  </si>
  <si>
    <t xml:space="preserve">         Cannabis</t>
  </si>
  <si>
    <t xml:space="preserve">         Motor Fuel </t>
  </si>
  <si>
    <t xml:space="preserve">         Peer-to-Peer Car Sharing</t>
  </si>
  <si>
    <t xml:space="preserve">         Alcoholic Beverage </t>
  </si>
  <si>
    <t xml:space="preserve">         Highway Use </t>
  </si>
  <si>
    <t xml:space="preserve">         Vapor Excise </t>
  </si>
  <si>
    <t xml:space="preserve">         Opioid Excise </t>
  </si>
  <si>
    <t xml:space="preserve">                  Total Consumption/Use Taxes</t>
  </si>
  <si>
    <t xml:space="preserve">     Business Taxes:</t>
  </si>
  <si>
    <t xml:space="preserve">         Corporation Franchise </t>
  </si>
  <si>
    <t xml:space="preserve">         Corporation and Utilities </t>
  </si>
  <si>
    <t xml:space="preserve">         Insurance </t>
  </si>
  <si>
    <t xml:space="preserve">         Bank </t>
  </si>
  <si>
    <t xml:space="preserve">         Pass-Through Entity </t>
  </si>
  <si>
    <t xml:space="preserve">         Petroleum Business </t>
  </si>
  <si>
    <t xml:space="preserve">                  Total Business Taxes</t>
  </si>
  <si>
    <t xml:space="preserve">     Other Taxes:</t>
  </si>
  <si>
    <t xml:space="preserve">         Real Property Gains </t>
  </si>
  <si>
    <t xml:space="preserve">         Estate and Gift </t>
  </si>
  <si>
    <t xml:space="preserve">         Pari-Mutuel </t>
  </si>
  <si>
    <t xml:space="preserve">         Real Estate Transfer </t>
  </si>
  <si>
    <t xml:space="preserve">         Racing and Combative Sports </t>
  </si>
  <si>
    <t xml:space="preserve">         Employer Compensation Expense Tax</t>
  </si>
  <si>
    <t xml:space="preserve">                  Total Other Taxes</t>
  </si>
  <si>
    <t xml:space="preserve">                      Total Taxes</t>
  </si>
  <si>
    <t xml:space="preserve">   Miscellaneous Receipts:</t>
  </si>
  <si>
    <t xml:space="preserve">      Abandoned Property:</t>
  </si>
  <si>
    <t xml:space="preserve">        Abandoned Property</t>
  </si>
  <si>
    <t xml:space="preserve">        Bottle Bill</t>
  </si>
  <si>
    <t xml:space="preserve">      Assessments:</t>
  </si>
  <si>
    <t xml:space="preserve">        Business</t>
  </si>
  <si>
    <t xml:space="preserve">        Medical Care</t>
  </si>
  <si>
    <t xml:space="preserve">        Public Utilities</t>
  </si>
  <si>
    <t xml:space="preserve">        Other</t>
  </si>
  <si>
    <t xml:space="preserve">      Fees, Licenses and Permits:</t>
  </si>
  <si>
    <t xml:space="preserve">        Alcohol Beverage Control Licensing</t>
  </si>
  <si>
    <t xml:space="preserve">        Audit Fees</t>
  </si>
  <si>
    <t xml:space="preserve">        Business/Professional</t>
  </si>
  <si>
    <t xml:space="preserve">        Civil </t>
  </si>
  <si>
    <t xml:space="preserve">        Criminal</t>
  </si>
  <si>
    <t xml:space="preserve">        Motor Vehicle</t>
  </si>
  <si>
    <t xml:space="preserve">        Recreational/Consumer</t>
  </si>
  <si>
    <t xml:space="preserve">      Fines, Penalties and Forfeitures</t>
  </si>
  <si>
    <t xml:space="preserve">      Gaming:</t>
  </si>
  <si>
    <t xml:space="preserve">        Casino</t>
  </si>
  <si>
    <t xml:space="preserve">        Lottery</t>
  </si>
  <si>
    <t xml:space="preserve">        Mobile Sports</t>
  </si>
  <si>
    <t xml:space="preserve">        Video Lottery</t>
  </si>
  <si>
    <t xml:space="preserve">      Interest Earnings</t>
  </si>
  <si>
    <t xml:space="preserve">      Receipts from Municipalities</t>
  </si>
  <si>
    <t xml:space="preserve">      Receipts from Public Authorities:</t>
  </si>
  <si>
    <t xml:space="preserve">        Bond Proceeds</t>
  </si>
  <si>
    <t xml:space="preserve">        Cost Recovery Assessments</t>
  </si>
  <si>
    <t xml:space="preserve">        Issuance Fees</t>
  </si>
  <si>
    <t xml:space="preserve">        Non Bond Related</t>
  </si>
  <si>
    <t xml:space="preserve">      Rentals</t>
  </si>
  <si>
    <t xml:space="preserve">      Revenues of State Departments:</t>
  </si>
  <si>
    <t xml:space="preserve">        Administrative Recoveries</t>
  </si>
  <si>
    <t xml:space="preserve">        Commissions</t>
  </si>
  <si>
    <t xml:space="preserve">        Commissions - Asset Conversion</t>
  </si>
  <si>
    <t xml:space="preserve">        Gifts, Grants and Donations</t>
  </si>
  <si>
    <t xml:space="preserve">        Indirect Cost Recoveries</t>
  </si>
  <si>
    <t xml:space="preserve">        Patient/Client Care Reimbursement</t>
  </si>
  <si>
    <t xml:space="preserve">        Rebates</t>
  </si>
  <si>
    <t xml:space="preserve">        Restitution and Settlements</t>
  </si>
  <si>
    <t xml:space="preserve">        Student Loans</t>
  </si>
  <si>
    <t xml:space="preserve">        All Other</t>
  </si>
  <si>
    <t xml:space="preserve">      Sales</t>
  </si>
  <si>
    <t xml:space="preserve">      Tuition</t>
  </si>
  <si>
    <t xml:space="preserve">                  Total Miscellaneous Receipts</t>
  </si>
  <si>
    <t xml:space="preserve">          Total Receipts</t>
  </si>
  <si>
    <t xml:space="preserve">  Local Assistance Grants: </t>
  </si>
  <si>
    <t xml:space="preserve">       Personal Service </t>
  </si>
  <si>
    <t xml:space="preserve">       Non-Personal Service </t>
  </si>
  <si>
    <t xml:space="preserve">  Debt Service, Including Payments on  </t>
  </si>
  <si>
    <t xml:space="preserve">  Capital Projects </t>
  </si>
  <si>
    <t>Ending Fund Balance</t>
  </si>
  <si>
    <t>(*)   Governmental Funds includes General, Special Revenue, Debt Service and Capital Projects Funds combined.</t>
  </si>
  <si>
    <t xml:space="preserve">     Personal Income Tax:   </t>
  </si>
  <si>
    <t xml:space="preserve">         Cannabis </t>
  </si>
  <si>
    <t xml:space="preserve">         Vapor Excise  </t>
  </si>
  <si>
    <t xml:space="preserve">                  Total Taxes</t>
  </si>
  <si>
    <r>
      <t xml:space="preserve">(*)   </t>
    </r>
    <r>
      <rPr>
        <u/>
        <sz val="12"/>
        <rFont val="Arial"/>
        <family val="2"/>
      </rPr>
      <t>State Operating Funds</t>
    </r>
    <r>
      <rPr>
        <sz val="12"/>
        <rFont val="Arial"/>
        <family val="2"/>
      </rPr>
      <t xml:space="preserve"> are comprised of the General Fund, State Special Revenue Funds supported by activities</t>
    </r>
  </si>
  <si>
    <t xml:space="preserve">       from dedicated revenue sources (including operating transfers from Federal funds) and Debt Service Funds. </t>
  </si>
  <si>
    <t xml:space="preserve">(**)  Eliminations between State and Federal Special Revenue Funds are not included.   </t>
  </si>
  <si>
    <t>EXHIBIT F</t>
  </si>
  <si>
    <t>GENERAL FUND</t>
  </si>
  <si>
    <t>STATEMENT OF CASH FLOW</t>
  </si>
  <si>
    <t>SEPTEMBER</t>
  </si>
  <si>
    <t>OCTOBER</t>
  </si>
  <si>
    <t>MARCH</t>
  </si>
  <si>
    <t xml:space="preserve">            Mobile Sports</t>
  </si>
  <si>
    <t xml:space="preserve">      </t>
  </si>
  <si>
    <t xml:space="preserve">   Federal Receipts             </t>
  </si>
  <si>
    <t xml:space="preserve">   Local Assistance Grants:</t>
  </si>
  <si>
    <t xml:space="preserve">             Total Local Assistance Grants </t>
  </si>
  <si>
    <t xml:space="preserve">   Departmental Operations:</t>
  </si>
  <si>
    <t xml:space="preserve">      Personal Service </t>
  </si>
  <si>
    <t xml:space="preserve">      Non-Personal Service              </t>
  </si>
  <si>
    <t xml:space="preserve">   General State Charges</t>
  </si>
  <si>
    <t xml:space="preserve">          Total Disbursements</t>
  </si>
  <si>
    <t xml:space="preserve">Excess (Deficiency) of Receipts </t>
  </si>
  <si>
    <t xml:space="preserve">   Transfers from Revenue Bond Tax Fund           </t>
  </si>
  <si>
    <t xml:space="preserve">   Transfers from STRBTF           </t>
  </si>
  <si>
    <t xml:space="preserve">   Transfers from CW/CA Fund           </t>
  </si>
  <si>
    <t xml:space="preserve">   Transfers from Other Funds           </t>
  </si>
  <si>
    <t xml:space="preserve">   Transfers to State Capital Projects</t>
  </si>
  <si>
    <t xml:space="preserve">   Transfers to All Other Capital Projects</t>
  </si>
  <si>
    <t xml:space="preserve">   Transfers to General Debt Service</t>
  </si>
  <si>
    <t xml:space="preserve">   Transfers to All Other State Funds</t>
  </si>
  <si>
    <t xml:space="preserve">          Total Other Financing</t>
  </si>
  <si>
    <t xml:space="preserve">            Sources (Uses)</t>
  </si>
  <si>
    <t xml:space="preserve">Excess (Deficiency) of Receipts and </t>
  </si>
  <si>
    <t xml:space="preserve">  Other Financing Sources over</t>
  </si>
  <si>
    <t xml:space="preserve">  Disbursements and Other Financing Uses</t>
  </si>
  <si>
    <t>all</t>
  </si>
  <si>
    <t>EXHIBIT G</t>
  </si>
  <si>
    <t xml:space="preserve">SPECIAL REVENUE FUNDS - COMBINED  </t>
  </si>
  <si>
    <t xml:space="preserve">(amounts in millions)        </t>
  </si>
  <si>
    <t>Intra-Fund</t>
  </si>
  <si>
    <t>Transfer</t>
  </si>
  <si>
    <t>Eliminations (*)</t>
  </si>
  <si>
    <t xml:space="preserve">Beginning Fund Balance       </t>
  </si>
  <si>
    <t xml:space="preserve">     Personal Income Tax   </t>
  </si>
  <si>
    <t xml:space="preserve">                  Total Consumption/Use Taxes                </t>
  </si>
  <si>
    <t xml:space="preserve">                  Total Business Taxes             </t>
  </si>
  <si>
    <t xml:space="preserve">                  Total Taxes                </t>
  </si>
  <si>
    <t xml:space="preserve">            Business</t>
  </si>
  <si>
    <t xml:space="preserve">            Other</t>
  </si>
  <si>
    <t xml:space="preserve">            Audit Fees</t>
  </si>
  <si>
    <t xml:space="preserve">            Business/Professional</t>
  </si>
  <si>
    <t xml:space="preserve">            Civil </t>
  </si>
  <si>
    <t xml:space="preserve">            Criminal</t>
  </si>
  <si>
    <t xml:space="preserve">            Motor Vehicle</t>
  </si>
  <si>
    <t xml:space="preserve">            Recreational/Consumer</t>
  </si>
  <si>
    <t xml:space="preserve">            Casino</t>
  </si>
  <si>
    <t xml:space="preserve">            Lottery</t>
  </si>
  <si>
    <t xml:space="preserve">            Video Lottery</t>
  </si>
  <si>
    <t xml:space="preserve">            Bond Proceeds</t>
  </si>
  <si>
    <t xml:space="preserve">            Cost Recovery Assessments</t>
  </si>
  <si>
    <t xml:space="preserve">            Issuance Fees</t>
  </si>
  <si>
    <t xml:space="preserve">            Non Bond Related</t>
  </si>
  <si>
    <t xml:space="preserve">            Administrative Recoveries</t>
  </si>
  <si>
    <t xml:space="preserve">            Commissions</t>
  </si>
  <si>
    <t xml:space="preserve">            Gifts, Grants and Donations</t>
  </si>
  <si>
    <t xml:space="preserve">            Indirect Cost Recoveries</t>
  </si>
  <si>
    <t xml:space="preserve">            Patient/Client Care Reimbursement</t>
  </si>
  <si>
    <t xml:space="preserve">            Rebates</t>
  </si>
  <si>
    <t xml:space="preserve">            Restitution and Settlements</t>
  </si>
  <si>
    <t xml:space="preserve">            All Other</t>
  </si>
  <si>
    <t xml:space="preserve">                  Total Miscellaneous Receipts           </t>
  </si>
  <si>
    <t xml:space="preserve">   Federal Receipts</t>
  </si>
  <si>
    <t xml:space="preserve">             Total Local Assistance Grants     </t>
  </si>
  <si>
    <t xml:space="preserve">   Departmental Operations: </t>
  </si>
  <si>
    <t xml:space="preserve">      Non-Personal Service </t>
  </si>
  <si>
    <t xml:space="preserve">   General State Charges </t>
  </si>
  <si>
    <t xml:space="preserve">   Debt Service, Including Payments on</t>
  </si>
  <si>
    <t xml:space="preserve">     Financing Agreements</t>
  </si>
  <si>
    <t xml:space="preserve">   Capital Projects </t>
  </si>
  <si>
    <t xml:space="preserve">                    </t>
  </si>
  <si>
    <t xml:space="preserve">   Transfers from Other Funds </t>
  </si>
  <si>
    <t xml:space="preserve">   Transfers to Other Funds </t>
  </si>
  <si>
    <t xml:space="preserve">       Total Other Financing Sources (Uses)    </t>
  </si>
  <si>
    <t xml:space="preserve">  Disbursements and Other Financing Uses     </t>
  </si>
  <si>
    <t xml:space="preserve">Ending Fund Balance   </t>
  </si>
  <si>
    <t>(*)      Intra-Fund transfer eliminations represent transfers between Special Revenue-State and Federal Funds.</t>
  </si>
  <si>
    <t>SPECIAL REVENUE FUNDS - STATE</t>
  </si>
  <si>
    <t xml:space="preserve">(amounts in millions)     </t>
  </si>
  <si>
    <t xml:space="preserve">Beginning Fund Balance           </t>
  </si>
  <si>
    <t xml:space="preserve">     Business Taxes</t>
  </si>
  <si>
    <t xml:space="preserve">                  Total Business Taxes                </t>
  </si>
  <si>
    <t xml:space="preserve">                  Total Miscellaneous Receipts     </t>
  </si>
  <si>
    <t xml:space="preserve">   Public Health:</t>
  </si>
  <si>
    <t xml:space="preserve">             Total Local Assistance Grants            </t>
  </si>
  <si>
    <t xml:space="preserve">   Transfers from Other Funds   </t>
  </si>
  <si>
    <t xml:space="preserve">       Total Other Financing Sources (Uses)       </t>
  </si>
  <si>
    <t xml:space="preserve">  Other Financing Sources over           </t>
  </si>
  <si>
    <t xml:space="preserve">Ending Fund Balance     </t>
  </si>
  <si>
    <t>SPECIAL REVENUE FUNDS - FEDERAL</t>
  </si>
  <si>
    <t xml:space="preserve">             Total Local Assistance Grants   </t>
  </si>
  <si>
    <t xml:space="preserve">      Non-Personal Service</t>
  </si>
  <si>
    <t xml:space="preserve">   Capital Projects</t>
  </si>
  <si>
    <t xml:space="preserve">   Transfers from Other Funds</t>
  </si>
  <si>
    <t xml:space="preserve">   Transfers to Other Funds</t>
  </si>
  <si>
    <t>EXHIBIT H</t>
  </si>
  <si>
    <t>DEBT SERVICE FUNDS</t>
  </si>
  <si>
    <t xml:space="preserve">Beginning Fund Balance        </t>
  </si>
  <si>
    <t xml:space="preserve">        Patient/Client Care Reimbursement   </t>
  </si>
  <si>
    <t xml:space="preserve">   Federal Receipts </t>
  </si>
  <si>
    <t xml:space="preserve">             Total Receipts</t>
  </si>
  <si>
    <t xml:space="preserve">DISBURSEMENTS: </t>
  </si>
  <si>
    <t xml:space="preserve">    Financing Agreements </t>
  </si>
  <si>
    <t xml:space="preserve">             Total Disbursements</t>
  </si>
  <si>
    <t xml:space="preserve">   over Disbursements</t>
  </si>
  <si>
    <t xml:space="preserve">   Transfers to Other Funds            </t>
  </si>
  <si>
    <t xml:space="preserve">             Total Other Financing Sources (Uses)      </t>
  </si>
  <si>
    <t>Excess (Deficiency) of Receipts and</t>
  </si>
  <si>
    <t xml:space="preserve">   Other Financing Sources over</t>
  </si>
  <si>
    <t xml:space="preserve">   Disbursements and Other Financing Uses         </t>
  </si>
  <si>
    <t>EXHIBIT I</t>
  </si>
  <si>
    <t xml:space="preserve">CAPITAL PROJECTS FUNDS - COMBINED  </t>
  </si>
  <si>
    <t xml:space="preserve">(amounts in millions)    </t>
  </si>
  <si>
    <t xml:space="preserve">Beginning Fund Balance              </t>
  </si>
  <si>
    <t xml:space="preserve">RECEIPTS:  </t>
  </si>
  <si>
    <t xml:space="preserve">                  Total Consumption/Use Taxes    </t>
  </si>
  <si>
    <t xml:space="preserve">                  Total Business Taxes     </t>
  </si>
  <si>
    <t xml:space="preserve">                  Total Other Taxes    </t>
  </si>
  <si>
    <t xml:space="preserve">            Bottle Bill</t>
  </si>
  <si>
    <t xml:space="preserve">            Civil</t>
  </si>
  <si>
    <t xml:space="preserve">          Total Receipts   </t>
  </si>
  <si>
    <t xml:space="preserve">          Total Local Assistance Grants  </t>
  </si>
  <si>
    <t xml:space="preserve">   Departmental Operations:  </t>
  </si>
  <si>
    <t xml:space="preserve">      Personal Service  </t>
  </si>
  <si>
    <t xml:space="preserve">      Non-Personal Service   </t>
  </si>
  <si>
    <t xml:space="preserve">   General State Charges   </t>
  </si>
  <si>
    <t xml:space="preserve">          Total Disbursements   </t>
  </si>
  <si>
    <t xml:space="preserve">Excess (Deficiency) of Receipts    </t>
  </si>
  <si>
    <t xml:space="preserve">  over Disbursements   </t>
  </si>
  <si>
    <t xml:space="preserve">OTHER FINANCING SOURCES (USES):  </t>
  </si>
  <si>
    <t xml:space="preserve">   Bond and Note Proceeds (net)   </t>
  </si>
  <si>
    <t xml:space="preserve">   Transfers to Other Funds  </t>
  </si>
  <si>
    <t xml:space="preserve">          Total Other Financing Sources (Uses)   </t>
  </si>
  <si>
    <t xml:space="preserve">Excess (Deficiency) of Receipts and    </t>
  </si>
  <si>
    <t xml:space="preserve">  Other Financing Sources over  </t>
  </si>
  <si>
    <t>.</t>
  </si>
  <si>
    <t>(*)  Intra-Fund transfer eliminations represent transfers from Capital Projects-State and Federal Funds.</t>
  </si>
  <si>
    <t>CAPITAL PROJECTS FUNDS - STATE</t>
  </si>
  <si>
    <t xml:space="preserve">     Consumption/Use Taxes</t>
  </si>
  <si>
    <t xml:space="preserve">     Other Taxes</t>
  </si>
  <si>
    <t xml:space="preserve">          Total Other Financing Sources (Uses)     </t>
  </si>
  <si>
    <t>CAPITAL PROJECTS FUNDS - FEDERAL</t>
  </si>
  <si>
    <t xml:space="preserve">   Capital Projects   </t>
  </si>
  <si>
    <t xml:space="preserve">   Transfers from Other Funds  </t>
  </si>
  <si>
    <t xml:space="preserve">   Transfers to Other Funds    </t>
  </si>
  <si>
    <t xml:space="preserve">          Total Other Financing Sources (Uses)</t>
  </si>
  <si>
    <t>EXHIBIT J</t>
  </si>
  <si>
    <t>ENTERPRISE FUNDS</t>
  </si>
  <si>
    <t xml:space="preserve">   Miscellaneous Receipts</t>
  </si>
  <si>
    <r>
      <t xml:space="preserve">   </t>
    </r>
    <r>
      <rPr>
        <sz val="14"/>
        <color indexed="8"/>
        <rFont val="Arial"/>
        <family val="2"/>
      </rPr>
      <t>Federal Receipts</t>
    </r>
  </si>
  <si>
    <t xml:space="preserve">   Unemployment Taxes</t>
  </si>
  <si>
    <t xml:space="preserve">      Personal Service</t>
  </si>
  <si>
    <t xml:space="preserve">   Unemployment Benefits</t>
  </si>
  <si>
    <t xml:space="preserve">  Other Financing Sources Over</t>
  </si>
  <si>
    <t xml:space="preserve">    EXHIBIT K</t>
  </si>
  <si>
    <t>INTERNAL SERVICE FUNDS</t>
  </si>
  <si>
    <t xml:space="preserve">STATEMENT OF CASH FLOW  </t>
  </si>
  <si>
    <t>EXHIBIT L</t>
  </si>
  <si>
    <t xml:space="preserve">AUGUST </t>
  </si>
  <si>
    <t xml:space="preserve">  Disbursements and Other Financing Uses   </t>
  </si>
  <si>
    <t>EXHIBIT M</t>
  </si>
  <si>
    <t>PRIVATE PURPOSE TRUST FUNDS</t>
  </si>
  <si>
    <t>SCHEDULE 1</t>
  </si>
  <si>
    <t xml:space="preserve">GOVERNMENTAL FUNDS   </t>
  </si>
  <si>
    <t xml:space="preserve">SUMMARY OF CASH RECEIPTS, DISBURSEMENTS AND   </t>
  </si>
  <si>
    <t xml:space="preserve">CHANGES IN FUND BALANCES    </t>
  </si>
  <si>
    <t/>
  </si>
  <si>
    <t>BALANCE</t>
  </si>
  <si>
    <t>OTHER FINANCING</t>
  </si>
  <si>
    <t>RECEIPTS</t>
  </si>
  <si>
    <t>DISBURSEMENTS</t>
  </si>
  <si>
    <t>SOURCES (USES)</t>
  </si>
  <si>
    <t xml:space="preserve">  10000-10049-Local Assistance Account</t>
  </si>
  <si>
    <t xml:space="preserve">  10050-10099-State Operations Account </t>
  </si>
  <si>
    <t xml:space="preserve">  10100-10149-Tax Stabilization Reserve </t>
  </si>
  <si>
    <t xml:space="preserve">  10150-10199-Contingency Reserve </t>
  </si>
  <si>
    <t xml:space="preserve">  10200-10249-Universal Pre-K Reserve</t>
  </si>
  <si>
    <t xml:space="preserve">  10250-10299-Community Projects </t>
  </si>
  <si>
    <t xml:space="preserve">  10300-10349-Rainy Day Reserve Fund</t>
  </si>
  <si>
    <t xml:space="preserve">  10400-10449-Refund Reserve Account</t>
  </si>
  <si>
    <t xml:space="preserve">  10500-10549-Fringe Benefits Escrow </t>
  </si>
  <si>
    <t xml:space="preserve">  10550-10599-Tobacco Revenue Guarantee </t>
  </si>
  <si>
    <t xml:space="preserve">     TOTAL GENERAL FUND </t>
  </si>
  <si>
    <t>SPECIAL REVENUE FUNDS-STATE</t>
  </si>
  <si>
    <t xml:space="preserve">  20000-20099-Mental Health Gifts and Donations</t>
  </si>
  <si>
    <t xml:space="preserve">  20100-20299-Combined Expendable Trust</t>
  </si>
  <si>
    <t xml:space="preserve">  20300-20349-New York Interest on Lawyer Account </t>
  </si>
  <si>
    <t xml:space="preserve">  20350-20399-NYS Archives Partnership Trust </t>
  </si>
  <si>
    <t xml:space="preserve">  20400-20449-Child Performer's Protection </t>
  </si>
  <si>
    <t xml:space="preserve">  20450-20499-Tuition Reimbursement </t>
  </si>
  <si>
    <t xml:space="preserve">  20500-20549-New York State Local Government Records</t>
  </si>
  <si>
    <t xml:space="preserve">                         Management Improvement</t>
  </si>
  <si>
    <t xml:space="preserve">  20550-20599-School Tax Relief </t>
  </si>
  <si>
    <t xml:space="preserve">  20600-20649-Charter Schools Stimulus </t>
  </si>
  <si>
    <t xml:space="preserve">   20650-20699-Not-For-Profit Short Term Revolving Loan </t>
  </si>
  <si>
    <t xml:space="preserve">  20800-20849-HCRA Resources</t>
  </si>
  <si>
    <t xml:space="preserve">  20850-20899-Dedicated Mass Transportation Trust </t>
  </si>
  <si>
    <t xml:space="preserve">  20900-20949-State Lottery</t>
  </si>
  <si>
    <t xml:space="preserve">  20950-20999-Combined Student Loan </t>
  </si>
  <si>
    <t xml:space="preserve">  21000-21049-Sewage Treatment Program Mgmt. &amp; Administration</t>
  </si>
  <si>
    <t xml:space="preserve">  21050-21149-Encon Special Revenue</t>
  </si>
  <si>
    <t xml:space="preserve">  21150-21199-Conservation </t>
  </si>
  <si>
    <t xml:space="preserve">  21200-21249-Environmental Protection and Oil Spill Compensation </t>
  </si>
  <si>
    <t xml:space="preserve">  21250-21299-Training and Education Program on OSHA </t>
  </si>
  <si>
    <t xml:space="preserve">  21300-21349-Lawyers' Fund for Client Protection</t>
  </si>
  <si>
    <t xml:space="preserve">  21350-21399-Equipment Loan for the Disabled</t>
  </si>
  <si>
    <t xml:space="preserve">  21400-21449-Mass Transportation Operating Assistance </t>
  </si>
  <si>
    <t xml:space="preserve">  21450-21499-Clean Air</t>
  </si>
  <si>
    <t xml:space="preserve">  21500-21549-New York State Infrastructure Trust </t>
  </si>
  <si>
    <t xml:space="preserve">  21550-21599-Legislative Computer Services </t>
  </si>
  <si>
    <t xml:space="preserve">  21600-21649-Biodiversity Stewardship and Research </t>
  </si>
  <si>
    <t xml:space="preserve">  21650-21699-Combined Non-Expendable Trust</t>
  </si>
  <si>
    <t xml:space="preserve">  21700-21749-Winter Sports Education Trust</t>
  </si>
  <si>
    <t xml:space="preserve">  21750-21799-Musical Instrument Revolving</t>
  </si>
  <si>
    <t xml:space="preserve">  21850-21899-Arts Capital Grants</t>
  </si>
  <si>
    <t xml:space="preserve">  21900-22499-Miscellaneous State Special Revenue</t>
  </si>
  <si>
    <t xml:space="preserve">  22500-22549-Court Facilities Incentive Aid </t>
  </si>
  <si>
    <t>SPECIAL REVENUE FUNDS-STATE (CONTINUED)</t>
  </si>
  <si>
    <t xml:space="preserve">  22550-22599-Employment Training </t>
  </si>
  <si>
    <t xml:space="preserve">  22650-22699-State University Income </t>
  </si>
  <si>
    <t xml:space="preserve">  22700-22749-Chemical Dependence Service </t>
  </si>
  <si>
    <t xml:space="preserve">  22750-22799-Lake George Park Trust</t>
  </si>
  <si>
    <t xml:space="preserve">  22800-22849-State Police Motor Vehicle Law Enforcement and</t>
  </si>
  <si>
    <t xml:space="preserve">                         Motor Vehicle Theft and Insurance Fraud Prevention</t>
  </si>
  <si>
    <t xml:space="preserve">  22850-22899-New York Great Lakes Protection </t>
  </si>
  <si>
    <t xml:space="preserve">  22900-22949-Federal Revenue Maximization</t>
  </si>
  <si>
    <t xml:space="preserve">  22950-22999-Housing Development</t>
  </si>
  <si>
    <t xml:space="preserve">  23000-23049-NYS/DOT Highway Safety Program </t>
  </si>
  <si>
    <t xml:space="preserve">  23050-23099-Vocational Rehabilitation </t>
  </si>
  <si>
    <t xml:space="preserve">  23100-23149-Drinking Water Program Management and </t>
  </si>
  <si>
    <t xml:space="preserve">                         Administration</t>
  </si>
  <si>
    <t xml:space="preserve">  23150-23199-NYC County Clerks' Operations Offset </t>
  </si>
  <si>
    <t xml:space="preserve">  23200-23249-Judiciary Data Processing Offset</t>
  </si>
  <si>
    <t xml:space="preserve">  23500-23549-USOC Lake Placid Training </t>
  </si>
  <si>
    <t xml:space="preserve">  23550-23599-Indigent Legal Services    </t>
  </si>
  <si>
    <t xml:space="preserve">  23600-23649-Unemployment Insurance Interest and Penalty </t>
  </si>
  <si>
    <t xml:space="preserve">  23650-23699-MTA Financial Assistance Fund </t>
  </si>
  <si>
    <t xml:space="preserve">  23700-23749-New York State Commercial Gaming Fund</t>
  </si>
  <si>
    <t xml:space="preserve">  23750-23799-Medical Cannabis Trust Fund</t>
  </si>
  <si>
    <t xml:space="preserve">  23800-23899-Dedicated Miscellaneous State Special Revenue</t>
  </si>
  <si>
    <t xml:space="preserve">  24800-24849-NYS Cannabis Revenue</t>
  </si>
  <si>
    <t xml:space="preserve">  24850-24899-Health Care Transformation</t>
  </si>
  <si>
    <t xml:space="preserve">  24900-24949-Charitable Gifts Trust Fund</t>
  </si>
  <si>
    <t xml:space="preserve">  24950-24954-Interactive Fantasy Sports</t>
  </si>
  <si>
    <t xml:space="preserve">  24955-24959-Mobile Sports Wagering</t>
  </si>
  <si>
    <t xml:space="preserve">  40350-40399-State University Dormitory Income </t>
  </si>
  <si>
    <t>TOTAL SPECIAL REVENUE FUNDS-STATE</t>
  </si>
  <si>
    <t>SPECIAL REVENUE FUNDS-FEDERAL</t>
  </si>
  <si>
    <t xml:space="preserve">  25000-25099-Federal USDA/Food and Consumer Services </t>
  </si>
  <si>
    <t xml:space="preserve">  25100-25199-Federal Health and Human Services </t>
  </si>
  <si>
    <t xml:space="preserve">  25200-25249-Federal Education </t>
  </si>
  <si>
    <t xml:space="preserve">  25300-25899, 25951-Federal Miscellaneous Operating Grants</t>
  </si>
  <si>
    <t xml:space="preserve">  25900-25949-Unemployment Insurance Administration </t>
  </si>
  <si>
    <t xml:space="preserve">  25950, 25952-25999-Unemployment Insurance Occupational Training </t>
  </si>
  <si>
    <t xml:space="preserve">  26000-26049-Federal Employment and Training Grants </t>
  </si>
  <si>
    <t xml:space="preserve">  TOTAL SPECIAL REVENUE FUNDS-FEDERAL</t>
  </si>
  <si>
    <t xml:space="preserve">   TOTAL SPECIAL REVENUE FUNDS</t>
  </si>
  <si>
    <t xml:space="preserve">  40000-40049-Debt Reduction Reserve </t>
  </si>
  <si>
    <t xml:space="preserve">  40100-40149-Mental Health Services </t>
  </si>
  <si>
    <t xml:space="preserve">  40150-40199-General Debt Service </t>
  </si>
  <si>
    <t xml:space="preserve">  40250-40299-State Housing Debt Service</t>
  </si>
  <si>
    <t xml:space="preserve">  40300-40349-Department of Health Income </t>
  </si>
  <si>
    <t xml:space="preserve">  40400-40449-Clean Water/Clean Air</t>
  </si>
  <si>
    <t xml:space="preserve">  40450-40499-Local Government Assistance Tax</t>
  </si>
  <si>
    <t xml:space="preserve">     TOTAL DEBT SERVICE FUNDS   </t>
  </si>
  <si>
    <t>CAPITAL PROJECTS FUNDS</t>
  </si>
  <si>
    <t xml:space="preserve">  30000-30049-State Capital Projects </t>
  </si>
  <si>
    <t xml:space="preserve">  30050-30099-Dedicated Highway and Bridge Trust </t>
  </si>
  <si>
    <t xml:space="preserve">  30100-30299-SUNY Residence Halls Rehabilitation and Repair </t>
  </si>
  <si>
    <t xml:space="preserve">  30300-30349-New York State Canal System Development</t>
  </si>
  <si>
    <t xml:space="preserve">  30350-30399-Parks Infrastructure </t>
  </si>
  <si>
    <t xml:space="preserve">  30400-30449-Passenger Facility Charge </t>
  </si>
  <si>
    <t xml:space="preserve">  30450-30499-Environmental Protection </t>
  </si>
  <si>
    <t xml:space="preserve">  30500-30549-Clean Water/Clean Air Implementation</t>
  </si>
  <si>
    <t xml:space="preserve">  30600-30609-Energy Conservation Thru Improved Transportation Bond</t>
  </si>
  <si>
    <t xml:space="preserve">  30610-30619-Park and Recreation Land Acquisition Bond</t>
  </si>
  <si>
    <t xml:space="preserve">  30620-30629-Pure Waters Bond</t>
  </si>
  <si>
    <t xml:space="preserve">  30630-30639-Transportation Capital Facilities Bond</t>
  </si>
  <si>
    <t xml:space="preserve">  30640-30649-Environmental Quality Protection Bond</t>
  </si>
  <si>
    <t xml:space="preserve">  30650-30659-Rebuild and Renew New York Transportation Bond</t>
  </si>
  <si>
    <t xml:space="preserve">  30660-30669-Transportation Infrastructure Renewal Bond</t>
  </si>
  <si>
    <t xml:space="preserve">  30670-30679-1986 Environmental Quality Bond Act</t>
  </si>
  <si>
    <t xml:space="preserve">  30680-30689-Accelerated Capacity and Transportation</t>
  </si>
  <si>
    <t xml:space="preserve">                         Improvement Bond</t>
  </si>
  <si>
    <t xml:space="preserve">  30690-30699-Clean Water/Clean Air Bond</t>
  </si>
  <si>
    <t xml:space="preserve">  30700-30709-State Housing Bond</t>
  </si>
  <si>
    <t xml:space="preserve">  30710-30719-Smart Schools Bond</t>
  </si>
  <si>
    <t xml:space="preserve">  30720-30729-Clean Water, Clean Air, and Green Jobs Bond</t>
  </si>
  <si>
    <t xml:space="preserve">  30750-30799-Outdoor Recreation Development Bond</t>
  </si>
  <si>
    <t xml:space="preserve">  30900-30949-Rail Preservation and Development Bond</t>
  </si>
  <si>
    <t xml:space="preserve">  31350-31449-Federal Capital Projects </t>
  </si>
  <si>
    <t xml:space="preserve">  31450-31499-Forest Preserve Expansion </t>
  </si>
  <si>
    <t xml:space="preserve">  31500-31549-Hazardous Waste Remedial</t>
  </si>
  <si>
    <t xml:space="preserve">  31650-31699-Suburban Transportation </t>
  </si>
  <si>
    <t xml:space="preserve">  31700-31749-Division for Youth Facilities Improvement</t>
  </si>
  <si>
    <t xml:space="preserve">  31800-31849-Housing Assistance</t>
  </si>
  <si>
    <t xml:space="preserve">  31850-31899-Housing Program</t>
  </si>
  <si>
    <t xml:space="preserve">  31900-31949-Natural Resource Damage</t>
  </si>
  <si>
    <t xml:space="preserve">  31950-31999-DOT Engineering Services</t>
  </si>
  <si>
    <t xml:space="preserve">  32200-32249-Miscellaneous Capital Projects</t>
  </si>
  <si>
    <t xml:space="preserve">  32250-32299-CUNY Capital Projects</t>
  </si>
  <si>
    <t xml:space="preserve">  32300-32349-Mental Hygiene Facilities Capital Improvement</t>
  </si>
  <si>
    <t xml:space="preserve">  32350-32399-Correction Facilities Capital Improvement</t>
  </si>
  <si>
    <t xml:space="preserve">  32400-32999-State University Capital Projects</t>
  </si>
  <si>
    <t xml:space="preserve">  33000-33049-NYS Storm Recovery Fund</t>
  </si>
  <si>
    <t xml:space="preserve">  33050-33099 Dedicated Infrastructure Investment Fund</t>
  </si>
  <si>
    <t xml:space="preserve">     TOTAL CAPITAL PROJECTS FUNDS </t>
  </si>
  <si>
    <t xml:space="preserve">     TOTAL GOVERNMENTAL FUNDS       </t>
  </si>
  <si>
    <t>SCHEDULE 2</t>
  </si>
  <si>
    <t>SUMMARY OF CASH RECEIPTS, DISBURSEMENTS AND</t>
  </si>
  <si>
    <t xml:space="preserve">CHANGES IN FUND BALANCES  </t>
  </si>
  <si>
    <t>OTHER</t>
  </si>
  <si>
    <t>FINANCING</t>
  </si>
  <si>
    <t>FUND TYPE</t>
  </si>
  <si>
    <t xml:space="preserve"> 23250-23449-CUNY Senior College Program</t>
  </si>
  <si>
    <t xml:space="preserve">  50000-50049-Youth Commissary </t>
  </si>
  <si>
    <t xml:space="preserve">  50050-50099-State Exposition Special </t>
  </si>
  <si>
    <t xml:space="preserve">  50100-50299-Correctional Services Commissary </t>
  </si>
  <si>
    <t xml:space="preserve">  50300-50399-Agencies Enterprise </t>
  </si>
  <si>
    <t xml:space="preserve">  50400-50449-Sheltered Workshop </t>
  </si>
  <si>
    <t xml:space="preserve">  50450-50499-Patient Workshop </t>
  </si>
  <si>
    <t xml:space="preserve">  50500-50599-Mental Hygiene Community Stores </t>
  </si>
  <si>
    <t xml:space="preserve">  50650-50699-Unemployment Insurance</t>
  </si>
  <si>
    <t xml:space="preserve">  60850-60899-CUNY Senior College Operating </t>
  </si>
  <si>
    <t xml:space="preserve">     TOTAL ENTERPRISE FUNDS</t>
  </si>
  <si>
    <t xml:space="preserve">  55000-55049-Centralized Services</t>
  </si>
  <si>
    <t xml:space="preserve">  55050-55099-Agency Internal Service </t>
  </si>
  <si>
    <t xml:space="preserve">  55100-55149-Mental Hygiene Revolving </t>
  </si>
  <si>
    <t xml:space="preserve">  55150-55199-Youth Vocational Education </t>
  </si>
  <si>
    <t xml:space="preserve">  55200-55249-Joint Labor and Management Administration </t>
  </si>
  <si>
    <t xml:space="preserve">  55250-55299-Audit and Control Revolving </t>
  </si>
  <si>
    <t xml:space="preserve">  55300-55349-Health Insurance Revolving </t>
  </si>
  <si>
    <t xml:space="preserve">  55350-55399-Correctional Industries Revolving </t>
  </si>
  <si>
    <t xml:space="preserve">     TOTAL INTERNAL SERVICE FUNDS</t>
  </si>
  <si>
    <t>SCHEDULE 3</t>
  </si>
  <si>
    <t>FIDUCIARY FUNDS</t>
  </si>
  <si>
    <t xml:space="preserve">SUMMARY OF CASH RECEIPTS, DISBURSEMENTS AND </t>
  </si>
  <si>
    <t xml:space="preserve">  65000-65049-Common Retirement Administration</t>
  </si>
  <si>
    <t xml:space="preserve">  65050-65099-Retiree Health Benefit Trust</t>
  </si>
  <si>
    <t xml:space="preserve">    TOTAL TRUST FUNDS</t>
  </si>
  <si>
    <t xml:space="preserve">  22022-College Savings Account</t>
  </si>
  <si>
    <t xml:space="preserve">  66000-66049-Agriculture Producers' Security</t>
  </si>
  <si>
    <t xml:space="preserve">  66050-66099-Milk Producers' Security</t>
  </si>
  <si>
    <t xml:space="preserve">     TOTAL PRIVATE PURPOSE TRUST FUNDS       </t>
  </si>
  <si>
    <t>AGENCY FUNDS</t>
  </si>
  <si>
    <t xml:space="preserve">  60050-60149-School Capital Facilities Financing Reserve   </t>
  </si>
  <si>
    <t xml:space="preserve">  60150-60199-Child Performer's Holding</t>
  </si>
  <si>
    <t xml:space="preserve">  60200-60249-Employees Health Insurance </t>
  </si>
  <si>
    <t xml:space="preserve">  60250-60299-Social Security Contribution </t>
  </si>
  <si>
    <t xml:space="preserve">  60300-60399-Employee Payroll Withholding</t>
  </si>
  <si>
    <t xml:space="preserve">  60400-60449-Employees Dental Insurance </t>
  </si>
  <si>
    <t xml:space="preserve">  60450-60499-Management Confidential Group Insurance </t>
  </si>
  <si>
    <t xml:space="preserve">  60500-60549-Lottery Prize </t>
  </si>
  <si>
    <t xml:space="preserve">  60550-60599-Health Insurance Reserve Receipts </t>
  </si>
  <si>
    <t xml:space="preserve">  60600-60799-Miscellaneous New York State Agency </t>
  </si>
  <si>
    <t xml:space="preserve">  60800-60849-Elderly Pharmaceutical Insurance Coverage (EPIC) Escrow     </t>
  </si>
  <si>
    <t xml:space="preserve">  60900-60949-Medicaid Management Information System (MMIS) Escrow       </t>
  </si>
  <si>
    <t xml:space="preserve">  60950-60999-Special Education</t>
  </si>
  <si>
    <t xml:space="preserve">  61000-61099-State University of New York Revenue Collection</t>
  </si>
  <si>
    <t xml:space="preserve">  61100-61999-State University Federal Direct Lending Program   </t>
  </si>
  <si>
    <t xml:space="preserve">  62000-62049-SSI SSP Payment Escrow</t>
  </si>
  <si>
    <t xml:space="preserve">     TOTAL AGENCY FUNDS   </t>
  </si>
  <si>
    <t xml:space="preserve">TOTAL FIDUCIARY FUNDS    </t>
  </si>
  <si>
    <t xml:space="preserve">   SCHEDULE 4</t>
  </si>
  <si>
    <t>SOLE CUSTODY AND INVESTMENT ACCOUNTS</t>
  </si>
  <si>
    <t xml:space="preserve">STATEMENT OF CASH RECEIPTS AND DISBURSEMENTS </t>
  </si>
  <si>
    <t>ACCOUNTS</t>
  </si>
  <si>
    <t xml:space="preserve">  70000-70049-Tobacco Settlement</t>
  </si>
  <si>
    <t xml:space="preserve">  70093, 70095, 70300-70301-MTA State Assistance   </t>
  </si>
  <si>
    <t xml:space="preserve">  70050-70149-Sole Custody Investment (*)  </t>
  </si>
  <si>
    <t xml:space="preserve">  70200-Comptroller's Refund Account  </t>
  </si>
  <si>
    <t>TOTAL ACCOUNTS</t>
  </si>
  <si>
    <t>(*) Includes Public Asset Fund resources:</t>
  </si>
  <si>
    <t xml:space="preserve">Chapter 1 of the Laws of 2002 authorized the conversion of Empire Health Choice, d/b/a Empire Blue Cross and Blue Shield from a not-for-profit corporation to a for-profit corporation. Chapter 1 requires, in part, that upon such conversion, assets representing 95 percent of the fair market value of the not-for-profit corporation be transferred to a fund designated as the "Public Asset Fund" and 5 percent transferred to a Charitable Foundation - as set forth in Section 7317 of the Insurance Law. On December 28, 2005, WellChoice, Inc. (previously known as Empire Blue Cross, Blue Shield) approved a takeover by WellPoint, Inc. This conversion was also subject to the same Chapter 1 requirements of assigning assets representing 95 percent of the fair market value of the not-for-profit corporation be transferred to the "Public Asset Fund".  </t>
  </si>
  <si>
    <t>SCHEDULE 5</t>
  </si>
  <si>
    <t>STATEMENT OF DIRECT STATE DEBT ACTIVITY</t>
  </si>
  <si>
    <t xml:space="preserve">DEBT MATURED </t>
  </si>
  <si>
    <t xml:space="preserve">    INTEREST DISBURSED </t>
  </si>
  <si>
    <t>DEBT</t>
  </si>
  <si>
    <t>OUTSTANDING</t>
  </si>
  <si>
    <t xml:space="preserve"> MONTH OF </t>
  </si>
  <si>
    <t>PURPOSE</t>
  </si>
  <si>
    <t>APRIL 1, 2023</t>
  </si>
  <si>
    <t>GENERAL OBLIGATION BONDED DEBT:</t>
  </si>
  <si>
    <t xml:space="preserve">  Accelerated Capacity and Transportation Improvements </t>
  </si>
  <si>
    <t xml:space="preserve">  Clean Water/Clean Air:</t>
  </si>
  <si>
    <t xml:space="preserve">           Air Quality </t>
  </si>
  <si>
    <t xml:space="preserve">           Safe Drinking Water</t>
  </si>
  <si>
    <t xml:space="preserve">           Clean Water </t>
  </si>
  <si>
    <t xml:space="preserve">           Solid Waste </t>
  </si>
  <si>
    <t xml:space="preserve">           Environmental Restoration </t>
  </si>
  <si>
    <t xml:space="preserve">  Clean Water/Clean Air and Green Jobs:</t>
  </si>
  <si>
    <t xml:space="preserve">           Flood Restoration and Risk Reduction </t>
  </si>
  <si>
    <t xml:space="preserve">           Open Space Land Conservation and Recreation</t>
  </si>
  <si>
    <t xml:space="preserve">           Climate Change Mitigation </t>
  </si>
  <si>
    <t xml:space="preserve">           Water Quality Improvement and Resilient Infrastructure </t>
  </si>
  <si>
    <t xml:space="preserve">           NY Natural Resources </t>
  </si>
  <si>
    <t xml:space="preserve">  Energy Conservation Through Improved Transportation:</t>
  </si>
  <si>
    <t xml:space="preserve">           Rapid Transit and Rail Freight     </t>
  </si>
  <si>
    <t xml:space="preserve">  Environmental Quality (1972):</t>
  </si>
  <si>
    <t xml:space="preserve">           Air</t>
  </si>
  <si>
    <t xml:space="preserve">           Land and Wetlands </t>
  </si>
  <si>
    <t xml:space="preserve">           Water</t>
  </si>
  <si>
    <t xml:space="preserve">  Environmental Quality (1986):</t>
  </si>
  <si>
    <t xml:space="preserve">           Land Acquisition/Development/Restoration/Forests</t>
  </si>
  <si>
    <t xml:space="preserve">           Solid Waste Management</t>
  </si>
  <si>
    <t xml:space="preserve">  Housing:</t>
  </si>
  <si>
    <t xml:space="preserve">           Low Income</t>
  </si>
  <si>
    <t xml:space="preserve">           Middle Income </t>
  </si>
  <si>
    <t xml:space="preserve">  Park and Recreation Land Acquisition </t>
  </si>
  <si>
    <t xml:space="preserve">  Pure Waters</t>
  </si>
  <si>
    <t xml:space="preserve">  Rail Preservation Development</t>
  </si>
  <si>
    <t xml:space="preserve">  Rebuild and Renew New York Transportation:</t>
  </si>
  <si>
    <t xml:space="preserve">           Highway Facilities</t>
  </si>
  <si>
    <t xml:space="preserve">           Canals and Waterways</t>
  </si>
  <si>
    <t xml:space="preserve">           Aviation</t>
  </si>
  <si>
    <t xml:space="preserve">           Rail and Port</t>
  </si>
  <si>
    <t xml:space="preserve">           Mass Transit - Dept. of Transportation</t>
  </si>
  <si>
    <t xml:space="preserve">           Mass Transit - Metropolitan Transportation Authority</t>
  </si>
  <si>
    <t xml:space="preserve">  Rebuild New York-Transportation Infrastructure Renewal:</t>
  </si>
  <si>
    <t xml:space="preserve">           Highways, Parkways, and Bridges </t>
  </si>
  <si>
    <t xml:space="preserve">           Rapid Transit, Rail and Aviation</t>
  </si>
  <si>
    <t xml:space="preserve">  Smart Schools Bond Act</t>
  </si>
  <si>
    <t xml:space="preserve">  Transportation Capital Facilities:</t>
  </si>
  <si>
    <t xml:space="preserve">           Mass Transportation</t>
  </si>
  <si>
    <t xml:space="preserve">            Total General Obligation Bonded Debt</t>
  </si>
  <si>
    <t>SCHEDULE 5a</t>
  </si>
  <si>
    <t xml:space="preserve">DEBT SERVICE FUNDS </t>
  </si>
  <si>
    <t>FINANCING AGREEMENTS</t>
  </si>
  <si>
    <t>GENERAL</t>
  </si>
  <si>
    <t>DEPARTMENT</t>
  </si>
  <si>
    <t>REVENUE</t>
  </si>
  <si>
    <t>SALES TAX</t>
  </si>
  <si>
    <t>REDUCTION</t>
  </si>
  <si>
    <t>OF HEALTH</t>
  </si>
  <si>
    <t>BOND</t>
  </si>
  <si>
    <t>REVENUE BOND</t>
  </si>
  <si>
    <t>COMBINED TOTALS</t>
  </si>
  <si>
    <t>RESERVE</t>
  </si>
  <si>
    <t>SERVICE</t>
  </si>
  <si>
    <t>INCOME</t>
  </si>
  <si>
    <t xml:space="preserve">TAX </t>
  </si>
  <si>
    <t>TAX</t>
  </si>
  <si>
    <t>$ INCREASE/</t>
  </si>
  <si>
    <t xml:space="preserve">Special Contractual Financing Obligations: </t>
  </si>
  <si>
    <t>(40000-40049)</t>
  </si>
  <si>
    <t>(40151)</t>
  </si>
  <si>
    <t>(40300-40349)</t>
  </si>
  <si>
    <t>(40152)</t>
  </si>
  <si>
    <t>(40154)</t>
  </si>
  <si>
    <t>(DECREASE)</t>
  </si>
  <si>
    <t>Payments to Public Authorities:</t>
  </si>
  <si>
    <t xml:space="preserve">     City University Construction </t>
  </si>
  <si>
    <t xml:space="preserve">     Dormitory Authority: </t>
  </si>
  <si>
    <t xml:space="preserve">         Consolidated Service Contract Refunding</t>
  </si>
  <si>
    <t xml:space="preserve">         DASNY Revenue Bond</t>
  </si>
  <si>
    <t xml:space="preserve">         Department of Health Facilities</t>
  </si>
  <si>
    <t xml:space="preserve">         Secured Hospital Program</t>
  </si>
  <si>
    <t xml:space="preserve">         SUNY Community Colleges</t>
  </si>
  <si>
    <t xml:space="preserve">         SUNY Educational Facilities</t>
  </si>
  <si>
    <t xml:space="preserve">     Thruway Authority:</t>
  </si>
  <si>
    <t xml:space="preserve">         Dedicated Highway and Bridge </t>
  </si>
  <si>
    <t xml:space="preserve">         Transportation </t>
  </si>
  <si>
    <t xml:space="preserve">     Urban Development Corporation:</t>
  </si>
  <si>
    <t xml:space="preserve">         Debt Reduction Reserve</t>
  </si>
  <si>
    <t xml:space="preserve">         UDC Revenue Bond</t>
  </si>
  <si>
    <t>Total Disbursements for Special Contractual</t>
  </si>
  <si>
    <t xml:space="preserve">       Financing Obligations </t>
  </si>
  <si>
    <t>SCHEDULE 6</t>
  </si>
  <si>
    <t xml:space="preserve">SUMMARY OF THE OPERATING FUND INVESTMENTS                                                                    </t>
  </si>
  <si>
    <t>AS REQUIRED OF THE STATE COMPTROLLER</t>
  </si>
  <si>
    <t>FISCAL YEAR</t>
  </si>
  <si>
    <t xml:space="preserve">PRIOR FISCAL </t>
  </si>
  <si>
    <t>TO DATE</t>
  </si>
  <si>
    <t>YEAR TO DATE</t>
  </si>
  <si>
    <t>SHORT TERM INVESTMENT POOL (*)</t>
  </si>
  <si>
    <t>AVERAGE DAILY INVESTMENT BALANCE (**)</t>
  </si>
  <si>
    <t>AVERAGE YIELD (**)</t>
  </si>
  <si>
    <t>TOTAL INVESTMENT EARNINGS</t>
  </si>
  <si>
    <t>Month-End Portfolio Balances</t>
  </si>
  <si>
    <t>DESCRIPTION</t>
  </si>
  <si>
    <t>PAR  AMOUNT</t>
  </si>
  <si>
    <t>GOVT. AGENCY BILLS/NOTES</t>
  </si>
  <si>
    <t>REPURCHASE AGREEMENTS</t>
  </si>
  <si>
    <t>GOVT. SPONSORED AGENCIES</t>
  </si>
  <si>
    <t>COMMERCIAL PAPER</t>
  </si>
  <si>
    <t>CERTIFICATES OF DEPOSIT/SAVINGS</t>
  </si>
  <si>
    <t>0% COMPENSATING BALANCE CDs</t>
  </si>
  <si>
    <t>(*) Pursuant to §98 of the State Finance Law, the State Comptroller is authorized to invest and keep invested all moneys, in any fund, held by the State.  The Short Term investment Pool (STIP) represents an accounting mechanism that allows for the separate accounting of individual funds (on deposit in the State's General Checking account) for the purpose of making short term investments.  Pursuant to State Finance Law §4(5) the STIP is authorized to temporarily loan to the General Fund-State Operations Account (10050) funds for a period not to exceed the end of the fiscal year.  However, it must be noted that certain funds are invested as part of STIP, but are held by the State Comptroller in a fiduciary capacity.  Fiduciary fund balances are restricted and may not be used for any State purposes since moneys in such funds are held by the State in a trustee (or fiduciary) capacity or as an agent for individuals, private organizations, or non-State governmental units (e.g. local governments and public authorities). Therefore, Fiduciary fund balances are not available to be temporarily loaned to the General Fund-State Operations Account. Fiduciary fund balances are presented in Schedules 3 and 4 of this report.</t>
  </si>
  <si>
    <t>(**) Does not include 0% Compensating Balance CDs.</t>
  </si>
  <si>
    <t>APPENDIX A</t>
  </si>
  <si>
    <t xml:space="preserve">HCRA RESOURCES FUND </t>
  </si>
  <si>
    <t xml:space="preserve">STATEMENT OF RECEIPTS AND DISBURSEMENTS BY ACCOUNT       </t>
  </si>
  <si>
    <t>OPENING CASH BALANCE</t>
  </si>
  <si>
    <t xml:space="preserve">   Cigarette Tax </t>
  </si>
  <si>
    <t xml:space="preserve">   State Share of NYC Cigarette Tax   </t>
  </si>
  <si>
    <t xml:space="preserve">   Vapor Excise Tax</t>
  </si>
  <si>
    <t xml:space="preserve">   STIP Interest</t>
  </si>
  <si>
    <t xml:space="preserve">   Assessments </t>
  </si>
  <si>
    <t xml:space="preserve">   Fees</t>
  </si>
  <si>
    <t xml:space="preserve">   Rebates</t>
  </si>
  <si>
    <t xml:space="preserve">   Restitution and Settlements</t>
  </si>
  <si>
    <t xml:space="preserve">   Administrative Recoveries</t>
  </si>
  <si>
    <t xml:space="preserve">   Miscellaneous</t>
  </si>
  <si>
    <t xml:space="preserve">   Grants </t>
  </si>
  <si>
    <t xml:space="preserve">   Interest - Late Payments</t>
  </si>
  <si>
    <t xml:space="preserve">   Personal Service</t>
  </si>
  <si>
    <t xml:space="preserve">   Non-Personal Service</t>
  </si>
  <si>
    <t xml:space="preserve">   Employee Benefits/Indirect Costs</t>
  </si>
  <si>
    <t>OPERATING TRANSFERS:</t>
  </si>
  <si>
    <t xml:space="preserve">   Transfers to Capital Projects Fund</t>
  </si>
  <si>
    <t xml:space="preserve">   Transfers to General Fund</t>
  </si>
  <si>
    <t xml:space="preserve">   Transfers to Miscellaneous Special Revenue Fund:    </t>
  </si>
  <si>
    <t xml:space="preserve">      Administration Program Account</t>
  </si>
  <si>
    <t xml:space="preserve">      Empire State Stem Cell Trust Account</t>
  </si>
  <si>
    <t xml:space="preserve">   Transfers to SUNY Income Fund</t>
  </si>
  <si>
    <t xml:space="preserve">          Total Operating Transfers</t>
  </si>
  <si>
    <t xml:space="preserve">          Total Disbursements and Transfers</t>
  </si>
  <si>
    <t xml:space="preserve">CLOSING CASH BALANCE             </t>
  </si>
  <si>
    <t xml:space="preserve">STATE OF NEW YORK </t>
  </si>
  <si>
    <t>APPENDIX B</t>
  </si>
  <si>
    <t>HCRA RESOURCES FUND</t>
  </si>
  <si>
    <t xml:space="preserve">STATEMENT OF PROGRAM DISBURSEMENTS </t>
  </si>
  <si>
    <t>Program/Purpose</t>
  </si>
  <si>
    <t>Appropriation Amount (*)</t>
  </si>
  <si>
    <t xml:space="preserve">CENTER FOR COMMUNITY HEALTH PROGRAM          </t>
  </si>
  <si>
    <t>CENTER FOR COMMUNITY HLTH</t>
  </si>
  <si>
    <t xml:space="preserve">CHILD HEALTH INSURANCE PROGRAM         </t>
  </si>
  <si>
    <t xml:space="preserve">CHILD HEALTH INSURANCE        </t>
  </si>
  <si>
    <t>ELDERLY PHARMACEUTICAL INS COVERAGE PRG</t>
  </si>
  <si>
    <t>ELDERLY PHARMACEUTICAL INSURANCE COVERAGE</t>
  </si>
  <si>
    <t xml:space="preserve">HEALTH CARE REFORM ACT PROGRAM         </t>
  </si>
  <si>
    <t>AIDS DRUG ASSISTANCE</t>
  </si>
  <si>
    <t xml:space="preserve">AMBULATORY CARE TRAINING </t>
  </si>
  <si>
    <t>AREA HEALTH EDUCATION CENTER</t>
  </si>
  <si>
    <t>COMMISSIONER EMERGENCY DISTRIBUTIONS</t>
  </si>
  <si>
    <t>DIAGNOSTIC AND TREATMENT CTR UNCOMPENSATED CARE</t>
  </si>
  <si>
    <t xml:space="preserve">DIVERSITY IN MEDICINE </t>
  </si>
  <si>
    <t>EMPIRE CLINIC RESEARCH INVESTMENT (ECRIP)</t>
  </si>
  <si>
    <t>HCRA PAYOR / PROVIDER AUDITS</t>
  </si>
  <si>
    <t>HEALTH FACILITY RESTRUCTURING DASNY</t>
  </si>
  <si>
    <t>HEALTH WORKFORCE RETRAINING</t>
  </si>
  <si>
    <t>INFERTILITY SERVICES GRANTS</t>
  </si>
  <si>
    <t xml:space="preserve">MEDICAL INDEMNITY FUND       </t>
  </si>
  <si>
    <t>NURSE LOAN REPAYMENT</t>
  </si>
  <si>
    <t>NYS WORKFORCE INNOVATION CTR</t>
  </si>
  <si>
    <t>PART 405.4 HOSPITAL AUDITS NYCRR</t>
  </si>
  <si>
    <t xml:space="preserve">PHYSICIAN EXCESS MEDICAL MALPRACTICE            </t>
  </si>
  <si>
    <t>PHYSICIAN LOAN REPAYMENT</t>
  </si>
  <si>
    <t>PHYSICIAN WORKFORCE STUDIES</t>
  </si>
  <si>
    <t>POISON CONTROL CENTERS</t>
  </si>
  <si>
    <t>POOL ADMINISTRATION</t>
  </si>
  <si>
    <t>ROSWELL PARK CANCER INSTITUTE</t>
  </si>
  <si>
    <t>ROSWELL PARK COMPREHENSIVE CANCER CENTER</t>
  </si>
  <si>
    <t>RURAL HEALTH CARE ACCESS</t>
  </si>
  <si>
    <t>RURAL HEALTH CARE ACCESS &amp; NETWORK DEVELOPMENT</t>
  </si>
  <si>
    <t>RURAL HEALTH CARE GRANTS</t>
  </si>
  <si>
    <t>RURAL HEALTH NETWORK</t>
  </si>
  <si>
    <t>SCHOOL BASED HEALTH CENTERS</t>
  </si>
  <si>
    <t>SCHOOL BASED HEALTH CLINICS-POOL ADMN</t>
  </si>
  <si>
    <t>TRANSITION ACCT - PRIOR YEAR ALLOCATION</t>
  </si>
  <si>
    <t xml:space="preserve">MEDICAL ASSISTANCE PROGRAM             </t>
  </si>
  <si>
    <t>HOME HEALTH RATE INCREASE</t>
  </si>
  <si>
    <t>MEDICAID INDIGENT CARE</t>
  </si>
  <si>
    <t xml:space="preserve">MEDICAL ASSISTANCE </t>
  </si>
  <si>
    <t>PSNL CRE WRKR RECR &amp; RETEN NYC  (***)</t>
  </si>
  <si>
    <t>PSNL CRE WRKR RECR &amp; RETEN ROS  (****)</t>
  </si>
  <si>
    <t>NEW YORK STATE OF HEALTH</t>
  </si>
  <si>
    <t>NEW YORK STATE OF HEALTH ADMINISTRATION</t>
  </si>
  <si>
    <t xml:space="preserve">OFFICE OF HEALTH INSURANCE PROGRAM     </t>
  </si>
  <si>
    <t xml:space="preserve">OFFICE OF HEALTH INSURANCE </t>
  </si>
  <si>
    <t xml:space="preserve">OFFICE OF HEALTH SYSTEMS MANAGEMENT    </t>
  </si>
  <si>
    <t xml:space="preserve">OFFICE HEALTH SYSTEMS MANAGEMENT </t>
  </si>
  <si>
    <t>REVENUE, PROCESSING &amp; RECONCILIATION</t>
  </si>
  <si>
    <t>TOTAL</t>
  </si>
  <si>
    <t xml:space="preserve">     Reclass of SUNY Hospital Disprop Share to Transfer</t>
  </si>
  <si>
    <t xml:space="preserve">     Reclass of SUNY Hospital Poison Control Centers to Transfer</t>
  </si>
  <si>
    <t xml:space="preserve">     Reclass of SUNY Empire Clinical Research Investigator Program to Transfer</t>
  </si>
  <si>
    <t xml:space="preserve">     Reconciling Adjustment (P-Card and T-Card)</t>
  </si>
  <si>
    <t>TOTAL REPORTED AMOUNT</t>
  </si>
  <si>
    <t xml:space="preserve">(*) Includes amounts appropriated in SFY 2023-24, as well as prior year appropriations that were reappropriated. </t>
  </si>
  <si>
    <t xml:space="preserve">(**) Disbursements from the HCRA Resources Fund includes direct grant payments to program beneficiaries, services and expenses </t>
  </si>
  <si>
    <t xml:space="preserve">     for administration of grant programs, and transfers to the Public Goods Pool to finance payments made by the State’s fiscal agent.</t>
  </si>
  <si>
    <t xml:space="preserve">(***) Full title is: NYC Personal Care Workforce Recruitment and Retention Rates Grants.                           </t>
  </si>
  <si>
    <t xml:space="preserve">(****) Full title is: Personal Care Workforce Recruitment and Retention Rates Grants.                                  </t>
  </si>
  <si>
    <t>APPENDIX C</t>
  </si>
  <si>
    <t>STATEMENT OF CASH FLOW - PUBLIC GOODS POOL</t>
  </si>
  <si>
    <t>2023-2024</t>
  </si>
  <si>
    <t xml:space="preserve">     Patient Services</t>
  </si>
  <si>
    <t xml:space="preserve">     Covered Lives</t>
  </si>
  <si>
    <t xml:space="preserve">     Provider Assessments</t>
  </si>
  <si>
    <t xml:space="preserve">     1% Assessments</t>
  </si>
  <si>
    <t xml:space="preserve">     DASNY- MOE/Recast receivables</t>
  </si>
  <si>
    <t xml:space="preserve">     Interest Income</t>
  </si>
  <si>
    <t xml:space="preserve">     Unassigned</t>
  </si>
  <si>
    <t>PROGRAM DISBURSEMENTS:</t>
  </si>
  <si>
    <t xml:space="preserve">     Poison Control Centers</t>
  </si>
  <si>
    <t xml:space="preserve">     School Based Health Center Grants</t>
  </si>
  <si>
    <t xml:space="preserve">     ECRIP Distributions</t>
  </si>
  <si>
    <t xml:space="preserve">           Total Program Disbursements</t>
  </si>
  <si>
    <t>Excess (Deficiency) of Receipts over Disbursements</t>
  </si>
  <si>
    <t xml:space="preserve"> Transfers From Other Pools:</t>
  </si>
  <si>
    <t xml:space="preserve">     Medicaid Disproportionate Share</t>
  </si>
  <si>
    <t xml:space="preserve">     Health Facility Assessment Fund - Hospital Quality Contribution</t>
  </si>
  <si>
    <t xml:space="preserve">  Transfers From State Funds:</t>
  </si>
  <si>
    <t xml:space="preserve">     HCRA Resources Fund</t>
  </si>
  <si>
    <t xml:space="preserve">         Total Other Financing Sources</t>
  </si>
  <si>
    <t xml:space="preserve">  Transfers To Other Pools:</t>
  </si>
  <si>
    <t xml:space="preserve">     Health Facility Assessment Fund</t>
  </si>
  <si>
    <t xml:space="preserve">  Transfers To State Funds:</t>
  </si>
  <si>
    <t xml:space="preserve">          Total Other Financing Uses</t>
  </si>
  <si>
    <t>Excess (Deficiency) of Receipts and Other Financing Sources</t>
  </si>
  <si>
    <t xml:space="preserve">     over Disbursements and Other Financing Uses</t>
  </si>
  <si>
    <t>CLOSING CASH BALANCE</t>
  </si>
  <si>
    <t>Source: HCRA - Office of Pool Administration</t>
  </si>
  <si>
    <t>APPENDIX D</t>
  </si>
  <si>
    <t xml:space="preserve">STATEMENT OF CASH FLOW - MEDICAID DISPROPORTIONATE SHARE  </t>
  </si>
  <si>
    <t xml:space="preserve"> PROGRAM DISBURSEMENTS:</t>
  </si>
  <si>
    <t xml:space="preserve">     Indigent Care</t>
  </si>
  <si>
    <t xml:space="preserve">     High Need Indigent Care</t>
  </si>
  <si>
    <t xml:space="preserve">     Other</t>
  </si>
  <si>
    <t xml:space="preserve">          Total Program Disbursements</t>
  </si>
  <si>
    <t xml:space="preserve">Excess (Deficiency) of Receipts over Disbursements       </t>
  </si>
  <si>
    <t xml:space="preserve">     Public Goods Pool</t>
  </si>
  <si>
    <t xml:space="preserve">     HCRA Resources Indigent Care - Matched</t>
  </si>
  <si>
    <t xml:space="preserve">     HCRA Resources Indigent Care - Unmatched</t>
  </si>
  <si>
    <t xml:space="preserve">     Federal DHHS Fund</t>
  </si>
  <si>
    <t xml:space="preserve">     HCRA Resources Fund Indigent Care Acct</t>
  </si>
  <si>
    <t xml:space="preserve">     CSRA Inc (eMedNY) General Fund</t>
  </si>
  <si>
    <t>Excess (Deficiency) of Receipts and Other Financing</t>
  </si>
  <si>
    <t xml:space="preserve">  Sources over Disbursements and Other Financing Uses</t>
  </si>
  <si>
    <t>APPENDIX E</t>
  </si>
  <si>
    <t>SUMMARY OF OFF-BUDGET SPENDING REPORT</t>
  </si>
  <si>
    <t>(amounts in thousands)</t>
  </si>
  <si>
    <t>DORMITORY AUTHORITY:</t>
  </si>
  <si>
    <t>Education - All Other</t>
  </si>
  <si>
    <t>Education - EXCEL</t>
  </si>
  <si>
    <t>Department of Health - All Other</t>
  </si>
  <si>
    <t>Community Enhancement Facilities Assistance Program (CEFAP)</t>
  </si>
  <si>
    <t>Community Capital Assistance Program (CCAP)/RESTORE</t>
  </si>
  <si>
    <t>Brooklyn Court Officer Training Academy</t>
  </si>
  <si>
    <t xml:space="preserve">     TOTAL DORMITORY AUTHORITY</t>
  </si>
  <si>
    <t>TOTAL OFF-BUDGET</t>
  </si>
  <si>
    <t xml:space="preserve">The Division of the Budget (DOB) is responsible for organizing and presenting the above schedule of ‘Off Budget Spending’.  Such reported disbursements are drawn from unaudited financial data provided by public authorities.  Although the Office of the State Comptroller (OSC) has no reason to believe this information to be unreliable, it is important to note that these program disbursements are financed with public authority bond proceeds deposited directly into public authority accounts and all disbursements are made without any oversight by the OSC.  Therefore, and pursuant to the provisions of Chapter 60, §16, of the Laws of 2006; this schedule is provided for information only. </t>
  </si>
  <si>
    <t>APPENDIX F</t>
  </si>
  <si>
    <t>SCHEDULE OF MONTH-END TEMPORARY LOANS OUTSTANDING(*)</t>
  </si>
  <si>
    <t>SFS Fund</t>
  </si>
  <si>
    <t>ACCOUNT TITLE</t>
  </si>
  <si>
    <t>Change</t>
  </si>
  <si>
    <t>STATE OPERATIONS AND LOCAL ASSISTANCE</t>
  </si>
  <si>
    <t>TOTAL GENERAL FUND</t>
  </si>
  <si>
    <t xml:space="preserve">CAPITAL PROJECT AND BOND REIMBURSABLE FUNDS </t>
  </si>
  <si>
    <t>HIGHWAY AND BRIDGE CAPITAL</t>
  </si>
  <si>
    <t>(****)</t>
  </si>
  <si>
    <t>REHAB/REPAIR MARITIME</t>
  </si>
  <si>
    <t>D21RVE- MARITIME</t>
  </si>
  <si>
    <t>D36RVE- CENTRAL ADMIN</t>
  </si>
  <si>
    <t>RESIDENCE HALL CAMPUS LET BOND PROCEEDS</t>
  </si>
  <si>
    <t>REHAB/REPAIR ALBANY</t>
  </si>
  <si>
    <t>D01RVE- ALBANY</t>
  </si>
  <si>
    <t>REHAB/REPAIR BINGHAMTON</t>
  </si>
  <si>
    <t>D07RVE- BINGHAMTON</t>
  </si>
  <si>
    <t>REHAB/REPAIR BUFFALO UNIVERSITY</t>
  </si>
  <si>
    <t>D28RVE- SUNY BUFFALO</t>
  </si>
  <si>
    <t>REHAB/REPAIR STONYBROOK</t>
  </si>
  <si>
    <t>D13RVE- STONYBROOK</t>
  </si>
  <si>
    <t>REHAB/REPAIR BROOKLYN</t>
  </si>
  <si>
    <t>D14RVE - HSC BROOKLYN</t>
  </si>
  <si>
    <t>REHAB/REPAIR SYRACUSE</t>
  </si>
  <si>
    <t>D15RVE- HSC SYRACUSE</t>
  </si>
  <si>
    <t>REHAB/REPAIR BROCKPORT</t>
  </si>
  <si>
    <t>D02RVE- BROCKPORT</t>
  </si>
  <si>
    <t>REHAB/REPAIR BUFFALO COLLEGE</t>
  </si>
  <si>
    <t>D03RVE -SUB BUFFALO</t>
  </si>
  <si>
    <t>REHAB/REPAIR CORTLAND</t>
  </si>
  <si>
    <t>D04RVE- CORTLAND</t>
  </si>
  <si>
    <t>REHAB/REPAIR FREDONIA</t>
  </si>
  <si>
    <t>D05RVE- FREDONIA</t>
  </si>
  <si>
    <t>REHAB/REPAIR GENESEO</t>
  </si>
  <si>
    <t>D06RVE- GENESEO</t>
  </si>
  <si>
    <t>REHAB/REPAIR OLD WESTBURY</t>
  </si>
  <si>
    <t>D31RVE- OLD WESTBURY</t>
  </si>
  <si>
    <t>REHAB/REPAIR NEW PALTZ</t>
  </si>
  <si>
    <t>D08RVE- NEW PALTZ</t>
  </si>
  <si>
    <t>REHAB/REPAIR ONEONTA</t>
  </si>
  <si>
    <t>D09RVE- ONEONTA</t>
  </si>
  <si>
    <t>REHAB/REPAIR OSWEGO</t>
  </si>
  <si>
    <t>D10RVE- OSWEGO</t>
  </si>
  <si>
    <t>REHAB/REPAIR PLATTSBURGH</t>
  </si>
  <si>
    <t>D11RVE- PLATTSBURGH</t>
  </si>
  <si>
    <t>REHAB/REPAIR POTSDAM</t>
  </si>
  <si>
    <t>D12RVE- POTSDAM</t>
  </si>
  <si>
    <t>REHAB/REPAIR PURCHASE</t>
  </si>
  <si>
    <t>D29RVE- PURCHASE</t>
  </si>
  <si>
    <t>REHAB/REPAIR FOR UTICA/ROME</t>
  </si>
  <si>
    <t>D27RVE- CAMPUS RESERVE</t>
  </si>
  <si>
    <t>REHAB/REPAIR ALFRED</t>
  </si>
  <si>
    <t>D22RVE- ALFRED</t>
  </si>
  <si>
    <t>REHAB/REPAIR CANTON</t>
  </si>
  <si>
    <t>D23RVE- CANTON</t>
  </si>
  <si>
    <t>REHAB/REPAIR COBLESKILL</t>
  </si>
  <si>
    <t>D24RVE- COBLESKILL</t>
  </si>
  <si>
    <t>REHAB/REPAIR DELHI</t>
  </si>
  <si>
    <t>D25RVE- DELHI</t>
  </si>
  <si>
    <t>REHAB/REPAIR FARMINGDALE</t>
  </si>
  <si>
    <t>D26RVE- FARMINGDALE</t>
  </si>
  <si>
    <t>REHAB/REPAIR MORRISVILLE</t>
  </si>
  <si>
    <t>D27RVE- MORRISVILLE</t>
  </si>
  <si>
    <t>STATE PARK INFRASTRUCTURE</t>
  </si>
  <si>
    <t>CW/CA IMPLEMENTATION DEC</t>
  </si>
  <si>
    <t>CW/CA IMPLEMENTATION STATE</t>
  </si>
  <si>
    <t>CW/CA IMPLEMENTATION ERDA</t>
  </si>
  <si>
    <t>CW/CA IMPLEMENTATION EFC</t>
  </si>
  <si>
    <t>HAZARDOUS WASTE CLEAN UP</t>
  </si>
  <si>
    <t>YOUTH FACILITIES IMPROVEMENT</t>
  </si>
  <si>
    <t>HOUSING ASSISTANCE</t>
  </si>
  <si>
    <t>HOUSING PROG FD-HSG TR FD CORP</t>
  </si>
  <si>
    <t>HOUSING PROG FD AFFORD HSG CORP</t>
  </si>
  <si>
    <t>HOUSING PROG FD-DEPT OF SOCIAL SERVICES</t>
  </si>
  <si>
    <t>HOUSING PROG FD-HFA</t>
  </si>
  <si>
    <t xml:space="preserve">HIGHWAY FAC PURPOSE </t>
  </si>
  <si>
    <t>NY RACING ACCOUNT</t>
  </si>
  <si>
    <t>CAPITAL PROJECT MISC GIFTS</t>
  </si>
  <si>
    <t>IT CAPITAL FINANCING ACCT</t>
  </si>
  <si>
    <t>NY ENVIRONMENTAL PROTECTION &amp; SPILL REMEDIATION</t>
  </si>
  <si>
    <t>OPWDD-STATE FACILITIES PRE 12/99</t>
  </si>
  <si>
    <t>DSAS-COMMUINTY FACILITIES</t>
  </si>
  <si>
    <t>OMH-COMMUNITY FACILITIES</t>
  </si>
  <si>
    <t>OPWDD-COMMUNITY FACILITIES</t>
  </si>
  <si>
    <t>OASAS-COMMUNITY FACILITIES</t>
  </si>
  <si>
    <t>DASNY - OMH ADMIN</t>
  </si>
  <si>
    <t>DASNY - OPWDD ADMIN</t>
  </si>
  <si>
    <t>DASNY - OASAS ADMIN</t>
  </si>
  <si>
    <t>OMH -STATE FACILITIES</t>
  </si>
  <si>
    <t>OPWDD -STATE FACILITIES</t>
  </si>
  <si>
    <t>OASAS -STATE FACILITIES</t>
  </si>
  <si>
    <t>CORR. FACILITIES CAPITAL IMPROVEMENT</t>
  </si>
  <si>
    <t>DOCS-REHABILITATION PROJECTS</t>
  </si>
  <si>
    <t>CORR. FACILITIES CAPITAL CLOSURE</t>
  </si>
  <si>
    <t>STORM RECOVERY ACCOUNT</t>
  </si>
  <si>
    <t xml:space="preserve">TOTAL CAPITAL AND BOND REIMBURSABLE FUNDS </t>
  </si>
  <si>
    <t>STATE SPECIAL REVENUE FUNDS</t>
  </si>
  <si>
    <t>DOL-CHILD PERFORMER PROTECTION ACCOUNT</t>
  </si>
  <si>
    <t>LOCAL GOVERNMENT RECORDS MGMT</t>
  </si>
  <si>
    <t>CHILD HEALTH INSURANCE</t>
  </si>
  <si>
    <t>EPIC PREMIUM ACCOUNT</t>
  </si>
  <si>
    <t>LOTTERY-EDUCATION</t>
  </si>
  <si>
    <t>VLT EDUCATION</t>
  </si>
  <si>
    <t>ENVIR FAC CORP ADM ACCT</t>
  </si>
  <si>
    <t>ENCON ADMIN ACCT</t>
  </si>
  <si>
    <t>HAZARDOUS BULK STORAGE</t>
  </si>
  <si>
    <t>UTILITY ENVIRONMENTAL REGULATORY ACCOUNT</t>
  </si>
  <si>
    <t xml:space="preserve">FEDERAL GRANTS INDIRECT COST RECOVERY ACCOUNT  </t>
  </si>
  <si>
    <t>ENCON-LOW LEVEL RADIOACTIVE WASTE SITING</t>
  </si>
  <si>
    <t>ENCON-RECREATION</t>
  </si>
  <si>
    <t>PUBLIC SAFETY RECOVERY ACCOUNT</t>
  </si>
  <si>
    <t>ENVIRONMENTAL REGULATORY</t>
  </si>
  <si>
    <t>NATURAL RESOURCES ACCOUNT</t>
  </si>
  <si>
    <t>MINED LAND RECLAMATION ACCT</t>
  </si>
  <si>
    <t>GREAT LAKES RESTORATION INITIATIVE</t>
  </si>
  <si>
    <t>AUDIT AND CONTROL OIL SPILL</t>
  </si>
  <si>
    <t>HEALTH DEPT OIL SPILL</t>
  </si>
  <si>
    <t>DEPT OF ENVIRONMENTAL CONSERVATION OIL SPILL</t>
  </si>
  <si>
    <t>OIL SPILL COMPENSATION</t>
  </si>
  <si>
    <t>LICENSE FEE SURCHARGES</t>
  </si>
  <si>
    <t>DEPT OF LAW OIL SPILL</t>
  </si>
  <si>
    <t xml:space="preserve">PUBLIC TRANSPORTATION SYSTEMS </t>
  </si>
  <si>
    <t xml:space="preserve">METROPOLITAN MASS TRANSPORTATION </t>
  </si>
  <si>
    <t>OPERATING PERMIT PROGRAM</t>
  </si>
  <si>
    <t>MOBILE SOURCE</t>
  </si>
  <si>
    <t>HEALTH-SPARC'S</t>
  </si>
  <si>
    <t>THRUWAY AUTHORITY ACCT</t>
  </si>
  <si>
    <t>MENTAL HYGIENE PROGRAM</t>
  </si>
  <si>
    <t>MENTAL HYGIENE PATIENT INCOME ACCOUNT</t>
  </si>
  <si>
    <t xml:space="preserve">FINANCIAL CONTROL BOARD </t>
  </si>
  <si>
    <t>RACING REGULATION ACCOUNT</t>
  </si>
  <si>
    <t xml:space="preserve">SU DORM INCOME REIMBURSE </t>
  </si>
  <si>
    <t>CRIMINAL JUSTICE IMPROVEMENT</t>
  </si>
  <si>
    <t>ENV LAB REF FEE</t>
  </si>
  <si>
    <t>TRAINING, MANAGEMENT AND EVALUATION ACCOUNT</t>
  </si>
  <si>
    <t>CLINICAL LAB FEE</t>
  </si>
  <si>
    <t>INDIRECT COST RECOVERY</t>
  </si>
  <si>
    <t xml:space="preserve">MULTI - AGENCY TRAINING ACCOUNT </t>
  </si>
  <si>
    <t>BELL JAR COLLECTION ACCOUNT</t>
  </si>
  <si>
    <t>INDUSTRY AND UTILITY SERVICE</t>
  </si>
  <si>
    <t>REAL PROPERTY DISPOSITION</t>
  </si>
  <si>
    <t>PARKING ACCOUNT</t>
  </si>
  <si>
    <t>COURTS SPECIAL GRANTS</t>
  </si>
  <si>
    <t>ASBESTOS SAFETY TRAINING</t>
  </si>
  <si>
    <t>BATAVIA SCHOOL FOR THE BLIND</t>
  </si>
  <si>
    <t>INVESTMENT SERVICES</t>
  </si>
  <si>
    <t>SURPLUS PROPERTY ACCOUNT</t>
  </si>
  <si>
    <t>FINANCIAL OVERSIGHT</t>
  </si>
  <si>
    <t>REGULATION INDIAN GAMING</t>
  </si>
  <si>
    <t>ROME SCHOOL FOR THE DEAF</t>
  </si>
  <si>
    <t>DSP-SEIZED ASSETS</t>
  </si>
  <si>
    <t xml:space="preserve">ADMINISTRATIVE ADJUDICATION </t>
  </si>
  <si>
    <t>NYC ASSESSMENT ACCT</t>
  </si>
  <si>
    <t>CULTURAL EDUCATION ACCOUNT</t>
  </si>
  <si>
    <t>LOCAL SERVICE ACCOUNT</t>
  </si>
  <si>
    <t>DHCR MORTGAGE SERVICES</t>
  </si>
  <si>
    <t>HOUSING INDIRECT COST RECOVERY</t>
  </si>
  <si>
    <t>VOTING MACHINE EXAMINATIONS ACCOUNT</t>
  </si>
  <si>
    <t>DHCR-HOUSING CREDIT AGENCY APPLY FEE</t>
  </si>
  <si>
    <t>LOW INCOME HOUSING CREDIT MONITORING</t>
  </si>
  <si>
    <t>RESTITUTION ACCOUNT</t>
  </si>
  <si>
    <t>EFC-CORPORATION ADMINISTRATION</t>
  </si>
  <si>
    <t>MONTROSE VETERAN'S HOME</t>
  </si>
  <si>
    <t>DEFERRED COMPENSATION ADMIN</t>
  </si>
  <si>
    <t>RENT REVENUE OTHER - NYC</t>
  </si>
  <si>
    <t xml:space="preserve">RENT REVENUE </t>
  </si>
  <si>
    <t>TRANSPORTATION AVIATION ACCOUNT</t>
  </si>
  <si>
    <t>TAX REVENUE ARREARAGE ACCOUNT</t>
  </si>
  <si>
    <t>NEW YORK STATE CAMPAIGN FINANCE FUND ACCOUNT</t>
  </si>
  <si>
    <t>NYS MEDICAL INDEMNITY FUND ACCOUNT</t>
  </si>
  <si>
    <t>BEHAVIORAL HEALTH PARITY COMPLIANCE FUND</t>
  </si>
  <si>
    <t>PHARMACY BENEFIT MANAGER REGULATORY FUND</t>
  </si>
  <si>
    <t>S.U. NON-RESIDENT REV.  OFFSET</t>
  </si>
  <si>
    <t>LAKE GEORGE PARK TRUST FUND</t>
  </si>
  <si>
    <t>DOT - HIGHWAY SAFETY PRGM</t>
  </si>
  <si>
    <t>DOH DRINKING WATER PROGRAM</t>
  </si>
  <si>
    <t>NYCCC OPERATING OFFSET</t>
  </si>
  <si>
    <t>COMMERCIAL GAMING REVENUE ACCOUNT</t>
  </si>
  <si>
    <t>COMMERCIAL GAMING REGULATION</t>
  </si>
  <si>
    <t>HIGHWAY USE TAX ADMIN</t>
  </si>
  <si>
    <t>NYS SECURE CHOICE ADMIN</t>
  </si>
  <si>
    <t>NEW YORK STATE CANNABIS REVENUE FUND</t>
  </si>
  <si>
    <t>FANTASY SPORTS ADMINISTRATION</t>
  </si>
  <si>
    <t>MOBILE SPORTS WAGERING FUND</t>
  </si>
  <si>
    <t xml:space="preserve">TOTAL STATE SPECIAL REVENUE FUNDS </t>
  </si>
  <si>
    <t xml:space="preserve">FEDERAL FUNDS  </t>
  </si>
  <si>
    <t>25000-25099</t>
  </si>
  <si>
    <t>FEDERAL USDA/FOOD AND NUTRITION SERVICES FUND</t>
  </si>
  <si>
    <t>25100-25199</t>
  </si>
  <si>
    <t>FEDERAL HEALTH AND HUMAN SERVICES FUND</t>
  </si>
  <si>
    <t>25200-25249</t>
  </si>
  <si>
    <t>FEDERAL EDUCATION GRANTS FUND</t>
  </si>
  <si>
    <t>25300-25899</t>
  </si>
  <si>
    <t>FEDERAL OPERATING GRANTS FUND</t>
  </si>
  <si>
    <t>DEPARTMENT OF TRANSPORTATION</t>
  </si>
  <si>
    <t>31350-31449</t>
  </si>
  <si>
    <t>FEDERAL CAPITAL PROJECTS FUND (ALL OTHER)</t>
  </si>
  <si>
    <t>25900-25949</t>
  </si>
  <si>
    <t>UNEMPLOYMENT INSURANCE ADMINISTRATION</t>
  </si>
  <si>
    <t xml:space="preserve">FEDERAL UNEMPLOYMENT INS OCCUPATIONAL TRAINING  </t>
  </si>
  <si>
    <t>26001-26049</t>
  </si>
  <si>
    <t>DOL EMPLOYMENT AND TRAINING GRANTS</t>
  </si>
  <si>
    <t>TOTAL FEDERAL FUNDS</t>
  </si>
  <si>
    <t xml:space="preserve">AGENCY FUNDS </t>
  </si>
  <si>
    <t>EMPLOYEES HEALTH INSURANCE ACCT</t>
  </si>
  <si>
    <t>MMIS - STATE AND FEDERAL</t>
  </si>
  <si>
    <t>TOTAL AGENCY FUNDS</t>
  </si>
  <si>
    <t>ENTERPRISE FUND</t>
  </si>
  <si>
    <t>OGS CONVENTION CENTER ACCOUNT</t>
  </si>
  <si>
    <t>EMPIRE PLAZA GIFT SHOP</t>
  </si>
  <si>
    <t>INTEREST ASSESSMENT ACCOUNT</t>
  </si>
  <si>
    <t>TOTAL ENTERPRISE FUND</t>
  </si>
  <si>
    <t>CENTRALIZED SERVICES-FLEET MGMT</t>
  </si>
  <si>
    <t>CENTRALIZED SERVICES-DATA PROCESSING</t>
  </si>
  <si>
    <t>CENTRALIZED SERVICES-PRINTING</t>
  </si>
  <si>
    <t>CENTRALIZED SERVICES-REAL PROPERTY-LABOR</t>
  </si>
  <si>
    <t>CENTRALIZED SERVICES-DONATED FOODS</t>
  </si>
  <si>
    <t>CENTRALIZED SERVICES-PERSONAL PROPERTY</t>
  </si>
  <si>
    <t>CENTRALIZED SERVICES-CONSTRUCTION SERVICES</t>
  </si>
  <si>
    <t>CENTRALIZED SERVICES-PASNY</t>
  </si>
  <si>
    <t>CENTRALIZED SERVICES-ADMIN SUPPORT</t>
  </si>
  <si>
    <t>CENTRALIZED SERVICES-DESIGN AND CONSTR</t>
  </si>
  <si>
    <t>CENTRALIZED SERVICES-INSURANCE</t>
  </si>
  <si>
    <t>CENTRALIZED SERVICES-SECURITY CARD ACCESS</t>
  </si>
  <si>
    <t>CENTRALIZED SERVICES-COP'S</t>
  </si>
  <si>
    <t>CENTRALIZED SERVICES-FOOD SERVICES</t>
  </si>
  <si>
    <t>CENTRALIZED SERVICES-HOMER FOLKS</t>
  </si>
  <si>
    <t>CENTRALIZED SERVICES-IMMICS</t>
  </si>
  <si>
    <t>DOWNSTATE WAREHOUSE</t>
  </si>
  <si>
    <t>BUILDING ADMINISTRATION</t>
  </si>
  <si>
    <t>LEASE SPACE INITIATIVE</t>
  </si>
  <si>
    <t>OGS ENTERPRISE CONTRACTING ACCT</t>
  </si>
  <si>
    <t>NYS MEDIA CENTER</t>
  </si>
  <si>
    <t>BUSINESS SERVICES CENTER</t>
  </si>
  <si>
    <t xml:space="preserve">ARCHIVES RECORD MGMT I.S. </t>
  </si>
  <si>
    <t>FEDERAL SINGLE AUDIT</t>
  </si>
  <si>
    <t>CIVIL SERVICE ADMINISTRATION ACCOUNT</t>
  </si>
  <si>
    <t>CIVIL SERVICE EHS OCCUP HEALTH PROG</t>
  </si>
  <si>
    <t>BANKING SERVICES ACCOUNT</t>
  </si>
  <si>
    <t>CULTURAL RESOURCE SURVEY</t>
  </si>
  <si>
    <t>NEIGHBOR WORK PROJECT</t>
  </si>
  <si>
    <t>AUTOMATIC/PRINT CHARGBACKS</t>
  </si>
  <si>
    <t>OFT NYT ACCT</t>
  </si>
  <si>
    <t>DATA CENTER ACCOUNT</t>
  </si>
  <si>
    <t>CYBER SECURITY INTRUSION ACCT</t>
  </si>
  <si>
    <t>DOMESTIC VIOLENCE GRANT</t>
  </si>
  <si>
    <t>CENTRALIZED TECHNOLOGY SERVICES</t>
  </si>
  <si>
    <t>LABOR CONTACT CENTER ACCT</t>
  </si>
  <si>
    <t>HUMAN SERVICES CONTACT CNTR ACCT</t>
  </si>
  <si>
    <t>TAX CONTACT CENTER ACCT</t>
  </si>
  <si>
    <t>CIVIL RECOVERIES ACCT</t>
  </si>
  <si>
    <t>EXECUTIVE DIRECTION INTERNAL AUDIT</t>
  </si>
  <si>
    <t>CIO INFORMATION TECHNOLOGY CENTRALIZED SERVICES</t>
  </si>
  <si>
    <t>HEALTH INSURANCE INTERNAL SERVICE</t>
  </si>
  <si>
    <t>CIVIL SERVICE EMPLOYEE BENEFITS DIV ADM</t>
  </si>
  <si>
    <t>CORR INDUSTRIES INTERNAL SERVICE</t>
  </si>
  <si>
    <t>TOTAL INTERNAL SERVICE FUNDS</t>
  </si>
  <si>
    <t>GRAND TOTAL - TEMPORARY LOANS OUTSTANDING</t>
  </si>
  <si>
    <t>(*)</t>
  </si>
  <si>
    <t>Temporary Loans are authorized pursuant to Subdivision 5 of Section 4 of the State Finance Law and Chapter 56, Part PP, Section 1, of the Laws of 2023-24.</t>
  </si>
  <si>
    <t>The loans represent authorizations made by the Legislature to allow certain funds/accounts to make appropriated payments regardless of the fund (cash) balance.</t>
  </si>
  <si>
    <t>Such loans are made from the State's Short-Term Investment Pool (STIP) and are intended to satisfy temporary cash shortfalls whenever scheduled disbursements</t>
  </si>
  <si>
    <t>exceed available revenues during the fiscal year.  Generally, temporary loans are repaid from the first cash receipts of the fund or account; however, in some cases actual</t>
  </si>
  <si>
    <t>revenues are not sufficient to repay all loans made to the fund or account and a transfer from the General Fund "Repayment of Receivables" appropriation is approved by the Budget Director.</t>
  </si>
  <si>
    <t>The balances reported here in Appendix F are the actual fund balances as of the close of business on the last day of the reporting month and do not include post-closing adjustments.</t>
  </si>
  <si>
    <t>Please refer to Schedule 1 for a detailed analysis of the 'reported' cash balances of the fund group.</t>
  </si>
  <si>
    <t>making a reimbursement claim from the U.S. Treasury.</t>
  </si>
  <si>
    <t xml:space="preserve">Per Section 72 of the State Finance Law, the General Fund includes the Local Assistance Fund (10000) and State Purpose Fund (10050). </t>
  </si>
  <si>
    <t>APPENDIX G</t>
  </si>
  <si>
    <t xml:space="preserve">DEDICATED INFRASTRUCTURE INVESTMENT FUND(*)   </t>
  </si>
  <si>
    <t xml:space="preserve">STATEMENT OF RECEIPTS AND DISBURSEMENTS   </t>
  </si>
  <si>
    <t xml:space="preserve">   Transfers from General Fund (**)</t>
  </si>
  <si>
    <t xml:space="preserve">   Other</t>
  </si>
  <si>
    <t xml:space="preserve">      Affordable and Homeless Housing</t>
  </si>
  <si>
    <t xml:space="preserve">      Broadband Initiative</t>
  </si>
  <si>
    <t xml:space="preserve">      Downtown Revitalization</t>
  </si>
  <si>
    <t xml:space="preserve">      Empire State Poverty Reduction Initiatives</t>
  </si>
  <si>
    <t xml:space="preserve">      Health Care / Hospital Initiatives </t>
  </si>
  <si>
    <t xml:space="preserve">      Infrastructure Improvements</t>
  </si>
  <si>
    <t xml:space="preserve">      Life Sciences Initiative</t>
  </si>
  <si>
    <t xml:space="preserve">      Municipal Restructuring / Consolidation Competition</t>
  </si>
  <si>
    <t xml:space="preserve">      Resiliency, Mitigation, Security and Emergency Response</t>
  </si>
  <si>
    <t xml:space="preserve">      Southern Tier / Hudson Valley Farm Initiative</t>
  </si>
  <si>
    <t xml:space="preserve">      Transformative Economic Development Projects</t>
  </si>
  <si>
    <t xml:space="preserve">      Upstate Revitalization Program</t>
  </si>
  <si>
    <t>(*)    Fund created pursuant to Chapter 60, Laws of 2015-16, Part H and SFL § 93-b</t>
  </si>
  <si>
    <t>(**)   Pursuant to Section 93(b) of the State Finance Law</t>
  </si>
  <si>
    <t>APPENDIX H</t>
  </si>
  <si>
    <r>
      <t>MEDICAL ASSISTANCE DISBURSEMENTS - STATE FUNDS</t>
    </r>
    <r>
      <rPr>
        <b/>
        <vertAlign val="superscript"/>
        <sz val="14"/>
        <color theme="1"/>
        <rFont val="Arial"/>
        <family val="2"/>
      </rPr>
      <t>(*)</t>
    </r>
  </si>
  <si>
    <t>Department of Health</t>
  </si>
  <si>
    <t>Other State Agencies</t>
  </si>
  <si>
    <t xml:space="preserve"> Year to Date</t>
  </si>
  <si>
    <t>Adult State Share Medicaid</t>
  </si>
  <si>
    <t xml:space="preserve">State Share Medicaid </t>
  </si>
  <si>
    <t>Medical Assistance (OPWDD)</t>
  </si>
  <si>
    <t xml:space="preserve">Medical Assistance Administration </t>
  </si>
  <si>
    <t>Traumatic Brain Injury Services</t>
  </si>
  <si>
    <t>Nursing Home Transition &amp; Diversion</t>
  </si>
  <si>
    <t>Reducing Maternal Mortality</t>
  </si>
  <si>
    <t>New York Connects</t>
  </si>
  <si>
    <t>Vital Access Provider Services</t>
  </si>
  <si>
    <t>Facilitated Enrollment</t>
  </si>
  <si>
    <t>Managed Long-Term Care Ombudsman</t>
  </si>
  <si>
    <t>General Hospitals Safety-Net Providers</t>
  </si>
  <si>
    <t>AIDS Epidemic</t>
  </si>
  <si>
    <t>Expanding Caregiver Support Services</t>
  </si>
  <si>
    <t>Provide Affordable Housing</t>
  </si>
  <si>
    <t>Community Provider Network</t>
  </si>
  <si>
    <t>Inpatient Services</t>
  </si>
  <si>
    <t>Patient Centered Medical Homes</t>
  </si>
  <si>
    <t>Outpatient &amp; Emergency Room Services</t>
  </si>
  <si>
    <t>Clinic Services</t>
  </si>
  <si>
    <t>Nursing Home Services</t>
  </si>
  <si>
    <t>Other Long Term Care Services</t>
  </si>
  <si>
    <t>Managed Care Services</t>
  </si>
  <si>
    <t>Pharmacy Services</t>
  </si>
  <si>
    <t>Transportation Services</t>
  </si>
  <si>
    <t>Dental Services</t>
  </si>
  <si>
    <t xml:space="preserve">Non-Institutional &amp; Other </t>
  </si>
  <si>
    <t>Medical Services State Facilities</t>
  </si>
  <si>
    <t>CSEA Family Health Plus Buy In</t>
  </si>
  <si>
    <t>Medical Assistance (HCRA)</t>
  </si>
  <si>
    <t>Personal Care Workforce Recruitment and Retention</t>
  </si>
  <si>
    <t>Healthcare Worker Bonuses</t>
  </si>
  <si>
    <t>Home Health Rate Increase</t>
  </si>
  <si>
    <t>DC37 &amp; Teamster Local 858</t>
  </si>
  <si>
    <t>Indigent Care</t>
  </si>
  <si>
    <t>Provider Assessments</t>
  </si>
  <si>
    <t>Additional DSH Payments SUNY</t>
  </si>
  <si>
    <r>
      <t>TOTAL</t>
    </r>
    <r>
      <rPr>
        <b/>
        <vertAlign val="superscript"/>
        <sz val="12"/>
        <rFont val="Arial"/>
        <family val="2"/>
      </rPr>
      <t>(**)</t>
    </r>
  </si>
  <si>
    <t>Reclassification of Medical Assistance payments for care and treatment of patients at State-operated health, mental hygiene and State University facilities to Transfers.</t>
  </si>
  <si>
    <t>TOTAL REPORTED MEDICAID</t>
  </si>
  <si>
    <r>
      <t xml:space="preserve">(*) </t>
    </r>
    <r>
      <rPr>
        <sz val="10"/>
        <color theme="1"/>
        <rFont val="Arial"/>
        <family val="2"/>
      </rPr>
      <t xml:space="preserve"> General Fund and State Special Revenue Funds only.</t>
    </r>
  </si>
  <si>
    <t xml:space="preserve">    These amounts do not include Medical Assistance spending for State Operations.</t>
  </si>
  <si>
    <t xml:space="preserve">    These amounts are not comparable to Medicaid Global Cap spending.</t>
  </si>
  <si>
    <t xml:space="preserve">    Department of Health regularly reclassifies spending between programs,  </t>
  </si>
  <si>
    <t xml:space="preserve">    and therefore amounts for any individual program may be restated by DOH.</t>
  </si>
  <si>
    <r>
      <rPr>
        <vertAlign val="superscript"/>
        <sz val="10"/>
        <color theme="1"/>
        <rFont val="Arial"/>
        <family val="2"/>
      </rPr>
      <t xml:space="preserve">(**) </t>
    </r>
    <r>
      <rPr>
        <sz val="10"/>
        <color theme="1"/>
        <rFont val="Arial"/>
        <family val="2"/>
      </rPr>
      <t>Source: Statewide Financial System</t>
    </r>
  </si>
  <si>
    <t>APPENDIX I</t>
  </si>
  <si>
    <r>
      <t>MEDICAL ASSISTANCE DISBURSEMENTS - FEDERAL FUNDS</t>
    </r>
    <r>
      <rPr>
        <b/>
        <vertAlign val="superscript"/>
        <sz val="14"/>
        <color theme="1"/>
        <rFont val="Arial"/>
        <family val="2"/>
      </rPr>
      <t>(*)</t>
    </r>
  </si>
  <si>
    <t>Medical Assistance &amp; Survey Certification Program</t>
  </si>
  <si>
    <t xml:space="preserve">American Resuce Plan Act </t>
  </si>
  <si>
    <t>Non-Institutional &amp; Other</t>
  </si>
  <si>
    <t xml:space="preserve">Reclassification of Medical Assistance payments for care and treatment of patients at State-operated health, mental hygiene and State University facilities to Transfers and adjustments for timing of payments at month end.  </t>
  </si>
  <si>
    <r>
      <t>TOTAL REPORTED MEDICAID</t>
    </r>
    <r>
      <rPr>
        <b/>
        <vertAlign val="superscript"/>
        <sz val="12"/>
        <color theme="1"/>
        <rFont val="Arial"/>
        <family val="2"/>
      </rPr>
      <t>(***)</t>
    </r>
  </si>
  <si>
    <r>
      <t xml:space="preserve">(*) </t>
    </r>
    <r>
      <rPr>
        <sz val="10"/>
        <color theme="1"/>
        <rFont val="Arial"/>
        <family val="2"/>
      </rPr>
      <t xml:space="preserve"> Special Revenue Federal Funds only.</t>
    </r>
  </si>
  <si>
    <r>
      <rPr>
        <vertAlign val="superscript"/>
        <sz val="10"/>
        <color theme="1"/>
        <rFont val="Arial"/>
        <family val="2"/>
      </rPr>
      <t>(**)</t>
    </r>
    <r>
      <rPr>
        <sz val="10"/>
        <color theme="1"/>
        <rFont val="Arial"/>
        <family val="2"/>
      </rPr>
      <t xml:space="preserve">  Source: Statewide Financial System</t>
    </r>
  </si>
  <si>
    <r>
      <rPr>
        <vertAlign val="superscript"/>
        <sz val="10"/>
        <color theme="1"/>
        <rFont val="Arial"/>
        <family val="2"/>
      </rPr>
      <t xml:space="preserve">(***)  </t>
    </r>
    <r>
      <rPr>
        <sz val="10"/>
        <color theme="1"/>
        <rFont val="Arial"/>
        <family val="2"/>
      </rPr>
      <t>Reported Medicaid spending does not include the Basic Health Plan.</t>
    </r>
  </si>
  <si>
    <t>1st Quarter</t>
  </si>
  <si>
    <t>APRIL - JUNE</t>
  </si>
  <si>
    <t>August 31, 2023</t>
  </si>
  <si>
    <t>Business and Licensing Services Account</t>
  </si>
  <si>
    <t>Federal Employment and Training Grants</t>
  </si>
  <si>
    <t>Federal Operating Grants</t>
  </si>
  <si>
    <t>Fingerprint Identification Technology Account</t>
  </si>
  <si>
    <t>HESC Insurance Premium Account</t>
  </si>
  <si>
    <t>Miscellaneous State Special Revenue Fund</t>
  </si>
  <si>
    <t>Patient Safety Center Account</t>
  </si>
  <si>
    <t>Public Service Account</t>
  </si>
  <si>
    <t xml:space="preserve">State Lottery </t>
  </si>
  <si>
    <t>System and Technology Account</t>
  </si>
  <si>
    <t>Training and Education Program on OSHA</t>
  </si>
  <si>
    <t>Unemployment Insurance Administration</t>
  </si>
  <si>
    <t>Workers' Compensation Board Account</t>
  </si>
  <si>
    <t xml:space="preserve">FISCAL YEAR 2023-2024   </t>
  </si>
  <si>
    <t xml:space="preserve">  Plan (**)</t>
  </si>
  <si>
    <r>
      <t xml:space="preserve">(***)  </t>
    </r>
    <r>
      <rPr>
        <u/>
        <sz val="12"/>
        <rFont val="Arial"/>
        <family val="2"/>
      </rPr>
      <t>State Operating Funds</t>
    </r>
    <r>
      <rPr>
        <sz val="12"/>
        <rFont val="Arial"/>
        <family val="2"/>
      </rPr>
      <t xml:space="preserve"> are comprised of the General Fund, State Special Revenue Funds supported</t>
    </r>
  </si>
  <si>
    <t xml:space="preserve">                                     STATE OPERATING FUNDS (***)</t>
  </si>
  <si>
    <t>(****) Eliminations between Special Revenue - State and Federal Funds are not included.</t>
  </si>
  <si>
    <t xml:space="preserve">(***)   Includes transfers to the Department of Health Income Fund and the State University Income Fund representing payments </t>
  </si>
  <si>
    <t xml:space="preserve">(***)   Actual reported transfer amounts include eliminations between Special Revenue - State and Federal Funds. </t>
  </si>
  <si>
    <t xml:space="preserve">  Transfers to Other Funds (***)</t>
  </si>
  <si>
    <t xml:space="preserve">  Transfers from Other Funds (***)</t>
  </si>
  <si>
    <t>September 30, 2023</t>
  </si>
  <si>
    <t>Charter School Stimulus</t>
  </si>
  <si>
    <t>Unemployment Insurance, Interest &amp; Penalty</t>
  </si>
  <si>
    <t>October 31, 2023</t>
  </si>
  <si>
    <t>VIRTUAL CURRENCY FUND</t>
  </si>
  <si>
    <t>(**)   Source: 2023-24 Mid Year Update dated October 30, 2023.</t>
  </si>
  <si>
    <t xml:space="preserve">      Orchard Park Stadium</t>
  </si>
  <si>
    <t xml:space="preserve">      Penn Station Access</t>
  </si>
  <si>
    <t>2nd Quarter</t>
  </si>
  <si>
    <t>JULY - SEPTEMBER</t>
  </si>
  <si>
    <t>Housing Program Fund</t>
  </si>
  <si>
    <t>Federal USDA/  Food and Nutrition</t>
  </si>
  <si>
    <t xml:space="preserve">      Fines, Penalties and Forfeitures  </t>
  </si>
  <si>
    <t xml:space="preserve">         Peer-to-Peer Car Sharing </t>
  </si>
  <si>
    <t xml:space="preserve">            Abandoned Property </t>
  </si>
  <si>
    <t xml:space="preserve">            Business </t>
  </si>
  <si>
    <t xml:space="preserve">            Medical Care </t>
  </si>
  <si>
    <t xml:space="preserve">            Public Utilities </t>
  </si>
  <si>
    <t xml:space="preserve"> Disbursements and Other Financing Uses    </t>
  </si>
  <si>
    <t xml:space="preserve">            Business/Professional </t>
  </si>
  <si>
    <t xml:space="preserve">            Motor Vehicle </t>
  </si>
  <si>
    <t xml:space="preserve">            Recreational/Consumer </t>
  </si>
  <si>
    <t xml:space="preserve">      Fines, Penalties and Forfeitures </t>
  </si>
  <si>
    <t xml:space="preserve">      Receipts from Municipalities </t>
  </si>
  <si>
    <t xml:space="preserve">            Issuance Fees </t>
  </si>
  <si>
    <t xml:space="preserve">            Administrative Recoveries </t>
  </si>
  <si>
    <t xml:space="preserve">            Commissions - Asset Conversion </t>
  </si>
  <si>
    <t xml:space="preserve">            Gifts, Grants and Donations </t>
  </si>
  <si>
    <t xml:space="preserve">            Indirect Cost Recoveries </t>
  </si>
  <si>
    <t xml:space="preserve">            Patient/Client Care Reimbursement </t>
  </si>
  <si>
    <t xml:space="preserve">            Restitution and Settlements </t>
  </si>
  <si>
    <t xml:space="preserve">      Tuition </t>
  </si>
  <si>
    <t xml:space="preserve">       General Government </t>
  </si>
  <si>
    <t xml:space="preserve">       Environment and Recreation </t>
  </si>
  <si>
    <t xml:space="preserve">   Debt Service, Including Payments on </t>
  </si>
  <si>
    <t xml:space="preserve">     Consumption/Use Taxes: </t>
  </si>
  <si>
    <t xml:space="preserve">         Auto Rental  </t>
  </si>
  <si>
    <t xml:space="preserve">         Alcoholic Beverage  </t>
  </si>
  <si>
    <t xml:space="preserve">            Abandoned Property  </t>
  </si>
  <si>
    <t xml:space="preserve">            Other </t>
  </si>
  <si>
    <t xml:space="preserve">            Audit Fees </t>
  </si>
  <si>
    <t xml:space="preserve">            Business/Professional  </t>
  </si>
  <si>
    <t xml:space="preserve">            Casino </t>
  </si>
  <si>
    <t xml:space="preserve">            Lottery </t>
  </si>
  <si>
    <t xml:space="preserve">            Mobile Sports </t>
  </si>
  <si>
    <t xml:space="preserve">            Video Lottery </t>
  </si>
  <si>
    <t xml:space="preserve">      Interest Earnings </t>
  </si>
  <si>
    <t xml:space="preserve">            Cost Recovery Assessments </t>
  </si>
  <si>
    <t xml:space="preserve">            Non Bond Related </t>
  </si>
  <si>
    <t xml:space="preserve">            Rebates </t>
  </si>
  <si>
    <t xml:space="preserve">            All Other </t>
  </si>
  <si>
    <t xml:space="preserve">       Transportation </t>
  </si>
  <si>
    <t xml:space="preserve">          Total Disbursements </t>
  </si>
  <si>
    <t xml:space="preserve">  over Disbursements </t>
  </si>
  <si>
    <t xml:space="preserve">            Bond Proceeds </t>
  </si>
  <si>
    <t xml:space="preserve">Temporary loans to federal funds are typically reimbursed within 2-3 days.  Such loans are made pursuant to federal regulations which require the State to disburse funds prior to </t>
  </si>
  <si>
    <t xml:space="preserve">            Student Loans   </t>
  </si>
  <si>
    <t xml:space="preserve">            Student Loans  </t>
  </si>
  <si>
    <t>NOV. 2022</t>
  </si>
  <si>
    <t>NOV. 30, 2022</t>
  </si>
  <si>
    <t>8 MONTHS ENDED</t>
  </si>
  <si>
    <t>NOVEMBER 30, 2023</t>
  </si>
  <si>
    <t>8 Months Ended</t>
  </si>
  <si>
    <t>NOVEMBER 2023</t>
  </si>
  <si>
    <t>NOVEMBER 2022</t>
  </si>
  <si>
    <t>November 30, 2023</t>
  </si>
  <si>
    <t>DEBT ISSUED (*)</t>
  </si>
  <si>
    <t>(*) Includes the net effect of the October 2023 refunding transaction of $104,445,000, which was used to refund $135,220,000 of previously issued general obligation bonds.</t>
  </si>
  <si>
    <t>8 MONTHS ENDED NOVEMBER 30</t>
  </si>
  <si>
    <t>Ryan White Clinics</t>
  </si>
  <si>
    <t>November</t>
  </si>
  <si>
    <t xml:space="preserve">As of November 30, 2023, $10,110,602.44 (representing the remaining balance of the State's 95 percent share of the fair market value of the not-for-profit corporation plus interest) is on deposit in the sole custody account titled Public Asset Fund. In accordance with Section 4301(j)(4)(F) and (O) of the Insurance Law and at the direction of the Director of the Budget, these funds are available for transfer to HCRA Resources Fund (20800-20849). </t>
  </si>
  <si>
    <t>8 Months Ended November 30, 2023 (**)</t>
  </si>
  <si>
    <t xml:space="preserve">operated health, mental hygiene and State University facilities to Debt Service funds ($7.2m), and  </t>
  </si>
  <si>
    <t xml:space="preserve">the State University Income Fund ($292.5m). </t>
  </si>
  <si>
    <t xml:space="preserve">the current fiscal quarter.  As of November 30, 2023 - pursuant to a certification of the Budget Director - </t>
  </si>
  <si>
    <t>payment obligations were met out of these reserves and future payment amounts were scheduled</t>
  </si>
  <si>
    <t>for transfer at the commencement of the succeeding month.</t>
  </si>
  <si>
    <r>
      <t>Capital Projects Funds</t>
    </r>
    <r>
      <rPr>
        <b/>
        <sz val="9"/>
        <rFont val="Arial"/>
        <family val="2"/>
      </rPr>
      <t xml:space="preserve"> </t>
    </r>
    <r>
      <rPr>
        <sz val="9"/>
        <rFont val="Arial"/>
        <family val="2"/>
      </rPr>
      <t xml:space="preserve">“Transfers To Other Funds” includes transfers to the General Fund ($35.8m) and </t>
    </r>
  </si>
  <si>
    <t xml:space="preserve"> the General Debt Service Fund - Lease Purchase ($35.2m).</t>
  </si>
  <si>
    <t xml:space="preserve">Fund and Department of Health Income Fund ($1,100.2m) representing the federal share of Medicaid </t>
  </si>
  <si>
    <t>Projects Fund ($12.9m) and All Other Capital Projects ($53.2m).</t>
  </si>
  <si>
    <t>Centralized Technology Services Account</t>
  </si>
  <si>
    <t>3.</t>
  </si>
  <si>
    <t>(STAR) Fund to be used to reimburse school districts for the STAR property tax exemptions for homeowners</t>
  </si>
  <si>
    <t>($0.1m) as of November 30, 2023.</t>
  </si>
  <si>
    <t xml:space="preserve">A portion of Personal Income Tax receipts is transferred to the State Special Revenue School Tax Relief </t>
  </si>
  <si>
    <t>(3)</t>
  </si>
  <si>
    <t xml:space="preserve">of Health ($85.5m). </t>
  </si>
  <si>
    <t>and payments to homeowners for the STAR Property Rebate Program.  School Tax Relief payments were</t>
  </si>
  <si>
    <t>8 MOS. ENDED</t>
  </si>
  <si>
    <t>NOV. 2023</t>
  </si>
  <si>
    <t>NOV. 30, 2023</t>
  </si>
  <si>
    <t>November 2023</t>
  </si>
  <si>
    <t>FOR EIGHT MONTHS ENDED NOVEMBER 30, 2023</t>
  </si>
  <si>
    <t xml:space="preserve">Fund Balances (Deficits) at November 30, 2023 </t>
  </si>
  <si>
    <t>8 Months Ended November 30</t>
  </si>
  <si>
    <t>FOR THE MONTH OF NOVEMBER 2023</t>
  </si>
  <si>
    <t>NOVEMBER 1, 2023</t>
  </si>
  <si>
    <t>FOR THE EIGHT MONTHS ENDED NOVEMBER 30, 2023</t>
  </si>
  <si>
    <t xml:space="preserve">8 Months Ended November 30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</si>
</sst>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5">
    <numFmt numFmtId="5" formatCode="&quot;$&quot;#,##0_);\(&quot;$&quot;#,##0\)"/>
    <numFmt numFmtId="7" formatCode="&quot;$&quot;#,##0.00_);\(&quot;$&quot;#,##0.0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0%"/>
    <numFmt numFmtId="165" formatCode="#,##0.0"/>
    <numFmt numFmtId="166" formatCode="#,##0.0_);\(#,##0.0\)"/>
    <numFmt numFmtId="167" formatCode="_(&quot;$&quot;* #,##0.0_);_(&quot;$&quot;* \(#,##0.0\);_(&quot;$&quot;* &quot;-&quot;??_);_(@_)"/>
    <numFmt numFmtId="168" formatCode="[$$-409]#,##0.0"/>
    <numFmt numFmtId="169" formatCode="&quot;$&quot;#,##0.0_);\(&quot;$&quot;#,##0.0\)"/>
    <numFmt numFmtId="170" formatCode="_(* #,##0.0_);_(* \(#,##0.0\);_(* &quot;-&quot;?_);_(@_)"/>
    <numFmt numFmtId="171" formatCode="0_);\(0\)"/>
    <numFmt numFmtId="172" formatCode="#,##0.0%"/>
    <numFmt numFmtId="173" formatCode="#,##0.000"/>
    <numFmt numFmtId="174" formatCode="_(&quot;$&quot;* #,##0.0_);_(&quot;$&quot;* \(#,##0.0\);_(&quot;$&quot;* &quot;-&quot;?_);_(@_)"/>
    <numFmt numFmtId="175" formatCode="&quot;$&quot;#,##0.0"/>
    <numFmt numFmtId="176" formatCode="0.000"/>
    <numFmt numFmtId="177" formatCode="_(* #,##0.000_);_(* \(#,##0.000\);_(* &quot;-&quot;???_);_(@_)"/>
    <numFmt numFmtId="178" formatCode="#,##0.0000000000000_);\(#,##0.0000000000000\)"/>
    <numFmt numFmtId="179" formatCode="m/d/yy;@"/>
    <numFmt numFmtId="180" formatCode="_(&quot;$&quot;* #,##0.000_);_(&quot;$&quot;* \(#,##0.000\);_(&quot;$&quot;* &quot;-&quot;???_);_(@_)"/>
    <numFmt numFmtId="181" formatCode="#,##0.000_);\(#,##0.000\)"/>
    <numFmt numFmtId="182" formatCode="_(* #,##0.000_);_(* \(#,##0.000\);_(* &quot;-&quot;??_);_(@_)"/>
    <numFmt numFmtId="183" formatCode="&quot;$&quot;#,##0.000_);\(&quot;$&quot;#,##0.000\)"/>
    <numFmt numFmtId="184" formatCode="m/d/yy"/>
    <numFmt numFmtId="185" formatCode="0.000_);\(0.000\)"/>
    <numFmt numFmtId="186" formatCode="[$-409]mmmm\ d\,\ yyyy;@"/>
    <numFmt numFmtId="187" formatCode="&quot;$&quot;#,##0.00"/>
    <numFmt numFmtId="188" formatCode="&quot;$&quot;#,##0"/>
    <numFmt numFmtId="189" formatCode="0.000%"/>
    <numFmt numFmtId="190" formatCode="_(* #,##0_);_(* \(#,##0\);_(* &quot;-&quot;??_);_(@_)"/>
    <numFmt numFmtId="191" formatCode="&quot;$&quot;#,##0.0_);[Red]\(&quot;$&quot;#,##0.0\)"/>
    <numFmt numFmtId="192" formatCode="0.0"/>
    <numFmt numFmtId="193" formatCode="_(* #,##0.0_);_(* \(#,##0.0\);_(* &quot;-&quot;??_);_(@_)"/>
    <numFmt numFmtId="194" formatCode="0.0000%"/>
    <numFmt numFmtId="195" formatCode="#,##0.0000"/>
    <numFmt numFmtId="196" formatCode="#,##0.00000_);\(#,##0.00000\)"/>
    <numFmt numFmtId="197" formatCode="0.0_);\(0.0\)"/>
    <numFmt numFmtId="198" formatCode="_(&quot;$&quot;* #,##0_);_(&quot;$&quot;* \(#,##0\);_(&quot;$&quot;* &quot;-&quot;??_);_(@_)"/>
    <numFmt numFmtId="199" formatCode="#,#00.0%"/>
    <numFmt numFmtId="200" formatCode="_(* #,##0.000_);_(* \(#,##0.000\);_(* &quot;-&quot;?_);_(@_)"/>
    <numFmt numFmtId="201" formatCode="#,##0.0_);[Red]\(#,##0.0\)"/>
  </numFmts>
  <fonts count="235">
    <font>
      <sz val="12"/>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2"/>
      <name val="Arial"/>
      <family val="2"/>
    </font>
    <font>
      <b/>
      <sz val="16"/>
      <name val="Arial"/>
      <family val="2"/>
    </font>
    <font>
      <sz val="12"/>
      <name val="Arial"/>
      <family val="2"/>
    </font>
    <font>
      <sz val="8"/>
      <name val="Arial"/>
      <family val="2"/>
    </font>
    <font>
      <sz val="16"/>
      <name val="Arial"/>
      <family val="2"/>
    </font>
    <font>
      <sz val="10"/>
      <name val="Arial"/>
      <family val="2"/>
    </font>
    <font>
      <b/>
      <sz val="10"/>
      <name val="Arial"/>
      <family val="2"/>
    </font>
    <font>
      <b/>
      <sz val="12"/>
      <name val="Arial"/>
      <family val="2"/>
    </font>
    <font>
      <b/>
      <sz val="12"/>
      <name val="Helv"/>
    </font>
    <font>
      <sz val="12"/>
      <name val="Helv"/>
    </font>
    <font>
      <b/>
      <sz val="8"/>
      <name val="Arial"/>
      <family val="2"/>
    </font>
    <font>
      <sz val="12"/>
      <color theme="1"/>
      <name val="Arial"/>
      <family val="2"/>
    </font>
    <font>
      <sz val="9"/>
      <name val="Arial"/>
      <family val="2"/>
    </font>
    <font>
      <sz val="12"/>
      <name val="Helvetica-Narrow"/>
      <family val="2"/>
    </font>
    <font>
      <b/>
      <sz val="18"/>
      <name val="Arial"/>
      <family val="2"/>
    </font>
    <font>
      <sz val="18"/>
      <name val="Arial"/>
      <family val="2"/>
    </font>
    <font>
      <sz val="8"/>
      <color indexed="9"/>
      <name val="Arial"/>
      <family val="2"/>
    </font>
    <font>
      <b/>
      <sz val="16"/>
      <color indexed="9"/>
      <name val="Helv"/>
    </font>
    <font>
      <sz val="10"/>
      <name val="Times New Roman"/>
      <family val="1"/>
    </font>
    <font>
      <b/>
      <sz val="10"/>
      <color indexed="8"/>
      <name val="Arial"/>
      <family val="2"/>
    </font>
    <font>
      <b/>
      <sz val="12"/>
      <color indexed="8"/>
      <name val="Arial"/>
      <family val="2"/>
    </font>
    <font>
      <sz val="12"/>
      <color indexed="8"/>
      <name val="Arial"/>
      <family val="2"/>
    </font>
    <font>
      <sz val="8"/>
      <color indexed="8"/>
      <name val="Arial"/>
      <family val="2"/>
    </font>
    <font>
      <sz val="14"/>
      <name val="Arial"/>
      <family val="2"/>
    </font>
    <font>
      <u/>
      <sz val="14"/>
      <name val="Arial"/>
      <family val="2"/>
    </font>
    <font>
      <sz val="12"/>
      <name val="SWISS"/>
    </font>
    <font>
      <b/>
      <sz val="12"/>
      <name val="SWISS"/>
    </font>
    <font>
      <sz val="10"/>
      <name val="SWISS"/>
    </font>
    <font>
      <b/>
      <sz val="14"/>
      <name val="Arial"/>
      <family val="2"/>
    </font>
    <font>
      <b/>
      <sz val="13"/>
      <name val="Arial"/>
      <family val="2"/>
    </font>
    <font>
      <b/>
      <sz val="13"/>
      <color indexed="9"/>
      <name val="Arial"/>
      <family val="2"/>
    </font>
    <font>
      <b/>
      <sz val="20"/>
      <name val="Arial"/>
      <family val="2"/>
    </font>
    <font>
      <b/>
      <u/>
      <sz val="12"/>
      <name val="Arial"/>
      <family val="2"/>
    </font>
    <font>
      <sz val="12"/>
      <color indexed="9"/>
      <name val="SWISS"/>
    </font>
    <font>
      <sz val="13"/>
      <name val="Arial"/>
      <family val="2"/>
    </font>
    <font>
      <b/>
      <sz val="15"/>
      <name val="Times New Roman"/>
      <family val="1"/>
    </font>
    <font>
      <b/>
      <sz val="12"/>
      <color indexed="9"/>
      <name val="Arial"/>
      <family val="2"/>
    </font>
    <font>
      <b/>
      <sz val="10"/>
      <name val="SWISS"/>
    </font>
    <font>
      <sz val="14"/>
      <color indexed="8"/>
      <name val="Arial"/>
      <family val="2"/>
    </font>
    <font>
      <b/>
      <sz val="18"/>
      <color indexed="8"/>
      <name val="Arial"/>
      <family val="2"/>
    </font>
    <font>
      <sz val="14"/>
      <name val="SWISS"/>
    </font>
    <font>
      <b/>
      <sz val="14"/>
      <color indexed="8"/>
      <name val="Arial"/>
      <family val="2"/>
    </font>
    <font>
      <b/>
      <sz val="14"/>
      <name val="SWISS"/>
    </font>
    <font>
      <b/>
      <u/>
      <sz val="10"/>
      <name val="Arial"/>
      <family val="2"/>
    </font>
    <font>
      <sz val="11"/>
      <name val="Arial"/>
      <family val="2"/>
    </font>
    <font>
      <sz val="10"/>
      <color indexed="12"/>
      <name val="Arial"/>
      <family val="2"/>
    </font>
    <font>
      <b/>
      <sz val="11"/>
      <name val="Arial"/>
      <family val="2"/>
    </font>
    <font>
      <sz val="10"/>
      <name val="Arial"/>
      <family val="2"/>
    </font>
    <font>
      <sz val="10"/>
      <color indexed="9"/>
      <name val="Arial"/>
      <family val="2"/>
    </font>
    <font>
      <sz val="8"/>
      <name val="SWISS"/>
    </font>
    <font>
      <i/>
      <sz val="18"/>
      <name val="Arial"/>
      <family val="2"/>
    </font>
    <font>
      <i/>
      <sz val="14"/>
      <name val="SWISS"/>
    </font>
    <font>
      <i/>
      <sz val="14"/>
      <name val="Arial"/>
      <family val="2"/>
    </font>
    <font>
      <b/>
      <sz val="14"/>
      <color indexed="9"/>
      <name val="Arial"/>
      <family val="2"/>
    </font>
    <font>
      <i/>
      <sz val="12"/>
      <name val="Arial"/>
      <family val="2"/>
    </font>
    <font>
      <i/>
      <sz val="18"/>
      <name val="SWISS"/>
    </font>
    <font>
      <sz val="10"/>
      <name val="Arial MT"/>
    </font>
    <font>
      <sz val="12"/>
      <name val="Arial MT"/>
    </font>
    <font>
      <b/>
      <sz val="12"/>
      <name val="Arial MT"/>
    </font>
    <font>
      <sz val="12"/>
      <name val="Times New Roman"/>
      <family val="1"/>
    </font>
    <font>
      <sz val="12"/>
      <name val="Times New Roman"/>
      <family val="1"/>
    </font>
    <font>
      <sz val="10"/>
      <name val="SCRRMN"/>
    </font>
    <font>
      <sz val="12"/>
      <name val="Century Gothic"/>
      <family val="2"/>
    </font>
    <font>
      <b/>
      <sz val="12"/>
      <name val="Times New Roman"/>
      <family val="1"/>
    </font>
    <font>
      <b/>
      <u/>
      <sz val="14"/>
      <name val="Arial"/>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u/>
      <sz val="12"/>
      <name val="Arial"/>
      <family val="2"/>
    </font>
    <font>
      <b/>
      <sz val="13"/>
      <name val="SWISS"/>
    </font>
    <font>
      <b/>
      <sz val="16"/>
      <color indexed="10"/>
      <name val="Arial"/>
      <family val="2"/>
    </font>
    <font>
      <b/>
      <sz val="10"/>
      <color theme="1"/>
      <name val="Arial"/>
      <family val="2"/>
    </font>
    <font>
      <sz val="11"/>
      <color theme="1"/>
      <name val="Calibri"/>
      <family val="2"/>
    </font>
    <font>
      <sz val="11"/>
      <color indexed="8"/>
      <name val="Calibri"/>
      <family val="2"/>
    </font>
    <font>
      <b/>
      <sz val="9"/>
      <name val="Arial"/>
      <family val="2"/>
    </font>
    <font>
      <b/>
      <sz val="10"/>
      <color indexed="9"/>
      <name val="Arial"/>
      <family val="2"/>
    </font>
    <font>
      <sz val="12"/>
      <color theme="1"/>
      <name val="Calibri"/>
      <family val="2"/>
      <scheme val="minor"/>
    </font>
    <font>
      <sz val="10"/>
      <color indexed="20"/>
      <name val="Arial"/>
      <family val="2"/>
    </font>
    <font>
      <b/>
      <sz val="10"/>
      <color indexed="52"/>
      <name val="Arial"/>
      <family val="2"/>
    </font>
    <font>
      <i/>
      <sz val="10"/>
      <color indexed="23"/>
      <name val="Arial"/>
      <family val="2"/>
    </font>
    <font>
      <sz val="10"/>
      <color indexed="17"/>
      <name val="Arial"/>
      <family val="2"/>
    </font>
    <font>
      <b/>
      <sz val="15"/>
      <color indexed="56"/>
      <name val="Arial"/>
      <family val="2"/>
    </font>
    <font>
      <b/>
      <sz val="13"/>
      <color indexed="56"/>
      <name val="Arial"/>
      <family val="2"/>
    </font>
    <font>
      <b/>
      <sz val="11"/>
      <color indexed="56"/>
      <name val="Arial"/>
      <family val="2"/>
    </font>
    <font>
      <sz val="10"/>
      <color indexed="62"/>
      <name val="Arial"/>
      <family val="2"/>
    </font>
    <font>
      <sz val="10"/>
      <color indexed="52"/>
      <name val="Arial"/>
      <family val="2"/>
    </font>
    <font>
      <sz val="10"/>
      <color indexed="60"/>
      <name val="Arial"/>
      <family val="2"/>
    </font>
    <font>
      <b/>
      <sz val="10"/>
      <color indexed="63"/>
      <name val="Arial"/>
      <family val="2"/>
    </font>
    <font>
      <b/>
      <sz val="18"/>
      <color indexed="56"/>
      <name val="Cambria"/>
      <family val="2"/>
    </font>
    <font>
      <sz val="10"/>
      <color indexed="10"/>
      <name val="Arial"/>
      <family val="2"/>
    </font>
    <font>
      <sz val="12"/>
      <color theme="4" tint="-0.249977111117893"/>
      <name val="Arial"/>
      <family val="2"/>
    </font>
    <font>
      <b/>
      <sz val="12"/>
      <color theme="4" tint="-0.249977111117893"/>
      <name val="Arial"/>
      <family val="2"/>
    </font>
    <font>
      <sz val="10"/>
      <color theme="4" tint="-0.249977111117893"/>
      <name val="SWISS"/>
    </font>
    <font>
      <sz val="10"/>
      <color theme="4" tint="-0.249977111117893"/>
      <name val="Arial"/>
      <family val="2"/>
    </font>
    <font>
      <b/>
      <u/>
      <sz val="12"/>
      <color theme="4" tint="-0.249977111117893"/>
      <name val="Arial"/>
      <family val="2"/>
    </font>
    <font>
      <sz val="12"/>
      <color theme="3" tint="0.39997558519241921"/>
      <name val="Arial"/>
      <family val="2"/>
    </font>
    <font>
      <sz val="11"/>
      <color theme="1"/>
      <name val="Arial"/>
      <family val="2"/>
    </font>
    <font>
      <sz val="12"/>
      <color indexed="9"/>
      <name val="Arial"/>
      <family val="2"/>
    </font>
    <font>
      <b/>
      <u/>
      <sz val="9"/>
      <name val="Arial"/>
      <family val="2"/>
    </font>
    <font>
      <sz val="7.5"/>
      <name val="Arial"/>
      <family val="2"/>
    </font>
    <font>
      <sz val="9"/>
      <name val="Times New Roman"/>
      <family val="1"/>
    </font>
    <font>
      <u/>
      <sz val="10"/>
      <name val="Arial"/>
      <family val="2"/>
    </font>
    <font>
      <sz val="10"/>
      <name val="Microsoft Sans Serif"/>
      <family val="2"/>
    </font>
    <font>
      <sz val="8"/>
      <color theme="4" tint="-0.249977111117893"/>
      <name val="Arial"/>
      <family val="2"/>
    </font>
    <font>
      <b/>
      <sz val="10"/>
      <color theme="4" tint="-0.249977111117893"/>
      <name val="Arial"/>
      <family val="2"/>
    </font>
    <font>
      <sz val="12"/>
      <color theme="4" tint="-0.249977111117893"/>
      <name val="Helv"/>
    </font>
    <font>
      <u/>
      <sz val="10"/>
      <color theme="1"/>
      <name val="Arial"/>
      <family val="2"/>
    </font>
    <font>
      <u/>
      <sz val="10"/>
      <color theme="10"/>
      <name val="Arial"/>
      <family val="2"/>
    </font>
    <font>
      <b/>
      <sz val="12"/>
      <color theme="1"/>
      <name val="Arial"/>
      <family val="2"/>
    </font>
    <font>
      <sz val="10"/>
      <color indexed="8"/>
      <name val="Arial"/>
      <family val="2"/>
    </font>
    <font>
      <sz val="10"/>
      <name val="MS Sans Serif"/>
      <family val="2"/>
    </font>
    <font>
      <sz val="11"/>
      <color rgb="FF000000"/>
      <name val="Calibri"/>
      <family val="2"/>
      <scheme val="minor"/>
    </font>
    <font>
      <sz val="12"/>
      <name val="Arial"/>
      <family val="2"/>
    </font>
    <font>
      <sz val="14"/>
      <name val="Arial MT"/>
    </font>
    <font>
      <sz val="12.5"/>
      <name val="Arial"/>
      <family val="2"/>
    </font>
    <font>
      <b/>
      <sz val="12.5"/>
      <name val="Arial"/>
      <family val="2"/>
    </font>
    <font>
      <sz val="12.5"/>
      <color indexed="8"/>
      <name val="Arial"/>
      <family val="2"/>
    </font>
    <font>
      <b/>
      <i/>
      <sz val="18"/>
      <name val="Arial"/>
      <family val="2"/>
    </font>
    <font>
      <b/>
      <i/>
      <sz val="14"/>
      <name val="SWISS"/>
    </font>
    <font>
      <b/>
      <sz val="8"/>
      <name val="SWISS"/>
    </font>
    <font>
      <b/>
      <i/>
      <sz val="12"/>
      <name val="Arial"/>
      <family val="2"/>
    </font>
    <font>
      <b/>
      <sz val="13"/>
      <name val="Arrial"/>
    </font>
    <font>
      <i/>
      <sz val="16"/>
      <name val="Arial"/>
      <family val="2"/>
    </font>
    <font>
      <sz val="12"/>
      <name val="Arial"/>
      <family val="2"/>
    </font>
    <font>
      <sz val="12"/>
      <color rgb="FFFF0000"/>
      <name val="Arial"/>
      <family val="2"/>
    </font>
    <font>
      <b/>
      <sz val="12"/>
      <color rgb="FFFF0000"/>
      <name val="Arial"/>
      <family val="2"/>
    </font>
    <font>
      <sz val="10"/>
      <color theme="1"/>
      <name val="Arial"/>
      <family val="2"/>
    </font>
    <font>
      <sz val="14"/>
      <name val="Arial"/>
      <family val="2"/>
    </font>
    <font>
      <b/>
      <sz val="16"/>
      <color indexed="8"/>
      <name val="Arial"/>
      <family val="2"/>
    </font>
    <font>
      <u/>
      <sz val="10"/>
      <color rgb="FF0000FF"/>
      <name val="Arial"/>
      <family val="2"/>
    </font>
    <font>
      <b/>
      <u/>
      <sz val="10"/>
      <color rgb="FF0000FF"/>
      <name val="Arial"/>
      <family val="2"/>
    </font>
    <font>
      <sz val="10"/>
      <name val="Arial"/>
      <family val="2"/>
    </font>
    <font>
      <sz val="10"/>
      <name val="Arial Unicode MS"/>
      <family val="2"/>
    </font>
    <font>
      <b/>
      <sz val="10"/>
      <name val="Arial Unicode MS"/>
      <family val="2"/>
    </font>
    <font>
      <sz val="10"/>
      <name val="Arial Unicode MS"/>
      <family val="2"/>
    </font>
    <font>
      <sz val="10"/>
      <name val="Arial"/>
      <family val="2"/>
    </font>
    <font>
      <sz val="12"/>
      <name val="Arial"/>
      <family val="2"/>
    </font>
    <font>
      <sz val="10"/>
      <name val="Arial"/>
      <family val="2"/>
    </font>
    <font>
      <sz val="10"/>
      <name val="Arial"/>
      <family val="2"/>
    </font>
    <font>
      <sz val="10"/>
      <color theme="1"/>
      <name val="SCRRMN"/>
    </font>
    <font>
      <sz val="10"/>
      <name val="Arial"/>
      <family val="2"/>
    </font>
    <font>
      <sz val="12"/>
      <color theme="0"/>
      <name val="Arial"/>
      <family val="2"/>
    </font>
    <font>
      <sz val="12"/>
      <name val="Arial"/>
      <family val="2"/>
    </font>
    <font>
      <sz val="11"/>
      <name val="SWISS"/>
    </font>
    <font>
      <sz val="10"/>
      <name val="Arial"/>
      <family val="2"/>
    </font>
    <font>
      <b/>
      <sz val="14"/>
      <color theme="1"/>
      <name val="Arial"/>
      <family val="2"/>
    </font>
    <font>
      <b/>
      <sz val="16"/>
      <color theme="1"/>
      <name val="Calibri"/>
      <family val="2"/>
      <scheme val="minor"/>
    </font>
    <font>
      <b/>
      <sz val="16"/>
      <name val="Calibri"/>
      <family val="2"/>
      <scheme val="minor"/>
    </font>
    <font>
      <b/>
      <i/>
      <sz val="16"/>
      <name val="Arial"/>
      <family val="2"/>
    </font>
    <font>
      <b/>
      <sz val="12"/>
      <color indexed="32"/>
      <name val="Arial"/>
      <family val="2"/>
    </font>
    <font>
      <b/>
      <u/>
      <sz val="12"/>
      <color theme="1"/>
      <name val="Arial"/>
      <family val="2"/>
    </font>
    <font>
      <b/>
      <vertAlign val="superscript"/>
      <sz val="12"/>
      <name val="Arial"/>
      <family val="2"/>
    </font>
    <font>
      <b/>
      <sz val="12"/>
      <color theme="1"/>
      <name val="Calibri"/>
      <family val="2"/>
      <scheme val="minor"/>
    </font>
    <font>
      <u/>
      <sz val="12"/>
      <color theme="1"/>
      <name val="Arial"/>
      <family val="2"/>
    </font>
    <font>
      <b/>
      <vertAlign val="superscript"/>
      <sz val="12"/>
      <color theme="1"/>
      <name val="Arial"/>
      <family val="2"/>
    </font>
    <font>
      <b/>
      <vertAlign val="superscript"/>
      <sz val="14"/>
      <color theme="1"/>
      <name val="Arial"/>
      <family val="2"/>
    </font>
    <font>
      <vertAlign val="superscript"/>
      <sz val="10"/>
      <color theme="1"/>
      <name val="Arial"/>
      <family val="2"/>
    </font>
    <font>
      <sz val="14"/>
      <color theme="1"/>
      <name val="Arial"/>
      <family val="2"/>
    </font>
    <font>
      <sz val="10"/>
      <name val="Arial"/>
      <family val="2"/>
    </font>
    <font>
      <b/>
      <i/>
      <sz val="14"/>
      <name val="Arial"/>
      <family val="2"/>
    </font>
    <font>
      <b/>
      <sz val="24"/>
      <name val="Arial Narrow"/>
      <family val="2"/>
    </font>
    <font>
      <i/>
      <sz val="10"/>
      <name val="Arial"/>
      <family val="2"/>
    </font>
    <font>
      <sz val="9"/>
      <color indexed="18"/>
      <name val="Arial"/>
      <family val="2"/>
    </font>
    <font>
      <i/>
      <sz val="10"/>
      <color indexed="18"/>
      <name val="Arial"/>
      <family val="2"/>
    </font>
    <font>
      <sz val="10"/>
      <color indexed="18"/>
      <name val="Arial"/>
      <family val="2"/>
    </font>
    <font>
      <sz val="8"/>
      <color indexed="18"/>
      <name val="Arial"/>
      <family val="2"/>
    </font>
    <font>
      <i/>
      <sz val="9"/>
      <color indexed="18"/>
      <name val="Arial"/>
      <family val="2"/>
    </font>
    <font>
      <sz val="8"/>
      <color indexed="38"/>
      <name val="Arial"/>
      <family val="2"/>
    </font>
    <font>
      <i/>
      <sz val="11"/>
      <name val="Arial"/>
      <family val="2"/>
    </font>
    <font>
      <vertAlign val="superscript"/>
      <sz val="12"/>
      <name val="Arial"/>
      <family val="2"/>
    </font>
    <font>
      <sz val="18"/>
      <color rgb="FFFF0000"/>
      <name val="Arial"/>
      <family val="2"/>
    </font>
    <font>
      <sz val="10"/>
      <name val="Arial"/>
      <family val="2"/>
    </font>
    <font>
      <b/>
      <sz val="11"/>
      <name val="Calibri"/>
      <family val="2"/>
      <scheme val="minor"/>
    </font>
    <font>
      <sz val="12"/>
      <color rgb="FF000000"/>
      <name val="Arial"/>
      <family val="2"/>
    </font>
    <font>
      <b/>
      <sz val="12"/>
      <color rgb="FF000000"/>
      <name val="Arial"/>
      <family val="2"/>
    </font>
    <font>
      <sz val="10"/>
      <color rgb="FF000000"/>
      <name val="Arial"/>
      <family val="2"/>
    </font>
    <font>
      <sz val="8"/>
      <color rgb="FFFF0000"/>
      <name val="Arial"/>
      <family val="2"/>
    </font>
    <font>
      <sz val="10"/>
      <color rgb="FFFF0000"/>
      <name val="Arial"/>
      <family val="2"/>
    </font>
    <font>
      <sz val="12"/>
      <color rgb="FFFF0000"/>
      <name val="SWISS"/>
    </font>
    <font>
      <sz val="8"/>
      <color rgb="FF000000"/>
      <name val="Arial"/>
      <family val="2"/>
    </font>
    <font>
      <sz val="8"/>
      <color rgb="FF000000"/>
      <name val="Helvetica-Narrow"/>
      <family val="2"/>
    </font>
    <font>
      <b/>
      <sz val="16"/>
      <color rgb="FF000000"/>
      <name val="Arial"/>
      <family val="2"/>
    </font>
    <font>
      <sz val="16"/>
      <color rgb="FF000000"/>
      <name val="Arial"/>
      <family val="2"/>
    </font>
    <font>
      <b/>
      <sz val="10"/>
      <color rgb="FF000000"/>
      <name val="Arial"/>
      <family val="2"/>
    </font>
    <font>
      <b/>
      <sz val="8"/>
      <color rgb="FF000000"/>
      <name val="Arial"/>
      <family val="2"/>
    </font>
    <font>
      <sz val="9"/>
      <color rgb="FF000000"/>
      <name val="Arial"/>
      <family val="2"/>
    </font>
    <font>
      <sz val="12"/>
      <color rgb="FF000000"/>
      <name val="Helvetica-Narrow"/>
      <family val="2"/>
    </font>
    <font>
      <b/>
      <sz val="12"/>
      <color rgb="FF000000"/>
      <name val="Helv"/>
    </font>
    <font>
      <sz val="12"/>
      <color rgb="FF000000"/>
      <name val="Helv"/>
    </font>
    <font>
      <sz val="10"/>
      <color rgb="FF000000"/>
      <name val="SWISS"/>
    </font>
    <font>
      <sz val="12"/>
      <color rgb="FF000000"/>
      <name val="Calibri"/>
      <family val="2"/>
    </font>
    <font>
      <b/>
      <sz val="11"/>
      <color rgb="FFFF0000"/>
      <name val="Arial"/>
      <family val="2"/>
    </font>
    <font>
      <b/>
      <sz val="10"/>
      <color rgb="FFFF0000"/>
      <name val="Arial"/>
      <family val="2"/>
    </font>
  </fonts>
  <fills count="59">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9"/>
        <bgColor indexed="64"/>
      </patternFill>
    </fill>
    <fill>
      <patternFill patternType="solid">
        <fgColor theme="0"/>
        <bgColor indexed="64"/>
      </patternFill>
    </fill>
    <fill>
      <patternFill patternType="solid">
        <fgColor indexed="22"/>
        <bgColor indexed="64"/>
      </patternFill>
    </fill>
    <fill>
      <patternFill patternType="solid">
        <fgColor indexed="30"/>
      </patternFill>
    </fill>
    <fill>
      <patternFill patternType="solid">
        <fgColor indexed="29"/>
      </patternFill>
    </fill>
    <fill>
      <patternFill patternType="solid">
        <fgColor indexed="11"/>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5"/>
      </patternFill>
    </fill>
    <fill>
      <patternFill patternType="solid">
        <fgColor indexed="22"/>
      </patternFill>
    </fill>
    <fill>
      <patternFill patternType="solid">
        <fgColor indexed="55"/>
      </patternFill>
    </fill>
    <fill>
      <patternFill patternType="solid">
        <fgColor indexed="42"/>
      </patternFill>
    </fill>
    <fill>
      <patternFill patternType="solid">
        <fgColor indexed="47"/>
      </patternFill>
    </fill>
    <fill>
      <patternFill patternType="solid">
        <fgColor indexed="43"/>
      </patternFill>
    </fill>
    <fill>
      <patternFill patternType="solid">
        <fgColor indexed="31"/>
      </patternFill>
    </fill>
    <fill>
      <patternFill patternType="solid">
        <fgColor indexed="46"/>
      </patternFill>
    </fill>
    <fill>
      <patternFill patternType="solid">
        <fgColor indexed="27"/>
      </patternFill>
    </fill>
    <fill>
      <patternFill patternType="solid">
        <fgColor indexed="44"/>
      </patternFill>
    </fill>
    <fill>
      <patternFill patternType="solid">
        <fgColor indexed="51"/>
      </patternFill>
    </fill>
    <fill>
      <patternFill patternType="solid">
        <fgColor indexed="26"/>
      </patternFill>
    </fill>
    <fill>
      <patternFill patternType="solid">
        <fgColor theme="1"/>
        <bgColor indexed="64"/>
      </patternFill>
    </fill>
  </fills>
  <borders count="95">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style="thin">
        <color indexed="64"/>
      </right>
      <top/>
      <bottom/>
      <diagonal/>
    </border>
    <border>
      <left style="thick">
        <color indexed="64"/>
      </left>
      <right/>
      <top/>
      <bottom/>
      <diagonal/>
    </border>
    <border>
      <left/>
      <right/>
      <top/>
      <bottom style="double">
        <color indexed="64"/>
      </bottom>
      <diagonal/>
    </border>
    <border>
      <left style="thin">
        <color indexed="64"/>
      </left>
      <right/>
      <top/>
      <bottom/>
      <diagonal/>
    </border>
    <border>
      <left style="thin">
        <color indexed="8"/>
      </left>
      <right/>
      <top/>
      <bottom/>
      <diagonal/>
    </border>
    <border>
      <left style="thin">
        <color indexed="8"/>
      </left>
      <right/>
      <top/>
      <bottom style="thin">
        <color indexed="64"/>
      </bottom>
      <diagonal/>
    </border>
    <border>
      <left style="thin">
        <color indexed="8"/>
      </left>
      <right style="thin">
        <color indexed="8"/>
      </right>
      <top/>
      <bottom/>
      <diagonal/>
    </border>
    <border>
      <left style="thin">
        <color auto="1"/>
      </left>
      <right/>
      <top/>
      <bottom/>
      <diagonal/>
    </border>
    <border>
      <left style="thin">
        <color indexed="8"/>
      </left>
      <right style="thin">
        <color indexed="64"/>
      </right>
      <top/>
      <bottom/>
      <diagonal/>
    </border>
    <border>
      <left/>
      <right/>
      <top style="double">
        <color indexed="8"/>
      </top>
      <bottom/>
      <diagonal/>
    </border>
    <border>
      <left/>
      <right/>
      <top/>
      <bottom style="double">
        <color indexed="8"/>
      </bottom>
      <diagonal/>
    </border>
    <border>
      <left/>
      <right/>
      <top style="double">
        <color indexed="64"/>
      </top>
      <bottom/>
      <diagonal/>
    </border>
    <border>
      <left/>
      <right/>
      <top/>
      <bottom style="thin">
        <color indexed="8"/>
      </bottom>
      <diagonal/>
    </border>
    <border>
      <left/>
      <right style="medium">
        <color indexed="64"/>
      </right>
      <top/>
      <bottom/>
      <diagonal/>
    </border>
    <border>
      <left/>
      <right/>
      <top style="thin">
        <color auto="1"/>
      </top>
      <bottom style="thin">
        <color indexed="64"/>
      </bottom>
      <diagonal/>
    </border>
    <border>
      <left/>
      <right/>
      <top style="thin">
        <color auto="1"/>
      </top>
      <bottom/>
      <diagonal/>
    </border>
    <border>
      <left/>
      <right style="thick">
        <color indexed="64"/>
      </right>
      <top/>
      <bottom/>
      <diagonal/>
    </border>
    <border>
      <left style="thin">
        <color indexed="64"/>
      </left>
      <right style="thin">
        <color indexed="64"/>
      </right>
      <top/>
      <bottom style="thin">
        <color indexed="64"/>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auto="1"/>
      </bottom>
      <diagonal/>
    </border>
    <border>
      <left style="double">
        <color indexed="8"/>
      </left>
      <right/>
      <top style="double">
        <color indexed="8"/>
      </top>
      <bottom/>
      <diagonal/>
    </border>
    <border>
      <left style="double">
        <color indexed="8"/>
      </left>
      <right/>
      <top/>
      <bottom/>
      <diagonal/>
    </border>
    <border>
      <left style="thin">
        <color indexed="22"/>
      </left>
      <right style="thin">
        <color indexed="22"/>
      </right>
      <top style="thin">
        <color indexed="22"/>
      </top>
      <bottom style="thin">
        <color indexed="22"/>
      </bottom>
      <diagonal/>
    </border>
    <border>
      <left style="thin">
        <color auto="1"/>
      </left>
      <right style="thin">
        <color indexed="64"/>
      </right>
      <top/>
      <bottom/>
      <diagonal/>
    </border>
    <border>
      <left/>
      <right style="thin">
        <color auto="1"/>
      </right>
      <top/>
      <bottom/>
      <diagonal/>
    </border>
    <border>
      <left/>
      <right style="thin">
        <color indexed="8"/>
      </right>
      <top/>
      <bottom/>
      <diagonal/>
    </border>
    <border>
      <left style="thin">
        <color auto="1"/>
      </left>
      <right/>
      <top style="thin">
        <color indexed="64"/>
      </top>
      <bottom style="double">
        <color indexed="64"/>
      </bottom>
      <diagonal/>
    </border>
    <border>
      <left/>
      <right/>
      <top/>
      <bottom style="double">
        <color auto="1"/>
      </bottom>
      <diagonal/>
    </border>
    <border>
      <left/>
      <right style="thin">
        <color auto="1"/>
      </right>
      <top/>
      <bottom/>
      <diagonal/>
    </border>
    <border>
      <left/>
      <right/>
      <top style="thin">
        <color indexed="8"/>
      </top>
      <bottom style="thin">
        <color indexed="8"/>
      </bottom>
      <diagonal/>
    </border>
    <border>
      <left/>
      <right/>
      <top style="thin">
        <color indexed="64"/>
      </top>
      <bottom style="double">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right style="thin">
        <color indexed="64"/>
      </right>
      <top/>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8"/>
      </bottom>
      <diagonal/>
    </border>
    <border>
      <left/>
      <right style="thin">
        <color indexed="8"/>
      </right>
      <top/>
      <bottom style="thin">
        <color indexed="64"/>
      </bottom>
      <diagonal/>
    </border>
    <border>
      <left/>
      <right style="thin">
        <color indexed="8"/>
      </right>
      <top/>
      <bottom style="double">
        <color indexed="64"/>
      </bottom>
      <diagonal/>
    </border>
    <border>
      <left/>
      <right/>
      <top style="thin">
        <color indexed="8"/>
      </top>
      <bottom/>
      <diagonal/>
    </border>
    <border>
      <left/>
      <right/>
      <top style="thin">
        <color indexed="64"/>
      </top>
      <bottom/>
      <diagonal/>
    </border>
    <border>
      <left/>
      <right/>
      <top style="thin">
        <color indexed="8"/>
      </top>
      <bottom style="thin">
        <color indexed="64"/>
      </bottom>
      <diagonal/>
    </border>
    <border>
      <left/>
      <right/>
      <top style="thin">
        <color indexed="8"/>
      </top>
      <bottom style="double">
        <color indexed="64"/>
      </bottom>
      <diagonal/>
    </border>
    <border>
      <left/>
      <right style="thin">
        <color auto="1"/>
      </right>
      <top/>
      <bottom/>
      <diagonal/>
    </border>
    <border>
      <left/>
      <right/>
      <top style="thin">
        <color indexed="64"/>
      </top>
      <bottom style="thin">
        <color auto="1"/>
      </bottom>
      <diagonal/>
    </border>
    <border>
      <left/>
      <right style="thin">
        <color indexed="64"/>
      </right>
      <top/>
      <bottom/>
      <diagonal/>
    </border>
    <border>
      <left style="thin">
        <color indexed="8"/>
      </left>
      <right/>
      <top style="thin">
        <color indexed="8"/>
      </top>
      <bottom/>
      <diagonal/>
    </border>
    <border>
      <left style="thin">
        <color indexed="8"/>
      </left>
      <right/>
      <top style="thin">
        <color indexed="64"/>
      </top>
      <bottom style="thin">
        <color indexed="64"/>
      </bottom>
      <diagonal/>
    </border>
    <border>
      <left/>
      <right style="thin">
        <color indexed="8"/>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8"/>
      </right>
      <top style="thin">
        <color indexed="8"/>
      </top>
      <bottom style="double">
        <color indexed="8"/>
      </bottom>
      <diagonal/>
    </border>
    <border>
      <left/>
      <right style="thin">
        <color indexed="64"/>
      </right>
      <top style="thin">
        <color indexed="8"/>
      </top>
      <bottom/>
      <diagonal/>
    </border>
    <border>
      <left style="thin">
        <color indexed="64"/>
      </left>
      <right/>
      <top style="thin">
        <color indexed="8"/>
      </top>
      <bottom/>
      <diagonal/>
    </border>
    <border>
      <left/>
      <right style="thin">
        <color indexed="64"/>
      </right>
      <top style="thin">
        <color indexed="64"/>
      </top>
      <bottom/>
      <diagonal/>
    </border>
    <border>
      <left/>
      <right/>
      <top style="thin">
        <color indexed="8"/>
      </top>
      <bottom style="double">
        <color indexed="8"/>
      </bottom>
      <diagonal/>
    </border>
    <border>
      <left/>
      <right style="thin">
        <color indexed="64"/>
      </right>
      <top style="thin">
        <color indexed="8"/>
      </top>
      <bottom style="double">
        <color indexed="8"/>
      </bottom>
      <diagonal/>
    </border>
    <border>
      <left style="thin">
        <color indexed="64"/>
      </left>
      <right/>
      <top style="thin">
        <color indexed="64"/>
      </top>
      <bottom/>
      <diagonal/>
    </border>
    <border>
      <left/>
      <right/>
      <top/>
      <bottom style="thin">
        <color rgb="FF000000"/>
      </bottom>
      <diagonal/>
    </border>
    <border>
      <left/>
      <right/>
      <top/>
      <bottom style="double">
        <color rgb="FF000000"/>
      </bottom>
      <diagonal/>
    </border>
    <border>
      <left/>
      <right style="thin">
        <color indexed="64"/>
      </right>
      <top/>
      <bottom/>
      <diagonal/>
    </border>
    <border>
      <left/>
      <right style="thin">
        <color indexed="8"/>
      </right>
      <top/>
      <bottom/>
      <diagonal/>
    </border>
    <border>
      <left/>
      <right style="thin">
        <color auto="1"/>
      </right>
      <top/>
      <bottom/>
      <diagonal/>
    </border>
  </borders>
  <cellStyleXfs count="49832">
    <xf numFmtId="164" fontId="0" fillId="0" borderId="0"/>
    <xf numFmtId="43" fontId="43" fillId="0" borderId="0" applyFont="0" applyFill="0" applyBorder="0" applyAlignment="0" applyProtection="0"/>
    <xf numFmtId="0" fontId="41" fillId="0" borderId="0"/>
    <xf numFmtId="0" fontId="41" fillId="0" borderId="0"/>
    <xf numFmtId="0" fontId="88" fillId="0" borderId="0"/>
    <xf numFmtId="43" fontId="88" fillId="0" borderId="0" applyFont="0" applyFill="0" applyBorder="0" applyAlignment="0" applyProtection="0"/>
    <xf numFmtId="44" fontId="43" fillId="0" borderId="0" applyFont="0" applyFill="0" applyBorder="0" applyAlignment="0" applyProtection="0"/>
    <xf numFmtId="9" fontId="43" fillId="0" borderId="0" applyFont="0" applyFill="0" applyBorder="0" applyAlignment="0" applyProtection="0"/>
    <xf numFmtId="0" fontId="100" fillId="0" borderId="0"/>
    <xf numFmtId="43" fontId="101" fillId="0" borderId="0" applyFont="0" applyFill="0" applyBorder="0" applyAlignment="0" applyProtection="0"/>
    <xf numFmtId="0" fontId="41" fillId="0" borderId="0"/>
    <xf numFmtId="43" fontId="46" fillId="0" borderId="0" applyFont="0" applyFill="0" applyBorder="0" applyAlignment="0" applyProtection="0"/>
    <xf numFmtId="40" fontId="106" fillId="33" borderId="0">
      <alignment horizontal="right"/>
    </xf>
    <xf numFmtId="0" fontId="107" fillId="33" borderId="0">
      <alignment horizontal="right"/>
    </xf>
    <xf numFmtId="0" fontId="108" fillId="33" borderId="13"/>
    <xf numFmtId="0" fontId="108" fillId="0" borderId="0" applyBorder="0">
      <alignment horizontal="centerContinuous"/>
    </xf>
    <xf numFmtId="0" fontId="109" fillId="0" borderId="0" applyBorder="0">
      <alignment horizontal="centerContinuous"/>
    </xf>
    <xf numFmtId="175" fontId="41" fillId="0" borderId="0"/>
    <xf numFmtId="175" fontId="43" fillId="0" borderId="0"/>
    <xf numFmtId="0" fontId="43" fillId="0" borderId="0"/>
    <xf numFmtId="0" fontId="24" fillId="0" borderId="0"/>
    <xf numFmtId="43" fontId="24" fillId="0" borderId="0" applyFont="0" applyFill="0" applyBorder="0" applyAlignment="0" applyProtection="0"/>
    <xf numFmtId="0" fontId="24" fillId="8" borderId="8" applyNumberFormat="0" applyFont="0" applyAlignment="0" applyProtection="0"/>
    <xf numFmtId="0" fontId="114" fillId="0" borderId="0"/>
    <xf numFmtId="43" fontId="115" fillId="0" borderId="0" applyFont="0" applyFill="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44" fontId="24" fillId="0" borderId="0" applyFont="0" applyFill="0" applyBorder="0" applyAlignment="0" applyProtection="0"/>
    <xf numFmtId="0" fontId="41" fillId="0" borderId="0"/>
    <xf numFmtId="0" fontId="101" fillId="0" borderId="0"/>
    <xf numFmtId="43" fontId="101" fillId="0" borderId="0" applyFont="0" applyFill="0" applyBorder="0" applyAlignment="0" applyProtection="0"/>
    <xf numFmtId="0" fontId="40" fillId="12" borderId="0" applyNumberFormat="0" applyBorder="0" applyAlignment="0" applyProtection="0"/>
    <xf numFmtId="0" fontId="89" fillId="36" borderId="0" applyNumberFormat="0" applyBorder="0" applyAlignment="0" applyProtection="0"/>
    <xf numFmtId="0" fontId="89" fillId="36" borderId="0" applyNumberFormat="0" applyBorder="0" applyAlignment="0" applyProtection="0"/>
    <xf numFmtId="0" fontId="40" fillId="16" borderId="0" applyNumberFormat="0" applyBorder="0" applyAlignment="0" applyProtection="0"/>
    <xf numFmtId="0" fontId="89" fillId="37" borderId="0" applyNumberFormat="0" applyBorder="0" applyAlignment="0" applyProtection="0"/>
    <xf numFmtId="0" fontId="89" fillId="37" borderId="0" applyNumberFormat="0" applyBorder="0" applyAlignment="0" applyProtection="0"/>
    <xf numFmtId="0" fontId="40" fillId="20" borderId="0" applyNumberFormat="0" applyBorder="0" applyAlignment="0" applyProtection="0"/>
    <xf numFmtId="0" fontId="89" fillId="38" borderId="0" applyNumberFormat="0" applyBorder="0" applyAlignment="0" applyProtection="0"/>
    <xf numFmtId="0" fontId="89" fillId="38" borderId="0" applyNumberFormat="0" applyBorder="0" applyAlignment="0" applyProtection="0"/>
    <xf numFmtId="0" fontId="40" fillId="24" borderId="0" applyNumberFormat="0" applyBorder="0" applyAlignment="0" applyProtection="0"/>
    <xf numFmtId="0" fontId="89" fillId="39" borderId="0" applyNumberFormat="0" applyBorder="0" applyAlignment="0" applyProtection="0"/>
    <xf numFmtId="0" fontId="89" fillId="39" borderId="0" applyNumberFormat="0" applyBorder="0" applyAlignment="0" applyProtection="0"/>
    <xf numFmtId="0" fontId="40" fillId="28" borderId="0" applyNumberFormat="0" applyBorder="0" applyAlignment="0" applyProtection="0"/>
    <xf numFmtId="0" fontId="89" fillId="40" borderId="0" applyNumberFormat="0" applyBorder="0" applyAlignment="0" applyProtection="0"/>
    <xf numFmtId="0" fontId="89" fillId="40" borderId="0" applyNumberFormat="0" applyBorder="0" applyAlignment="0" applyProtection="0"/>
    <xf numFmtId="0" fontId="40" fillId="32" borderId="0" applyNumberFormat="0" applyBorder="0" applyAlignment="0" applyProtection="0"/>
    <xf numFmtId="0" fontId="89" fillId="41" borderId="0" applyNumberFormat="0" applyBorder="0" applyAlignment="0" applyProtection="0"/>
    <xf numFmtId="0" fontId="89" fillId="41" borderId="0" applyNumberFormat="0" applyBorder="0" applyAlignment="0" applyProtection="0"/>
    <xf numFmtId="0" fontId="40" fillId="9" borderId="0" applyNumberFormat="0" applyBorder="0" applyAlignment="0" applyProtection="0"/>
    <xf numFmtId="0" fontId="89" fillId="42" borderId="0" applyNumberFormat="0" applyBorder="0" applyAlignment="0" applyProtection="0"/>
    <xf numFmtId="0" fontId="89" fillId="42" borderId="0" applyNumberFormat="0" applyBorder="0" applyAlignment="0" applyProtection="0"/>
    <xf numFmtId="0" fontId="40" fillId="13" borderId="0" applyNumberFormat="0" applyBorder="0" applyAlignment="0" applyProtection="0"/>
    <xf numFmtId="0" fontId="89" fillId="43" borderId="0" applyNumberFormat="0" applyBorder="0" applyAlignment="0" applyProtection="0"/>
    <xf numFmtId="0" fontId="89" fillId="43" borderId="0" applyNumberFormat="0" applyBorder="0" applyAlignment="0" applyProtection="0"/>
    <xf numFmtId="0" fontId="40" fillId="17" borderId="0" applyNumberFormat="0" applyBorder="0" applyAlignment="0" applyProtection="0"/>
    <xf numFmtId="0" fontId="89" fillId="44" borderId="0" applyNumberFormat="0" applyBorder="0" applyAlignment="0" applyProtection="0"/>
    <xf numFmtId="0" fontId="89" fillId="44" borderId="0" applyNumberFormat="0" applyBorder="0" applyAlignment="0" applyProtection="0"/>
    <xf numFmtId="0" fontId="40" fillId="21" borderId="0" applyNumberFormat="0" applyBorder="0" applyAlignment="0" applyProtection="0"/>
    <xf numFmtId="0" fontId="89" fillId="39" borderId="0" applyNumberFormat="0" applyBorder="0" applyAlignment="0" applyProtection="0"/>
    <xf numFmtId="0" fontId="89" fillId="39" borderId="0" applyNumberFormat="0" applyBorder="0" applyAlignment="0" applyProtection="0"/>
    <xf numFmtId="0" fontId="40" fillId="25" borderId="0" applyNumberFormat="0" applyBorder="0" applyAlignment="0" applyProtection="0"/>
    <xf numFmtId="0" fontId="89" fillId="40" borderId="0" applyNumberFormat="0" applyBorder="0" applyAlignment="0" applyProtection="0"/>
    <xf numFmtId="0" fontId="89" fillId="40" borderId="0" applyNumberFormat="0" applyBorder="0" applyAlignment="0" applyProtection="0"/>
    <xf numFmtId="0" fontId="40" fillId="29" borderId="0" applyNumberFormat="0" applyBorder="0" applyAlignment="0" applyProtection="0"/>
    <xf numFmtId="0" fontId="89" fillId="45" borderId="0" applyNumberFormat="0" applyBorder="0" applyAlignment="0" applyProtection="0"/>
    <xf numFmtId="0" fontId="89" fillId="45" borderId="0" applyNumberFormat="0" applyBorder="0" applyAlignment="0" applyProtection="0"/>
    <xf numFmtId="0" fontId="30" fillId="3" borderId="0" applyNumberFormat="0" applyBorder="0" applyAlignment="0" applyProtection="0"/>
    <xf numFmtId="0" fontId="119" fillId="46" borderId="0" applyNumberFormat="0" applyBorder="0" applyAlignment="0" applyProtection="0"/>
    <xf numFmtId="0" fontId="119" fillId="46" borderId="0" applyNumberFormat="0" applyBorder="0" applyAlignment="0" applyProtection="0"/>
    <xf numFmtId="0" fontId="34" fillId="6" borderId="4" applyNumberFormat="0" applyAlignment="0" applyProtection="0"/>
    <xf numFmtId="0" fontId="120" fillId="47" borderId="40" applyNumberFormat="0" applyAlignment="0" applyProtection="0"/>
    <xf numFmtId="0" fontId="120" fillId="47" borderId="40" applyNumberFormat="0" applyAlignment="0" applyProtection="0"/>
    <xf numFmtId="0" fontId="36" fillId="7" borderId="7" applyNumberFormat="0" applyAlignment="0" applyProtection="0"/>
    <xf numFmtId="0" fontId="117" fillId="48" borderId="41" applyNumberFormat="0" applyAlignment="0" applyProtection="0"/>
    <xf numFmtId="0" fontId="117" fillId="48" borderId="41" applyNumberFormat="0" applyAlignment="0" applyProtection="0"/>
    <xf numFmtId="0" fontId="38"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29" fillId="2" borderId="0" applyNumberFormat="0" applyBorder="0" applyAlignment="0" applyProtection="0"/>
    <xf numFmtId="0" fontId="122" fillId="49" borderId="0" applyNumberFormat="0" applyBorder="0" applyAlignment="0" applyProtection="0"/>
    <xf numFmtId="0" fontId="122" fillId="49" borderId="0" applyNumberFormat="0" applyBorder="0" applyAlignment="0" applyProtection="0"/>
    <xf numFmtId="0" fontId="26" fillId="0" borderId="1" applyNumberFormat="0" applyFill="0" applyAlignment="0" applyProtection="0"/>
    <xf numFmtId="0" fontId="123" fillId="0" borderId="42" applyNumberFormat="0" applyFill="0" applyAlignment="0" applyProtection="0"/>
    <xf numFmtId="0" fontId="123" fillId="0" borderId="42" applyNumberFormat="0" applyFill="0" applyAlignment="0" applyProtection="0"/>
    <xf numFmtId="0" fontId="27" fillId="0" borderId="2" applyNumberFormat="0" applyFill="0" applyAlignment="0" applyProtection="0"/>
    <xf numFmtId="0" fontId="124" fillId="0" borderId="43" applyNumberFormat="0" applyFill="0" applyAlignment="0" applyProtection="0"/>
    <xf numFmtId="0" fontId="124" fillId="0" borderId="43" applyNumberFormat="0" applyFill="0" applyAlignment="0" applyProtection="0"/>
    <xf numFmtId="0" fontId="28" fillId="0" borderId="3" applyNumberFormat="0" applyFill="0" applyAlignment="0" applyProtection="0"/>
    <xf numFmtId="0" fontId="125" fillId="0" borderId="44" applyNumberFormat="0" applyFill="0" applyAlignment="0" applyProtection="0"/>
    <xf numFmtId="0" fontId="125" fillId="0" borderId="44" applyNumberFormat="0" applyFill="0" applyAlignment="0" applyProtection="0"/>
    <xf numFmtId="0" fontId="28"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32" fillId="5" borderId="4" applyNumberFormat="0" applyAlignment="0" applyProtection="0"/>
    <xf numFmtId="0" fontId="126" fillId="50" borderId="40" applyNumberFormat="0" applyAlignment="0" applyProtection="0"/>
    <xf numFmtId="0" fontId="126" fillId="50" borderId="40" applyNumberFormat="0" applyAlignment="0" applyProtection="0"/>
    <xf numFmtId="0" fontId="35" fillId="0" borderId="6" applyNumberFormat="0" applyFill="0" applyAlignment="0" applyProtection="0"/>
    <xf numFmtId="0" fontId="127" fillId="0" borderId="45" applyNumberFormat="0" applyFill="0" applyAlignment="0" applyProtection="0"/>
    <xf numFmtId="0" fontId="127" fillId="0" borderId="45" applyNumberFormat="0" applyFill="0" applyAlignment="0" applyProtection="0"/>
    <xf numFmtId="0" fontId="31" fillId="4" borderId="0" applyNumberFormat="0" applyBorder="0" applyAlignment="0" applyProtection="0"/>
    <xf numFmtId="0" fontId="128" fillId="51" borderId="0" applyNumberFormat="0" applyBorder="0" applyAlignment="0" applyProtection="0"/>
    <xf numFmtId="0" fontId="128" fillId="51" borderId="0" applyNumberFormat="0" applyBorder="0" applyAlignment="0" applyProtection="0"/>
    <xf numFmtId="0" fontId="24" fillId="0" borderId="0"/>
    <xf numFmtId="0" fontId="33" fillId="6" borderId="5" applyNumberFormat="0" applyAlignment="0" applyProtection="0"/>
    <xf numFmtId="0" fontId="129" fillId="47" borderId="46" applyNumberFormat="0" applyAlignment="0" applyProtection="0"/>
    <xf numFmtId="0" fontId="129" fillId="47" borderId="46" applyNumberFormat="0" applyAlignment="0" applyProtection="0"/>
    <xf numFmtId="0" fontId="25"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39" fillId="0" borderId="9" applyNumberFormat="0" applyFill="0" applyAlignment="0" applyProtection="0"/>
    <xf numFmtId="0" fontId="60" fillId="0" borderId="47" applyNumberFormat="0" applyFill="0" applyAlignment="0" applyProtection="0"/>
    <xf numFmtId="0" fontId="60" fillId="0" borderId="47" applyNumberFormat="0" applyFill="0" applyAlignment="0" applyProtection="0"/>
    <xf numFmtId="0" fontId="37" fillId="0" borderId="0" applyNumberFormat="0" applyFill="0" applyBorder="0" applyAlignment="0" applyProtection="0"/>
    <xf numFmtId="0" fontId="131" fillId="0" borderId="0" applyNumberFormat="0" applyFill="0" applyBorder="0" applyAlignment="0" applyProtection="0"/>
    <xf numFmtId="0" fontId="131" fillId="0" borderId="0" applyNumberFormat="0" applyFill="0" applyBorder="0" applyAlignment="0" applyProtection="0"/>
    <xf numFmtId="0" fontId="23" fillId="0" borderId="0"/>
    <xf numFmtId="0" fontId="41" fillId="0" borderId="0"/>
    <xf numFmtId="0" fontId="43" fillId="0" borderId="0"/>
    <xf numFmtId="0" fontId="41" fillId="0" borderId="0"/>
    <xf numFmtId="0" fontId="22" fillId="0" borderId="0"/>
    <xf numFmtId="43" fontId="22"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0" fontId="43" fillId="0" borderId="0"/>
    <xf numFmtId="0" fontId="43" fillId="0" borderId="0"/>
    <xf numFmtId="0" fontId="43" fillId="0" borderId="0"/>
    <xf numFmtId="0" fontId="43" fillId="0" borderId="0"/>
    <xf numFmtId="0" fontId="46" fillId="0" borderId="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4" borderId="0" applyNumberFormat="0" applyBorder="0" applyAlignment="0" applyProtection="0"/>
    <xf numFmtId="0" fontId="21" fillId="18" borderId="0" applyNumberFormat="0" applyBorder="0" applyAlignment="0" applyProtection="0"/>
    <xf numFmtId="0" fontId="21" fillId="22" borderId="0" applyNumberFormat="0" applyBorder="0" applyAlignment="0" applyProtection="0"/>
    <xf numFmtId="0" fontId="21" fillId="26" borderId="0" applyNumberFormat="0" applyBorder="0" applyAlignment="0" applyProtection="0"/>
    <xf numFmtId="0" fontId="21" fillId="30" borderId="0" applyNumberFormat="0" applyBorder="0" applyAlignment="0" applyProtection="0"/>
    <xf numFmtId="0" fontId="21" fillId="11" borderId="0" applyNumberFormat="0" applyBorder="0" applyAlignment="0" applyProtection="0"/>
    <xf numFmtId="0" fontId="21" fillId="15"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1" fillId="27" borderId="0" applyNumberFormat="0" applyBorder="0" applyAlignment="0" applyProtection="0"/>
    <xf numFmtId="0" fontId="21" fillId="31" borderId="0" applyNumberFormat="0" applyBorder="0" applyAlignment="0" applyProtection="0"/>
    <xf numFmtId="0" fontId="21" fillId="8" borderId="8" applyNumberFormat="0" applyFont="0" applyAlignment="0" applyProtection="0"/>
    <xf numFmtId="44" fontId="21" fillId="0" borderId="0" applyFont="0" applyFill="0" applyBorder="0" applyAlignment="0" applyProtection="0"/>
    <xf numFmtId="43" fontId="43" fillId="0" borderId="0" applyFont="0" applyFill="0" applyBorder="0" applyAlignment="0" applyProtection="0"/>
    <xf numFmtId="0" fontId="43" fillId="0" borderId="0"/>
    <xf numFmtId="0" fontId="101" fillId="0" borderId="0"/>
    <xf numFmtId="0" fontId="41" fillId="0" borderId="0"/>
    <xf numFmtId="0" fontId="149" fillId="0" borderId="0" applyNumberFormat="0" applyFill="0" applyBorder="0" applyAlignment="0" applyProtection="0">
      <alignment vertical="top"/>
      <protection locked="0"/>
    </xf>
    <xf numFmtId="0" fontId="151" fillId="52"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151" fillId="52"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151" fillId="46"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151" fillId="46"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151" fillId="49"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151" fillId="49"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151" fillId="53"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151" fillId="53"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151" fillId="54"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151" fillId="54"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151" fillId="5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151" fillId="5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151" fillId="55"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151" fillId="55"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151" fillId="37"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151" fillId="37"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151" fillId="38"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151" fillId="38"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151" fillId="5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151" fillId="5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151" fillId="55"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151" fillId="55"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151" fillId="56"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151" fillId="56"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21" fillId="0" borderId="0" applyFont="0" applyFill="0" applyBorder="0" applyAlignment="0" applyProtection="0"/>
    <xf numFmtId="43" fontId="100" fillId="0" borderId="0" applyFont="0" applyFill="0" applyBorder="0" applyAlignment="0" applyProtection="0"/>
    <xf numFmtId="44" fontId="100" fillId="0" borderId="0" applyFont="0" applyFill="0" applyBorder="0" applyAlignment="0" applyProtection="0"/>
    <xf numFmtId="44" fontId="100" fillId="0" borderId="0" applyFont="0" applyFill="0" applyBorder="0" applyAlignment="0" applyProtection="0"/>
    <xf numFmtId="0" fontId="153" fillId="0" borderId="0"/>
    <xf numFmtId="0" fontId="21" fillId="0" borderId="0"/>
    <xf numFmtId="0" fontId="21" fillId="0" borderId="0"/>
    <xf numFmtId="0" fontId="21" fillId="0" borderId="0"/>
    <xf numFmtId="0" fontId="100" fillId="0" borderId="0"/>
    <xf numFmtId="0" fontId="152" fillId="0" borderId="0"/>
    <xf numFmtId="0" fontId="21" fillId="0" borderId="0"/>
    <xf numFmtId="0" fontId="21" fillId="0" borderId="0"/>
    <xf numFmtId="0" fontId="21" fillId="0" borderId="0"/>
    <xf numFmtId="0" fontId="21" fillId="0" borderId="0"/>
    <xf numFmtId="0" fontId="21" fillId="0" borderId="0"/>
    <xf numFmtId="0" fontId="21" fillId="0" borderId="0"/>
    <xf numFmtId="0" fontId="100" fillId="0" borderId="0"/>
    <xf numFmtId="0" fontId="152" fillId="0" borderId="0"/>
    <xf numFmtId="0" fontId="152" fillId="0" borderId="0"/>
    <xf numFmtId="0" fontId="21" fillId="0" borderId="0"/>
    <xf numFmtId="0" fontId="41" fillId="0" borderId="0"/>
    <xf numFmtId="0" fontId="151" fillId="57" borderId="51"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151" fillId="57" borderId="51"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41" fillId="0" borderId="0"/>
    <xf numFmtId="0" fontId="154" fillId="0" borderId="0"/>
    <xf numFmtId="9" fontId="41" fillId="0" borderId="0" applyFont="0" applyFill="0" applyBorder="0" applyAlignment="0" applyProtection="0"/>
    <xf numFmtId="43" fontId="41" fillId="0" borderId="0" applyFont="0" applyFill="0" applyBorder="0" applyAlignment="0" applyProtection="0"/>
    <xf numFmtId="0" fontId="46" fillId="0" borderId="0"/>
    <xf numFmtId="43" fontId="46" fillId="0" borderId="0" applyFont="0" applyFill="0" applyBorder="0" applyAlignment="0" applyProtection="0"/>
    <xf numFmtId="44" fontId="41" fillId="0" borderId="0" applyFont="0" applyFill="0" applyBorder="0" applyAlignment="0" applyProtection="0"/>
    <xf numFmtId="9" fontId="41" fillId="0" borderId="0" applyFont="0" applyFill="0" applyBorder="0" applyAlignment="0" applyProtection="0"/>
    <xf numFmtId="175" fontId="41" fillId="0" borderId="0"/>
    <xf numFmtId="0" fontId="20" fillId="0" borderId="0"/>
    <xf numFmtId="43" fontId="20" fillId="0" borderId="0" applyFont="0" applyFill="0" applyBorder="0" applyAlignment="0" applyProtection="0"/>
    <xf numFmtId="0" fontId="20" fillId="8" borderId="8" applyNumberFormat="0" applyFont="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44" fontId="20" fillId="0" borderId="0" applyFont="0" applyFill="0" applyBorder="0" applyAlignment="0" applyProtection="0"/>
    <xf numFmtId="0" fontId="100" fillId="0" borderId="0"/>
    <xf numFmtId="0" fontId="20" fillId="0" borderId="0"/>
    <xf numFmtId="0" fontId="20" fillId="0" borderId="0"/>
    <xf numFmtId="0" fontId="41" fillId="0" borderId="0"/>
    <xf numFmtId="0" fontId="20" fillId="0" borderId="0"/>
    <xf numFmtId="43" fontId="20"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0" fontId="41" fillId="0" borderId="0"/>
    <xf numFmtId="0" fontId="41" fillId="0" borderId="0"/>
    <xf numFmtId="0" fontId="41" fillId="0" borderId="0"/>
    <xf numFmtId="0" fontId="41" fillId="0" borderId="0"/>
    <xf numFmtId="0" fontId="20" fillId="0" borderId="0"/>
    <xf numFmtId="43" fontId="20" fillId="0" borderId="0" applyFont="0" applyFill="0" applyBorder="0" applyAlignment="0" applyProtection="0"/>
    <xf numFmtId="0" fontId="20" fillId="10" borderId="0" applyNumberFormat="0" applyBorder="0" applyAlignment="0" applyProtection="0"/>
    <xf numFmtId="0" fontId="20" fillId="14" borderId="0" applyNumberFormat="0" applyBorder="0" applyAlignment="0" applyProtection="0"/>
    <xf numFmtId="0" fontId="20" fillId="18" borderId="0" applyNumberFormat="0" applyBorder="0" applyAlignment="0" applyProtection="0"/>
    <xf numFmtId="0" fontId="20" fillId="22" borderId="0" applyNumberFormat="0" applyBorder="0" applyAlignment="0" applyProtection="0"/>
    <xf numFmtId="0" fontId="20" fillId="26" borderId="0" applyNumberFormat="0" applyBorder="0" applyAlignment="0" applyProtection="0"/>
    <xf numFmtId="0" fontId="20" fillId="30" borderId="0" applyNumberFormat="0" applyBorder="0" applyAlignment="0" applyProtection="0"/>
    <xf numFmtId="0" fontId="20" fillId="11" borderId="0" applyNumberFormat="0" applyBorder="0" applyAlignment="0" applyProtection="0"/>
    <xf numFmtId="0" fontId="20" fillId="15" borderId="0" applyNumberFormat="0" applyBorder="0" applyAlignment="0" applyProtection="0"/>
    <xf numFmtId="0" fontId="20" fillId="19" borderId="0" applyNumberFormat="0" applyBorder="0" applyAlignment="0" applyProtection="0"/>
    <xf numFmtId="0" fontId="20" fillId="23" borderId="0" applyNumberFormat="0" applyBorder="0" applyAlignment="0" applyProtection="0"/>
    <xf numFmtId="0" fontId="20" fillId="27" borderId="0" applyNumberFormat="0" applyBorder="0" applyAlignment="0" applyProtection="0"/>
    <xf numFmtId="0" fontId="20" fillId="31" borderId="0" applyNumberFormat="0" applyBorder="0" applyAlignment="0" applyProtection="0"/>
    <xf numFmtId="0" fontId="20" fillId="8" borderId="8" applyNumberFormat="0" applyFont="0" applyAlignment="0" applyProtection="0"/>
    <xf numFmtId="44" fontId="20" fillId="0" borderId="0" applyFont="0" applyFill="0" applyBorder="0" applyAlignment="0" applyProtection="0"/>
    <xf numFmtId="43" fontId="41" fillId="0" borderId="0" applyFont="0" applyFill="0" applyBorder="0" applyAlignment="0" applyProtection="0"/>
    <xf numFmtId="0" fontId="41" fillId="0" borderId="0"/>
    <xf numFmtId="0" fontId="100" fillId="0" borderId="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9" fontId="165" fillId="0" borderId="0" applyFont="0" applyFill="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00"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175" fontId="41" fillId="0" borderId="0"/>
    <xf numFmtId="0" fontId="115" fillId="0" borderId="0"/>
    <xf numFmtId="0" fontId="115" fillId="0" borderId="0"/>
    <xf numFmtId="0" fontId="115" fillId="0" borderId="0"/>
    <xf numFmtId="0" fontId="41" fillId="0" borderId="0"/>
    <xf numFmtId="0" fontId="115" fillId="0" borderId="0"/>
    <xf numFmtId="0" fontId="41" fillId="0" borderId="0"/>
    <xf numFmtId="0" fontId="41" fillId="0" borderId="0"/>
    <xf numFmtId="0" fontId="41" fillId="0" borderId="0"/>
    <xf numFmtId="0" fontId="41" fillId="0" borderId="0"/>
    <xf numFmtId="0" fontId="41" fillId="0" borderId="0"/>
    <xf numFmtId="0" fontId="100" fillId="0" borderId="0"/>
    <xf numFmtId="0" fontId="115" fillId="0" borderId="0"/>
    <xf numFmtId="0" fontId="115" fillId="0" borderId="0"/>
    <xf numFmtId="0" fontId="115" fillId="0" borderId="0"/>
    <xf numFmtId="0" fontId="115" fillId="0" borderId="0"/>
    <xf numFmtId="0" fontId="41"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46"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08" fillId="33" borderId="53"/>
    <xf numFmtId="0" fontId="46" fillId="0" borderId="0"/>
    <xf numFmtId="0" fontId="108" fillId="33" borderId="53"/>
    <xf numFmtId="175" fontId="41" fillId="0" borderId="0"/>
    <xf numFmtId="0" fontId="19" fillId="0" borderId="0"/>
    <xf numFmtId="43" fontId="19" fillId="0" borderId="0" applyFont="0" applyFill="0" applyBorder="0" applyAlignment="0" applyProtection="0"/>
    <xf numFmtId="0" fontId="19" fillId="8" borderId="8" applyNumberFormat="0" applyFont="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44" fontId="19" fillId="0" borderId="0" applyFont="0" applyFill="0" applyBorder="0" applyAlignment="0" applyProtection="0"/>
    <xf numFmtId="0" fontId="19" fillId="0" borderId="0"/>
    <xf numFmtId="0" fontId="19" fillId="0" borderId="0"/>
    <xf numFmtId="0" fontId="19" fillId="0" borderId="0"/>
    <xf numFmtId="43" fontId="19" fillId="0" borderId="0" applyFont="0" applyFill="0" applyBorder="0" applyAlignment="0" applyProtection="0"/>
    <xf numFmtId="0" fontId="19" fillId="0" borderId="0"/>
    <xf numFmtId="43" fontId="19" fillId="0" borderId="0" applyFont="0" applyFill="0" applyBorder="0" applyAlignment="0" applyProtection="0"/>
    <xf numFmtId="0" fontId="19" fillId="10" borderId="0" applyNumberFormat="0" applyBorder="0" applyAlignment="0" applyProtection="0"/>
    <xf numFmtId="0" fontId="19" fillId="14" borderId="0" applyNumberFormat="0" applyBorder="0" applyAlignment="0" applyProtection="0"/>
    <xf numFmtId="0" fontId="19" fillId="18" borderId="0" applyNumberFormat="0" applyBorder="0" applyAlignment="0" applyProtection="0"/>
    <xf numFmtId="0" fontId="19" fillId="22" borderId="0" applyNumberFormat="0" applyBorder="0" applyAlignment="0" applyProtection="0"/>
    <xf numFmtId="0" fontId="19" fillId="26" borderId="0" applyNumberFormat="0" applyBorder="0" applyAlignment="0" applyProtection="0"/>
    <xf numFmtId="0" fontId="19" fillId="30" borderId="0" applyNumberFormat="0" applyBorder="0" applyAlignment="0" applyProtection="0"/>
    <xf numFmtId="0" fontId="19" fillId="11"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8" borderId="8" applyNumberFormat="0" applyFont="0" applyAlignment="0" applyProtection="0"/>
    <xf numFmtId="44" fontId="19" fillId="0" borderId="0" applyFont="0" applyFill="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41" fillId="0" borderId="0"/>
    <xf numFmtId="0" fontId="19" fillId="0" borderId="0"/>
    <xf numFmtId="43" fontId="19" fillId="0" borderId="0" applyFont="0" applyFill="0" applyBorder="0" applyAlignment="0" applyProtection="0"/>
    <xf numFmtId="0" fontId="19" fillId="8" borderId="8" applyNumberFormat="0" applyFont="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44" fontId="19" fillId="0" borderId="0" applyFont="0" applyFill="0" applyBorder="0" applyAlignment="0" applyProtection="0"/>
    <xf numFmtId="0" fontId="19" fillId="0" borderId="0"/>
    <xf numFmtId="0" fontId="19" fillId="0" borderId="0"/>
    <xf numFmtId="0" fontId="19" fillId="0" borderId="0"/>
    <xf numFmtId="43" fontId="19" fillId="0" borderId="0" applyFont="0" applyFill="0" applyBorder="0" applyAlignment="0" applyProtection="0"/>
    <xf numFmtId="0" fontId="19" fillId="0" borderId="0"/>
    <xf numFmtId="43" fontId="19" fillId="0" borderId="0" applyFont="0" applyFill="0" applyBorder="0" applyAlignment="0" applyProtection="0"/>
    <xf numFmtId="0" fontId="19" fillId="10" borderId="0" applyNumberFormat="0" applyBorder="0" applyAlignment="0" applyProtection="0"/>
    <xf numFmtId="0" fontId="19" fillId="14" borderId="0" applyNumberFormat="0" applyBorder="0" applyAlignment="0" applyProtection="0"/>
    <xf numFmtId="0" fontId="19" fillId="18" borderId="0" applyNumberFormat="0" applyBorder="0" applyAlignment="0" applyProtection="0"/>
    <xf numFmtId="0" fontId="19" fillId="22" borderId="0" applyNumberFormat="0" applyBorder="0" applyAlignment="0" applyProtection="0"/>
    <xf numFmtId="0" fontId="19" fillId="26" borderId="0" applyNumberFormat="0" applyBorder="0" applyAlignment="0" applyProtection="0"/>
    <xf numFmtId="0" fontId="19" fillId="30" borderId="0" applyNumberFormat="0" applyBorder="0" applyAlignment="0" applyProtection="0"/>
    <xf numFmtId="0" fontId="19" fillId="11"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8" borderId="8" applyNumberFormat="0" applyFont="0" applyAlignment="0" applyProtection="0"/>
    <xf numFmtId="44" fontId="19" fillId="0" borderId="0" applyFont="0" applyFill="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164" fontId="41" fillId="0" borderId="0"/>
    <xf numFmtId="0" fontId="173" fillId="0" borderId="0"/>
    <xf numFmtId="0" fontId="108" fillId="33" borderId="57"/>
    <xf numFmtId="0" fontId="173" fillId="0" borderId="0"/>
    <xf numFmtId="0" fontId="17" fillId="0" borderId="0"/>
    <xf numFmtId="0" fontId="173" fillId="0" borderId="0"/>
    <xf numFmtId="0" fontId="173" fillId="0" borderId="0"/>
    <xf numFmtId="0" fontId="16" fillId="0" borderId="0"/>
    <xf numFmtId="0" fontId="174" fillId="0" borderId="0"/>
    <xf numFmtId="43" fontId="175" fillId="0" borderId="0" applyFont="0" applyFill="0" applyBorder="0" applyAlignment="0" applyProtection="0"/>
    <xf numFmtId="0" fontId="174" fillId="0" borderId="0"/>
    <xf numFmtId="43" fontId="174" fillId="0" borderId="0" applyFont="0" applyFill="0" applyBorder="0" applyAlignment="0" applyProtection="0"/>
    <xf numFmtId="0" fontId="174" fillId="0" borderId="0"/>
    <xf numFmtId="0" fontId="16" fillId="0" borderId="0"/>
    <xf numFmtId="0" fontId="174" fillId="0" borderId="0"/>
    <xf numFmtId="43" fontId="174" fillId="0" borderId="0" applyFont="0" applyFill="0" applyBorder="0" applyAlignment="0" applyProtection="0"/>
    <xf numFmtId="0" fontId="176" fillId="0" borderId="0"/>
    <xf numFmtId="0" fontId="174" fillId="0" borderId="0"/>
    <xf numFmtId="0" fontId="174" fillId="0" borderId="0"/>
    <xf numFmtId="0" fontId="174" fillId="0" borderId="0"/>
    <xf numFmtId="0" fontId="16" fillId="0" borderId="0"/>
    <xf numFmtId="0" fontId="174" fillId="0" borderId="0"/>
    <xf numFmtId="0" fontId="176" fillId="0" borderId="0"/>
    <xf numFmtId="0" fontId="173" fillId="0" borderId="0"/>
    <xf numFmtId="0" fontId="173" fillId="0" borderId="0"/>
    <xf numFmtId="0" fontId="15" fillId="0" borderId="0"/>
    <xf numFmtId="0" fontId="173" fillId="0" borderId="0"/>
    <xf numFmtId="0" fontId="173" fillId="0" borderId="0"/>
    <xf numFmtId="0" fontId="15" fillId="0" borderId="0"/>
    <xf numFmtId="0" fontId="15" fillId="0" borderId="0"/>
    <xf numFmtId="0" fontId="46" fillId="0" borderId="0"/>
    <xf numFmtId="0" fontId="14" fillId="0" borderId="0"/>
    <xf numFmtId="0" fontId="174" fillId="0" borderId="0"/>
    <xf numFmtId="0" fontId="174" fillId="0" borderId="0"/>
    <xf numFmtId="0" fontId="174" fillId="0" borderId="0"/>
    <xf numFmtId="0" fontId="177" fillId="0" borderId="0"/>
    <xf numFmtId="0" fontId="177" fillId="0" borderId="0"/>
    <xf numFmtId="0" fontId="13" fillId="0" borderId="0"/>
    <xf numFmtId="0" fontId="13" fillId="0" borderId="0"/>
    <xf numFmtId="43" fontId="46" fillId="0" borderId="0" applyFont="0" applyFill="0" applyBorder="0" applyAlignment="0" applyProtection="0"/>
    <xf numFmtId="0" fontId="13" fillId="0" borderId="0"/>
    <xf numFmtId="0" fontId="177" fillId="0" borderId="0"/>
    <xf numFmtId="0" fontId="177" fillId="0" borderId="0"/>
    <xf numFmtId="0" fontId="12" fillId="0" borderId="0"/>
    <xf numFmtId="0" fontId="12" fillId="0" borderId="0"/>
    <xf numFmtId="0" fontId="12" fillId="0" borderId="0"/>
    <xf numFmtId="0" fontId="177" fillId="0" borderId="0"/>
    <xf numFmtId="0" fontId="174" fillId="0" borderId="0"/>
    <xf numFmtId="0" fontId="11" fillId="0" borderId="0"/>
    <xf numFmtId="0" fontId="174" fillId="0" borderId="0"/>
    <xf numFmtId="0" fontId="174" fillId="0" borderId="0"/>
    <xf numFmtId="0" fontId="174" fillId="0" borderId="0"/>
    <xf numFmtId="0" fontId="11" fillId="0" borderId="0"/>
    <xf numFmtId="0" fontId="174" fillId="0" borderId="0"/>
    <xf numFmtId="0" fontId="174" fillId="0" borderId="0"/>
    <xf numFmtId="164" fontId="178" fillId="0" borderId="0"/>
    <xf numFmtId="43" fontId="41" fillId="0" borderId="0" applyFont="0" applyFill="0" applyBorder="0" applyAlignment="0" applyProtection="0"/>
    <xf numFmtId="0" fontId="41" fillId="0" borderId="0"/>
    <xf numFmtId="0" fontId="41" fillId="0" borderId="0"/>
    <xf numFmtId="0" fontId="46" fillId="0" borderId="0"/>
    <xf numFmtId="43" fontId="46" fillId="0" borderId="0" applyFont="0" applyFill="0" applyBorder="0" applyAlignment="0" applyProtection="0"/>
    <xf numFmtId="0" fontId="100" fillId="0" borderId="0"/>
    <xf numFmtId="175" fontId="41" fillId="0" borderId="0"/>
    <xf numFmtId="0" fontId="11" fillId="0" borderId="0"/>
    <xf numFmtId="43" fontId="11" fillId="0" borderId="0" applyFont="0" applyFill="0" applyBorder="0" applyAlignment="0" applyProtection="0"/>
    <xf numFmtId="0" fontId="11" fillId="8" borderId="8" applyNumberFormat="0" applyFont="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44" fontId="11" fillId="0" borderId="0" applyFont="0" applyFill="0" applyBorder="0" applyAlignment="0" applyProtection="0"/>
    <xf numFmtId="0" fontId="120" fillId="47" borderId="60" applyNumberFormat="0" applyAlignment="0" applyProtection="0"/>
    <xf numFmtId="0" fontId="120" fillId="47" borderId="60" applyNumberFormat="0" applyAlignment="0" applyProtection="0"/>
    <xf numFmtId="0" fontId="126" fillId="50" borderId="60" applyNumberFormat="0" applyAlignment="0" applyProtection="0"/>
    <xf numFmtId="0" fontId="126" fillId="50" borderId="60" applyNumberFormat="0" applyAlignment="0" applyProtection="0"/>
    <xf numFmtId="0" fontId="11" fillId="0" borderId="0"/>
    <xf numFmtId="0" fontId="174" fillId="0" borderId="0"/>
    <xf numFmtId="0" fontId="129" fillId="47" borderId="61" applyNumberFormat="0" applyAlignment="0" applyProtection="0"/>
    <xf numFmtId="0" fontId="129" fillId="47" borderId="61" applyNumberFormat="0" applyAlignment="0" applyProtection="0"/>
    <xf numFmtId="0" fontId="60" fillId="0" borderId="62" applyNumberFormat="0" applyFill="0" applyAlignment="0" applyProtection="0"/>
    <xf numFmtId="0" fontId="60" fillId="0" borderId="62" applyNumberFormat="0" applyFill="0" applyAlignment="0" applyProtection="0"/>
    <xf numFmtId="0" fontId="177" fillId="0" borderId="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10" borderId="0" applyNumberFormat="0" applyBorder="0" applyAlignment="0" applyProtection="0"/>
    <xf numFmtId="0" fontId="11" fillId="14"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6" borderId="0" applyNumberFormat="0" applyBorder="0" applyAlignment="0" applyProtection="0"/>
    <xf numFmtId="0" fontId="11" fillId="30" borderId="0" applyNumberFormat="0" applyBorder="0" applyAlignment="0" applyProtection="0"/>
    <xf numFmtId="0" fontId="11" fillId="11"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8" borderId="8" applyNumberFormat="0" applyFont="0" applyAlignment="0" applyProtection="0"/>
    <xf numFmtId="44" fontId="11" fillId="0" borderId="0" applyFont="0" applyFill="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51" fillId="57" borderId="63"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51" fillId="57" borderId="63"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74" fillId="0" borderId="0"/>
    <xf numFmtId="0" fontId="11" fillId="0" borderId="0"/>
    <xf numFmtId="43" fontId="11" fillId="0" borderId="0" applyFont="0" applyFill="0" applyBorder="0" applyAlignment="0" applyProtection="0"/>
    <xf numFmtId="0" fontId="11" fillId="8" borderId="8" applyNumberFormat="0" applyFont="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44"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10" borderId="0" applyNumberFormat="0" applyBorder="0" applyAlignment="0" applyProtection="0"/>
    <xf numFmtId="0" fontId="11" fillId="14"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6" borderId="0" applyNumberFormat="0" applyBorder="0" applyAlignment="0" applyProtection="0"/>
    <xf numFmtId="0" fontId="11" fillId="30" borderId="0" applyNumberFormat="0" applyBorder="0" applyAlignment="0" applyProtection="0"/>
    <xf numFmtId="0" fontId="11" fillId="11"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8" borderId="8" applyNumberFormat="0" applyFont="0" applyAlignment="0" applyProtection="0"/>
    <xf numFmtId="44" fontId="11" fillId="0" borderId="0" applyFont="0" applyFill="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9" fontId="41" fillId="0" borderId="0" applyFont="0" applyFill="0" applyBorder="0" applyAlignment="0" applyProtection="0"/>
    <xf numFmtId="0" fontId="11" fillId="0" borderId="0"/>
    <xf numFmtId="0" fontId="108" fillId="33" borderId="57"/>
    <xf numFmtId="0" fontId="11" fillId="0" borderId="0"/>
    <xf numFmtId="43" fontId="11" fillId="0" borderId="0" applyFont="0" applyFill="0" applyBorder="0" applyAlignment="0" applyProtection="0"/>
    <xf numFmtId="0" fontId="11" fillId="8" borderId="8" applyNumberFormat="0" applyFont="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44"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10" borderId="0" applyNumberFormat="0" applyBorder="0" applyAlignment="0" applyProtection="0"/>
    <xf numFmtId="0" fontId="11" fillId="14"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6" borderId="0" applyNumberFormat="0" applyBorder="0" applyAlignment="0" applyProtection="0"/>
    <xf numFmtId="0" fontId="11" fillId="30" borderId="0" applyNumberFormat="0" applyBorder="0" applyAlignment="0" applyProtection="0"/>
    <xf numFmtId="0" fontId="11" fillId="11"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8" borderId="8" applyNumberFormat="0" applyFont="0" applyAlignment="0" applyProtection="0"/>
    <xf numFmtId="44" fontId="11" fillId="0" borderId="0" applyFont="0" applyFill="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0" borderId="0"/>
    <xf numFmtId="43" fontId="11" fillId="0" borderId="0" applyFont="0" applyFill="0" applyBorder="0" applyAlignment="0" applyProtection="0"/>
    <xf numFmtId="0" fontId="11" fillId="8" borderId="8" applyNumberFormat="0" applyFont="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44"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10" borderId="0" applyNumberFormat="0" applyBorder="0" applyAlignment="0" applyProtection="0"/>
    <xf numFmtId="0" fontId="11" fillId="14"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6" borderId="0" applyNumberFormat="0" applyBorder="0" applyAlignment="0" applyProtection="0"/>
    <xf numFmtId="0" fontId="11" fillId="30" borderId="0" applyNumberFormat="0" applyBorder="0" applyAlignment="0" applyProtection="0"/>
    <xf numFmtId="0" fontId="11" fillId="11"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8" borderId="8" applyNumberFormat="0" applyFont="0" applyAlignment="0" applyProtection="0"/>
    <xf numFmtId="44" fontId="11" fillId="0" borderId="0" applyFont="0" applyFill="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43" fontId="41" fillId="0" borderId="0" applyFont="0" applyFill="0" applyBorder="0" applyAlignment="0" applyProtection="0"/>
    <xf numFmtId="0" fontId="46" fillId="0" borderId="0"/>
    <xf numFmtId="0" fontId="174" fillId="0" borderId="0"/>
    <xf numFmtId="0" fontId="46" fillId="0" borderId="0"/>
    <xf numFmtId="0" fontId="11" fillId="0" borderId="0"/>
    <xf numFmtId="0" fontId="46" fillId="0" borderId="0"/>
    <xf numFmtId="0" fontId="46" fillId="0" borderId="0"/>
    <xf numFmtId="0" fontId="11" fillId="0" borderId="0"/>
    <xf numFmtId="0" fontId="11" fillId="0" borderId="0"/>
    <xf numFmtId="0" fontId="174" fillId="0" borderId="0"/>
    <xf numFmtId="0" fontId="11" fillId="0" borderId="0"/>
    <xf numFmtId="0" fontId="174" fillId="0" borderId="0"/>
    <xf numFmtId="0" fontId="46" fillId="0" borderId="0"/>
    <xf numFmtId="0" fontId="46" fillId="0" borderId="0"/>
    <xf numFmtId="0" fontId="11" fillId="0" borderId="0"/>
    <xf numFmtId="0" fontId="46" fillId="0" borderId="0"/>
    <xf numFmtId="0" fontId="46" fillId="0" borderId="0"/>
    <xf numFmtId="0" fontId="11" fillId="0" borderId="0"/>
    <xf numFmtId="0" fontId="11" fillId="0" borderId="0"/>
    <xf numFmtId="0" fontId="11" fillId="0" borderId="0"/>
    <xf numFmtId="0" fontId="179" fillId="0" borderId="0"/>
    <xf numFmtId="0" fontId="179" fillId="0" borderId="0"/>
    <xf numFmtId="0" fontId="10" fillId="0" borderId="0"/>
    <xf numFmtId="0" fontId="10" fillId="0" borderId="0"/>
    <xf numFmtId="175" fontId="41" fillId="0" borderId="0"/>
    <xf numFmtId="0" fontId="10" fillId="0" borderId="0"/>
    <xf numFmtId="43" fontId="10" fillId="0" borderId="0" applyFont="0" applyFill="0" applyBorder="0" applyAlignment="0" applyProtection="0"/>
    <xf numFmtId="0" fontId="10" fillId="8" borderId="8" applyNumberFormat="0" applyFont="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44"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10" borderId="0" applyNumberFormat="0" applyBorder="0" applyAlignment="0" applyProtection="0"/>
    <xf numFmtId="0" fontId="10" fillId="14" borderId="0" applyNumberFormat="0" applyBorder="0" applyAlignment="0" applyProtection="0"/>
    <xf numFmtId="0" fontId="10" fillId="18" borderId="0" applyNumberFormat="0" applyBorder="0" applyAlignment="0" applyProtection="0"/>
    <xf numFmtId="0" fontId="10" fillId="22" borderId="0" applyNumberFormat="0" applyBorder="0" applyAlignment="0" applyProtection="0"/>
    <xf numFmtId="0" fontId="10" fillId="26" borderId="0" applyNumberFormat="0" applyBorder="0" applyAlignment="0" applyProtection="0"/>
    <xf numFmtId="0" fontId="10" fillId="30" borderId="0" applyNumberFormat="0" applyBorder="0" applyAlignment="0" applyProtection="0"/>
    <xf numFmtId="0" fontId="10" fillId="11"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8" borderId="8" applyNumberFormat="0" applyFont="0" applyAlignment="0" applyProtection="0"/>
    <xf numFmtId="44" fontId="10" fillId="0" borderId="0" applyFont="0" applyFill="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0" borderId="0"/>
    <xf numFmtId="0" fontId="10" fillId="0" borderId="0"/>
    <xf numFmtId="0" fontId="10" fillId="0" borderId="0"/>
    <xf numFmtId="0" fontId="10" fillId="0" borderId="0"/>
    <xf numFmtId="0" fontId="41" fillId="0" borderId="0"/>
    <xf numFmtId="0" fontId="180" fillId="0" borderId="0"/>
    <xf numFmtId="0" fontId="180" fillId="0" borderId="0"/>
    <xf numFmtId="0" fontId="9" fillId="0" borderId="0"/>
    <xf numFmtId="0" fontId="9" fillId="0" borderId="0"/>
    <xf numFmtId="0" fontId="180" fillId="0" borderId="0"/>
    <xf numFmtId="0" fontId="180" fillId="0" borderId="0"/>
    <xf numFmtId="0" fontId="180" fillId="0" borderId="0"/>
    <xf numFmtId="0" fontId="180" fillId="0" borderId="0"/>
    <xf numFmtId="0" fontId="180" fillId="0" borderId="0"/>
    <xf numFmtId="0" fontId="9" fillId="0" borderId="0"/>
    <xf numFmtId="0" fontId="182" fillId="0" borderId="0"/>
    <xf numFmtId="0" fontId="8" fillId="0" borderId="0"/>
    <xf numFmtId="0" fontId="8" fillId="0" borderId="0"/>
    <xf numFmtId="0" fontId="7" fillId="0" borderId="0"/>
    <xf numFmtId="43" fontId="7" fillId="0" borderId="0" applyFont="0" applyFill="0" applyBorder="0" applyAlignment="0" applyProtection="0"/>
    <xf numFmtId="0" fontId="7" fillId="8" borderId="8" applyNumberFormat="0" applyFont="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44"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8" borderId="8" applyNumberFormat="0" applyFont="0" applyAlignment="0" applyProtection="0"/>
    <xf numFmtId="44" fontId="7" fillId="0" borderId="0" applyFont="0" applyFill="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0" borderId="0"/>
    <xf numFmtId="43" fontId="7" fillId="0" borderId="0" applyFont="0" applyFill="0" applyBorder="0" applyAlignment="0" applyProtection="0"/>
    <xf numFmtId="0" fontId="7" fillId="8" borderId="8" applyNumberFormat="0" applyFont="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44"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8" borderId="8" applyNumberFormat="0" applyFont="0" applyAlignment="0" applyProtection="0"/>
    <xf numFmtId="44" fontId="7" fillId="0" borderId="0" applyFont="0" applyFill="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0" borderId="0"/>
    <xf numFmtId="43" fontId="7" fillId="0" borderId="0" applyFont="0" applyFill="0" applyBorder="0" applyAlignment="0" applyProtection="0"/>
    <xf numFmtId="0" fontId="7" fillId="8" borderId="8" applyNumberFormat="0" applyFont="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44"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8" borderId="8" applyNumberFormat="0" applyFont="0" applyAlignment="0" applyProtection="0"/>
    <xf numFmtId="44" fontId="7" fillId="0" borderId="0" applyFont="0" applyFill="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0" borderId="0"/>
    <xf numFmtId="43" fontId="7" fillId="0" borderId="0" applyFont="0" applyFill="0" applyBorder="0" applyAlignment="0" applyProtection="0"/>
    <xf numFmtId="0" fontId="7" fillId="8" borderId="8" applyNumberFormat="0" applyFont="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44"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8" borderId="8" applyNumberFormat="0" applyFont="0" applyAlignment="0" applyProtection="0"/>
    <xf numFmtId="44" fontId="7" fillId="0" borderId="0" applyFont="0" applyFill="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108" fillId="33" borderId="65"/>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46" fillId="0" borderId="0"/>
    <xf numFmtId="0" fontId="46" fillId="0" borderId="0"/>
    <xf numFmtId="0" fontId="7" fillId="0" borderId="0"/>
    <xf numFmtId="0" fontId="7" fillId="0" borderId="0"/>
    <xf numFmtId="0" fontId="7" fillId="0" borderId="0"/>
    <xf numFmtId="0" fontId="46" fillId="0" borderId="0"/>
    <xf numFmtId="0" fontId="46" fillId="0" borderId="0"/>
    <xf numFmtId="0" fontId="7" fillId="0" borderId="0"/>
    <xf numFmtId="0" fontId="7" fillId="0" borderId="0"/>
    <xf numFmtId="0" fontId="7" fillId="0" borderId="0"/>
    <xf numFmtId="0" fontId="46" fillId="0" borderId="0"/>
    <xf numFmtId="0" fontId="7" fillId="0" borderId="0"/>
    <xf numFmtId="0" fontId="7" fillId="0" borderId="0"/>
    <xf numFmtId="164" fontId="41" fillId="0" borderId="0"/>
    <xf numFmtId="0" fontId="7" fillId="0" borderId="0"/>
    <xf numFmtId="43" fontId="7" fillId="0" borderId="0" applyFont="0" applyFill="0" applyBorder="0" applyAlignment="0" applyProtection="0"/>
    <xf numFmtId="0" fontId="7" fillId="8" borderId="8" applyNumberFormat="0" applyFont="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44" fontId="7" fillId="0" borderId="0" applyFont="0" applyFill="0" applyBorder="0" applyAlignment="0" applyProtection="0"/>
    <xf numFmtId="0" fontId="7" fillId="0" borderId="0"/>
    <xf numFmtId="0" fontId="46"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8" borderId="8" applyNumberFormat="0" applyFont="0" applyAlignment="0" applyProtection="0"/>
    <xf numFmtId="44" fontId="7" fillId="0" borderId="0" applyFont="0" applyFill="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0" borderId="0"/>
    <xf numFmtId="43" fontId="7" fillId="0" borderId="0" applyFont="0" applyFill="0" applyBorder="0" applyAlignment="0" applyProtection="0"/>
    <xf numFmtId="0" fontId="7" fillId="8" borderId="8" applyNumberFormat="0" applyFont="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44"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8" borderId="8" applyNumberFormat="0" applyFont="0" applyAlignment="0" applyProtection="0"/>
    <xf numFmtId="44" fontId="7" fillId="0" borderId="0" applyFont="0" applyFill="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0" borderId="0"/>
    <xf numFmtId="0" fontId="108" fillId="33" borderId="65"/>
    <xf numFmtId="0" fontId="7" fillId="0" borderId="0"/>
    <xf numFmtId="43" fontId="7" fillId="0" borderId="0" applyFont="0" applyFill="0" applyBorder="0" applyAlignment="0" applyProtection="0"/>
    <xf numFmtId="0" fontId="7" fillId="8" borderId="8" applyNumberFormat="0" applyFont="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44"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8" borderId="8" applyNumberFormat="0" applyFont="0" applyAlignment="0" applyProtection="0"/>
    <xf numFmtId="44" fontId="7" fillId="0" borderId="0" applyFont="0" applyFill="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0" borderId="0"/>
    <xf numFmtId="43" fontId="7" fillId="0" borderId="0" applyFont="0" applyFill="0" applyBorder="0" applyAlignment="0" applyProtection="0"/>
    <xf numFmtId="0" fontId="7" fillId="8" borderId="8" applyNumberFormat="0" applyFont="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44"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8" borderId="8" applyNumberFormat="0" applyFont="0" applyAlignment="0" applyProtection="0"/>
    <xf numFmtId="44" fontId="7" fillId="0" borderId="0" applyFont="0" applyFill="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46" fillId="0" borderId="0"/>
    <xf numFmtId="0" fontId="46" fillId="0" borderId="0"/>
    <xf numFmtId="0" fontId="7" fillId="0" borderId="0"/>
    <xf numFmtId="0" fontId="7" fillId="0" borderId="0"/>
    <xf numFmtId="0" fontId="7" fillId="0" borderId="0"/>
    <xf numFmtId="43" fontId="7" fillId="0" borderId="0" applyFont="0" applyFill="0" applyBorder="0" applyAlignment="0" applyProtection="0"/>
    <xf numFmtId="0" fontId="7" fillId="8" borderId="8" applyNumberFormat="0" applyFont="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44"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8" borderId="8" applyNumberFormat="0" applyFont="0" applyAlignment="0" applyProtection="0"/>
    <xf numFmtId="44" fontId="7" fillId="0" borderId="0" applyFont="0" applyFill="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0" borderId="0"/>
    <xf numFmtId="0" fontId="7" fillId="0" borderId="0"/>
    <xf numFmtId="0" fontId="7" fillId="0" borderId="0"/>
    <xf numFmtId="0" fontId="7" fillId="0" borderId="0"/>
    <xf numFmtId="0" fontId="46" fillId="0" borderId="0"/>
    <xf numFmtId="0" fontId="46" fillId="0" borderId="0"/>
    <xf numFmtId="0" fontId="7" fillId="0" borderId="0"/>
    <xf numFmtId="0" fontId="7" fillId="0" borderId="0"/>
    <xf numFmtId="0" fontId="46" fillId="0" borderId="0"/>
    <xf numFmtId="0" fontId="46" fillId="0" borderId="0"/>
    <xf numFmtId="0" fontId="46" fillId="0" borderId="0"/>
    <xf numFmtId="0" fontId="46" fillId="0" borderId="0"/>
    <xf numFmtId="0" fontId="46" fillId="0" borderId="0"/>
    <xf numFmtId="0" fontId="7" fillId="0" borderId="0"/>
    <xf numFmtId="43" fontId="184" fillId="0" borderId="0" applyFont="0" applyFill="0" applyBorder="0" applyAlignment="0" applyProtection="0"/>
    <xf numFmtId="0" fontId="6" fillId="0" borderId="0"/>
    <xf numFmtId="43" fontId="6" fillId="0" borderId="0" applyFont="0" applyFill="0" applyBorder="0" applyAlignment="0" applyProtection="0"/>
    <xf numFmtId="0" fontId="6" fillId="8" borderId="8" applyNumberFormat="0" applyFont="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44"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8" borderId="8" applyNumberFormat="0" applyFont="0" applyAlignment="0" applyProtection="0"/>
    <xf numFmtId="44" fontId="6" fillId="0" borderId="0" applyFont="0" applyFill="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0" borderId="0"/>
    <xf numFmtId="43" fontId="6" fillId="0" borderId="0" applyFont="0" applyFill="0" applyBorder="0" applyAlignment="0" applyProtection="0"/>
    <xf numFmtId="0" fontId="6" fillId="8" borderId="8" applyNumberFormat="0" applyFont="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44"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8" borderId="8" applyNumberFormat="0" applyFont="0" applyAlignment="0" applyProtection="0"/>
    <xf numFmtId="44" fontId="6" fillId="0" borderId="0" applyFont="0" applyFill="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0" borderId="0"/>
    <xf numFmtId="43" fontId="6" fillId="0" borderId="0" applyFont="0" applyFill="0" applyBorder="0" applyAlignment="0" applyProtection="0"/>
    <xf numFmtId="0" fontId="6" fillId="8" borderId="8" applyNumberFormat="0" applyFont="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44"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8" borderId="8" applyNumberFormat="0" applyFont="0" applyAlignment="0" applyProtection="0"/>
    <xf numFmtId="44" fontId="6" fillId="0" borderId="0" applyFont="0" applyFill="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0" borderId="0"/>
    <xf numFmtId="43" fontId="6" fillId="0" borderId="0" applyFont="0" applyFill="0" applyBorder="0" applyAlignment="0" applyProtection="0"/>
    <xf numFmtId="0" fontId="6" fillId="8" borderId="8" applyNumberFormat="0" applyFont="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44"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8" borderId="8" applyNumberFormat="0" applyFont="0" applyAlignment="0" applyProtection="0"/>
    <xf numFmtId="44" fontId="6" fillId="0" borderId="0" applyFont="0" applyFill="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8" borderId="8" applyNumberFormat="0" applyFont="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44"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8" borderId="8" applyNumberFormat="0" applyFont="0" applyAlignment="0" applyProtection="0"/>
    <xf numFmtId="44" fontId="6" fillId="0" borderId="0" applyFont="0" applyFill="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0" borderId="0"/>
    <xf numFmtId="43" fontId="6" fillId="0" borderId="0" applyFont="0" applyFill="0" applyBorder="0" applyAlignment="0" applyProtection="0"/>
    <xf numFmtId="0" fontId="6" fillId="8" borderId="8" applyNumberFormat="0" applyFont="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44"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8" borderId="8" applyNumberFormat="0" applyFont="0" applyAlignment="0" applyProtection="0"/>
    <xf numFmtId="44" fontId="6" fillId="0" borderId="0" applyFont="0" applyFill="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0" borderId="0"/>
    <xf numFmtId="0" fontId="6" fillId="0" borderId="0"/>
    <xf numFmtId="43" fontId="6" fillId="0" borderId="0" applyFont="0" applyFill="0" applyBorder="0" applyAlignment="0" applyProtection="0"/>
    <xf numFmtId="0" fontId="6" fillId="8" borderId="8" applyNumberFormat="0" applyFont="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44"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8" borderId="8" applyNumberFormat="0" applyFont="0" applyAlignment="0" applyProtection="0"/>
    <xf numFmtId="44" fontId="6" fillId="0" borderId="0" applyFont="0" applyFill="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0" borderId="0"/>
    <xf numFmtId="43" fontId="6" fillId="0" borderId="0" applyFont="0" applyFill="0" applyBorder="0" applyAlignment="0" applyProtection="0"/>
    <xf numFmtId="0" fontId="6" fillId="8" borderId="8" applyNumberFormat="0" applyFont="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44"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8" borderId="8" applyNumberFormat="0" applyFont="0" applyAlignment="0" applyProtection="0"/>
    <xf numFmtId="44" fontId="6" fillId="0" borderId="0" applyFont="0" applyFill="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8" borderId="8" applyNumberFormat="0" applyFont="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44"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8" borderId="8" applyNumberFormat="0" applyFont="0" applyAlignment="0" applyProtection="0"/>
    <xf numFmtId="44" fontId="6" fillId="0" borderId="0" applyFont="0" applyFill="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1" fillId="0" borderId="0"/>
    <xf numFmtId="0" fontId="186" fillId="0" borderId="0"/>
    <xf numFmtId="0" fontId="47" fillId="0" borderId="67" applyNumberFormat="0" applyFont="0" applyBorder="0">
      <alignment horizontal="right"/>
    </xf>
    <xf numFmtId="0" fontId="190" fillId="0" borderId="0" applyFill="0"/>
    <xf numFmtId="0" fontId="46" fillId="0" borderId="0" applyNumberFormat="0" applyFont="0" applyBorder="0" applyAlignment="0"/>
    <xf numFmtId="0" fontId="191" fillId="0" borderId="0" applyFill="0">
      <alignment horizontal="left" indent="1"/>
    </xf>
    <xf numFmtId="44" fontId="186" fillId="0" borderId="0" applyFont="0" applyFill="0" applyBorder="0" applyAlignment="0" applyProtection="0"/>
    <xf numFmtId="43" fontId="186" fillId="0" borderId="0" applyFont="0" applyFill="0" applyBorder="0" applyAlignment="0" applyProtection="0"/>
    <xf numFmtId="4" fontId="116" fillId="0" borderId="10" applyFill="0"/>
    <xf numFmtId="0" fontId="48" fillId="0" borderId="0" applyFill="0"/>
    <xf numFmtId="0" fontId="46" fillId="0" borderId="0"/>
    <xf numFmtId="43" fontId="46" fillId="0" borderId="0" applyFont="0" applyFill="0" applyBorder="0" applyAlignment="0" applyProtection="0"/>
    <xf numFmtId="44" fontId="46" fillId="0" borderId="0" applyFont="0" applyFill="0" applyBorder="0" applyAlignment="0" applyProtection="0"/>
    <xf numFmtId="0" fontId="46" fillId="0" borderId="0"/>
    <xf numFmtId="0" fontId="100" fillId="0" borderId="0"/>
    <xf numFmtId="0" fontId="108" fillId="33" borderId="75"/>
    <xf numFmtId="0" fontId="4" fillId="0" borderId="0"/>
    <xf numFmtId="43" fontId="4" fillId="0" borderId="0" applyFont="0" applyFill="0" applyBorder="0" applyAlignment="0" applyProtection="0"/>
    <xf numFmtId="0" fontId="4" fillId="8" borderId="8" applyNumberFormat="0" applyFont="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44"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8" borderId="8" applyNumberFormat="0" applyFont="0" applyAlignment="0" applyProtection="0"/>
    <xf numFmtId="44" fontId="4" fillId="0" borderId="0" applyFont="0" applyFill="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0" borderId="0"/>
    <xf numFmtId="43" fontId="4" fillId="0" borderId="0" applyFont="0" applyFill="0" applyBorder="0" applyAlignment="0" applyProtection="0"/>
    <xf numFmtId="0" fontId="4" fillId="8" borderId="8" applyNumberFormat="0" applyFont="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44"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8" borderId="8" applyNumberFormat="0" applyFont="0" applyAlignment="0" applyProtection="0"/>
    <xf numFmtId="44" fontId="4" fillId="0" borderId="0" applyFont="0" applyFill="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108" fillId="33" borderId="75"/>
    <xf numFmtId="0" fontId="4" fillId="0" borderId="0"/>
    <xf numFmtId="43" fontId="4" fillId="0" borderId="0" applyFont="0" applyFill="0" applyBorder="0" applyAlignment="0" applyProtection="0"/>
    <xf numFmtId="0" fontId="4" fillId="8" borderId="8" applyNumberFormat="0" applyFont="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44"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8" borderId="8" applyNumberFormat="0" applyFont="0" applyAlignment="0" applyProtection="0"/>
    <xf numFmtId="44" fontId="4" fillId="0" borderId="0" applyFont="0" applyFill="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0" borderId="0"/>
    <xf numFmtId="43" fontId="4" fillId="0" borderId="0" applyFont="0" applyFill="0" applyBorder="0" applyAlignment="0" applyProtection="0"/>
    <xf numFmtId="0" fontId="4" fillId="8" borderId="8" applyNumberFormat="0" applyFont="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44"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8" borderId="8" applyNumberFormat="0" applyFont="0" applyAlignment="0" applyProtection="0"/>
    <xf numFmtId="44" fontId="4" fillId="0" borderId="0" applyFont="0" applyFill="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108" fillId="33" borderId="77"/>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8" borderId="8" applyNumberFormat="0" applyFont="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44"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8" borderId="8" applyNumberFormat="0" applyFont="0" applyAlignment="0" applyProtection="0"/>
    <xf numFmtId="44" fontId="4" fillId="0" borderId="0" applyFont="0" applyFill="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0" borderId="0"/>
    <xf numFmtId="43" fontId="4" fillId="0" borderId="0" applyFont="0" applyFill="0" applyBorder="0" applyAlignment="0" applyProtection="0"/>
    <xf numFmtId="0" fontId="4" fillId="8" borderId="8" applyNumberFormat="0" applyFont="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44"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8" borderId="8" applyNumberFormat="0" applyFont="0" applyAlignment="0" applyProtection="0"/>
    <xf numFmtId="44" fontId="4" fillId="0" borderId="0" applyFont="0" applyFill="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0" borderId="0"/>
    <xf numFmtId="0" fontId="108" fillId="33" borderId="77"/>
    <xf numFmtId="0" fontId="4" fillId="0" borderId="0"/>
    <xf numFmtId="43" fontId="4" fillId="0" borderId="0" applyFont="0" applyFill="0" applyBorder="0" applyAlignment="0" applyProtection="0"/>
    <xf numFmtId="0" fontId="4" fillId="8" borderId="8" applyNumberFormat="0" applyFont="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44"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8" borderId="8" applyNumberFormat="0" applyFont="0" applyAlignment="0" applyProtection="0"/>
    <xf numFmtId="44" fontId="4" fillId="0" borderId="0" applyFont="0" applyFill="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0" borderId="0"/>
    <xf numFmtId="43" fontId="4" fillId="0" borderId="0" applyFont="0" applyFill="0" applyBorder="0" applyAlignment="0" applyProtection="0"/>
    <xf numFmtId="0" fontId="4" fillId="8" borderId="8" applyNumberFormat="0" applyFont="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44"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8" borderId="8" applyNumberFormat="0" applyFont="0" applyAlignment="0" applyProtection="0"/>
    <xf numFmtId="44" fontId="4" fillId="0" borderId="0" applyFont="0" applyFill="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8" borderId="8" applyNumberFormat="0" applyFont="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44"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8" borderId="8" applyNumberFormat="0" applyFont="0" applyAlignment="0" applyProtection="0"/>
    <xf numFmtId="44" fontId="4" fillId="0" borderId="0" applyFont="0" applyFill="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6" fillId="0" borderId="0"/>
    <xf numFmtId="0" fontId="4" fillId="0" borderId="0"/>
    <xf numFmtId="0" fontId="4" fillId="0" borderId="0"/>
    <xf numFmtId="0" fontId="4" fillId="0" borderId="0"/>
    <xf numFmtId="43" fontId="4" fillId="0" borderId="0" applyFont="0" applyFill="0" applyBorder="0" applyAlignment="0" applyProtection="0"/>
    <xf numFmtId="0" fontId="4" fillId="8" borderId="8" applyNumberFormat="0" applyFont="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44"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8" borderId="8" applyNumberFormat="0" applyFont="0" applyAlignment="0" applyProtection="0"/>
    <xf numFmtId="44" fontId="4" fillId="0" borderId="0" applyFont="0" applyFill="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0" borderId="0"/>
    <xf numFmtId="43" fontId="4" fillId="0" borderId="0" applyFont="0" applyFill="0" applyBorder="0" applyAlignment="0" applyProtection="0"/>
    <xf numFmtId="0" fontId="4" fillId="8" borderId="8" applyNumberFormat="0" applyFont="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44"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8" borderId="8" applyNumberFormat="0" applyFont="0" applyAlignment="0" applyProtection="0"/>
    <xf numFmtId="44" fontId="4" fillId="0" borderId="0" applyFont="0" applyFill="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0" borderId="0"/>
    <xf numFmtId="43" fontId="4" fillId="0" borderId="0" applyFont="0" applyFill="0" applyBorder="0" applyAlignment="0" applyProtection="0"/>
    <xf numFmtId="0" fontId="4" fillId="8" borderId="8" applyNumberFormat="0" applyFont="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44"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8" borderId="8" applyNumberFormat="0" applyFont="0" applyAlignment="0" applyProtection="0"/>
    <xf numFmtId="44" fontId="4" fillId="0" borderId="0" applyFont="0" applyFill="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0" borderId="0"/>
    <xf numFmtId="43" fontId="4" fillId="0" borderId="0" applyFont="0" applyFill="0" applyBorder="0" applyAlignment="0" applyProtection="0"/>
    <xf numFmtId="0" fontId="4" fillId="8" borderId="8" applyNumberFormat="0" applyFont="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44"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8" borderId="8" applyNumberFormat="0" applyFont="0" applyAlignment="0" applyProtection="0"/>
    <xf numFmtId="44" fontId="4" fillId="0" borderId="0" applyFont="0" applyFill="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108" fillId="33" borderId="77"/>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8" borderId="8" applyNumberFormat="0" applyFont="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44"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8" borderId="8" applyNumberFormat="0" applyFont="0" applyAlignment="0" applyProtection="0"/>
    <xf numFmtId="44" fontId="4" fillId="0" borderId="0" applyFont="0" applyFill="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0" borderId="0"/>
    <xf numFmtId="43" fontId="4" fillId="0" borderId="0" applyFont="0" applyFill="0" applyBorder="0" applyAlignment="0" applyProtection="0"/>
    <xf numFmtId="0" fontId="4" fillId="8" borderId="8" applyNumberFormat="0" applyFont="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44"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8" borderId="8" applyNumberFormat="0" applyFont="0" applyAlignment="0" applyProtection="0"/>
    <xf numFmtId="44" fontId="4" fillId="0" borderId="0" applyFont="0" applyFill="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0" borderId="0"/>
    <xf numFmtId="0" fontId="108" fillId="33" borderId="77"/>
    <xf numFmtId="0" fontId="4" fillId="0" borderId="0"/>
    <xf numFmtId="43" fontId="4" fillId="0" borderId="0" applyFont="0" applyFill="0" applyBorder="0" applyAlignment="0" applyProtection="0"/>
    <xf numFmtId="0" fontId="4" fillId="8" borderId="8" applyNumberFormat="0" applyFont="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44"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8" borderId="8" applyNumberFormat="0" applyFont="0" applyAlignment="0" applyProtection="0"/>
    <xf numFmtId="44" fontId="4" fillId="0" borderId="0" applyFont="0" applyFill="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0" borderId="0"/>
    <xf numFmtId="43" fontId="4" fillId="0" borderId="0" applyFont="0" applyFill="0" applyBorder="0" applyAlignment="0" applyProtection="0"/>
    <xf numFmtId="0" fontId="4" fillId="8" borderId="8" applyNumberFormat="0" applyFont="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44"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8" borderId="8" applyNumberFormat="0" applyFont="0" applyAlignment="0" applyProtection="0"/>
    <xf numFmtId="44" fontId="4" fillId="0" borderId="0" applyFont="0" applyFill="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8" borderId="8" applyNumberFormat="0" applyFont="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44"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8" borderId="8" applyNumberFormat="0" applyFont="0" applyAlignment="0" applyProtection="0"/>
    <xf numFmtId="44" fontId="4" fillId="0" borderId="0" applyFont="0" applyFill="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8" borderId="8" applyNumberFormat="0" applyFont="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44"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8" borderId="8" applyNumberFormat="0" applyFont="0" applyAlignment="0" applyProtection="0"/>
    <xf numFmtId="44" fontId="4" fillId="0" borderId="0" applyFont="0" applyFill="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0" borderId="0"/>
    <xf numFmtId="43" fontId="4" fillId="0" borderId="0" applyFont="0" applyFill="0" applyBorder="0" applyAlignment="0" applyProtection="0"/>
    <xf numFmtId="0" fontId="4" fillId="8" borderId="8" applyNumberFormat="0" applyFont="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44"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8" borderId="8" applyNumberFormat="0" applyFont="0" applyAlignment="0" applyProtection="0"/>
    <xf numFmtId="44" fontId="4" fillId="0" borderId="0" applyFont="0" applyFill="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0" borderId="0"/>
    <xf numFmtId="43" fontId="4" fillId="0" borderId="0" applyFont="0" applyFill="0" applyBorder="0" applyAlignment="0" applyProtection="0"/>
    <xf numFmtId="0" fontId="4" fillId="8" borderId="8" applyNumberFormat="0" applyFont="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44"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8" borderId="8" applyNumberFormat="0" applyFont="0" applyAlignment="0" applyProtection="0"/>
    <xf numFmtId="44" fontId="4" fillId="0" borderId="0" applyFont="0" applyFill="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0" borderId="0"/>
    <xf numFmtId="43" fontId="4" fillId="0" borderId="0" applyFont="0" applyFill="0" applyBorder="0" applyAlignment="0" applyProtection="0"/>
    <xf numFmtId="0" fontId="4" fillId="8" borderId="8" applyNumberFormat="0" applyFont="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44"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8" borderId="8" applyNumberFormat="0" applyFont="0" applyAlignment="0" applyProtection="0"/>
    <xf numFmtId="44" fontId="4" fillId="0" borderId="0" applyFont="0" applyFill="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8" borderId="8" applyNumberFormat="0" applyFont="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44"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8" borderId="8" applyNumberFormat="0" applyFont="0" applyAlignment="0" applyProtection="0"/>
    <xf numFmtId="44" fontId="4" fillId="0" borderId="0" applyFont="0" applyFill="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0" borderId="0"/>
    <xf numFmtId="43" fontId="4" fillId="0" borderId="0" applyFont="0" applyFill="0" applyBorder="0" applyAlignment="0" applyProtection="0"/>
    <xf numFmtId="0" fontId="4" fillId="8" borderId="8" applyNumberFormat="0" applyFont="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44"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8" borderId="8" applyNumberFormat="0" applyFont="0" applyAlignment="0" applyProtection="0"/>
    <xf numFmtId="44" fontId="4" fillId="0" borderId="0" applyFont="0" applyFill="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0" borderId="0"/>
    <xf numFmtId="0" fontId="4" fillId="0" borderId="0"/>
    <xf numFmtId="43" fontId="4" fillId="0" borderId="0" applyFont="0" applyFill="0" applyBorder="0" applyAlignment="0" applyProtection="0"/>
    <xf numFmtId="0" fontId="4" fillId="8" borderId="8" applyNumberFormat="0" applyFont="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44"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8" borderId="8" applyNumberFormat="0" applyFont="0" applyAlignment="0" applyProtection="0"/>
    <xf numFmtId="44" fontId="4" fillId="0" borderId="0" applyFont="0" applyFill="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0" borderId="0"/>
    <xf numFmtId="43" fontId="4" fillId="0" borderId="0" applyFont="0" applyFill="0" applyBorder="0" applyAlignment="0" applyProtection="0"/>
    <xf numFmtId="0" fontId="4" fillId="8" borderId="8" applyNumberFormat="0" applyFont="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44"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8" borderId="8" applyNumberFormat="0" applyFont="0" applyAlignment="0" applyProtection="0"/>
    <xf numFmtId="44" fontId="4" fillId="0" borderId="0" applyFont="0" applyFill="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8" borderId="8" applyNumberFormat="0" applyFont="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44"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8" borderId="8" applyNumberFormat="0" applyFont="0" applyAlignment="0" applyProtection="0"/>
    <xf numFmtId="44" fontId="4" fillId="0" borderId="0" applyFont="0" applyFill="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6" fillId="0" borderId="0"/>
    <xf numFmtId="44" fontId="46" fillId="0" borderId="0" applyFont="0" applyFill="0" applyBorder="0" applyAlignment="0" applyProtection="0"/>
    <xf numFmtId="43" fontId="46" fillId="0" borderId="0" applyFont="0" applyFill="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200" fillId="0" borderId="0"/>
    <xf numFmtId="187" fontId="44" fillId="0" borderId="0" applyFill="0"/>
    <xf numFmtId="187" fontId="44" fillId="0" borderId="0">
      <alignment horizontal="center"/>
    </xf>
    <xf numFmtId="0" fontId="44" fillId="0" borderId="0" applyFill="0">
      <alignment horizontal="center"/>
    </xf>
    <xf numFmtId="187" fontId="69" fillId="0" borderId="25" applyFill="0"/>
    <xf numFmtId="0" fontId="46" fillId="0" borderId="0" applyFont="0" applyAlignment="0"/>
    <xf numFmtId="0" fontId="201" fillId="0" borderId="0" applyFill="0">
      <alignment vertical="top"/>
    </xf>
    <xf numFmtId="0" fontId="69" fillId="0" borderId="0" applyFill="0">
      <alignment horizontal="left" vertical="top"/>
    </xf>
    <xf numFmtId="187" fontId="48" fillId="0" borderId="72" applyFill="0"/>
    <xf numFmtId="0" fontId="46" fillId="0" borderId="0" applyNumberFormat="0" applyFont="0" applyAlignment="0"/>
    <xf numFmtId="0" fontId="201" fillId="0" borderId="0" applyFill="0">
      <alignment wrapText="1"/>
    </xf>
    <xf numFmtId="0" fontId="69" fillId="0" borderId="0" applyFill="0">
      <alignment horizontal="left" vertical="top" wrapText="1"/>
    </xf>
    <xf numFmtId="187" fontId="87" fillId="0" borderId="0" applyFill="0"/>
    <xf numFmtId="0" fontId="202" fillId="0" borderId="0" applyNumberFormat="0" applyFont="0" applyAlignment="0">
      <alignment horizontal="center"/>
    </xf>
    <xf numFmtId="0" fontId="162" fillId="0" borderId="0" applyFill="0">
      <alignment vertical="top" wrapText="1"/>
    </xf>
    <xf numFmtId="0" fontId="48" fillId="0" borderId="0" applyFill="0">
      <alignment horizontal="left" vertical="top" wrapText="1"/>
    </xf>
    <xf numFmtId="187" fontId="46" fillId="0" borderId="0" applyFill="0"/>
    <xf numFmtId="0" fontId="202" fillId="0" borderId="0" applyNumberFormat="0" applyFont="0" applyAlignment="0">
      <alignment horizontal="center"/>
    </xf>
    <xf numFmtId="0" fontId="95" fillId="0" borderId="0" applyFill="0">
      <alignment vertical="center" wrapText="1"/>
    </xf>
    <xf numFmtId="0" fontId="41" fillId="0" borderId="0">
      <alignment horizontal="left" vertical="center" wrapText="1"/>
    </xf>
    <xf numFmtId="187" fontId="53" fillId="0" borderId="0" applyFill="0"/>
    <xf numFmtId="0" fontId="202" fillId="0" borderId="0" applyNumberFormat="0" applyFont="0" applyAlignment="0">
      <alignment horizontal="center"/>
    </xf>
    <xf numFmtId="0" fontId="203" fillId="0" borderId="0" applyFill="0">
      <alignment horizontal="center" vertical="center" wrapText="1"/>
    </xf>
    <xf numFmtId="0" fontId="46" fillId="0" borderId="0" applyFill="0">
      <alignment horizontal="center" vertical="center" wrapText="1"/>
    </xf>
    <xf numFmtId="187" fontId="204" fillId="0" borderId="0" applyFill="0"/>
    <xf numFmtId="0" fontId="202" fillId="0" borderId="0" applyNumberFormat="0" applyFont="0" applyAlignment="0">
      <alignment horizontal="center"/>
    </xf>
    <xf numFmtId="0" fontId="205" fillId="0" borderId="0" applyFill="0">
      <alignment horizontal="center" vertical="center" wrapText="1"/>
    </xf>
    <xf numFmtId="0" fontId="206" fillId="0" borderId="0" applyFill="0">
      <alignment horizontal="center" vertical="center" wrapText="1"/>
    </xf>
    <xf numFmtId="187" fontId="207" fillId="0" borderId="0" applyFill="0"/>
    <xf numFmtId="0" fontId="202" fillId="0" borderId="0" applyNumberFormat="0" applyFont="0" applyAlignment="0">
      <alignment horizontal="center"/>
    </xf>
    <xf numFmtId="0" fontId="208" fillId="0" borderId="0">
      <alignment horizontal="center" wrapText="1"/>
    </xf>
    <xf numFmtId="0" fontId="204" fillId="0" borderId="0" applyFill="0">
      <alignment horizontal="center" wrapText="1"/>
    </xf>
    <xf numFmtId="4" fontId="44" fillId="35" borderId="0" applyFill="0"/>
    <xf numFmtId="0" fontId="209" fillId="0" borderId="0">
      <alignment horizontal="left" indent="7"/>
    </xf>
    <xf numFmtId="0" fontId="44" fillId="0" borderId="0" applyFill="0">
      <alignment horizontal="left" indent="7"/>
    </xf>
    <xf numFmtId="187" fontId="116" fillId="0" borderId="10" applyFill="0">
      <alignment horizontal="right"/>
    </xf>
    <xf numFmtId="0" fontId="162" fillId="0" borderId="0" applyFill="0">
      <alignment horizontal="left" indent="1"/>
    </xf>
    <xf numFmtId="4" fontId="53" fillId="0" borderId="0" applyFill="0"/>
    <xf numFmtId="0" fontId="46" fillId="0" borderId="0" applyNumberFormat="0" applyFont="0" applyFill="0" applyBorder="0" applyAlignment="0"/>
    <xf numFmtId="0" fontId="162" fillId="0" borderId="0" applyFill="0">
      <alignment horizontal="left" indent="2"/>
    </xf>
    <xf numFmtId="0" fontId="48" fillId="0" borderId="0" applyFill="0">
      <alignment horizontal="left" indent="2"/>
    </xf>
    <xf numFmtId="4" fontId="53" fillId="0" borderId="0" applyFill="0"/>
    <xf numFmtId="0" fontId="46" fillId="0" borderId="0" applyNumberFormat="0" applyFont="0" applyBorder="0" applyAlignment="0"/>
    <xf numFmtId="0" fontId="210" fillId="0" borderId="0">
      <alignment horizontal="left" indent="3"/>
    </xf>
    <xf numFmtId="0" fontId="85" fillId="0" borderId="0" applyFill="0">
      <alignment horizontal="left" indent="3"/>
    </xf>
    <xf numFmtId="4" fontId="53" fillId="0" borderId="0" applyFill="0"/>
    <xf numFmtId="0" fontId="46" fillId="0" borderId="0" applyNumberFormat="0" applyFont="0" applyBorder="0" applyAlignment="0"/>
    <xf numFmtId="0" fontId="203" fillId="0" borderId="0">
      <alignment horizontal="left" indent="4"/>
    </xf>
    <xf numFmtId="0" fontId="46" fillId="0" borderId="0" applyFill="0">
      <alignment horizontal="left" indent="4"/>
    </xf>
    <xf numFmtId="4" fontId="204" fillId="0" borderId="0" applyFill="0"/>
    <xf numFmtId="0" fontId="46" fillId="0" borderId="0" applyNumberFormat="0" applyFont="0" applyBorder="0" applyAlignment="0"/>
    <xf numFmtId="0" fontId="205" fillId="0" borderId="0">
      <alignment horizontal="left" indent="5"/>
    </xf>
    <xf numFmtId="0" fontId="206" fillId="0" borderId="0" applyFill="0">
      <alignment horizontal="left" indent="5"/>
    </xf>
    <xf numFmtId="4" fontId="207" fillId="0" borderId="0" applyFill="0"/>
    <xf numFmtId="0" fontId="46" fillId="0" borderId="0" applyNumberFormat="0" applyFont="0" applyFill="0" applyBorder="0" applyAlignment="0"/>
    <xf numFmtId="0" fontId="208" fillId="0" borderId="0" applyFill="0">
      <alignment horizontal="left" indent="6"/>
    </xf>
    <xf numFmtId="0" fontId="204" fillId="0" borderId="0" applyFill="0">
      <alignment horizontal="left" indent="6"/>
    </xf>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46" fillId="0" borderId="0" applyFill="0">
      <alignment horizontal="center" vertical="center" wrapText="1"/>
    </xf>
    <xf numFmtId="0" fontId="46" fillId="0" borderId="0" applyFill="0">
      <alignment horizontal="left" indent="4"/>
    </xf>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46" fillId="0" borderId="0" applyFill="0">
      <alignment horizontal="center" vertical="center" wrapText="1"/>
    </xf>
    <xf numFmtId="0" fontId="46" fillId="0" borderId="0" applyFill="0">
      <alignment horizontal="left" indent="4"/>
    </xf>
    <xf numFmtId="0" fontId="213"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43" fontId="213" fillId="0" borderId="0" applyFont="0" applyFill="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46" fillId="0" borderId="0"/>
  </cellStyleXfs>
  <cellXfs count="2264">
    <xf numFmtId="164" fontId="0" fillId="0" borderId="0" xfId="0"/>
    <xf numFmtId="166" fontId="46" fillId="0" borderId="0" xfId="0" applyNumberFormat="1" applyFont="1"/>
    <xf numFmtId="166" fontId="47" fillId="0" borderId="0" xfId="0" applyNumberFormat="1" applyFont="1"/>
    <xf numFmtId="166" fontId="48" fillId="0" borderId="0" xfId="0" quotePrefix="1" applyNumberFormat="1" applyFont="1" applyAlignment="1">
      <alignment horizontal="center"/>
    </xf>
    <xf numFmtId="170" fontId="48" fillId="0" borderId="0" xfId="0" applyNumberFormat="1" applyFont="1"/>
    <xf numFmtId="164" fontId="48" fillId="0" borderId="0" xfId="0" applyFont="1" applyProtection="1">
      <protection locked="0"/>
    </xf>
    <xf numFmtId="0" fontId="48" fillId="0" borderId="0" xfId="2" applyFont="1"/>
    <xf numFmtId="165" fontId="43" fillId="0" borderId="0" xfId="2" applyNumberFormat="1" applyFont="1"/>
    <xf numFmtId="0" fontId="43" fillId="0" borderId="0" xfId="2" applyFont="1"/>
    <xf numFmtId="0" fontId="48" fillId="0" borderId="0" xfId="2" quotePrefix="1" applyFont="1" applyAlignment="1">
      <alignment horizontal="left"/>
    </xf>
    <xf numFmtId="0" fontId="66" fillId="0" borderId="0" xfId="2" applyFont="1"/>
    <xf numFmtId="165" fontId="66" fillId="0" borderId="0" xfId="2" applyNumberFormat="1" applyFont="1" applyAlignment="1" applyProtection="1">
      <alignment horizontal="center"/>
      <protection locked="0"/>
    </xf>
    <xf numFmtId="165" fontId="66" fillId="0" borderId="0" xfId="2" applyNumberFormat="1" applyFont="1" applyProtection="1">
      <protection locked="0"/>
    </xf>
    <xf numFmtId="165" fontId="66" fillId="0" borderId="0" xfId="2" applyNumberFormat="1" applyFont="1"/>
    <xf numFmtId="170" fontId="66" fillId="0" borderId="0" xfId="2" applyNumberFormat="1" applyFont="1"/>
    <xf numFmtId="170" fontId="0" fillId="0" borderId="0" xfId="2" applyNumberFormat="1" applyFont="1"/>
    <xf numFmtId="170" fontId="48" fillId="0" borderId="0" xfId="2" applyNumberFormat="1" applyFont="1"/>
    <xf numFmtId="170" fontId="48" fillId="0" borderId="20" xfId="2" applyNumberFormat="1" applyFont="1" applyBorder="1"/>
    <xf numFmtId="170" fontId="48" fillId="0" borderId="18" xfId="2" applyNumberFormat="1" applyFont="1" applyBorder="1"/>
    <xf numFmtId="165" fontId="67" fillId="0" borderId="0" xfId="2" applyNumberFormat="1" applyFont="1"/>
    <xf numFmtId="170" fontId="48" fillId="0" borderId="19" xfId="2" applyNumberFormat="1" applyFont="1" applyBorder="1"/>
    <xf numFmtId="170" fontId="48" fillId="0" borderId="0" xfId="2" quotePrefix="1" applyNumberFormat="1" applyFont="1" applyAlignment="1">
      <alignment horizontal="center"/>
    </xf>
    <xf numFmtId="170" fontId="48" fillId="0" borderId="0" xfId="2" applyNumberFormat="1" applyFont="1" applyAlignment="1">
      <alignment horizontal="center"/>
    </xf>
    <xf numFmtId="170" fontId="48" fillId="0" borderId="0" xfId="2" applyNumberFormat="1" applyFont="1" applyAlignment="1">
      <alignment horizontal="right"/>
    </xf>
    <xf numFmtId="170" fontId="48" fillId="0" borderId="0" xfId="2" applyNumberFormat="1" applyFont="1" applyAlignment="1">
      <alignment vertical="center"/>
    </xf>
    <xf numFmtId="170" fontId="48" fillId="0" borderId="14" xfId="2" applyNumberFormat="1" applyFont="1" applyBorder="1"/>
    <xf numFmtId="174" fontId="48" fillId="0" borderId="0" xfId="2" applyNumberFormat="1" applyFont="1"/>
    <xf numFmtId="174" fontId="48" fillId="0" borderId="18" xfId="2" applyNumberFormat="1" applyFont="1" applyBorder="1"/>
    <xf numFmtId="168" fontId="66" fillId="0" borderId="0" xfId="2" applyNumberFormat="1" applyFont="1" applyProtection="1">
      <protection locked="0"/>
    </xf>
    <xf numFmtId="0" fontId="0" fillId="0" borderId="0" xfId="2" applyFont="1"/>
    <xf numFmtId="166" fontId="68" fillId="0" borderId="0" xfId="2" applyNumberFormat="1" applyFont="1"/>
    <xf numFmtId="0" fontId="48" fillId="0" borderId="0" xfId="2" applyFont="1" applyAlignment="1">
      <alignment horizontal="centerContinuous"/>
    </xf>
    <xf numFmtId="170" fontId="48" fillId="0" borderId="12" xfId="2" applyNumberFormat="1" applyFont="1" applyBorder="1" applyAlignment="1">
      <alignment horizontal="right"/>
    </xf>
    <xf numFmtId="170" fontId="48" fillId="0" borderId="11" xfId="2" applyNumberFormat="1" applyFont="1" applyBorder="1" applyAlignment="1">
      <alignment horizontal="right"/>
    </xf>
    <xf numFmtId="170" fontId="48" fillId="0" borderId="0" xfId="2" quotePrefix="1" applyNumberFormat="1" applyFont="1" applyAlignment="1">
      <alignment horizontal="right"/>
    </xf>
    <xf numFmtId="170" fontId="48" fillId="0" borderId="21" xfId="2" quotePrefix="1" applyNumberFormat="1" applyFont="1" applyBorder="1" applyAlignment="1">
      <alignment horizontal="right"/>
    </xf>
    <xf numFmtId="170" fontId="48" fillId="0" borderId="21" xfId="2" applyNumberFormat="1" applyFont="1" applyBorder="1" applyAlignment="1">
      <alignment horizontal="right"/>
    </xf>
    <xf numFmtId="174" fontId="48" fillId="0" borderId="0" xfId="2" applyNumberFormat="1" applyFont="1" applyAlignment="1">
      <alignment horizontal="center"/>
    </xf>
    <xf numFmtId="0" fontId="69" fillId="33" borderId="0" xfId="2" applyFont="1" applyFill="1" applyAlignment="1">
      <alignment horizontal="left"/>
    </xf>
    <xf numFmtId="37" fontId="46" fillId="33" borderId="0" xfId="2" applyNumberFormat="1" applyFont="1" applyFill="1"/>
    <xf numFmtId="37" fontId="46" fillId="0" borderId="0" xfId="2" applyNumberFormat="1" applyFont="1"/>
    <xf numFmtId="37" fontId="70" fillId="0" borderId="0" xfId="2" applyNumberFormat="1" applyFont="1" applyAlignment="1">
      <alignment horizontal="center"/>
    </xf>
    <xf numFmtId="37" fontId="71" fillId="0" borderId="0" xfId="2" applyNumberFormat="1" applyFont="1" applyAlignment="1">
      <alignment horizontal="center"/>
    </xf>
    <xf numFmtId="37" fontId="72" fillId="0" borderId="0" xfId="2" applyNumberFormat="1" applyFont="1"/>
    <xf numFmtId="0" fontId="69" fillId="0" borderId="0" xfId="2" quotePrefix="1" applyFont="1" applyAlignment="1" applyProtection="1">
      <alignment horizontal="left"/>
      <protection locked="0"/>
    </xf>
    <xf numFmtId="0" fontId="64" fillId="0" borderId="0" xfId="2" applyFont="1"/>
    <xf numFmtId="0" fontId="44" fillId="0" borderId="0" xfId="2" applyFont="1"/>
    <xf numFmtId="37" fontId="48" fillId="0" borderId="0" xfId="2" applyNumberFormat="1" applyFont="1"/>
    <xf numFmtId="37" fontId="48" fillId="0" borderId="0" xfId="2" applyNumberFormat="1" applyFont="1" applyAlignment="1">
      <alignment horizontal="center"/>
    </xf>
    <xf numFmtId="37" fontId="48" fillId="0" borderId="0" xfId="2" quotePrefix="1" applyNumberFormat="1" applyFont="1" applyAlignment="1">
      <alignment horizontal="center"/>
    </xf>
    <xf numFmtId="3" fontId="46" fillId="0" borderId="0" xfId="2" applyNumberFormat="1" applyFont="1"/>
    <xf numFmtId="166" fontId="48" fillId="0" borderId="0" xfId="2" applyNumberFormat="1" applyFont="1"/>
    <xf numFmtId="166" fontId="0" fillId="0" borderId="0" xfId="2" applyNumberFormat="1" applyFont="1"/>
    <xf numFmtId="37" fontId="48" fillId="0" borderId="0" xfId="2" applyNumberFormat="1" applyFont="1" applyAlignment="1">
      <alignment horizontal="right"/>
    </xf>
    <xf numFmtId="3" fontId="48" fillId="0" borderId="0" xfId="2" applyNumberFormat="1" applyFont="1" applyAlignment="1">
      <alignment horizontal="right"/>
    </xf>
    <xf numFmtId="174" fontId="48" fillId="0" borderId="0" xfId="2" applyNumberFormat="1" applyFont="1" applyAlignment="1">
      <alignment horizontal="right"/>
    </xf>
    <xf numFmtId="169" fontId="48" fillId="0" borderId="0" xfId="2" applyNumberFormat="1" applyFont="1"/>
    <xf numFmtId="166" fontId="66" fillId="0" borderId="0" xfId="2" quotePrefix="1" applyNumberFormat="1" applyFont="1" applyAlignment="1">
      <alignment horizontal="left"/>
    </xf>
    <xf numFmtId="166" fontId="74" fillId="0" borderId="0" xfId="2" quotePrefix="1" applyNumberFormat="1" applyFont="1" applyAlignment="1">
      <alignment horizontal="left"/>
    </xf>
    <xf numFmtId="0" fontId="75" fillId="0" borderId="0" xfId="2" applyFont="1"/>
    <xf numFmtId="37" fontId="68" fillId="0" borderId="0" xfId="2" applyNumberFormat="1" applyFont="1"/>
    <xf numFmtId="0" fontId="76" fillId="0" borderId="0" xfId="2" applyFont="1"/>
    <xf numFmtId="0" fontId="69" fillId="0" borderId="0" xfId="2" applyFont="1" applyAlignment="1">
      <alignment horizontal="left"/>
    </xf>
    <xf numFmtId="37" fontId="69" fillId="0" borderId="0" xfId="2" applyNumberFormat="1" applyFont="1" applyAlignment="1">
      <alignment horizontal="right"/>
    </xf>
    <xf numFmtId="37" fontId="48" fillId="0" borderId="0" xfId="2" applyNumberFormat="1" applyFont="1" applyAlignment="1">
      <alignment horizontal="centerContinuous"/>
    </xf>
    <xf numFmtId="37" fontId="48" fillId="0" borderId="0" xfId="2" applyNumberFormat="1" applyFont="1" applyAlignment="1">
      <alignment horizontal="left"/>
    </xf>
    <xf numFmtId="0" fontId="48" fillId="0" borderId="0" xfId="2" applyFont="1" applyAlignment="1">
      <alignment horizontal="center"/>
    </xf>
    <xf numFmtId="0" fontId="77" fillId="0" borderId="0" xfId="2" applyFont="1" applyAlignment="1">
      <alignment horizontal="center"/>
    </xf>
    <xf numFmtId="37" fontId="73" fillId="0" borderId="0" xfId="2" quotePrefix="1" applyNumberFormat="1" applyFont="1" applyAlignment="1">
      <alignment horizontal="centerContinuous"/>
    </xf>
    <xf numFmtId="37" fontId="66" fillId="0" borderId="0" xfId="2" applyNumberFormat="1" applyFont="1"/>
    <xf numFmtId="0" fontId="53" fillId="0" borderId="0" xfId="2" applyFont="1"/>
    <xf numFmtId="165" fontId="68" fillId="0" borderId="0" xfId="2" applyNumberFormat="1" applyFont="1"/>
    <xf numFmtId="165" fontId="48" fillId="0" borderId="0" xfId="2" applyNumberFormat="1" applyFont="1"/>
    <xf numFmtId="166" fontId="66" fillId="0" borderId="0" xfId="2" applyNumberFormat="1" applyFont="1"/>
    <xf numFmtId="165" fontId="78" fillId="0" borderId="0" xfId="2" applyNumberFormat="1" applyFont="1"/>
    <xf numFmtId="166" fontId="79" fillId="0" borderId="0" xfId="2" applyNumberFormat="1" applyFont="1"/>
    <xf numFmtId="166" fontId="80" fillId="0" borderId="0" xfId="2" applyNumberFormat="1" applyFont="1"/>
    <xf numFmtId="166" fontId="81" fillId="0" borderId="0" xfId="2" applyNumberFormat="1" applyFont="1"/>
    <xf numFmtId="166" fontId="80" fillId="0" borderId="0" xfId="2" quotePrefix="1" applyNumberFormat="1" applyFont="1" applyAlignment="1">
      <alignment horizontal="left"/>
    </xf>
    <xf numFmtId="166" fontId="62" fillId="0" borderId="0" xfId="2" applyNumberFormat="1" applyFont="1"/>
    <xf numFmtId="166" fontId="82" fillId="0" borderId="0" xfId="2" quotePrefix="1" applyNumberFormat="1" applyFont="1" applyAlignment="1">
      <alignment horizontal="left"/>
    </xf>
    <xf numFmtId="174" fontId="82" fillId="0" borderId="0" xfId="2" applyNumberFormat="1" applyFont="1"/>
    <xf numFmtId="174" fontId="82" fillId="0" borderId="18" xfId="2" applyNumberFormat="1" applyFont="1" applyBorder="1"/>
    <xf numFmtId="166" fontId="82" fillId="0" borderId="0" xfId="2" applyNumberFormat="1" applyFont="1"/>
    <xf numFmtId="166" fontId="79" fillId="0" borderId="0" xfId="2" applyNumberFormat="1" applyFont="1" applyAlignment="1">
      <alignment horizontal="right"/>
    </xf>
    <xf numFmtId="166" fontId="79" fillId="0" borderId="18" xfId="2" applyNumberFormat="1" applyFont="1" applyBorder="1"/>
    <xf numFmtId="170" fontId="79" fillId="0" borderId="0" xfId="2" applyNumberFormat="1" applyFont="1"/>
    <xf numFmtId="170" fontId="79" fillId="0" borderId="18" xfId="2" applyNumberFormat="1" applyFont="1" applyBorder="1"/>
    <xf numFmtId="170" fontId="82" fillId="0" borderId="0" xfId="2" applyNumberFormat="1" applyFont="1"/>
    <xf numFmtId="170" fontId="64" fillId="0" borderId="0" xfId="2" applyNumberFormat="1" applyFont="1"/>
    <xf numFmtId="170" fontId="64" fillId="0" borderId="0" xfId="2" quotePrefix="1" applyNumberFormat="1" applyFont="1" applyAlignment="1">
      <alignment horizontal="center"/>
    </xf>
    <xf numFmtId="170" fontId="79" fillId="0" borderId="0" xfId="2" applyNumberFormat="1" applyFont="1" applyAlignment="1">
      <alignment horizontal="right"/>
    </xf>
    <xf numFmtId="170" fontId="82" fillId="0" borderId="0" xfId="2" applyNumberFormat="1" applyFont="1" applyAlignment="1">
      <alignment horizontal="right"/>
    </xf>
    <xf numFmtId="166" fontId="64" fillId="0" borderId="0" xfId="2" quotePrefix="1" applyNumberFormat="1" applyFont="1" applyAlignment="1">
      <alignment horizontal="left"/>
    </xf>
    <xf numFmtId="165" fontId="64" fillId="0" borderId="0" xfId="2" applyNumberFormat="1" applyFont="1"/>
    <xf numFmtId="165" fontId="46" fillId="0" borderId="0" xfId="2" applyNumberFormat="1" applyFont="1"/>
    <xf numFmtId="165" fontId="69" fillId="0" borderId="0" xfId="2" applyNumberFormat="1" applyFont="1"/>
    <xf numFmtId="0" fontId="69" fillId="0" borderId="0" xfId="2" applyFont="1"/>
    <xf numFmtId="164" fontId="69" fillId="0" borderId="0" xfId="2" applyNumberFormat="1" applyFont="1" applyAlignment="1">
      <alignment horizontal="right"/>
    </xf>
    <xf numFmtId="174" fontId="67" fillId="0" borderId="0" xfId="2" applyNumberFormat="1" applyFont="1"/>
    <xf numFmtId="170" fontId="48" fillId="0" borderId="28" xfId="2" applyNumberFormat="1" applyFont="1" applyBorder="1"/>
    <xf numFmtId="0" fontId="48" fillId="0" borderId="18" xfId="2" applyFont="1" applyBorder="1"/>
    <xf numFmtId="174" fontId="48" fillId="0" borderId="16" xfId="2" applyNumberFormat="1" applyFont="1" applyBorder="1"/>
    <xf numFmtId="0" fontId="46" fillId="0" borderId="0" xfId="2" applyFont="1"/>
    <xf numFmtId="0" fontId="78" fillId="0" borderId="0" xfId="2" applyFont="1"/>
    <xf numFmtId="0" fontId="42" fillId="0" borderId="0" xfId="2" applyFont="1" applyAlignment="1">
      <alignment horizontal="right"/>
    </xf>
    <xf numFmtId="174" fontId="48" fillId="0" borderId="30" xfId="2" applyNumberFormat="1" applyFont="1" applyBorder="1"/>
    <xf numFmtId="164" fontId="48" fillId="0" borderId="0" xfId="2" applyNumberFormat="1" applyFont="1"/>
    <xf numFmtId="170" fontId="48" fillId="0" borderId="30" xfId="2" applyNumberFormat="1" applyFont="1" applyBorder="1"/>
    <xf numFmtId="166" fontId="48" fillId="0" borderId="0" xfId="2" applyNumberFormat="1" applyFont="1" applyAlignment="1">
      <alignment horizontal="right"/>
    </xf>
    <xf numFmtId="164" fontId="48" fillId="0" borderId="16" xfId="2" applyNumberFormat="1" applyFont="1" applyBorder="1"/>
    <xf numFmtId="168" fontId="44" fillId="0" borderId="0" xfId="2" applyNumberFormat="1" applyFont="1"/>
    <xf numFmtId="0" fontId="42" fillId="0" borderId="0" xfId="2" applyFont="1" applyAlignment="1">
      <alignment horizontal="left"/>
    </xf>
    <xf numFmtId="168" fontId="46" fillId="0" borderId="0" xfId="2" applyNumberFormat="1" applyFont="1"/>
    <xf numFmtId="0" fontId="87" fillId="0" borderId="0" xfId="2" applyFont="1"/>
    <xf numFmtId="0" fontId="46" fillId="0" borderId="0" xfId="4" applyFont="1"/>
    <xf numFmtId="0" fontId="69" fillId="0" borderId="0" xfId="4" applyFont="1"/>
    <xf numFmtId="174" fontId="48" fillId="0" borderId="0" xfId="4" applyNumberFormat="1" applyFont="1"/>
    <xf numFmtId="0" fontId="48" fillId="0" borderId="0" xfId="4" applyFont="1"/>
    <xf numFmtId="165" fontId="90" fillId="0" borderId="0" xfId="2" applyNumberFormat="1" applyFont="1" applyAlignment="1">
      <alignment horizontal="left"/>
    </xf>
    <xf numFmtId="165" fontId="91" fillId="0" borderId="0" xfId="2" applyNumberFormat="1" applyFont="1"/>
    <xf numFmtId="165" fontId="92" fillId="0" borderId="0" xfId="2" applyNumberFormat="1" applyFont="1"/>
    <xf numFmtId="165" fontId="93" fillId="0" borderId="0" xfId="2" applyNumberFormat="1" applyFont="1" applyAlignment="1">
      <alignment horizontal="centerContinuous"/>
    </xf>
    <xf numFmtId="0" fontId="83" fillId="0" borderId="0" xfId="2" applyFont="1"/>
    <xf numFmtId="165" fontId="90" fillId="0" borderId="0" xfId="2" applyNumberFormat="1" applyFont="1" applyAlignment="1">
      <alignment horizontal="centerContinuous"/>
    </xf>
    <xf numFmtId="0" fontId="94" fillId="0" borderId="0" xfId="2" applyFont="1" applyAlignment="1">
      <alignment horizontal="left"/>
    </xf>
    <xf numFmtId="165" fontId="95" fillId="0" borderId="0" xfId="2" applyNumberFormat="1" applyFont="1"/>
    <xf numFmtId="166" fontId="48" fillId="0" borderId="15" xfId="2" applyNumberFormat="1" applyFont="1" applyBorder="1"/>
    <xf numFmtId="174" fontId="48" fillId="0" borderId="0" xfId="2" quotePrefix="1" applyNumberFormat="1" applyFont="1"/>
    <xf numFmtId="174" fontId="48" fillId="0" borderId="15" xfId="2" applyNumberFormat="1" applyFont="1" applyBorder="1"/>
    <xf numFmtId="166" fontId="0" fillId="0" borderId="0" xfId="2" applyNumberFormat="1" applyFont="1" applyAlignment="1">
      <alignment horizontal="center"/>
    </xf>
    <xf numFmtId="164" fontId="0" fillId="0" borderId="0" xfId="2" applyNumberFormat="1" applyFont="1"/>
    <xf numFmtId="170" fontId="48" fillId="0" borderId="15" xfId="2" applyNumberFormat="1" applyFont="1" applyBorder="1" applyAlignment="1">
      <alignment horizontal="right"/>
    </xf>
    <xf numFmtId="170" fontId="48" fillId="0" borderId="15" xfId="2" applyNumberFormat="1" applyFont="1" applyBorder="1"/>
    <xf numFmtId="172" fontId="0" fillId="0" borderId="0" xfId="2" applyNumberFormat="1" applyFont="1"/>
    <xf numFmtId="170" fontId="48" fillId="0" borderId="15" xfId="2" applyNumberFormat="1" applyFont="1" applyBorder="1" applyAlignment="1">
      <alignment horizontal="center"/>
    </xf>
    <xf numFmtId="7" fontId="48" fillId="0" borderId="0" xfId="2" applyNumberFormat="1" applyFont="1"/>
    <xf numFmtId="166" fontId="85" fillId="0" borderId="0" xfId="2" applyNumberFormat="1" applyFont="1" applyAlignment="1">
      <alignment horizontal="left"/>
    </xf>
    <xf numFmtId="0" fontId="85" fillId="0" borderId="0" xfId="2" applyFont="1"/>
    <xf numFmtId="166" fontId="85" fillId="0" borderId="0" xfId="2" quotePrefix="1" applyNumberFormat="1" applyFont="1" applyAlignment="1">
      <alignment horizontal="left"/>
    </xf>
    <xf numFmtId="174" fontId="82" fillId="0" borderId="0" xfId="2" applyNumberFormat="1" applyFont="1" applyAlignment="1">
      <alignment horizontal="right"/>
    </xf>
    <xf numFmtId="166" fontId="78" fillId="0" borderId="0" xfId="2" applyNumberFormat="1" applyFont="1"/>
    <xf numFmtId="170" fontId="62" fillId="0" borderId="0" xfId="2" applyNumberFormat="1" applyFont="1" applyAlignment="1">
      <alignment horizontal="right"/>
    </xf>
    <xf numFmtId="166" fontId="82" fillId="0" borderId="18" xfId="2" applyNumberFormat="1" applyFont="1" applyBorder="1"/>
    <xf numFmtId="166" fontId="81" fillId="0" borderId="23" xfId="2" applyNumberFormat="1" applyFont="1" applyBorder="1"/>
    <xf numFmtId="165" fontId="81" fillId="0" borderId="0" xfId="2" applyNumberFormat="1" applyFont="1"/>
    <xf numFmtId="165" fontId="96" fillId="0" borderId="0" xfId="2" applyNumberFormat="1" applyFont="1"/>
    <xf numFmtId="174" fontId="69" fillId="0" borderId="0" xfId="2" applyNumberFormat="1" applyFont="1"/>
    <xf numFmtId="170" fontId="69" fillId="0" borderId="0" xfId="2" applyNumberFormat="1" applyFont="1"/>
    <xf numFmtId="170" fontId="69" fillId="0" borderId="0" xfId="2" applyNumberFormat="1" applyFont="1" applyAlignment="1">
      <alignment horizontal="right"/>
    </xf>
    <xf numFmtId="174" fontId="69" fillId="0" borderId="16" xfId="2" applyNumberFormat="1" applyFont="1" applyBorder="1"/>
    <xf numFmtId="0" fontId="64" fillId="0" borderId="23" xfId="2" applyFont="1" applyBorder="1"/>
    <xf numFmtId="165" fontId="64" fillId="0" borderId="0" xfId="2" quotePrefix="1" applyNumberFormat="1" applyFont="1"/>
    <xf numFmtId="0" fontId="97" fillId="0" borderId="0" xfId="2" applyFont="1"/>
    <xf numFmtId="0" fontId="69" fillId="0" borderId="0" xfId="2" applyFont="1" applyAlignment="1">
      <alignment horizontal="right"/>
    </xf>
    <xf numFmtId="0" fontId="98" fillId="0" borderId="0" xfId="2" applyFont="1"/>
    <xf numFmtId="0" fontId="99" fillId="0" borderId="0" xfId="2" applyFont="1"/>
    <xf numFmtId="0" fontId="98" fillId="0" borderId="0" xfId="2" applyFont="1" applyAlignment="1">
      <alignment horizontal="left"/>
    </xf>
    <xf numFmtId="0" fontId="0" fillId="0" borderId="0" xfId="17" applyNumberFormat="1" applyFont="1"/>
    <xf numFmtId="0" fontId="48" fillId="0" borderId="0" xfId="17" applyNumberFormat="1" applyFont="1" applyAlignment="1" applyProtection="1">
      <alignment horizontal="center"/>
      <protection locked="0"/>
    </xf>
    <xf numFmtId="0" fontId="48" fillId="0" borderId="0" xfId="17" applyNumberFormat="1" applyFont="1" applyAlignment="1">
      <alignment horizontal="center"/>
    </xf>
    <xf numFmtId="49" fontId="48" fillId="0" borderId="0" xfId="17" applyNumberFormat="1" applyFont="1" applyAlignment="1">
      <alignment horizontal="center"/>
    </xf>
    <xf numFmtId="0" fontId="73" fillId="0" borderId="0" xfId="17" applyNumberFormat="1" applyFont="1"/>
    <xf numFmtId="174" fontId="48" fillId="0" borderId="0" xfId="17" applyNumberFormat="1" applyFont="1"/>
    <xf numFmtId="190" fontId="111" fillId="0" borderId="0" xfId="11" applyNumberFormat="1" applyFont="1" applyAlignment="1">
      <alignment horizontal="right"/>
    </xf>
    <xf numFmtId="190" fontId="68" fillId="0" borderId="0" xfId="11" applyNumberFormat="1" applyFont="1" applyAlignment="1"/>
    <xf numFmtId="43" fontId="78" fillId="0" borderId="0" xfId="11" applyFont="1" applyAlignment="1"/>
    <xf numFmtId="190" fontId="46" fillId="0" borderId="0" xfId="11" applyNumberFormat="1" applyFont="1" applyAlignment="1"/>
    <xf numFmtId="0" fontId="42" fillId="0" borderId="0" xfId="739" quotePrefix="1" applyFont="1" applyAlignment="1">
      <alignment horizontal="left"/>
    </xf>
    <xf numFmtId="0" fontId="48" fillId="0" borderId="0" xfId="739" applyFont="1"/>
    <xf numFmtId="0" fontId="98" fillId="0" borderId="0" xfId="739" applyFont="1"/>
    <xf numFmtId="0" fontId="97" fillId="0" borderId="0" xfId="739" applyFont="1"/>
    <xf numFmtId="37" fontId="97" fillId="0" borderId="0" xfId="739" applyNumberFormat="1" applyFont="1"/>
    <xf numFmtId="0" fontId="99" fillId="0" borderId="0" xfId="739" applyFont="1"/>
    <xf numFmtId="37" fontId="98" fillId="0" borderId="25" xfId="739" quotePrefix="1" applyNumberFormat="1" applyFont="1" applyBorder="1" applyAlignment="1">
      <alignment horizontal="center"/>
    </xf>
    <xf numFmtId="37" fontId="134" fillId="0" borderId="0" xfId="2" applyNumberFormat="1" applyFont="1"/>
    <xf numFmtId="37" fontId="135" fillId="0" borderId="0" xfId="2" applyNumberFormat="1" applyFont="1"/>
    <xf numFmtId="0" fontId="133" fillId="0" borderId="0" xfId="2" applyFont="1" applyAlignment="1">
      <alignment horizontal="center"/>
    </xf>
    <xf numFmtId="37" fontId="133" fillId="0" borderId="0" xfId="2" applyNumberFormat="1" applyFont="1"/>
    <xf numFmtId="37" fontId="132" fillId="0" borderId="0" xfId="2" applyNumberFormat="1" applyFont="1"/>
    <xf numFmtId="166" fontId="67" fillId="0" borderId="0" xfId="2" applyNumberFormat="1" applyFont="1"/>
    <xf numFmtId="177" fontId="48" fillId="0" borderId="0" xfId="740" quotePrefix="1" applyNumberFormat="1" applyFont="1" applyAlignment="1">
      <alignment horizontal="left"/>
    </xf>
    <xf numFmtId="177" fontId="48" fillId="0" borderId="0" xfId="740" applyNumberFormat="1" applyFont="1" applyAlignment="1">
      <alignment horizontal="center"/>
    </xf>
    <xf numFmtId="177" fontId="73" fillId="0" borderId="0" xfId="740" applyNumberFormat="1" applyFont="1"/>
    <xf numFmtId="177" fontId="102" fillId="0" borderId="0" xfId="740" applyNumberFormat="1" applyFont="1"/>
    <xf numFmtId="165" fontId="102" fillId="0" borderId="0" xfId="740" applyNumberFormat="1" applyFont="1"/>
    <xf numFmtId="177" fontId="48" fillId="0" borderId="0" xfId="740" applyNumberFormat="1" applyFont="1"/>
    <xf numFmtId="177" fontId="48" fillId="0" borderId="0" xfId="740" applyNumberFormat="1" applyFont="1" applyAlignment="1">
      <alignment horizontal="right"/>
    </xf>
    <xf numFmtId="183" fontId="48" fillId="0" borderId="0" xfId="740" applyNumberFormat="1" applyFont="1"/>
    <xf numFmtId="0" fontId="64" fillId="0" borderId="0" xfId="836" applyFont="1"/>
    <xf numFmtId="0" fontId="64" fillId="0" borderId="0" xfId="836" applyFont="1" applyAlignment="1">
      <alignment horizontal="right"/>
    </xf>
    <xf numFmtId="177" fontId="64" fillId="0" borderId="0" xfId="836" applyNumberFormat="1" applyFont="1"/>
    <xf numFmtId="173" fontId="68" fillId="0" borderId="0" xfId="836" applyNumberFormat="1" applyFont="1"/>
    <xf numFmtId="0" fontId="69" fillId="0" borderId="0" xfId="836" applyFont="1"/>
    <xf numFmtId="0" fontId="48" fillId="0" borderId="0" xfId="836" applyFont="1"/>
    <xf numFmtId="173" fontId="43" fillId="0" borderId="0" xfId="836" applyNumberFormat="1"/>
    <xf numFmtId="0" fontId="69" fillId="0" borderId="0" xfId="836" applyFont="1" applyAlignment="1">
      <alignment horizontal="right"/>
    </xf>
    <xf numFmtId="173" fontId="64" fillId="0" borderId="0" xfId="836" applyNumberFormat="1" applyFont="1"/>
    <xf numFmtId="0" fontId="48" fillId="0" borderId="0" xfId="836" applyFont="1" applyAlignment="1">
      <alignment horizontal="right"/>
    </xf>
    <xf numFmtId="0" fontId="69" fillId="0" borderId="0" xfId="836" quotePrefix="1" applyFont="1" applyAlignment="1">
      <alignment horizontal="left"/>
    </xf>
    <xf numFmtId="0" fontId="105" fillId="0" borderId="0" xfId="836" applyFont="1"/>
    <xf numFmtId="181" fontId="43" fillId="0" borderId="0" xfId="836" applyNumberFormat="1"/>
    <xf numFmtId="181" fontId="48" fillId="0" borderId="0" xfId="836" applyNumberFormat="1" applyFont="1"/>
    <xf numFmtId="173" fontId="48" fillId="0" borderId="0" xfId="836" applyNumberFormat="1" applyFont="1"/>
    <xf numFmtId="173" fontId="69" fillId="0" borderId="0" xfId="836" applyNumberFormat="1" applyFont="1"/>
    <xf numFmtId="181" fontId="43" fillId="0" borderId="0" xfId="836" quotePrefix="1" applyNumberFormat="1" applyAlignment="1">
      <alignment horizontal="left"/>
    </xf>
    <xf numFmtId="173" fontId="69" fillId="0" borderId="0" xfId="836" applyNumberFormat="1" applyFont="1" applyAlignment="1">
      <alignment horizontal="centerContinuous"/>
    </xf>
    <xf numFmtId="173" fontId="69" fillId="0" borderId="0" xfId="836" applyNumberFormat="1" applyFont="1" applyAlignment="1">
      <alignment horizontal="center"/>
    </xf>
    <xf numFmtId="0" fontId="105" fillId="0" borderId="0" xfId="836" applyFont="1" applyAlignment="1">
      <alignment horizontal="center"/>
    </xf>
    <xf numFmtId="0" fontId="69" fillId="0" borderId="0" xfId="836" applyFont="1" applyAlignment="1">
      <alignment horizontal="center"/>
    </xf>
    <xf numFmtId="173" fontId="64" fillId="0" borderId="0" xfId="836" applyNumberFormat="1" applyFont="1" applyAlignment="1">
      <alignment horizontal="right"/>
    </xf>
    <xf numFmtId="176" fontId="64" fillId="0" borderId="0" xfId="836" applyNumberFormat="1" applyFont="1"/>
    <xf numFmtId="173" fontId="64" fillId="0" borderId="0" xfId="836" applyNumberFormat="1" applyFont="1" applyAlignment="1">
      <alignment horizontal="center"/>
    </xf>
    <xf numFmtId="0" fontId="65" fillId="0" borderId="0" xfId="836" applyFont="1"/>
    <xf numFmtId="165" fontId="46" fillId="0" borderId="0" xfId="840" applyNumberFormat="1"/>
    <xf numFmtId="165" fontId="111" fillId="0" borderId="0" xfId="840" applyNumberFormat="1" applyFont="1" applyAlignment="1">
      <alignment horizontal="right"/>
    </xf>
    <xf numFmtId="39" fontId="46" fillId="0" borderId="0" xfId="840" applyNumberFormat="1"/>
    <xf numFmtId="40" fontId="46" fillId="0" borderId="0" xfId="840" applyNumberFormat="1"/>
    <xf numFmtId="165" fontId="68" fillId="0" borderId="0" xfId="840" applyNumberFormat="1" applyFont="1"/>
    <xf numFmtId="5" fontId="48" fillId="0" borderId="0" xfId="840" applyNumberFormat="1" applyFont="1"/>
    <xf numFmtId="40" fontId="48" fillId="0" borderId="0" xfId="840" applyNumberFormat="1" applyFont="1"/>
    <xf numFmtId="165" fontId="78" fillId="0" borderId="0" xfId="840" applyNumberFormat="1" applyFont="1" applyAlignment="1">
      <alignment horizontal="right"/>
    </xf>
    <xf numFmtId="0" fontId="70" fillId="0" borderId="0" xfId="840" quotePrefix="1" applyFont="1" applyAlignment="1">
      <alignment horizontal="left"/>
    </xf>
    <xf numFmtId="0" fontId="69" fillId="0" borderId="0" xfId="840" applyFont="1"/>
    <xf numFmtId="40" fontId="112" fillId="0" borderId="0" xfId="840" applyNumberFormat="1" applyFont="1" applyAlignment="1">
      <alignment horizontal="center"/>
    </xf>
    <xf numFmtId="40" fontId="48" fillId="0" borderId="0" xfId="840" quotePrefix="1" applyNumberFormat="1" applyFont="1" applyAlignment="1">
      <alignment horizontal="left"/>
    </xf>
    <xf numFmtId="40" fontId="48" fillId="0" borderId="0" xfId="840" applyNumberFormat="1" applyFont="1" applyAlignment="1">
      <alignment horizontal="left"/>
    </xf>
    <xf numFmtId="39" fontId="48" fillId="0" borderId="0" xfId="840" quotePrefix="1" applyNumberFormat="1" applyFont="1" applyAlignment="1">
      <alignment horizontal="center"/>
    </xf>
    <xf numFmtId="40" fontId="48" fillId="0" borderId="0" xfId="840" applyNumberFormat="1" applyFont="1" applyAlignment="1">
      <alignment horizontal="center"/>
    </xf>
    <xf numFmtId="39" fontId="48" fillId="0" borderId="0" xfId="840" applyNumberFormat="1" applyFont="1" applyAlignment="1">
      <alignment horizontal="center"/>
    </xf>
    <xf numFmtId="37" fontId="48" fillId="0" borderId="0" xfId="840" applyNumberFormat="1" applyFont="1"/>
    <xf numFmtId="186" fontId="48" fillId="0" borderId="0" xfId="840" quotePrefix="1" applyNumberFormat="1" applyFont="1" applyAlignment="1">
      <alignment horizontal="center"/>
    </xf>
    <xf numFmtId="42" fontId="48" fillId="0" borderId="0" xfId="840" applyNumberFormat="1" applyFont="1"/>
    <xf numFmtId="165" fontId="78" fillId="0" borderId="0" xfId="840" applyNumberFormat="1" applyFont="1"/>
    <xf numFmtId="0" fontId="48" fillId="0" borderId="0" xfId="840" applyFont="1"/>
    <xf numFmtId="41" fontId="48" fillId="0" borderId="0" xfId="840" applyNumberFormat="1" applyFont="1"/>
    <xf numFmtId="0" fontId="48" fillId="0" borderId="0" xfId="840" applyFont="1" applyAlignment="1">
      <alignment horizontal="left"/>
    </xf>
    <xf numFmtId="0" fontId="46" fillId="0" borderId="0" xfId="840" applyAlignment="1">
      <alignment horizontal="left"/>
    </xf>
    <xf numFmtId="166" fontId="61" fillId="0" borderId="0" xfId="2" applyNumberFormat="1" applyFont="1"/>
    <xf numFmtId="166" fontId="61" fillId="0" borderId="0" xfId="2" quotePrefix="1" applyNumberFormat="1" applyFont="1" applyAlignment="1">
      <alignment horizontal="left"/>
    </xf>
    <xf numFmtId="166" fontId="62" fillId="0" borderId="0" xfId="2" applyNumberFormat="1" applyFont="1" applyAlignment="1">
      <alignment horizontal="center"/>
    </xf>
    <xf numFmtId="174" fontId="61" fillId="0" borderId="0" xfId="2" applyNumberFormat="1" applyFont="1"/>
    <xf numFmtId="174" fontId="61" fillId="0" borderId="17" xfId="2" applyNumberFormat="1" applyFont="1" applyBorder="1"/>
    <xf numFmtId="166" fontId="62" fillId="0" borderId="0" xfId="2" applyNumberFormat="1" applyFont="1" applyAlignment="1">
      <alignment horizontal="right"/>
    </xf>
    <xf numFmtId="166" fontId="62" fillId="0" borderId="17" xfId="2" applyNumberFormat="1" applyFont="1" applyBorder="1"/>
    <xf numFmtId="170" fontId="62" fillId="0" borderId="0" xfId="2" applyNumberFormat="1" applyFont="1"/>
    <xf numFmtId="170" fontId="62" fillId="0" borderId="17" xfId="2" applyNumberFormat="1" applyFont="1" applyBorder="1"/>
    <xf numFmtId="170" fontId="62" fillId="0" borderId="48" xfId="2" applyNumberFormat="1" applyFont="1" applyBorder="1"/>
    <xf numFmtId="170" fontId="61" fillId="0" borderId="0" xfId="2" applyNumberFormat="1" applyFont="1"/>
    <xf numFmtId="170" fontId="61" fillId="0" borderId="17" xfId="2" applyNumberFormat="1" applyFont="1" applyBorder="1"/>
    <xf numFmtId="166" fontId="62" fillId="0" borderId="0" xfId="2" quotePrefix="1" applyNumberFormat="1" applyFont="1" applyAlignment="1">
      <alignment horizontal="left"/>
    </xf>
    <xf numFmtId="170" fontId="139" fillId="0" borderId="0" xfId="2" applyNumberFormat="1" applyFont="1"/>
    <xf numFmtId="170" fontId="66" fillId="0" borderId="17" xfId="2" applyNumberFormat="1" applyFont="1" applyBorder="1"/>
    <xf numFmtId="170" fontId="67" fillId="0" borderId="0" xfId="2" applyNumberFormat="1" applyFont="1"/>
    <xf numFmtId="170" fontId="67" fillId="0" borderId="17" xfId="2" applyNumberFormat="1" applyFont="1" applyBorder="1"/>
    <xf numFmtId="170" fontId="61" fillId="0" borderId="0" xfId="2" applyNumberFormat="1" applyFont="1" applyAlignment="1">
      <alignment horizontal="right"/>
    </xf>
    <xf numFmtId="166" fontId="66" fillId="0" borderId="17" xfId="2" applyNumberFormat="1" applyFont="1" applyBorder="1"/>
    <xf numFmtId="166" fontId="48" fillId="0" borderId="0" xfId="2" applyNumberFormat="1" applyFont="1" applyAlignment="1">
      <alignment horizontal="left"/>
    </xf>
    <xf numFmtId="174" fontId="61" fillId="0" borderId="16" xfId="2" applyNumberFormat="1" applyFont="1" applyBorder="1"/>
    <xf numFmtId="174" fontId="67" fillId="0" borderId="0" xfId="2" applyNumberFormat="1" applyFont="1" applyAlignment="1">
      <alignment horizontal="right"/>
    </xf>
    <xf numFmtId="174" fontId="67" fillId="0" borderId="17" xfId="2" applyNumberFormat="1" applyFont="1" applyBorder="1"/>
    <xf numFmtId="166" fontId="50" fillId="0" borderId="0" xfId="2" applyNumberFormat="1" applyFont="1"/>
    <xf numFmtId="43" fontId="46" fillId="0" borderId="0" xfId="5" applyFont="1" applyFill="1" applyBorder="1" applyAlignment="1">
      <alignment horizontal="right"/>
    </xf>
    <xf numFmtId="0" fontId="84" fillId="0" borderId="0" xfId="8" applyFont="1"/>
    <xf numFmtId="0" fontId="140" fillId="0" borderId="0" xfId="8" applyFont="1"/>
    <xf numFmtId="0" fontId="116" fillId="0" borderId="0" xfId="8" applyFont="1"/>
    <xf numFmtId="0" fontId="53" fillId="0" borderId="0" xfId="8" applyFont="1"/>
    <xf numFmtId="0" fontId="53" fillId="0" borderId="0" xfId="8" applyFont="1" applyAlignment="1">
      <alignment horizontal="left"/>
    </xf>
    <xf numFmtId="0" fontId="53" fillId="0" borderId="0" xfId="8" applyFont="1" applyAlignment="1">
      <alignment horizontal="right" indent="15"/>
    </xf>
    <xf numFmtId="0" fontId="116" fillId="0" borderId="0" xfId="8" applyFont="1" applyAlignment="1">
      <alignment horizontal="right"/>
    </xf>
    <xf numFmtId="0" fontId="46" fillId="0" borderId="0" xfId="8" applyFont="1" applyAlignment="1">
      <alignment horizontal="center"/>
    </xf>
    <xf numFmtId="0" fontId="53" fillId="0" borderId="0" xfId="8" applyFont="1" applyAlignment="1">
      <alignment horizontal="center"/>
    </xf>
    <xf numFmtId="0" fontId="53" fillId="0" borderId="0" xfId="8" applyFont="1" applyAlignment="1">
      <alignment horizontal="right"/>
    </xf>
    <xf numFmtId="0" fontId="116" fillId="0" borderId="0" xfId="8" quotePrefix="1" applyFont="1" applyAlignment="1">
      <alignment horizontal="right"/>
    </xf>
    <xf numFmtId="165" fontId="53" fillId="0" borderId="0" xfId="8" applyNumberFormat="1" applyFont="1" applyAlignment="1">
      <alignment horizontal="right"/>
    </xf>
    <xf numFmtId="0" fontId="142" fillId="0" borderId="0" xfId="8" applyFont="1"/>
    <xf numFmtId="0" fontId="116" fillId="0" borderId="0" xfId="8" applyFont="1" applyAlignment="1">
      <alignment horizontal="center"/>
    </xf>
    <xf numFmtId="188" fontId="53" fillId="0" borderId="0" xfId="8" quotePrefix="1" applyNumberFormat="1" applyFont="1"/>
    <xf numFmtId="3" fontId="53" fillId="0" borderId="0" xfId="8" quotePrefix="1" applyNumberFormat="1" applyFont="1"/>
    <xf numFmtId="3" fontId="53" fillId="0" borderId="0" xfId="8" quotePrefix="1" applyNumberFormat="1" applyFont="1" applyAlignment="1">
      <alignment horizontal="center"/>
    </xf>
    <xf numFmtId="188" fontId="53" fillId="0" borderId="0" xfId="8" applyNumberFormat="1" applyFont="1"/>
    <xf numFmtId="3" fontId="53" fillId="0" borderId="0" xfId="8" applyNumberFormat="1" applyFont="1"/>
    <xf numFmtId="0" fontId="140" fillId="0" borderId="0" xfId="8" applyFont="1" applyAlignment="1">
      <alignment horizontal="center"/>
    </xf>
    <xf numFmtId="191" fontId="53" fillId="0" borderId="0" xfId="8" applyNumberFormat="1" applyFont="1"/>
    <xf numFmtId="175" fontId="53" fillId="0" borderId="0" xfId="8" quotePrefix="1" applyNumberFormat="1" applyFont="1" applyAlignment="1">
      <alignment horizontal="right"/>
    </xf>
    <xf numFmtId="192" fontId="53" fillId="0" borderId="0" xfId="8" applyNumberFormat="1" applyFont="1"/>
    <xf numFmtId="175" fontId="53" fillId="0" borderId="0" xfId="8" quotePrefix="1" applyNumberFormat="1" applyFont="1"/>
    <xf numFmtId="0" fontId="47" fillId="0" borderId="0" xfId="860" applyFont="1" applyAlignment="1">
      <alignment horizontal="centerContinuous"/>
    </xf>
    <xf numFmtId="37" fontId="47" fillId="0" borderId="0" xfId="860" applyNumberFormat="1" applyFont="1" applyAlignment="1">
      <alignment horizontal="centerContinuous"/>
    </xf>
    <xf numFmtId="0" fontId="47" fillId="0" borderId="0" xfId="860" applyFont="1"/>
    <xf numFmtId="0" fontId="46" fillId="0" borderId="0" xfId="860" applyFont="1" applyAlignment="1">
      <alignment horizontal="centerContinuous"/>
    </xf>
    <xf numFmtId="37" fontId="69" fillId="0" borderId="0" xfId="860" applyNumberFormat="1" applyFont="1" applyAlignment="1">
      <alignment horizontal="centerContinuous"/>
    </xf>
    <xf numFmtId="0" fontId="46" fillId="0" borderId="0" xfId="860" applyFont="1"/>
    <xf numFmtId="0" fontId="47" fillId="0" borderId="49" xfId="860" applyFont="1" applyBorder="1" applyAlignment="1">
      <alignment horizontal="centerContinuous"/>
    </xf>
    <xf numFmtId="0" fontId="46" fillId="0" borderId="23" xfId="860" applyFont="1" applyBorder="1" applyAlignment="1">
      <alignment horizontal="centerContinuous"/>
    </xf>
    <xf numFmtId="37" fontId="69" fillId="0" borderId="50" xfId="860" applyNumberFormat="1" applyFont="1" applyBorder="1"/>
    <xf numFmtId="0" fontId="47" fillId="0" borderId="23" xfId="860" applyFont="1" applyBorder="1"/>
    <xf numFmtId="0" fontId="46" fillId="0" borderId="23" xfId="860" applyFont="1" applyBorder="1"/>
    <xf numFmtId="37" fontId="69" fillId="0" borderId="0" xfId="860" applyNumberFormat="1" applyFont="1"/>
    <xf numFmtId="37" fontId="46" fillId="0" borderId="0" xfId="860" applyNumberFormat="1" applyFont="1"/>
    <xf numFmtId="37" fontId="44" fillId="0" borderId="0" xfId="860" applyNumberFormat="1" applyFont="1"/>
    <xf numFmtId="0" fontId="46" fillId="0" borderId="48" xfId="860" applyFont="1" applyBorder="1"/>
    <xf numFmtId="0" fontId="143" fillId="0" borderId="0" xfId="860" applyFont="1"/>
    <xf numFmtId="37" fontId="46" fillId="0" borderId="0" xfId="860" applyNumberFormat="1" applyFont="1" applyAlignment="1">
      <alignment horizontal="left"/>
    </xf>
    <xf numFmtId="0" fontId="113" fillId="0" borderId="0" xfId="860" applyFont="1"/>
    <xf numFmtId="165" fontId="46" fillId="0" borderId="0" xfId="860" applyNumberFormat="1" applyFont="1" applyAlignment="1">
      <alignment horizontal="left"/>
    </xf>
    <xf numFmtId="0" fontId="144" fillId="0" borderId="0" xfId="860" applyFont="1" applyAlignment="1">
      <alignment vertical="top" wrapText="1"/>
    </xf>
    <xf numFmtId="0" fontId="86" fillId="0" borderId="0" xfId="860" applyFont="1"/>
    <xf numFmtId="0" fontId="46" fillId="0" borderId="0" xfId="860" applyFont="1" applyAlignment="1">
      <alignment horizontal="left"/>
    </xf>
    <xf numFmtId="170" fontId="41" fillId="0" borderId="0" xfId="0" applyNumberFormat="1" applyFont="1"/>
    <xf numFmtId="166" fontId="41" fillId="0" borderId="0" xfId="0" applyNumberFormat="1" applyFont="1" applyProtection="1">
      <protection locked="0"/>
    </xf>
    <xf numFmtId="166" fontId="41" fillId="0" borderId="0" xfId="0" applyNumberFormat="1" applyFont="1"/>
    <xf numFmtId="170" fontId="41" fillId="0" borderId="0" xfId="0" quotePrefix="1" applyNumberFormat="1" applyFont="1" applyAlignment="1">
      <alignment horizontal="center"/>
    </xf>
    <xf numFmtId="170" fontId="41" fillId="0" borderId="0" xfId="0" applyNumberFormat="1" applyFont="1" applyAlignment="1">
      <alignment horizontal="center"/>
    </xf>
    <xf numFmtId="37" fontId="41" fillId="0" borderId="0" xfId="2" applyNumberFormat="1"/>
    <xf numFmtId="49" fontId="41" fillId="0" borderId="0" xfId="17" applyNumberFormat="1" applyAlignment="1">
      <alignment horizontal="center"/>
    </xf>
    <xf numFmtId="0" fontId="69" fillId="0" borderId="0" xfId="0" applyNumberFormat="1" applyFont="1"/>
    <xf numFmtId="0" fontId="46" fillId="0" borderId="0" xfId="0" applyNumberFormat="1" applyFont="1"/>
    <xf numFmtId="0" fontId="46" fillId="0" borderId="0" xfId="0" applyNumberFormat="1" applyFont="1" applyAlignment="1">
      <alignment horizontal="right"/>
    </xf>
    <xf numFmtId="0" fontId="47" fillId="0" borderId="0" xfId="0" applyNumberFormat="1" applyFont="1"/>
    <xf numFmtId="39" fontId="46" fillId="0" borderId="0" xfId="0" applyNumberFormat="1" applyFont="1"/>
    <xf numFmtId="39" fontId="46" fillId="0" borderId="0" xfId="0" applyNumberFormat="1" applyFont="1" applyAlignment="1">
      <alignment horizontal="right"/>
    </xf>
    <xf numFmtId="39" fontId="47" fillId="0" borderId="0" xfId="0" applyNumberFormat="1" applyFont="1"/>
    <xf numFmtId="0" fontId="46" fillId="0" borderId="0" xfId="0" applyNumberFormat="1" applyFont="1" applyAlignment="1">
      <alignment horizontal="left" vertical="top"/>
    </xf>
    <xf numFmtId="177" fontId="41" fillId="0" borderId="0" xfId="740" applyNumberFormat="1" applyFont="1" applyAlignment="1">
      <alignment horizontal="center"/>
    </xf>
    <xf numFmtId="170" fontId="41" fillId="0" borderId="0" xfId="2" applyNumberFormat="1"/>
    <xf numFmtId="165" fontId="41" fillId="0" borderId="0" xfId="0" applyNumberFormat="1" applyFont="1" applyProtection="1">
      <protection locked="0"/>
    </xf>
    <xf numFmtId="164" fontId="41" fillId="0" borderId="0" xfId="0" applyFont="1"/>
    <xf numFmtId="164" fontId="98" fillId="0" borderId="0" xfId="0" applyFont="1"/>
    <xf numFmtId="166" fontId="41" fillId="0" borderId="0" xfId="2" applyNumberFormat="1"/>
    <xf numFmtId="0" fontId="41" fillId="0" borderId="0" xfId="17" applyNumberFormat="1" applyAlignment="1">
      <alignment horizontal="left"/>
    </xf>
    <xf numFmtId="164" fontId="69" fillId="0" borderId="0" xfId="0" applyFont="1"/>
    <xf numFmtId="0" fontId="148" fillId="0" borderId="0" xfId="860" applyFont="1"/>
    <xf numFmtId="37" fontId="46" fillId="34" borderId="0" xfId="860" applyNumberFormat="1" applyFont="1" applyFill="1" applyAlignment="1">
      <alignment horizontal="left"/>
    </xf>
    <xf numFmtId="0" fontId="47" fillId="34" borderId="0" xfId="860" applyFont="1" applyFill="1"/>
    <xf numFmtId="174" fontId="41" fillId="0" borderId="0" xfId="2" applyNumberFormat="1"/>
    <xf numFmtId="170" fontId="41" fillId="0" borderId="0" xfId="2" quotePrefix="1" applyNumberFormat="1" applyAlignment="1">
      <alignment horizontal="center"/>
    </xf>
    <xf numFmtId="174" fontId="41" fillId="0" borderId="0" xfId="2" applyNumberFormat="1" applyAlignment="1">
      <alignment horizontal="right"/>
    </xf>
    <xf numFmtId="174" fontId="41" fillId="0" borderId="0" xfId="2" quotePrefix="1" applyNumberFormat="1" applyAlignment="1">
      <alignment horizontal="center"/>
    </xf>
    <xf numFmtId="187" fontId="100" fillId="0" borderId="0" xfId="8" applyNumberFormat="1"/>
    <xf numFmtId="0" fontId="41" fillId="0" borderId="0" xfId="17" quotePrefix="1" applyNumberFormat="1" applyAlignment="1">
      <alignment horizontal="left"/>
    </xf>
    <xf numFmtId="164" fontId="64" fillId="0" borderId="0" xfId="0" applyFont="1"/>
    <xf numFmtId="164" fontId="48" fillId="0" borderId="0" xfId="0" applyFont="1"/>
    <xf numFmtId="0" fontId="141" fillId="0" borderId="0" xfId="8" applyFont="1" applyAlignment="1">
      <alignment horizontal="left"/>
    </xf>
    <xf numFmtId="164" fontId="41" fillId="0" borderId="0" xfId="2" applyNumberFormat="1"/>
    <xf numFmtId="165" fontId="41" fillId="0" borderId="0" xfId="0" applyNumberFormat="1" applyFont="1"/>
    <xf numFmtId="165" fontId="48" fillId="0" borderId="0" xfId="0" applyNumberFormat="1" applyFont="1"/>
    <xf numFmtId="165" fontId="41" fillId="0" borderId="0" xfId="0" quotePrefix="1" applyNumberFormat="1" applyFont="1" applyAlignment="1">
      <alignment horizontal="center"/>
    </xf>
    <xf numFmtId="170" fontId="41" fillId="0" borderId="0" xfId="2" applyNumberFormat="1" applyAlignment="1">
      <alignment horizontal="right"/>
    </xf>
    <xf numFmtId="177" fontId="103" fillId="0" borderId="0" xfId="740" applyNumberFormat="1" applyFont="1"/>
    <xf numFmtId="170" fontId="41" fillId="0" borderId="0" xfId="2" quotePrefix="1" applyNumberFormat="1" applyAlignment="1">
      <alignment horizontal="right"/>
    </xf>
    <xf numFmtId="170" fontId="41" fillId="0" borderId="0" xfId="2" quotePrefix="1" applyNumberFormat="1"/>
    <xf numFmtId="174" fontId="132" fillId="0" borderId="0" xfId="2" applyNumberFormat="1" applyFont="1"/>
    <xf numFmtId="0" fontId="41" fillId="0" borderId="0" xfId="2"/>
    <xf numFmtId="181" fontId="64" fillId="0" borderId="0" xfId="836" applyNumberFormat="1" applyFont="1"/>
    <xf numFmtId="177" fontId="69" fillId="0" borderId="0" xfId="836" applyNumberFormat="1" applyFont="1" applyAlignment="1">
      <alignment horizontal="right"/>
    </xf>
    <xf numFmtId="177" fontId="69" fillId="0" borderId="0" xfId="836" applyNumberFormat="1" applyFont="1"/>
    <xf numFmtId="173" fontId="64" fillId="0" borderId="0" xfId="836" quotePrefix="1" applyNumberFormat="1" applyFont="1" applyAlignment="1">
      <alignment horizontal="left"/>
    </xf>
    <xf numFmtId="177" fontId="64" fillId="0" borderId="0" xfId="836" applyNumberFormat="1" applyFont="1" applyAlignment="1">
      <alignment horizontal="center"/>
    </xf>
    <xf numFmtId="177" fontId="69" fillId="0" borderId="10" xfId="836" applyNumberFormat="1" applyFont="1" applyBorder="1"/>
    <xf numFmtId="180" fontId="64" fillId="0" borderId="0" xfId="836" applyNumberFormat="1" applyFont="1"/>
    <xf numFmtId="180" fontId="69" fillId="0" borderId="16" xfId="836" applyNumberFormat="1" applyFont="1" applyBorder="1"/>
    <xf numFmtId="180" fontId="69" fillId="0" borderId="0" xfId="836" applyNumberFormat="1" applyFont="1" applyAlignment="1">
      <alignment horizontal="right"/>
    </xf>
    <xf numFmtId="180" fontId="69" fillId="0" borderId="0" xfId="836" applyNumberFormat="1" applyFont="1"/>
    <xf numFmtId="181" fontId="64" fillId="0" borderId="23" xfId="836" applyNumberFormat="1" applyFont="1" applyBorder="1"/>
    <xf numFmtId="0" fontId="155" fillId="0" borderId="0" xfId="836" quotePrefix="1" applyFont="1" applyAlignment="1">
      <alignment horizontal="left"/>
    </xf>
    <xf numFmtId="173" fontId="81" fillId="0" borderId="0" xfId="836" applyNumberFormat="1" applyFont="1"/>
    <xf numFmtId="0" fontId="41" fillId="0" borderId="0" xfId="17" applyNumberFormat="1" applyAlignment="1">
      <alignment readingOrder="1"/>
    </xf>
    <xf numFmtId="0" fontId="41" fillId="0" borderId="0" xfId="17" applyNumberFormat="1"/>
    <xf numFmtId="0" fontId="41" fillId="0" borderId="0" xfId="17" applyNumberFormat="1" applyAlignment="1" applyProtection="1">
      <alignment readingOrder="1"/>
      <protection locked="0"/>
    </xf>
    <xf numFmtId="0" fontId="41" fillId="0" borderId="0" xfId="17" applyNumberFormat="1" applyProtection="1">
      <protection locked="0"/>
    </xf>
    <xf numFmtId="0" fontId="48" fillId="0" borderId="0" xfId="17" applyNumberFormat="1" applyFont="1" applyProtection="1">
      <protection locked="0"/>
    </xf>
    <xf numFmtId="39" fontId="46" fillId="0" borderId="0" xfId="0" applyNumberFormat="1" applyFont="1" applyAlignment="1">
      <alignment horizontal="right" vertical="top"/>
    </xf>
    <xf numFmtId="39" fontId="46" fillId="0" borderId="0" xfId="0" applyNumberFormat="1" applyFont="1" applyAlignment="1">
      <alignment horizontal="center" vertical="top"/>
    </xf>
    <xf numFmtId="0" fontId="46" fillId="0" borderId="0" xfId="0" quotePrefix="1" applyNumberFormat="1" applyFont="1"/>
    <xf numFmtId="177" fontId="41" fillId="0" borderId="0" xfId="740" applyNumberFormat="1" applyFont="1" applyAlignment="1">
      <alignment horizontal="right"/>
    </xf>
    <xf numFmtId="177" fontId="41" fillId="0" borderId="0" xfId="740" applyNumberFormat="1" applyFont="1"/>
    <xf numFmtId="177" fontId="41" fillId="0" borderId="0" xfId="740" quotePrefix="1" applyNumberFormat="1" applyFont="1" applyAlignment="1">
      <alignment horizontal="left"/>
    </xf>
    <xf numFmtId="177" fontId="100" fillId="0" borderId="0" xfId="740" applyNumberFormat="1" applyFont="1"/>
    <xf numFmtId="0" fontId="100" fillId="0" borderId="0" xfId="740" applyFont="1"/>
    <xf numFmtId="0" fontId="41" fillId="0" borderId="0" xfId="740" quotePrefix="1" applyFont="1" applyAlignment="1">
      <alignment horizontal="left"/>
    </xf>
    <xf numFmtId="182" fontId="41" fillId="0" borderId="0" xfId="741" applyNumberFormat="1" applyFont="1" applyFill="1" applyBorder="1" applyAlignment="1"/>
    <xf numFmtId="0" fontId="48" fillId="0" borderId="0" xfId="2" quotePrefix="1" applyFont="1" applyAlignment="1">
      <alignment horizontal="center"/>
    </xf>
    <xf numFmtId="17" fontId="48" fillId="0" borderId="0" xfId="2" quotePrefix="1" applyNumberFormat="1" applyFont="1" applyAlignment="1">
      <alignment horizontal="center"/>
    </xf>
    <xf numFmtId="15" fontId="48" fillId="0" borderId="0" xfId="2" quotePrefix="1" applyNumberFormat="1" applyFont="1" applyAlignment="1">
      <alignment horizontal="center"/>
    </xf>
    <xf numFmtId="17" fontId="48" fillId="0" borderId="0" xfId="2" applyNumberFormat="1" applyFont="1" applyAlignment="1">
      <alignment horizontal="center"/>
    </xf>
    <xf numFmtId="15" fontId="48" fillId="0" borderId="0" xfId="2" applyNumberFormat="1" applyFont="1" applyAlignment="1">
      <alignment horizontal="center"/>
    </xf>
    <xf numFmtId="166" fontId="61" fillId="0" borderId="0" xfId="2" applyNumberFormat="1" applyFont="1" applyAlignment="1">
      <alignment horizontal="center"/>
    </xf>
    <xf numFmtId="165" fontId="48" fillId="0" borderId="0" xfId="2" quotePrefix="1" applyNumberFormat="1" applyFont="1" applyAlignment="1">
      <alignment horizontal="center"/>
    </xf>
    <xf numFmtId="166" fontId="48" fillId="0" borderId="0" xfId="2" applyNumberFormat="1" applyFont="1" applyAlignment="1">
      <alignment horizontal="center"/>
    </xf>
    <xf numFmtId="165" fontId="48" fillId="0" borderId="0" xfId="2" applyNumberFormat="1" applyFont="1" applyAlignment="1">
      <alignment horizontal="center"/>
    </xf>
    <xf numFmtId="165" fontId="47" fillId="0" borderId="0" xfId="2" applyNumberFormat="1" applyFont="1"/>
    <xf numFmtId="165" fontId="160" fillId="0" borderId="0" xfId="2" applyNumberFormat="1" applyFont="1"/>
    <xf numFmtId="165" fontId="161" fillId="0" borderId="0" xfId="2" applyNumberFormat="1" applyFont="1" applyAlignment="1">
      <alignment horizontal="centerContinuous"/>
    </xf>
    <xf numFmtId="165" fontId="162" fillId="0" borderId="0" xfId="2" applyNumberFormat="1" applyFont="1"/>
    <xf numFmtId="166" fontId="83" fillId="0" borderId="0" xfId="2" applyNumberFormat="1" applyFont="1"/>
    <xf numFmtId="166" fontId="82" fillId="0" borderId="0" xfId="2" applyNumberFormat="1" applyFont="1" applyAlignment="1">
      <alignment horizontal="center"/>
    </xf>
    <xf numFmtId="164" fontId="48" fillId="0" borderId="0" xfId="0" applyFont="1" applyAlignment="1">
      <alignment horizontal="center"/>
    </xf>
    <xf numFmtId="0" fontId="69" fillId="0" borderId="0" xfId="0" applyNumberFormat="1" applyFont="1" applyAlignment="1">
      <alignment horizontal="center"/>
    </xf>
    <xf numFmtId="164" fontId="69" fillId="0" borderId="0" xfId="0" applyFont="1" applyAlignment="1">
      <alignment horizontal="center"/>
    </xf>
    <xf numFmtId="0" fontId="69" fillId="0" borderId="0" xfId="2" applyFont="1" applyAlignment="1">
      <alignment horizontal="center"/>
    </xf>
    <xf numFmtId="0" fontId="47" fillId="0" borderId="0" xfId="860" applyFont="1" applyAlignment="1">
      <alignment horizontal="right"/>
    </xf>
    <xf numFmtId="177" fontId="46" fillId="0" borderId="0" xfId="740" applyNumberFormat="1" applyFont="1"/>
    <xf numFmtId="0" fontId="41" fillId="0" borderId="0" xfId="0" applyNumberFormat="1" applyFont="1"/>
    <xf numFmtId="164" fontId="46" fillId="0" borderId="0" xfId="2" applyNumberFormat="1" applyFont="1"/>
    <xf numFmtId="164" fontId="42" fillId="0" borderId="0" xfId="2" applyNumberFormat="1" applyFont="1" applyAlignment="1">
      <alignment horizontal="right"/>
    </xf>
    <xf numFmtId="164" fontId="44" fillId="0" borderId="0" xfId="2" applyNumberFormat="1" applyFont="1"/>
    <xf numFmtId="164" fontId="48" fillId="0" borderId="0" xfId="2" applyNumberFormat="1" applyFont="1" applyAlignment="1">
      <alignment horizontal="center"/>
    </xf>
    <xf numFmtId="180" fontId="41" fillId="0" borderId="0" xfId="740" applyNumberFormat="1" applyFont="1" applyAlignment="1">
      <alignment horizontal="center"/>
    </xf>
    <xf numFmtId="43" fontId="41" fillId="0" borderId="0" xfId="0" applyNumberFormat="1" applyFont="1"/>
    <xf numFmtId="42" fontId="41" fillId="0" borderId="0" xfId="0" applyNumberFormat="1" applyFont="1"/>
    <xf numFmtId="42" fontId="41" fillId="0" borderId="0" xfId="0" applyNumberFormat="1" applyFont="1" applyProtection="1">
      <protection locked="0"/>
    </xf>
    <xf numFmtId="41" fontId="41" fillId="0" borderId="0" xfId="0" quotePrefix="1" applyNumberFormat="1" applyFont="1" applyAlignment="1">
      <alignment horizontal="right"/>
    </xf>
    <xf numFmtId="41" fontId="41" fillId="0" borderId="0" xfId="0" applyNumberFormat="1" applyFont="1"/>
    <xf numFmtId="41" fontId="41" fillId="0" borderId="0" xfId="0" applyNumberFormat="1" applyFont="1" applyProtection="1">
      <protection locked="0"/>
    </xf>
    <xf numFmtId="41" fontId="41" fillId="0" borderId="0" xfId="0" quotePrefix="1" applyNumberFormat="1" applyFont="1" applyAlignment="1">
      <alignment horizontal="center"/>
    </xf>
    <xf numFmtId="41" fontId="41" fillId="0" borderId="0" xfId="0" quotePrefix="1" applyNumberFormat="1" applyFont="1"/>
    <xf numFmtId="174" fontId="48" fillId="0" borderId="52" xfId="2" applyNumberFormat="1" applyFont="1" applyBorder="1"/>
    <xf numFmtId="0" fontId="69" fillId="0" borderId="0" xfId="836" quotePrefix="1" applyFont="1"/>
    <xf numFmtId="43" fontId="46" fillId="0" borderId="0" xfId="0" applyNumberFormat="1" applyFont="1"/>
    <xf numFmtId="190" fontId="163" fillId="0" borderId="0" xfId="11" applyNumberFormat="1" applyFont="1" applyAlignment="1">
      <alignment horizontal="right"/>
    </xf>
    <xf numFmtId="4" fontId="48" fillId="0" borderId="0" xfId="1028" applyNumberFormat="1" applyFont="1" applyAlignment="1">
      <alignment horizontal="left"/>
    </xf>
    <xf numFmtId="37" fontId="104" fillId="0" borderId="0" xfId="0" applyNumberFormat="1" applyFont="1" applyAlignment="1">
      <alignment horizontal="right"/>
    </xf>
    <xf numFmtId="164" fontId="100" fillId="0" borderId="0" xfId="0" applyFont="1"/>
    <xf numFmtId="165" fontId="70" fillId="0" borderId="0" xfId="840" applyNumberFormat="1" applyFont="1" applyAlignment="1">
      <alignment horizontal="left"/>
    </xf>
    <xf numFmtId="0" fontId="70" fillId="0" borderId="0" xfId="840" applyFont="1" applyAlignment="1">
      <alignment horizontal="left"/>
    </xf>
    <xf numFmtId="0" fontId="41" fillId="0" borderId="0" xfId="840" applyFont="1" applyAlignment="1">
      <alignment horizontal="left"/>
    </xf>
    <xf numFmtId="0" fontId="41" fillId="0" borderId="0" xfId="2" applyAlignment="1">
      <alignment horizontal="left"/>
    </xf>
    <xf numFmtId="0" fontId="69" fillId="0" borderId="0" xfId="2" applyFont="1" applyAlignment="1" applyProtection="1">
      <alignment horizontal="left"/>
      <protection locked="0"/>
    </xf>
    <xf numFmtId="37" fontId="69" fillId="0" borderId="0" xfId="2" applyNumberFormat="1" applyFont="1" applyAlignment="1">
      <alignment horizontal="center"/>
    </xf>
    <xf numFmtId="37" fontId="69" fillId="0" borderId="0" xfId="2" quotePrefix="1" applyNumberFormat="1" applyFont="1" applyAlignment="1">
      <alignment horizontal="center"/>
    </xf>
    <xf numFmtId="165" fontId="41" fillId="0" borderId="0" xfId="2" applyNumberFormat="1" applyProtection="1">
      <protection locked="0"/>
    </xf>
    <xf numFmtId="165" fontId="41" fillId="0" borderId="0" xfId="17" applyNumberFormat="1" applyProtection="1">
      <protection locked="0"/>
    </xf>
    <xf numFmtId="0" fontId="48" fillId="0" borderId="0" xfId="17" applyNumberFormat="1" applyFont="1"/>
    <xf numFmtId="170" fontId="48" fillId="0" borderId="48" xfId="2" applyNumberFormat="1" applyFont="1" applyBorder="1"/>
    <xf numFmtId="0" fontId="55" fillId="0" borderId="0" xfId="2" applyFont="1" applyAlignment="1">
      <alignment horizontal="right"/>
    </xf>
    <xf numFmtId="0" fontId="69" fillId="0" borderId="0" xfId="2" quotePrefix="1" applyFont="1" applyAlignment="1" applyProtection="1">
      <alignment horizontal="right"/>
      <protection locked="0"/>
    </xf>
    <xf numFmtId="0" fontId="155" fillId="0" borderId="0" xfId="2" applyFont="1"/>
    <xf numFmtId="0" fontId="69" fillId="0" borderId="10" xfId="2" applyFont="1" applyBorder="1" applyAlignment="1">
      <alignment horizontal="center"/>
    </xf>
    <xf numFmtId="174" fontId="69" fillId="0" borderId="18" xfId="2" applyNumberFormat="1" applyFont="1" applyBorder="1" applyProtection="1">
      <protection locked="0"/>
    </xf>
    <xf numFmtId="174" fontId="64" fillId="0" borderId="0" xfId="2" applyNumberFormat="1" applyFont="1"/>
    <xf numFmtId="174" fontId="64" fillId="0" borderId="0" xfId="2" applyNumberFormat="1" applyFont="1" applyProtection="1">
      <protection locked="0"/>
    </xf>
    <xf numFmtId="0" fontId="64" fillId="0" borderId="18" xfId="2" applyFont="1" applyBorder="1" applyProtection="1">
      <protection locked="0"/>
    </xf>
    <xf numFmtId="0" fontId="64" fillId="0" borderId="0" xfId="2" applyFont="1" applyProtection="1">
      <protection locked="0"/>
    </xf>
    <xf numFmtId="0" fontId="64" fillId="0" borderId="0" xfId="2" quotePrefix="1" applyFont="1" applyAlignment="1">
      <alignment horizontal="left"/>
    </xf>
    <xf numFmtId="170" fontId="64" fillId="0" borderId="0" xfId="2" applyNumberFormat="1" applyFont="1" applyProtection="1">
      <protection locked="0"/>
    </xf>
    <xf numFmtId="170" fontId="64" fillId="0" borderId="18" xfId="2" applyNumberFormat="1" applyFont="1" applyBorder="1" applyProtection="1">
      <protection locked="0"/>
    </xf>
    <xf numFmtId="170" fontId="69" fillId="0" borderId="0" xfId="2" applyNumberFormat="1" applyFont="1" applyProtection="1">
      <protection locked="0"/>
    </xf>
    <xf numFmtId="170" fontId="69" fillId="0" borderId="18" xfId="2" applyNumberFormat="1" applyFont="1" applyBorder="1" applyProtection="1">
      <protection locked="0"/>
    </xf>
    <xf numFmtId="170" fontId="64" fillId="0" borderId="0" xfId="2" quotePrefix="1" applyNumberFormat="1" applyFont="1" applyAlignment="1">
      <alignment horizontal="right"/>
    </xf>
    <xf numFmtId="170" fontId="69" fillId="0" borderId="0" xfId="2" quotePrefix="1" applyNumberFormat="1" applyFont="1" applyAlignment="1">
      <alignment horizontal="right"/>
    </xf>
    <xf numFmtId="170" fontId="69" fillId="0" borderId="10" xfId="2" quotePrefix="1" applyNumberFormat="1" applyFont="1" applyBorder="1"/>
    <xf numFmtId="170" fontId="69" fillId="0" borderId="10" xfId="2" quotePrefix="1" applyNumberFormat="1" applyFont="1" applyBorder="1" applyAlignment="1">
      <alignment horizontal="right"/>
    </xf>
    <xf numFmtId="170" fontId="69" fillId="0" borderId="0" xfId="2" applyNumberFormat="1" applyFont="1" applyAlignment="1" applyProtection="1">
      <alignment horizontal="right"/>
      <protection locked="0"/>
    </xf>
    <xf numFmtId="174" fontId="69" fillId="0" borderId="0" xfId="2" applyNumberFormat="1" applyFont="1" applyProtection="1">
      <protection locked="0"/>
    </xf>
    <xf numFmtId="166" fontId="64" fillId="0" borderId="23" xfId="2" applyNumberFormat="1" applyFont="1" applyBorder="1"/>
    <xf numFmtId="166" fontId="64" fillId="0" borderId="0" xfId="2" applyNumberFormat="1" applyFont="1"/>
    <xf numFmtId="170" fontId="69" fillId="0" borderId="0" xfId="2" quotePrefix="1" applyNumberFormat="1" applyFont="1" applyAlignment="1">
      <alignment horizontal="center"/>
    </xf>
    <xf numFmtId="170" fontId="69" fillId="0" borderId="0" xfId="2" applyNumberFormat="1" applyFont="1" applyAlignment="1">
      <alignment horizontal="center"/>
    </xf>
    <xf numFmtId="170" fontId="69" fillId="0" borderId="0" xfId="2" applyNumberFormat="1" applyFont="1" applyAlignment="1" applyProtection="1">
      <alignment horizontal="center"/>
      <protection locked="0"/>
    </xf>
    <xf numFmtId="43" fontId="47" fillId="0" borderId="0" xfId="0" applyNumberFormat="1" applyFont="1"/>
    <xf numFmtId="0" fontId="105" fillId="0" borderId="0" xfId="17" applyNumberFormat="1" applyFont="1"/>
    <xf numFmtId="0" fontId="110" fillId="0" borderId="0" xfId="17" applyNumberFormat="1" applyFont="1" applyProtection="1">
      <protection locked="0"/>
    </xf>
    <xf numFmtId="0" fontId="110" fillId="0" borderId="0" xfId="17" applyNumberFormat="1" applyFont="1"/>
    <xf numFmtId="0" fontId="110" fillId="0" borderId="0" xfId="17" applyNumberFormat="1" applyFont="1" applyAlignment="1">
      <alignment horizontal="center"/>
    </xf>
    <xf numFmtId="0" fontId="47" fillId="0" borderId="0" xfId="8" applyFont="1" applyAlignment="1">
      <alignment horizontal="right"/>
    </xf>
    <xf numFmtId="165" fontId="41" fillId="0" borderId="0" xfId="2" applyNumberFormat="1"/>
    <xf numFmtId="165" fontId="41" fillId="0" borderId="0" xfId="2" applyNumberFormat="1" applyAlignment="1">
      <alignment horizontal="centerContinuous"/>
    </xf>
    <xf numFmtId="0" fontId="78" fillId="0" borderId="0" xfId="2" applyFont="1" applyAlignment="1">
      <alignment horizontal="left"/>
    </xf>
    <xf numFmtId="170" fontId="41" fillId="0" borderId="0" xfId="2" applyNumberFormat="1" applyAlignment="1">
      <alignment horizontal="center"/>
    </xf>
    <xf numFmtId="164" fontId="48" fillId="0" borderId="48" xfId="2" applyNumberFormat="1" applyFont="1" applyBorder="1"/>
    <xf numFmtId="180" fontId="0" fillId="0" borderId="0" xfId="17" applyNumberFormat="1" applyFont="1"/>
    <xf numFmtId="17" fontId="48" fillId="0" borderId="48" xfId="2" quotePrefix="1" applyNumberFormat="1" applyFont="1" applyBorder="1" applyAlignment="1">
      <alignment horizontal="center"/>
    </xf>
    <xf numFmtId="179" fontId="69" fillId="0" borderId="0" xfId="836" quotePrefix="1" applyNumberFormat="1" applyFont="1" applyAlignment="1">
      <alignment horizontal="center"/>
    </xf>
    <xf numFmtId="0" fontId="166" fillId="0" borderId="0" xfId="2" applyFont="1"/>
    <xf numFmtId="0" fontId="82" fillId="0" borderId="0" xfId="2" quotePrefix="1" applyFont="1" applyAlignment="1">
      <alignment horizontal="center"/>
    </xf>
    <xf numFmtId="0" fontId="48" fillId="0" borderId="0" xfId="840" quotePrefix="1" applyFont="1" applyAlignment="1">
      <alignment horizontal="center"/>
    </xf>
    <xf numFmtId="164" fontId="41" fillId="0" borderId="0" xfId="0" applyFont="1" applyProtection="1">
      <protection locked="0"/>
    </xf>
    <xf numFmtId="0" fontId="168" fillId="0" borderId="0" xfId="0" applyNumberFormat="1" applyFont="1"/>
    <xf numFmtId="41" fontId="168" fillId="0" borderId="0" xfId="0" applyNumberFormat="1" applyFont="1"/>
    <xf numFmtId="0" fontId="46" fillId="0" borderId="0" xfId="0" applyNumberFormat="1" applyFont="1" applyAlignment="1">
      <alignment horizontal="left" vertical="top" wrapText="1"/>
    </xf>
    <xf numFmtId="165" fontId="41" fillId="34" borderId="0" xfId="5458" applyNumberFormat="1" applyFill="1" applyProtection="1">
      <protection locked="0"/>
    </xf>
    <xf numFmtId="37" fontId="41" fillId="0" borderId="0" xfId="2" applyNumberFormat="1" applyAlignment="1">
      <alignment horizontal="right"/>
    </xf>
    <xf numFmtId="169" fontId="41" fillId="0" borderId="0" xfId="2" applyNumberFormat="1"/>
    <xf numFmtId="37" fontId="41" fillId="0" borderId="0" xfId="2" quotePrefix="1" applyNumberFormat="1" applyAlignment="1">
      <alignment horizontal="center"/>
    </xf>
    <xf numFmtId="170" fontId="41" fillId="0" borderId="48" xfId="2" applyNumberFormat="1" applyBorder="1" applyAlignment="1">
      <alignment horizontal="right"/>
    </xf>
    <xf numFmtId="170" fontId="41" fillId="0" borderId="48" xfId="2" applyNumberFormat="1" applyBorder="1"/>
    <xf numFmtId="166" fontId="41" fillId="0" borderId="0" xfId="2" applyNumberFormat="1" applyAlignment="1">
      <alignment horizontal="right"/>
    </xf>
    <xf numFmtId="3" fontId="41" fillId="0" borderId="0" xfId="2" applyNumberFormat="1"/>
    <xf numFmtId="0" fontId="41" fillId="0" borderId="0" xfId="5458" applyNumberFormat="1" applyAlignment="1">
      <alignment horizontal="left"/>
    </xf>
    <xf numFmtId="165" fontId="41" fillId="0" borderId="0" xfId="5458" applyNumberFormat="1" applyProtection="1">
      <protection locked="0"/>
    </xf>
    <xf numFmtId="174" fontId="41" fillId="0" borderId="0" xfId="2" quotePrefix="1" applyNumberFormat="1" applyAlignment="1">
      <alignment horizontal="right"/>
    </xf>
    <xf numFmtId="37" fontId="41" fillId="0" borderId="0" xfId="2" applyNumberFormat="1" applyAlignment="1">
      <alignment horizontal="center"/>
    </xf>
    <xf numFmtId="174" fontId="41" fillId="0" borderId="0" xfId="2" quotePrefix="1" applyNumberFormat="1"/>
    <xf numFmtId="166" fontId="62" fillId="0" borderId="21" xfId="2" applyNumberFormat="1" applyFont="1" applyBorder="1"/>
    <xf numFmtId="170" fontId="62" fillId="0" borderId="21" xfId="2" applyNumberFormat="1" applyFont="1" applyBorder="1"/>
    <xf numFmtId="37" fontId="136" fillId="0" borderId="0" xfId="2" applyNumberFormat="1" applyFont="1" applyAlignment="1">
      <alignment horizontal="centerContinuous"/>
    </xf>
    <xf numFmtId="170" fontId="41" fillId="0" borderId="0" xfId="1773" applyNumberFormat="1" applyFont="1" applyBorder="1" applyAlignment="1"/>
    <xf numFmtId="170" fontId="41" fillId="0" borderId="0" xfId="1773" quotePrefix="1" applyNumberFormat="1" applyFont="1" applyBorder="1" applyAlignment="1">
      <alignment horizontal="right"/>
    </xf>
    <xf numFmtId="170" fontId="48" fillId="0" borderId="0" xfId="2" quotePrefix="1" applyNumberFormat="1" applyFont="1"/>
    <xf numFmtId="0" fontId="48" fillId="0" borderId="15" xfId="2" applyFont="1" applyBorder="1" applyAlignment="1">
      <alignment horizontal="center"/>
    </xf>
    <xf numFmtId="0" fontId="48" fillId="0" borderId="15" xfId="2" quotePrefix="1" applyFont="1" applyBorder="1" applyAlignment="1">
      <alignment horizontal="center"/>
    </xf>
    <xf numFmtId="170" fontId="48" fillId="0" borderId="15" xfId="2" quotePrefix="1" applyNumberFormat="1" applyFont="1" applyBorder="1"/>
    <xf numFmtId="170" fontId="48" fillId="0" borderId="15" xfId="2" applyNumberFormat="1" applyFont="1" applyBorder="1" applyAlignment="1">
      <alignment vertical="center"/>
    </xf>
    <xf numFmtId="0" fontId="48" fillId="0" borderId="15" xfId="2" applyFont="1" applyBorder="1"/>
    <xf numFmtId="0" fontId="41" fillId="0" borderId="0" xfId="2" applyAlignment="1">
      <alignment horizontal="centerContinuous"/>
    </xf>
    <xf numFmtId="165" fontId="41" fillId="0" borderId="0" xfId="2" applyNumberFormat="1" applyAlignment="1" applyProtection="1">
      <alignment horizontal="center"/>
      <protection locked="0"/>
    </xf>
    <xf numFmtId="165" fontId="41" fillId="0" borderId="15" xfId="2" applyNumberFormat="1" applyBorder="1" applyProtection="1">
      <protection locked="0"/>
    </xf>
    <xf numFmtId="0" fontId="41" fillId="0" borderId="15" xfId="2" applyBorder="1"/>
    <xf numFmtId="0" fontId="41" fillId="0" borderId="21" xfId="2" applyBorder="1"/>
    <xf numFmtId="174" fontId="41" fillId="0" borderId="21" xfId="2" applyNumberFormat="1" applyBorder="1" applyAlignment="1">
      <alignment horizontal="right"/>
    </xf>
    <xf numFmtId="169" fontId="41" fillId="0" borderId="15" xfId="2" applyNumberFormat="1" applyBorder="1"/>
    <xf numFmtId="168" fontId="41" fillId="0" borderId="0" xfId="2" applyNumberFormat="1" applyProtection="1">
      <protection locked="0"/>
    </xf>
    <xf numFmtId="168" fontId="41" fillId="0" borderId="0" xfId="2" applyNumberFormat="1"/>
    <xf numFmtId="166" fontId="41" fillId="0" borderId="15" xfId="2" applyNumberFormat="1" applyBorder="1"/>
    <xf numFmtId="170" fontId="41" fillId="0" borderId="21" xfId="2" applyNumberFormat="1" applyBorder="1"/>
    <xf numFmtId="170" fontId="41" fillId="0" borderId="21" xfId="2" applyNumberFormat="1" applyBorder="1" applyAlignment="1">
      <alignment horizontal="right"/>
    </xf>
    <xf numFmtId="170" fontId="41" fillId="0" borderId="12" xfId="2" quotePrefix="1" applyNumberFormat="1" applyBorder="1"/>
    <xf numFmtId="170" fontId="41" fillId="0" borderId="21" xfId="2" quotePrefix="1" applyNumberFormat="1" applyBorder="1" applyAlignment="1">
      <alignment horizontal="right"/>
    </xf>
    <xf numFmtId="0" fontId="41" fillId="0" borderId="15" xfId="2" quotePrefix="1" applyBorder="1"/>
    <xf numFmtId="0" fontId="41" fillId="0" borderId="15" xfId="2" quotePrefix="1" applyBorder="1" applyAlignment="1">
      <alignment horizontal="center"/>
    </xf>
    <xf numFmtId="0" fontId="41" fillId="0" borderId="15" xfId="2" quotePrefix="1" applyBorder="1" applyAlignment="1">
      <alignment horizontal="right"/>
    </xf>
    <xf numFmtId="165" fontId="48" fillId="0" borderId="0" xfId="2" applyNumberFormat="1" applyFont="1" applyProtection="1">
      <protection locked="0"/>
    </xf>
    <xf numFmtId="169" fontId="41" fillId="0" borderId="23" xfId="2" applyNumberFormat="1" applyBorder="1"/>
    <xf numFmtId="170" fontId="41" fillId="0" borderId="0" xfId="2" applyNumberFormat="1" applyProtection="1">
      <protection locked="0"/>
    </xf>
    <xf numFmtId="0" fontId="41" fillId="0" borderId="0" xfId="2" quotePrefix="1" applyAlignment="1">
      <alignment horizontal="left"/>
    </xf>
    <xf numFmtId="170" fontId="48" fillId="0" borderId="0" xfId="4" applyNumberFormat="1" applyFont="1"/>
    <xf numFmtId="170" fontId="48" fillId="0" borderId="0" xfId="5" applyNumberFormat="1" applyFont="1" applyFill="1" applyBorder="1"/>
    <xf numFmtId="165" fontId="48" fillId="0" borderId="48" xfId="2" applyNumberFormat="1" applyFont="1" applyBorder="1" applyAlignment="1">
      <alignment horizontal="center"/>
    </xf>
    <xf numFmtId="164" fontId="48" fillId="0" borderId="28" xfId="2" applyNumberFormat="1" applyFont="1" applyBorder="1"/>
    <xf numFmtId="0" fontId="51" fillId="0" borderId="0" xfId="2" applyFont="1"/>
    <xf numFmtId="170" fontId="87" fillId="0" borderId="0" xfId="2" applyNumberFormat="1" applyFont="1"/>
    <xf numFmtId="170" fontId="48" fillId="0" borderId="28" xfId="2" applyNumberFormat="1" applyFont="1" applyBorder="1" applyAlignment="1">
      <alignment horizontal="right"/>
    </xf>
    <xf numFmtId="165" fontId="41" fillId="0" borderId="0" xfId="0" applyNumberFormat="1" applyFont="1" applyAlignment="1">
      <alignment horizontal="left"/>
    </xf>
    <xf numFmtId="165" fontId="0" fillId="0" borderId="0" xfId="2" applyNumberFormat="1" applyFont="1"/>
    <xf numFmtId="170" fontId="46" fillId="0" borderId="0" xfId="2" applyNumberFormat="1" applyFont="1"/>
    <xf numFmtId="170" fontId="41" fillId="0" borderId="0" xfId="1" applyNumberFormat="1" applyFont="1" applyFill="1" applyAlignment="1">
      <alignment horizontal="center"/>
    </xf>
    <xf numFmtId="174" fontId="41" fillId="0" borderId="0" xfId="2" applyNumberFormat="1" applyProtection="1">
      <protection locked="0"/>
    </xf>
    <xf numFmtId="0" fontId="169" fillId="0" borderId="0" xfId="2" applyFont="1"/>
    <xf numFmtId="166" fontId="170" fillId="0" borderId="0" xfId="2" applyNumberFormat="1" applyFont="1" applyAlignment="1">
      <alignment horizontal="center"/>
    </xf>
    <xf numFmtId="174" fontId="0" fillId="0" borderId="0" xfId="2" applyNumberFormat="1" applyFont="1"/>
    <xf numFmtId="37" fontId="48" fillId="0" borderId="48" xfId="2" applyNumberFormat="1" applyFont="1" applyBorder="1"/>
    <xf numFmtId="37" fontId="48" fillId="0" borderId="48" xfId="2" applyNumberFormat="1" applyFont="1" applyBorder="1" applyAlignment="1">
      <alignment horizontal="centerContinuous"/>
    </xf>
    <xf numFmtId="166" fontId="41" fillId="0" borderId="0" xfId="2" applyNumberFormat="1" applyAlignment="1">
      <alignment horizontal="left"/>
    </xf>
    <xf numFmtId="0" fontId="48" fillId="0" borderId="0" xfId="17" applyNumberFormat="1" applyFont="1" applyAlignment="1" applyProtection="1">
      <alignment horizontal="right"/>
      <protection locked="0"/>
    </xf>
    <xf numFmtId="37" fontId="48" fillId="0" borderId="21" xfId="2" applyNumberFormat="1" applyFont="1" applyBorder="1" applyAlignment="1">
      <alignment horizontal="center"/>
    </xf>
    <xf numFmtId="37" fontId="46" fillId="0" borderId="21" xfId="2" applyNumberFormat="1" applyFont="1" applyBorder="1"/>
    <xf numFmtId="37" fontId="41" fillId="0" borderId="21" xfId="2" applyNumberFormat="1" applyBorder="1"/>
    <xf numFmtId="37" fontId="41" fillId="0" borderId="21" xfId="2" applyNumberFormat="1" applyBorder="1" applyAlignment="1">
      <alignment horizontal="center"/>
    </xf>
    <xf numFmtId="37" fontId="48" fillId="0" borderId="21" xfId="2" applyNumberFormat="1" applyFont="1" applyBorder="1"/>
    <xf numFmtId="37" fontId="48" fillId="0" borderId="55" xfId="2" applyNumberFormat="1" applyFont="1" applyBorder="1"/>
    <xf numFmtId="37" fontId="48" fillId="0" borderId="48" xfId="2" applyNumberFormat="1" applyFont="1" applyBorder="1" applyAlignment="1">
      <alignment horizontal="center"/>
    </xf>
    <xf numFmtId="174" fontId="41" fillId="0" borderId="18" xfId="2" applyNumberFormat="1" applyBorder="1"/>
    <xf numFmtId="43" fontId="41" fillId="0" borderId="0" xfId="1767" applyNumberFormat="1" applyFont="1" applyAlignment="1">
      <alignment horizontal="right"/>
    </xf>
    <xf numFmtId="0" fontId="100" fillId="0" borderId="0" xfId="1767"/>
    <xf numFmtId="0" fontId="41" fillId="0" borderId="0" xfId="739"/>
    <xf numFmtId="37" fontId="41" fillId="0" borderId="0" xfId="739" applyNumberFormat="1"/>
    <xf numFmtId="164" fontId="42" fillId="0" borderId="0" xfId="0" applyFont="1" applyAlignment="1">
      <alignment horizontal="right"/>
    </xf>
    <xf numFmtId="0" fontId="41" fillId="0" borderId="0" xfId="739" applyAlignment="1">
      <alignment horizontal="centerContinuous"/>
    </xf>
    <xf numFmtId="166" fontId="41" fillId="0" borderId="0" xfId="739" applyNumberFormat="1" applyProtection="1">
      <protection locked="0"/>
    </xf>
    <xf numFmtId="0" fontId="41" fillId="0" borderId="0" xfId="739" applyAlignment="1">
      <alignment horizontal="left"/>
    </xf>
    <xf numFmtId="0" fontId="41" fillId="0" borderId="0" xfId="1776"/>
    <xf numFmtId="39" fontId="41" fillId="0" borderId="0" xfId="1776" applyNumberFormat="1"/>
    <xf numFmtId="165" fontId="64" fillId="0" borderId="0" xfId="1776" applyNumberFormat="1" applyFont="1" applyAlignment="1">
      <alignment horizontal="left"/>
    </xf>
    <xf numFmtId="39" fontId="64" fillId="0" borderId="0" xfId="1776" applyNumberFormat="1" applyFont="1"/>
    <xf numFmtId="0" fontId="64" fillId="0" borderId="0" xfId="1776" applyFont="1"/>
    <xf numFmtId="0" fontId="41" fillId="0" borderId="0" xfId="1776" applyAlignment="1">
      <alignment horizontal="left"/>
    </xf>
    <xf numFmtId="39" fontId="41" fillId="0" borderId="0" xfId="1776" applyNumberFormat="1" applyAlignment="1">
      <alignment horizontal="center"/>
    </xf>
    <xf numFmtId="165" fontId="48" fillId="0" borderId="0" xfId="1776" applyNumberFormat="1" applyFont="1"/>
    <xf numFmtId="39" fontId="48" fillId="0" borderId="0" xfId="1776" applyNumberFormat="1" applyFont="1"/>
    <xf numFmtId="0" fontId="48" fillId="0" borderId="0" xfId="1776" applyFont="1"/>
    <xf numFmtId="39" fontId="48" fillId="0" borderId="0" xfId="1776" applyNumberFormat="1" applyFont="1" applyAlignment="1">
      <alignment horizontal="center"/>
    </xf>
    <xf numFmtId="44" fontId="48" fillId="0" borderId="0" xfId="1776" applyNumberFormat="1" applyFont="1"/>
    <xf numFmtId="8" fontId="48" fillId="0" borderId="0" xfId="1776" applyNumberFormat="1" applyFont="1"/>
    <xf numFmtId="40" fontId="48" fillId="0" borderId="0" xfId="1776" applyNumberFormat="1" applyFont="1"/>
    <xf numFmtId="43" fontId="41" fillId="0" borderId="0" xfId="1776" applyNumberFormat="1"/>
    <xf numFmtId="0" fontId="48" fillId="0" borderId="0" xfId="1776" applyFont="1" applyAlignment="1">
      <alignment horizontal="left"/>
    </xf>
    <xf numFmtId="0" fontId="41" fillId="0" borderId="0" xfId="1776" quotePrefix="1" applyAlignment="1">
      <alignment horizontal="left"/>
    </xf>
    <xf numFmtId="43" fontId="48" fillId="0" borderId="0" xfId="1776" applyNumberFormat="1" applyFont="1" applyAlignment="1">
      <alignment horizontal="right"/>
    </xf>
    <xf numFmtId="43" fontId="41" fillId="0" borderId="0" xfId="1776" applyNumberFormat="1" applyAlignment="1">
      <alignment horizontal="right"/>
    </xf>
    <xf numFmtId="39" fontId="41" fillId="0" borderId="29" xfId="1776" applyNumberFormat="1" applyBorder="1"/>
    <xf numFmtId="39" fontId="48" fillId="0" borderId="0" xfId="1776" quotePrefix="1" applyNumberFormat="1" applyFont="1" applyAlignment="1">
      <alignment horizontal="left"/>
    </xf>
    <xf numFmtId="4" fontId="48" fillId="0" borderId="0" xfId="1776" applyNumberFormat="1" applyFont="1"/>
    <xf numFmtId="0" fontId="85" fillId="0" borderId="0" xfId="1776" applyFont="1"/>
    <xf numFmtId="165" fontId="41" fillId="0" borderId="0" xfId="1776" applyNumberFormat="1" applyProtection="1">
      <protection locked="0"/>
    </xf>
    <xf numFmtId="0" fontId="55" fillId="0" borderId="0" xfId="1776" applyFont="1" applyAlignment="1">
      <alignment horizontal="left"/>
    </xf>
    <xf numFmtId="165" fontId="91" fillId="0" borderId="0" xfId="1776" applyNumberFormat="1" applyFont="1"/>
    <xf numFmtId="39" fontId="91" fillId="0" borderId="0" xfId="1776" applyNumberFormat="1" applyFont="1"/>
    <xf numFmtId="44" fontId="48" fillId="0" borderId="18" xfId="1776" applyNumberFormat="1" applyFont="1" applyBorder="1"/>
    <xf numFmtId="39" fontId="41" fillId="0" borderId="18" xfId="1776" applyNumberFormat="1" applyBorder="1"/>
    <xf numFmtId="43" fontId="41" fillId="0" borderId="18" xfId="1776" applyNumberFormat="1" applyBorder="1"/>
    <xf numFmtId="43" fontId="41" fillId="0" borderId="17" xfId="1776" applyNumberFormat="1" applyBorder="1"/>
    <xf numFmtId="43" fontId="48" fillId="0" borderId="18" xfId="1776" applyNumberFormat="1" applyFont="1" applyBorder="1"/>
    <xf numFmtId="43" fontId="48" fillId="0" borderId="0" xfId="1776" applyNumberFormat="1" applyFont="1"/>
    <xf numFmtId="43" fontId="95" fillId="0" borderId="0" xfId="1776" applyNumberFormat="1" applyFont="1"/>
    <xf numFmtId="43" fontId="48" fillId="0" borderId="17" xfId="1776" applyNumberFormat="1" applyFont="1" applyBorder="1"/>
    <xf numFmtId="39" fontId="41" fillId="0" borderId="17" xfId="1776" applyNumberFormat="1" applyBorder="1"/>
    <xf numFmtId="44" fontId="48" fillId="0" borderId="17" xfId="1776" applyNumberFormat="1" applyFont="1" applyBorder="1"/>
    <xf numFmtId="39" fontId="41" fillId="0" borderId="23" xfId="1776" applyNumberFormat="1" applyBorder="1"/>
    <xf numFmtId="165" fontId="44" fillId="0" borderId="0" xfId="840" applyNumberFormat="1" applyFont="1" applyProtection="1">
      <protection locked="0"/>
    </xf>
    <xf numFmtId="40" fontId="41" fillId="0" borderId="0" xfId="840" applyNumberFormat="1" applyFont="1" applyAlignment="1">
      <alignment horizontal="center"/>
    </xf>
    <xf numFmtId="190" fontId="41" fillId="0" borderId="0" xfId="11" applyNumberFormat="1" applyFont="1" applyAlignment="1">
      <alignment horizontal="center"/>
    </xf>
    <xf numFmtId="40" fontId="41" fillId="0" borderId="0" xfId="840" quotePrefix="1" applyNumberFormat="1" applyFont="1" applyAlignment="1">
      <alignment horizontal="center"/>
    </xf>
    <xf numFmtId="165" fontId="41" fillId="0" borderId="0" xfId="840" applyNumberFormat="1" applyFont="1"/>
    <xf numFmtId="39" fontId="41" fillId="0" borderId="0" xfId="840" applyNumberFormat="1" applyFont="1"/>
    <xf numFmtId="40" fontId="41" fillId="0" borderId="0" xfId="840" applyNumberFormat="1" applyFont="1"/>
    <xf numFmtId="42" fontId="41" fillId="0" borderId="0" xfId="840" applyNumberFormat="1" applyFont="1"/>
    <xf numFmtId="0" fontId="41" fillId="0" borderId="0" xfId="840" applyFont="1"/>
    <xf numFmtId="37" fontId="41" fillId="0" borderId="0" xfId="840" applyNumberFormat="1" applyFont="1"/>
    <xf numFmtId="190" fontId="41" fillId="0" borderId="0" xfId="11" applyNumberFormat="1" applyFont="1" applyAlignment="1"/>
    <xf numFmtId="41" fontId="41" fillId="0" borderId="0" xfId="840" applyNumberFormat="1" applyFont="1"/>
    <xf numFmtId="41" fontId="41" fillId="0" borderId="0" xfId="11" applyNumberFormat="1" applyFont="1" applyFill="1" applyAlignment="1"/>
    <xf numFmtId="41" fontId="41" fillId="0" borderId="0" xfId="840" quotePrefix="1" applyNumberFormat="1" applyFont="1" applyAlignment="1">
      <alignment horizontal="center"/>
    </xf>
    <xf numFmtId="41" fontId="41" fillId="0" borderId="0" xfId="11" applyNumberFormat="1" applyFont="1" applyAlignment="1"/>
    <xf numFmtId="41" fontId="41" fillId="0" borderId="0" xfId="840" applyNumberFormat="1" applyFont="1" applyAlignment="1">
      <alignment horizontal="right"/>
    </xf>
    <xf numFmtId="41" fontId="41" fillId="0" borderId="0" xfId="840" quotePrefix="1" applyNumberFormat="1" applyFont="1" applyAlignment="1">
      <alignment horizontal="right"/>
    </xf>
    <xf numFmtId="190" fontId="41" fillId="0" borderId="0" xfId="11" applyNumberFormat="1" applyFont="1" applyBorder="1" applyAlignment="1"/>
    <xf numFmtId="174" fontId="41" fillId="0" borderId="0" xfId="17" applyNumberFormat="1"/>
    <xf numFmtId="170" fontId="41" fillId="0" borderId="0" xfId="17" applyNumberFormat="1"/>
    <xf numFmtId="174" fontId="41" fillId="0" borderId="0" xfId="1049" applyNumberFormat="1" applyAlignment="1">
      <alignment horizontal="center"/>
    </xf>
    <xf numFmtId="170" fontId="41" fillId="0" borderId="0" xfId="17" applyNumberFormat="1" applyProtection="1">
      <protection locked="0"/>
    </xf>
    <xf numFmtId="170" fontId="41" fillId="0" borderId="0" xfId="17" applyNumberFormat="1" applyAlignment="1">
      <alignment horizontal="right"/>
    </xf>
    <xf numFmtId="187" fontId="41" fillId="0" borderId="0" xfId="17" applyNumberFormat="1"/>
    <xf numFmtId="0" fontId="0" fillId="0" borderId="0" xfId="2" applyFont="1" applyAlignment="1">
      <alignment horizontal="right"/>
    </xf>
    <xf numFmtId="165" fontId="66" fillId="0" borderId="0" xfId="2" applyNumberFormat="1" applyFont="1" applyAlignment="1">
      <alignment horizontal="center"/>
    </xf>
    <xf numFmtId="194" fontId="41" fillId="0" borderId="0" xfId="2" applyNumberFormat="1" applyProtection="1">
      <protection locked="0"/>
    </xf>
    <xf numFmtId="39" fontId="69" fillId="0" borderId="0" xfId="1776" applyNumberFormat="1" applyFont="1" applyAlignment="1">
      <alignment horizontal="right" vertical="top"/>
    </xf>
    <xf numFmtId="0" fontId="69" fillId="0" borderId="0" xfId="1776" applyFont="1" applyAlignment="1">
      <alignment horizontal="left"/>
    </xf>
    <xf numFmtId="0" fontId="48" fillId="0" borderId="0" xfId="1776" applyFont="1" applyAlignment="1">
      <alignment horizontal="left" vertical="top"/>
    </xf>
    <xf numFmtId="0" fontId="69" fillId="0" borderId="0" xfId="1776" applyFont="1" applyAlignment="1">
      <alignment horizontal="center"/>
    </xf>
    <xf numFmtId="39" fontId="44" fillId="0" borderId="0" xfId="1776" applyNumberFormat="1" applyFont="1" applyAlignment="1">
      <alignment horizontal="centerContinuous"/>
    </xf>
    <xf numFmtId="0" fontId="64" fillId="0" borderId="0" xfId="1776" applyFont="1" applyAlignment="1">
      <alignment horizontal="left"/>
    </xf>
    <xf numFmtId="0" fontId="41" fillId="0" borderId="0" xfId="1776" applyAlignment="1">
      <alignment horizontal="center"/>
    </xf>
    <xf numFmtId="170" fontId="53" fillId="0" borderId="0" xfId="2" applyNumberFormat="1" applyFont="1"/>
    <xf numFmtId="174" fontId="41" fillId="0" borderId="0" xfId="0" applyNumberFormat="1" applyFont="1"/>
    <xf numFmtId="170" fontId="41" fillId="0" borderId="0" xfId="0" quotePrefix="1" applyNumberFormat="1" applyFont="1" applyAlignment="1">
      <alignment horizontal="right"/>
    </xf>
    <xf numFmtId="10" fontId="46" fillId="0" borderId="0" xfId="2" applyNumberFormat="1" applyFont="1"/>
    <xf numFmtId="0" fontId="171" fillId="0" borderId="0" xfId="861" applyNumberFormat="1" applyFont="1" applyAlignment="1" applyProtection="1"/>
    <xf numFmtId="0" fontId="171" fillId="0" borderId="0" xfId="860" applyFont="1"/>
    <xf numFmtId="0" fontId="172" fillId="0" borderId="0" xfId="860" applyFont="1"/>
    <xf numFmtId="0" fontId="171" fillId="0" borderId="0" xfId="861" quotePrefix="1" applyNumberFormat="1" applyFont="1" applyBorder="1" applyAlignment="1" applyProtection="1">
      <alignment horizontal="left"/>
    </xf>
    <xf numFmtId="0" fontId="171" fillId="0" borderId="0" xfId="861" applyNumberFormat="1" applyFont="1" applyBorder="1" applyAlignment="1" applyProtection="1"/>
    <xf numFmtId="0" fontId="149" fillId="0" borderId="0" xfId="861" applyNumberFormat="1" applyAlignment="1" applyProtection="1"/>
    <xf numFmtId="170" fontId="41" fillId="0" borderId="30" xfId="2" applyNumberFormat="1" applyBorder="1"/>
    <xf numFmtId="164" fontId="41" fillId="0" borderId="0" xfId="1940" applyNumberFormat="1" applyFont="1" applyAlignment="1"/>
    <xf numFmtId="164" fontId="48" fillId="0" borderId="48" xfId="1940" applyNumberFormat="1" applyFont="1" applyBorder="1" applyAlignment="1"/>
    <xf numFmtId="174" fontId="41" fillId="0" borderId="15" xfId="2" applyNumberFormat="1" applyBorder="1"/>
    <xf numFmtId="170" fontId="41" fillId="0" borderId="18" xfId="2" applyNumberFormat="1" applyBorder="1"/>
    <xf numFmtId="170" fontId="41" fillId="0" borderId="17" xfId="2" applyNumberFormat="1" applyBorder="1"/>
    <xf numFmtId="170" fontId="41" fillId="0" borderId="15" xfId="2" applyNumberFormat="1" applyBorder="1"/>
    <xf numFmtId="43" fontId="41" fillId="0" borderId="0" xfId="2" applyNumberFormat="1"/>
    <xf numFmtId="170" fontId="41" fillId="0" borderId="19" xfId="2" applyNumberFormat="1" applyBorder="1"/>
    <xf numFmtId="170" fontId="41" fillId="0" borderId="12" xfId="2" quotePrefix="1" applyNumberFormat="1" applyBorder="1" applyAlignment="1">
      <alignment horizontal="center"/>
    </xf>
    <xf numFmtId="170" fontId="41" fillId="0" borderId="15" xfId="2" quotePrefix="1" applyNumberFormat="1" applyBorder="1" applyAlignment="1">
      <alignment horizontal="right"/>
    </xf>
    <xf numFmtId="170" fontId="41" fillId="0" borderId="15" xfId="2" quotePrefix="1" applyNumberFormat="1" applyBorder="1"/>
    <xf numFmtId="0" fontId="41" fillId="0" borderId="0" xfId="2" quotePrefix="1" applyAlignment="1">
      <alignment horizontal="right"/>
    </xf>
    <xf numFmtId="165" fontId="41" fillId="0" borderId="0" xfId="2" applyNumberFormat="1" applyAlignment="1">
      <alignment horizontal="right"/>
    </xf>
    <xf numFmtId="170" fontId="69" fillId="0" borderId="48" xfId="2" applyNumberFormat="1" applyFont="1" applyBorder="1"/>
    <xf numFmtId="39" fontId="41" fillId="0" borderId="0" xfId="2" applyNumberFormat="1"/>
    <xf numFmtId="170" fontId="41" fillId="0" borderId="0" xfId="0" applyNumberFormat="1" applyFont="1" applyAlignment="1">
      <alignment horizontal="right"/>
    </xf>
    <xf numFmtId="0" fontId="48" fillId="0" borderId="0" xfId="2" applyFont="1" applyAlignment="1" applyProtection="1">
      <alignment horizontal="center"/>
      <protection locked="0"/>
    </xf>
    <xf numFmtId="164" fontId="41" fillId="0" borderId="48" xfId="0" applyFont="1" applyBorder="1"/>
    <xf numFmtId="164" fontId="41" fillId="0" borderId="48" xfId="2" applyNumberFormat="1" applyBorder="1" applyAlignment="1">
      <alignment horizontal="right"/>
    </xf>
    <xf numFmtId="164" fontId="41" fillId="0" borderId="0" xfId="2" applyNumberFormat="1" applyAlignment="1">
      <alignment horizontal="right"/>
    </xf>
    <xf numFmtId="164" fontId="48" fillId="0" borderId="48" xfId="2" applyNumberFormat="1" applyFont="1" applyBorder="1" applyAlignment="1">
      <alignment horizontal="right"/>
    </xf>
    <xf numFmtId="164" fontId="48" fillId="0" borderId="28" xfId="0" applyFont="1" applyBorder="1"/>
    <xf numFmtId="164" fontId="48" fillId="0" borderId="48" xfId="0" applyFont="1" applyBorder="1"/>
    <xf numFmtId="172" fontId="48" fillId="0" borderId="48" xfId="0" applyNumberFormat="1" applyFont="1" applyBorder="1"/>
    <xf numFmtId="0" fontId="69" fillId="0" borderId="0" xfId="2" quotePrefix="1" applyFont="1" applyAlignment="1">
      <alignment horizontal="left"/>
    </xf>
    <xf numFmtId="41" fontId="41" fillId="0" borderId="0" xfId="739" applyNumberFormat="1"/>
    <xf numFmtId="172" fontId="41" fillId="0" borderId="0" xfId="0" applyNumberFormat="1" applyFont="1"/>
    <xf numFmtId="43" fontId="41" fillId="0" borderId="0" xfId="0" applyNumberFormat="1" applyFont="1" applyAlignment="1">
      <alignment horizontal="right"/>
    </xf>
    <xf numFmtId="172" fontId="48" fillId="0" borderId="0" xfId="0" applyNumberFormat="1" applyFont="1"/>
    <xf numFmtId="0" fontId="141" fillId="0" borderId="0" xfId="8" applyFont="1"/>
    <xf numFmtId="0" fontId="41" fillId="0" borderId="0" xfId="8" applyFont="1"/>
    <xf numFmtId="3" fontId="53" fillId="0" borderId="0" xfId="8" quotePrefix="1" applyNumberFormat="1" applyFont="1" applyAlignment="1">
      <alignment horizontal="right"/>
    </xf>
    <xf numFmtId="41" fontId="46" fillId="0" borderId="0" xfId="1773" applyNumberFormat="1" applyFont="1" applyFill="1"/>
    <xf numFmtId="177" fontId="181" fillId="0" borderId="0" xfId="740" applyNumberFormat="1" applyFont="1"/>
    <xf numFmtId="172" fontId="48" fillId="0" borderId="0" xfId="1940" applyNumberFormat="1" applyFont="1" applyBorder="1" applyAlignment="1" applyProtection="1"/>
    <xf numFmtId="165" fontId="48" fillId="0" borderId="0" xfId="0" applyNumberFormat="1" applyFont="1" applyAlignment="1">
      <alignment horizontal="center"/>
    </xf>
    <xf numFmtId="0" fontId="48" fillId="0" borderId="48" xfId="0" quotePrefix="1" applyNumberFormat="1" applyFont="1" applyBorder="1" applyAlignment="1">
      <alignment horizontal="center"/>
    </xf>
    <xf numFmtId="0" fontId="48" fillId="0" borderId="0" xfId="0" applyNumberFormat="1" applyFont="1" applyAlignment="1">
      <alignment horizontal="center"/>
    </xf>
    <xf numFmtId="0" fontId="48" fillId="0" borderId="0" xfId="0" quotePrefix="1" applyNumberFormat="1" applyFont="1" applyAlignment="1">
      <alignment horizontal="center"/>
    </xf>
    <xf numFmtId="164" fontId="66" fillId="0" borderId="0" xfId="0" applyFont="1"/>
    <xf numFmtId="172" fontId="41" fillId="0" borderId="0" xfId="1940" applyNumberFormat="1" applyFont="1" applyBorder="1" applyAlignment="1" applyProtection="1"/>
    <xf numFmtId="0" fontId="47" fillId="0" borderId="0" xfId="9967" applyFont="1" applyAlignment="1">
      <alignment horizontal="center"/>
    </xf>
    <xf numFmtId="43" fontId="47" fillId="0" borderId="0" xfId="9967" applyNumberFormat="1" applyFont="1" applyAlignment="1">
      <alignment horizontal="center"/>
    </xf>
    <xf numFmtId="0" fontId="47" fillId="0" borderId="0" xfId="9967" quotePrefix="1" applyFont="1" applyAlignment="1">
      <alignment horizontal="center"/>
    </xf>
    <xf numFmtId="0" fontId="42" fillId="0" borderId="0" xfId="2" quotePrefix="1" applyFont="1" applyAlignment="1">
      <alignment horizontal="left"/>
    </xf>
    <xf numFmtId="0" fontId="41" fillId="0" borderId="0" xfId="5517" applyFont="1"/>
    <xf numFmtId="170" fontId="41" fillId="0" borderId="0" xfId="5517" applyNumberFormat="1" applyFont="1"/>
    <xf numFmtId="186" fontId="47" fillId="0" borderId="50" xfId="860" quotePrefix="1" applyNumberFormat="1" applyFont="1" applyBorder="1" applyAlignment="1">
      <alignment horizontal="centerContinuous"/>
    </xf>
    <xf numFmtId="37" fontId="183" fillId="0" borderId="0" xfId="2" applyNumberFormat="1" applyFont="1"/>
    <xf numFmtId="174" fontId="183" fillId="0" borderId="0" xfId="2" applyNumberFormat="1" applyFont="1"/>
    <xf numFmtId="0" fontId="47" fillId="0" borderId="0" xfId="0" quotePrefix="1" applyNumberFormat="1" applyFont="1" applyAlignment="1">
      <alignment horizontal="left"/>
    </xf>
    <xf numFmtId="0" fontId="61" fillId="0" borderId="0" xfId="2" quotePrefix="1" applyFont="1" applyAlignment="1">
      <alignment horizontal="center"/>
    </xf>
    <xf numFmtId="44" fontId="46" fillId="0" borderId="0" xfId="0" applyNumberFormat="1" applyFont="1"/>
    <xf numFmtId="43" fontId="46" fillId="0" borderId="0" xfId="0" applyNumberFormat="1" applyFont="1" applyAlignment="1">
      <alignment horizontal="right"/>
    </xf>
    <xf numFmtId="43" fontId="46" fillId="0" borderId="0" xfId="0" quotePrefix="1" applyNumberFormat="1" applyFont="1" applyAlignment="1">
      <alignment horizontal="right"/>
    </xf>
    <xf numFmtId="0" fontId="100" fillId="0" borderId="0" xfId="8"/>
    <xf numFmtId="172" fontId="0" fillId="0" borderId="0" xfId="0" applyNumberFormat="1"/>
    <xf numFmtId="40" fontId="68" fillId="0" borderId="0" xfId="25861" applyNumberFormat="1" applyFont="1"/>
    <xf numFmtId="39" fontId="68" fillId="0" borderId="0" xfId="25861" applyNumberFormat="1" applyFont="1"/>
    <xf numFmtId="165" fontId="85" fillId="0" borderId="0" xfId="840" applyNumberFormat="1" applyFont="1"/>
    <xf numFmtId="0" fontId="85" fillId="0" borderId="0" xfId="840" applyFont="1" applyAlignment="1">
      <alignment horizontal="left"/>
    </xf>
    <xf numFmtId="170" fontId="64" fillId="0" borderId="0" xfId="2" quotePrefix="1" applyNumberFormat="1" applyFont="1"/>
    <xf numFmtId="164" fontId="168" fillId="0" borderId="0" xfId="0" applyFont="1"/>
    <xf numFmtId="172" fontId="69" fillId="0" borderId="0" xfId="0" applyNumberFormat="1" applyFont="1"/>
    <xf numFmtId="0" fontId="69" fillId="0" borderId="0" xfId="17029" quotePrefix="1" applyFont="1" applyAlignment="1">
      <alignment horizontal="left"/>
    </xf>
    <xf numFmtId="0" fontId="47" fillId="0" borderId="0" xfId="0" applyNumberFormat="1" applyFont="1" applyAlignment="1">
      <alignment horizontal="right"/>
    </xf>
    <xf numFmtId="7" fontId="47" fillId="0" borderId="0" xfId="0" applyNumberFormat="1" applyFont="1"/>
    <xf numFmtId="0" fontId="47" fillId="0" borderId="0" xfId="0" quotePrefix="1" applyNumberFormat="1" applyFont="1"/>
    <xf numFmtId="0" fontId="47" fillId="0" borderId="0" xfId="0" applyNumberFormat="1" applyFont="1" applyAlignment="1">
      <alignment horizontal="right" vertical="top"/>
    </xf>
    <xf numFmtId="0" fontId="46" fillId="0" borderId="0" xfId="5508" applyFont="1"/>
    <xf numFmtId="0" fontId="48" fillId="0" borderId="0" xfId="5508" applyFont="1"/>
    <xf numFmtId="0" fontId="47" fillId="0" borderId="0" xfId="5508" applyFont="1"/>
    <xf numFmtId="0" fontId="46" fillId="0" borderId="0" xfId="5508" applyFont="1" applyAlignment="1">
      <alignment horizontal="center"/>
    </xf>
    <xf numFmtId="0" fontId="41" fillId="0" borderId="0" xfId="5508" applyFont="1"/>
    <xf numFmtId="172" fontId="48" fillId="0" borderId="48" xfId="1940" applyNumberFormat="1" applyFont="1" applyBorder="1" applyAlignment="1" applyProtection="1"/>
    <xf numFmtId="191" fontId="53" fillId="0" borderId="0" xfId="8" quotePrefix="1" applyNumberFormat="1" applyFont="1" applyAlignment="1">
      <alignment horizontal="right"/>
    </xf>
    <xf numFmtId="166" fontId="53" fillId="0" borderId="0" xfId="8" quotePrefix="1" applyNumberFormat="1" applyFont="1" applyAlignment="1">
      <alignment horizontal="right"/>
    </xf>
    <xf numFmtId="166" fontId="53" fillId="0" borderId="0" xfId="8" applyNumberFormat="1" applyFont="1" applyAlignment="1">
      <alignment horizontal="right" vertical="top"/>
    </xf>
    <xf numFmtId="0" fontId="166" fillId="0" borderId="0" xfId="8" applyFont="1"/>
    <xf numFmtId="165" fontId="53" fillId="0" borderId="0" xfId="8" quotePrefix="1" applyNumberFormat="1" applyFont="1" applyAlignment="1">
      <alignment horizontal="right"/>
    </xf>
    <xf numFmtId="0" fontId="53" fillId="0" borderId="0" xfId="8" quotePrefix="1" applyFont="1"/>
    <xf numFmtId="0" fontId="140" fillId="0" borderId="0" xfId="8" applyFont="1" applyAlignment="1">
      <alignment horizontal="left"/>
    </xf>
    <xf numFmtId="0" fontId="149" fillId="0" borderId="0" xfId="861" applyNumberFormat="1" applyBorder="1" applyAlignment="1" applyProtection="1"/>
    <xf numFmtId="0" fontId="48" fillId="0" borderId="0" xfId="1776" applyFont="1" applyAlignment="1">
      <alignment horizontal="center"/>
    </xf>
    <xf numFmtId="0" fontId="41" fillId="0" borderId="48" xfId="2" applyBorder="1" applyAlignment="1">
      <alignment horizontal="center"/>
    </xf>
    <xf numFmtId="37" fontId="48" fillId="0" borderId="48" xfId="2" quotePrefix="1" applyNumberFormat="1" applyFont="1" applyBorder="1" applyAlignment="1">
      <alignment horizontal="center"/>
    </xf>
    <xf numFmtId="41" fontId="46" fillId="0" borderId="0" xfId="0" applyNumberFormat="1" applyFont="1"/>
    <xf numFmtId="167" fontId="41" fillId="0" borderId="0" xfId="2" quotePrefix="1" applyNumberFormat="1" applyAlignment="1">
      <alignment horizontal="center"/>
    </xf>
    <xf numFmtId="193" fontId="41" fillId="0" borderId="0" xfId="2" quotePrefix="1" applyNumberFormat="1" applyAlignment="1">
      <alignment horizontal="center"/>
    </xf>
    <xf numFmtId="169" fontId="53" fillId="0" borderId="0" xfId="8" quotePrefix="1" applyNumberFormat="1" applyFont="1" applyAlignment="1">
      <alignment horizontal="right"/>
    </xf>
    <xf numFmtId="170" fontId="64" fillId="0" borderId="10" xfId="2" quotePrefix="1" applyNumberFormat="1" applyFont="1" applyBorder="1" applyAlignment="1">
      <alignment horizontal="right"/>
    </xf>
    <xf numFmtId="174" fontId="69" fillId="0" borderId="0" xfId="2" applyNumberFormat="1" applyFont="1" applyAlignment="1">
      <alignment horizontal="right"/>
    </xf>
    <xf numFmtId="180" fontId="64" fillId="0" borderId="0" xfId="1767" applyNumberFormat="1" applyFont="1" applyAlignment="1">
      <alignment horizontal="left"/>
    </xf>
    <xf numFmtId="177" fontId="64" fillId="0" borderId="0" xfId="1767" applyNumberFormat="1" applyFont="1" applyAlignment="1">
      <alignment horizontal="right"/>
    </xf>
    <xf numFmtId="177" fontId="64" fillId="0" borderId="0" xfId="740" applyNumberFormat="1" applyFont="1" applyAlignment="1">
      <alignment horizontal="right"/>
    </xf>
    <xf numFmtId="180" fontId="64" fillId="0" borderId="0" xfId="740" applyNumberFormat="1" applyFont="1" applyAlignment="1">
      <alignment horizontal="center"/>
    </xf>
    <xf numFmtId="177" fontId="64" fillId="0" borderId="0" xfId="1767" applyNumberFormat="1" applyFont="1" applyAlignment="1">
      <alignment horizontal="left"/>
    </xf>
    <xf numFmtId="177" fontId="64" fillId="0" borderId="0" xfId="740" applyNumberFormat="1" applyFont="1" applyAlignment="1">
      <alignment horizontal="center"/>
    </xf>
    <xf numFmtId="170" fontId="64" fillId="0" borderId="18" xfId="2" applyNumberFormat="1" applyFont="1" applyBorder="1"/>
    <xf numFmtId="177" fontId="41" fillId="0" borderId="0" xfId="1767" applyNumberFormat="1" applyFont="1" applyAlignment="1">
      <alignment horizontal="center"/>
    </xf>
    <xf numFmtId="177" fontId="41" fillId="0" borderId="0" xfId="1767" applyNumberFormat="1" applyFont="1"/>
    <xf numFmtId="177" fontId="41" fillId="0" borderId="0" xfId="1767" quotePrefix="1" applyNumberFormat="1" applyFont="1" applyAlignment="1">
      <alignment horizontal="center"/>
    </xf>
    <xf numFmtId="164" fontId="41" fillId="0" borderId="0" xfId="7" applyNumberFormat="1" applyFont="1" applyFill="1" applyAlignment="1">
      <alignment horizontal="right"/>
    </xf>
    <xf numFmtId="41" fontId="48" fillId="0" borderId="66" xfId="840" applyNumberFormat="1" applyFont="1" applyBorder="1"/>
    <xf numFmtId="39" fontId="68" fillId="0" borderId="0" xfId="19" applyNumberFormat="1" applyFont="1"/>
    <xf numFmtId="190" fontId="111" fillId="0" borderId="0" xfId="11" applyNumberFormat="1" applyFont="1" applyFill="1" applyAlignment="1">
      <alignment horizontal="right"/>
    </xf>
    <xf numFmtId="190" fontId="163" fillId="0" borderId="0" xfId="11" applyNumberFormat="1" applyFont="1" applyFill="1" applyAlignment="1">
      <alignment horizontal="right"/>
    </xf>
    <xf numFmtId="190" fontId="41" fillId="0" borderId="0" xfId="11" applyNumberFormat="1" applyFont="1" applyFill="1" applyAlignment="1">
      <alignment horizontal="center"/>
    </xf>
    <xf numFmtId="190" fontId="41" fillId="0" borderId="0" xfId="11" applyNumberFormat="1" applyFont="1" applyFill="1" applyAlignment="1"/>
    <xf numFmtId="43" fontId="78" fillId="0" borderId="0" xfId="11" applyFont="1" applyFill="1" applyAlignment="1"/>
    <xf numFmtId="43" fontId="68" fillId="0" borderId="0" xfId="11" applyFont="1" applyFill="1" applyAlignment="1"/>
    <xf numFmtId="41" fontId="68" fillId="0" borderId="0" xfId="840" applyNumberFormat="1" applyFont="1"/>
    <xf numFmtId="41" fontId="48" fillId="0" borderId="66" xfId="840" quotePrefix="1" applyNumberFormat="1" applyFont="1" applyBorder="1"/>
    <xf numFmtId="190" fontId="41" fillId="0" borderId="0" xfId="11" applyNumberFormat="1" applyFont="1" applyFill="1" applyBorder="1" applyAlignment="1"/>
    <xf numFmtId="0" fontId="64" fillId="0" borderId="0" xfId="840" quotePrefix="1" applyFont="1" applyAlignment="1">
      <alignment horizontal="left"/>
    </xf>
    <xf numFmtId="190" fontId="46" fillId="0" borderId="0" xfId="11" applyNumberFormat="1" applyFont="1" applyFill="1" applyAlignment="1"/>
    <xf numFmtId="40" fontId="68" fillId="0" borderId="0" xfId="19" applyNumberFormat="1" applyFont="1"/>
    <xf numFmtId="190" fontId="68" fillId="0" borderId="0" xfId="11" applyNumberFormat="1" applyFont="1" applyFill="1" applyAlignment="1"/>
    <xf numFmtId="170" fontId="41" fillId="0" borderId="0" xfId="0" quotePrefix="1" applyNumberFormat="1" applyFont="1"/>
    <xf numFmtId="174" fontId="41" fillId="0" borderId="0" xfId="5517" applyNumberFormat="1" applyFont="1"/>
    <xf numFmtId="174" fontId="41" fillId="0" borderId="0" xfId="0" quotePrefix="1" applyNumberFormat="1" applyFont="1" applyAlignment="1">
      <alignment horizontal="left"/>
    </xf>
    <xf numFmtId="170" fontId="48" fillId="0" borderId="58" xfId="0" applyNumberFormat="1" applyFont="1" applyBorder="1"/>
    <xf numFmtId="164" fontId="41" fillId="0" borderId="0" xfId="2" applyNumberFormat="1" applyProtection="1">
      <protection locked="0"/>
    </xf>
    <xf numFmtId="174" fontId="41" fillId="0" borderId="30" xfId="2" applyNumberFormat="1" applyBorder="1" applyAlignment="1">
      <alignment horizontal="center"/>
    </xf>
    <xf numFmtId="164" fontId="48" fillId="0" borderId="0" xfId="2" applyNumberFormat="1" applyFont="1" applyProtection="1">
      <protection locked="0"/>
    </xf>
    <xf numFmtId="172" fontId="41" fillId="0" borderId="0" xfId="2" applyNumberFormat="1"/>
    <xf numFmtId="174" fontId="41" fillId="0" borderId="0" xfId="0" quotePrefix="1" applyNumberFormat="1" applyFont="1"/>
    <xf numFmtId="164" fontId="41" fillId="0" borderId="0" xfId="0" quotePrefix="1" applyFont="1"/>
    <xf numFmtId="164" fontId="66" fillId="0" borderId="48" xfId="0" applyFont="1" applyBorder="1"/>
    <xf numFmtId="170" fontId="48" fillId="0" borderId="48" xfId="5517" applyNumberFormat="1" applyFont="1" applyBorder="1"/>
    <xf numFmtId="170" fontId="48" fillId="0" borderId="0" xfId="1046" applyNumberFormat="1" applyFont="1" applyFill="1" applyBorder="1"/>
    <xf numFmtId="170" fontId="64" fillId="0" borderId="0" xfId="2" applyNumberFormat="1" applyFont="1" applyAlignment="1">
      <alignment horizontal="right"/>
    </xf>
    <xf numFmtId="170" fontId="166" fillId="0" borderId="0" xfId="2" applyNumberFormat="1" applyFont="1"/>
    <xf numFmtId="167" fontId="48" fillId="0" borderId="0" xfId="2" applyNumberFormat="1" applyFont="1"/>
    <xf numFmtId="195" fontId="46" fillId="0" borderId="0" xfId="2" applyNumberFormat="1" applyFont="1"/>
    <xf numFmtId="172" fontId="48" fillId="0" borderId="48" xfId="2" applyNumberFormat="1" applyFont="1" applyBorder="1"/>
    <xf numFmtId="39" fontId="41" fillId="0" borderId="71" xfId="840" applyNumberFormat="1" applyFont="1" applyBorder="1"/>
    <xf numFmtId="41" fontId="41" fillId="0" borderId="0" xfId="840" quotePrefix="1" applyNumberFormat="1" applyFont="1"/>
    <xf numFmtId="41" fontId="41" fillId="0" borderId="72" xfId="840" quotePrefix="1" applyNumberFormat="1" applyFont="1" applyBorder="1" applyAlignment="1">
      <alignment horizontal="center"/>
    </xf>
    <xf numFmtId="170" fontId="41" fillId="0" borderId="71" xfId="2" applyNumberFormat="1" applyBorder="1"/>
    <xf numFmtId="170" fontId="48" fillId="0" borderId="73" xfId="2" applyNumberFormat="1" applyFont="1" applyBorder="1"/>
    <xf numFmtId="170" fontId="48" fillId="0" borderId="71" xfId="2" applyNumberFormat="1" applyFont="1" applyBorder="1"/>
    <xf numFmtId="193" fontId="48" fillId="0" borderId="0" xfId="2" quotePrefix="1" applyNumberFormat="1" applyFont="1" applyAlignment="1">
      <alignment horizontal="center"/>
    </xf>
    <xf numFmtId="197" fontId="41" fillId="0" borderId="0" xfId="739" applyNumberFormat="1" applyProtection="1">
      <protection locked="0"/>
    </xf>
    <xf numFmtId="197" fontId="41" fillId="0" borderId="0" xfId="739" applyNumberFormat="1"/>
    <xf numFmtId="197" fontId="98" fillId="0" borderId="0" xfId="739" applyNumberFormat="1" applyFont="1"/>
    <xf numFmtId="39" fontId="41" fillId="0" borderId="71" xfId="1776" applyNumberFormat="1" applyBorder="1"/>
    <xf numFmtId="43" fontId="48" fillId="0" borderId="68" xfId="1776" applyNumberFormat="1" applyFont="1" applyBorder="1"/>
    <xf numFmtId="43" fontId="41" fillId="0" borderId="71" xfId="1776" applyNumberFormat="1" applyBorder="1"/>
    <xf numFmtId="43" fontId="48" fillId="0" borderId="71" xfId="1776" applyNumberFormat="1" applyFont="1" applyBorder="1"/>
    <xf numFmtId="43" fontId="48" fillId="0" borderId="66" xfId="1776" applyNumberFormat="1" applyFont="1" applyBorder="1"/>
    <xf numFmtId="0" fontId="48" fillId="0" borderId="71" xfId="17" applyNumberFormat="1" applyFont="1" applyBorder="1"/>
    <xf numFmtId="174" fontId="48" fillId="0" borderId="59" xfId="17" applyNumberFormat="1" applyFont="1" applyBorder="1"/>
    <xf numFmtId="181" fontId="46" fillId="0" borderId="0" xfId="1776" applyNumberFormat="1" applyFont="1"/>
    <xf numFmtId="181" fontId="69" fillId="0" borderId="0" xfId="1776" applyNumberFormat="1" applyFont="1"/>
    <xf numFmtId="181" fontId="64" fillId="0" borderId="0" xfId="1776" applyNumberFormat="1" applyFont="1"/>
    <xf numFmtId="181" fontId="69" fillId="0" borderId="0" xfId="1776" quotePrefix="1" applyNumberFormat="1" applyFont="1" applyAlignment="1">
      <alignment horizontal="left"/>
    </xf>
    <xf numFmtId="181" fontId="69" fillId="0" borderId="0" xfId="1776" applyNumberFormat="1" applyFont="1" applyAlignment="1">
      <alignment horizontal="center"/>
    </xf>
    <xf numFmtId="181" fontId="105" fillId="0" borderId="0" xfId="1776" applyNumberFormat="1" applyFont="1" applyAlignment="1">
      <alignment horizontal="center"/>
    </xf>
    <xf numFmtId="181" fontId="69" fillId="0" borderId="0" xfId="1776" quotePrefix="1" applyNumberFormat="1" applyFont="1" applyAlignment="1">
      <alignment horizontal="center"/>
    </xf>
    <xf numFmtId="181" fontId="69" fillId="0" borderId="71" xfId="1776" applyNumberFormat="1" applyFont="1" applyBorder="1" applyAlignment="1">
      <alignment horizontal="center"/>
    </xf>
    <xf numFmtId="181" fontId="69" fillId="0" borderId="71" xfId="1776" quotePrefix="1" applyNumberFormat="1" applyFont="1" applyBorder="1" applyAlignment="1">
      <alignment horizontal="fill"/>
    </xf>
    <xf numFmtId="181" fontId="105" fillId="0" borderId="0" xfId="1776" applyNumberFormat="1" applyFont="1"/>
    <xf numFmtId="180" fontId="64" fillId="0" borderId="0" xfId="1776" applyNumberFormat="1" applyFont="1" applyAlignment="1">
      <alignment horizontal="right"/>
    </xf>
    <xf numFmtId="181" fontId="64" fillId="0" borderId="0" xfId="1776" quotePrefix="1" applyNumberFormat="1" applyFont="1" applyAlignment="1">
      <alignment horizontal="left"/>
    </xf>
    <xf numFmtId="177" fontId="64" fillId="0" borderId="0" xfId="1776" applyNumberFormat="1" applyFont="1"/>
    <xf numFmtId="177" fontId="64" fillId="0" borderId="0" xfId="1776" applyNumberFormat="1" applyFont="1" applyAlignment="1">
      <alignment horizontal="right"/>
    </xf>
    <xf numFmtId="181" fontId="69" fillId="0" borderId="0" xfId="1776" applyNumberFormat="1" applyFont="1" applyAlignment="1">
      <alignment horizontal="left"/>
    </xf>
    <xf numFmtId="180" fontId="69" fillId="0" borderId="74" xfId="1776" applyNumberFormat="1" applyFont="1" applyBorder="1" applyAlignment="1">
      <alignment horizontal="right"/>
    </xf>
    <xf numFmtId="181" fontId="47" fillId="0" borderId="0" xfId="1776" applyNumberFormat="1" applyFont="1"/>
    <xf numFmtId="181" fontId="46" fillId="0" borderId="0" xfId="1776" quotePrefix="1" applyNumberFormat="1" applyFont="1" applyAlignment="1">
      <alignment horizontal="left" wrapText="1"/>
    </xf>
    <xf numFmtId="181" fontId="46" fillId="0" borderId="0" xfId="1776" applyNumberFormat="1" applyFont="1" applyAlignment="1">
      <alignment horizontal="right"/>
    </xf>
    <xf numFmtId="39" fontId="46" fillId="0" borderId="0" xfId="1776" applyNumberFormat="1" applyFont="1"/>
    <xf numFmtId="181" fontId="46" fillId="0" borderId="0" xfId="1776" quotePrefix="1" applyNumberFormat="1" applyFont="1" applyAlignment="1">
      <alignment horizontal="left"/>
    </xf>
    <xf numFmtId="39" fontId="46" fillId="0" borderId="0" xfId="1776" quotePrefix="1" applyNumberFormat="1" applyFont="1" applyAlignment="1">
      <alignment horizontal="center"/>
    </xf>
    <xf numFmtId="39" fontId="46" fillId="0" borderId="0" xfId="1776" quotePrefix="1" applyNumberFormat="1" applyFont="1" applyAlignment="1">
      <alignment horizontal="right"/>
    </xf>
    <xf numFmtId="181" fontId="47" fillId="0" borderId="0" xfId="1776" quotePrefix="1" applyNumberFormat="1" applyFont="1" applyAlignment="1">
      <alignment horizontal="left"/>
    </xf>
    <xf numFmtId="181" fontId="46" fillId="0" borderId="0" xfId="1776" applyNumberFormat="1" applyFont="1" applyAlignment="1">
      <alignment horizontal="left"/>
    </xf>
    <xf numFmtId="39" fontId="47" fillId="0" borderId="0" xfId="1776" quotePrefix="1" applyNumberFormat="1" applyFont="1" applyAlignment="1">
      <alignment horizontal="center"/>
    </xf>
    <xf numFmtId="39" fontId="47" fillId="0" borderId="0" xfId="1776" applyNumberFormat="1" applyFont="1"/>
    <xf numFmtId="40" fontId="48" fillId="0" borderId="0" xfId="840" quotePrefix="1" applyNumberFormat="1" applyFont="1" applyAlignment="1">
      <alignment horizontal="center"/>
    </xf>
    <xf numFmtId="0" fontId="48" fillId="0" borderId="0" xfId="17" applyNumberFormat="1" applyFont="1" applyAlignment="1">
      <alignment horizontal="left"/>
    </xf>
    <xf numFmtId="0" fontId="41" fillId="0" borderId="0" xfId="17" applyNumberFormat="1" applyAlignment="1" applyProtection="1">
      <alignment horizontal="left"/>
      <protection locked="0"/>
    </xf>
    <xf numFmtId="0" fontId="48" fillId="0" borderId="0" xfId="17" applyNumberFormat="1" applyFont="1" applyAlignment="1" applyProtection="1">
      <alignment horizontal="left"/>
      <protection locked="0"/>
    </xf>
    <xf numFmtId="190" fontId="168" fillId="0" borderId="0" xfId="1773" applyNumberFormat="1" applyFont="1" applyFill="1"/>
    <xf numFmtId="190" fontId="46" fillId="0" borderId="0" xfId="1773" applyNumberFormat="1" applyFont="1" applyFill="1"/>
    <xf numFmtId="170" fontId="48" fillId="0" borderId="0" xfId="1" applyNumberFormat="1" applyFont="1" applyBorder="1" applyAlignment="1"/>
    <xf numFmtId="0" fontId="69" fillId="0" borderId="0" xfId="1776" quotePrefix="1" applyFont="1" applyAlignment="1">
      <alignment horizontal="left"/>
    </xf>
    <xf numFmtId="0" fontId="69" fillId="0" borderId="0" xfId="1776" quotePrefix="1" applyFont="1" applyAlignment="1">
      <alignment horizontal="center"/>
    </xf>
    <xf numFmtId="0" fontId="48" fillId="0" borderId="0" xfId="1776" quotePrefix="1" applyFont="1" applyAlignment="1">
      <alignment horizontal="center"/>
    </xf>
    <xf numFmtId="170" fontId="69" fillId="0" borderId="68" xfId="2" quotePrefix="1" applyNumberFormat="1" applyFont="1" applyBorder="1" applyAlignment="1">
      <alignment horizontal="center"/>
    </xf>
    <xf numFmtId="170" fontId="41" fillId="0" borderId="0" xfId="1046" applyNumberFormat="1" applyFont="1" applyFill="1" applyProtection="1"/>
    <xf numFmtId="166" fontId="41" fillId="0" borderId="18" xfId="2" applyNumberFormat="1" applyBorder="1"/>
    <xf numFmtId="166" fontId="48" fillId="0" borderId="18" xfId="2" applyNumberFormat="1" applyFont="1" applyBorder="1"/>
    <xf numFmtId="170" fontId="48" fillId="0" borderId="17" xfId="2" applyNumberFormat="1" applyFont="1" applyBorder="1"/>
    <xf numFmtId="170" fontId="48" fillId="0" borderId="0" xfId="5" applyNumberFormat="1" applyFont="1" applyFill="1" applyBorder="1" applyProtection="1"/>
    <xf numFmtId="0" fontId="48" fillId="0" borderId="17" xfId="2" applyFont="1" applyBorder="1"/>
    <xf numFmtId="173" fontId="41" fillId="0" borderId="0" xfId="740" quotePrefix="1" applyNumberFormat="1" applyFont="1" applyAlignment="1">
      <alignment horizontal="left"/>
    </xf>
    <xf numFmtId="170" fontId="48" fillId="0" borderId="76" xfId="2" applyNumberFormat="1" applyFont="1" applyBorder="1"/>
    <xf numFmtId="174" fontId="48" fillId="0" borderId="59" xfId="2" applyNumberFormat="1" applyFont="1" applyBorder="1"/>
    <xf numFmtId="0" fontId="156" fillId="0" borderId="0" xfId="5458" applyNumberFormat="1" applyFont="1"/>
    <xf numFmtId="0" fontId="69" fillId="0" borderId="0" xfId="5458" applyNumberFormat="1" applyFont="1"/>
    <xf numFmtId="0" fontId="157" fillId="0" borderId="0" xfId="5458" applyNumberFormat="1" applyFont="1"/>
    <xf numFmtId="0" fontId="69" fillId="0" borderId="0" xfId="5458" applyNumberFormat="1" applyFont="1" applyAlignment="1">
      <alignment horizontal="left" vertical="top"/>
    </xf>
    <xf numFmtId="0" fontId="157" fillId="0" borderId="0" xfId="5458" applyNumberFormat="1" applyFont="1" applyAlignment="1">
      <alignment horizontal="left" vertical="top"/>
    </xf>
    <xf numFmtId="0" fontId="157" fillId="0" borderId="0" xfId="5458" applyNumberFormat="1" applyFont="1" applyAlignment="1">
      <alignment horizontal="left"/>
    </xf>
    <xf numFmtId="0" fontId="156" fillId="0" borderId="0" xfId="5458" quotePrefix="1" applyNumberFormat="1" applyFont="1"/>
    <xf numFmtId="0" fontId="157" fillId="0" borderId="0" xfId="5458" applyNumberFormat="1" applyFont="1" applyAlignment="1">
      <alignment horizontal="center" vertical="top"/>
    </xf>
    <xf numFmtId="0" fontId="157" fillId="0" borderId="0" xfId="5458" applyNumberFormat="1" applyFont="1" applyAlignment="1">
      <alignment horizontal="center"/>
    </xf>
    <xf numFmtId="39" fontId="156" fillId="0" borderId="0" xfId="5458" quotePrefix="1" applyNumberFormat="1" applyFont="1"/>
    <xf numFmtId="42" fontId="158" fillId="0" borderId="0" xfId="5458" applyNumberFormat="1" applyFont="1" applyAlignment="1">
      <alignment horizontal="right"/>
    </xf>
    <xf numFmtId="41" fontId="158" fillId="0" borderId="0" xfId="5458" applyNumberFormat="1" applyFont="1" applyAlignment="1">
      <alignment horizontal="center"/>
    </xf>
    <xf numFmtId="0" fontId="156" fillId="0" borderId="0" xfId="5458" quotePrefix="1" applyNumberFormat="1" applyFont="1" applyAlignment="1">
      <alignment horizontal="left" vertical="top"/>
    </xf>
    <xf numFmtId="0" fontId="156" fillId="0" borderId="0" xfId="5458" applyNumberFormat="1" applyFont="1" applyAlignment="1">
      <alignment horizontal="left" vertical="top"/>
    </xf>
    <xf numFmtId="0" fontId="157" fillId="0" borderId="0" xfId="5458" quotePrefix="1" applyNumberFormat="1" applyFont="1" applyAlignment="1">
      <alignment horizontal="left" vertical="top"/>
    </xf>
    <xf numFmtId="42" fontId="157" fillId="0" borderId="59" xfId="5458" applyNumberFormat="1" applyFont="1" applyBorder="1" applyAlignment="1">
      <alignment horizontal="right" vertical="top"/>
    </xf>
    <xf numFmtId="42" fontId="157" fillId="0" borderId="0" xfId="5458" applyNumberFormat="1" applyFont="1" applyAlignment="1">
      <alignment horizontal="right" vertical="top"/>
    </xf>
    <xf numFmtId="170" fontId="69" fillId="0" borderId="58" xfId="2" quotePrefix="1" applyNumberFormat="1" applyFont="1" applyBorder="1" applyAlignment="1">
      <alignment horizontal="right"/>
    </xf>
    <xf numFmtId="0" fontId="53" fillId="0" borderId="0" xfId="8" applyFont="1" applyAlignment="1">
      <alignment horizontal="left" vertical="top"/>
    </xf>
    <xf numFmtId="165" fontId="185" fillId="0" borderId="0" xfId="2" applyNumberFormat="1" applyFont="1"/>
    <xf numFmtId="172" fontId="48" fillId="0" borderId="48" xfId="1940" applyNumberFormat="1" applyFont="1" applyBorder="1" applyAlignment="1"/>
    <xf numFmtId="172" fontId="48" fillId="0" borderId="0" xfId="1940" applyNumberFormat="1" applyFont="1" applyBorder="1" applyAlignment="1"/>
    <xf numFmtId="43" fontId="48" fillId="0" borderId="0" xfId="0" applyNumberFormat="1" applyFont="1" applyAlignment="1">
      <alignment horizontal="right"/>
    </xf>
    <xf numFmtId="170" fontId="69" fillId="0" borderId="58" xfId="2" quotePrefix="1" applyNumberFormat="1" applyFont="1" applyBorder="1" applyAlignment="1">
      <alignment horizontal="center"/>
    </xf>
    <xf numFmtId="0" fontId="41" fillId="0" borderId="0" xfId="0" applyNumberFormat="1" applyFont="1" applyAlignment="1">
      <alignment horizontal="left"/>
    </xf>
    <xf numFmtId="0" fontId="41" fillId="0" borderId="0" xfId="17" applyNumberFormat="1" applyAlignment="1">
      <alignment horizontal="center"/>
    </xf>
    <xf numFmtId="174" fontId="69" fillId="0" borderId="0" xfId="2" quotePrefix="1" applyNumberFormat="1" applyFont="1"/>
    <xf numFmtId="5" fontId="41" fillId="0" borderId="0" xfId="2" applyNumberFormat="1"/>
    <xf numFmtId="44" fontId="46" fillId="0" borderId="0" xfId="0" applyNumberFormat="1" applyFont="1" applyAlignment="1">
      <alignment horizontal="right" vertical="top"/>
    </xf>
    <xf numFmtId="44" fontId="47" fillId="0" borderId="0" xfId="0" applyNumberFormat="1" applyFont="1" applyAlignment="1">
      <alignment horizontal="right"/>
    </xf>
    <xf numFmtId="43" fontId="41" fillId="0" borderId="0" xfId="17924" applyFont="1" applyFill="1" applyAlignment="1" applyProtection="1">
      <alignment horizontal="right"/>
    </xf>
    <xf numFmtId="170" fontId="62" fillId="0" borderId="0" xfId="2" applyNumberFormat="1" applyFont="1" applyAlignment="1">
      <alignment horizontal="center"/>
    </xf>
    <xf numFmtId="170" fontId="64" fillId="0" borderId="26" xfId="2" quotePrefix="1" applyNumberFormat="1" applyFont="1" applyBorder="1" applyAlignment="1">
      <alignment horizontal="right"/>
    </xf>
    <xf numFmtId="4" fontId="48" fillId="0" borderId="0" xfId="1028" quotePrefix="1" applyNumberFormat="1" applyFont="1" applyAlignment="1">
      <alignment horizontal="left"/>
    </xf>
    <xf numFmtId="181" fontId="48" fillId="0" borderId="0" xfId="1776" quotePrefix="1" applyNumberFormat="1" applyFont="1" applyAlignment="1">
      <alignment horizontal="left"/>
    </xf>
    <xf numFmtId="42" fontId="41" fillId="0" borderId="0" xfId="0" quotePrefix="1" applyNumberFormat="1" applyFont="1"/>
    <xf numFmtId="164" fontId="155" fillId="0" borderId="0" xfId="0" applyFont="1"/>
    <xf numFmtId="191" fontId="53" fillId="0" borderId="0" xfId="8" applyNumberFormat="1" applyFont="1" applyAlignment="1">
      <alignment horizontal="right" vertical="top"/>
    </xf>
    <xf numFmtId="165" fontId="48" fillId="0" borderId="0" xfId="2" applyNumberFormat="1" applyFont="1" applyAlignment="1">
      <alignment horizontal="right"/>
    </xf>
    <xf numFmtId="170" fontId="69" fillId="0" borderId="18" xfId="2" applyNumberFormat="1" applyFont="1" applyBorder="1"/>
    <xf numFmtId="177" fontId="48" fillId="0" borderId="0" xfId="740" quotePrefix="1" applyNumberFormat="1" applyFont="1" applyAlignment="1">
      <alignment horizontal="center"/>
    </xf>
    <xf numFmtId="177" fontId="48" fillId="0" borderId="10" xfId="740" applyNumberFormat="1" applyFont="1" applyBorder="1"/>
    <xf numFmtId="0" fontId="81" fillId="0" borderId="0" xfId="836" applyFont="1"/>
    <xf numFmtId="185" fontId="64" fillId="0" borderId="0" xfId="836" applyNumberFormat="1" applyFont="1"/>
    <xf numFmtId="180" fontId="69" fillId="0" borderId="16" xfId="836" applyNumberFormat="1" applyFont="1" applyBorder="1" applyAlignment="1">
      <alignment horizontal="right"/>
    </xf>
    <xf numFmtId="185" fontId="64" fillId="0" borderId="23" xfId="836" applyNumberFormat="1" applyFont="1" applyBorder="1"/>
    <xf numFmtId="165" fontId="81" fillId="0" borderId="0" xfId="836" applyNumberFormat="1" applyFont="1"/>
    <xf numFmtId="0" fontId="67" fillId="0" borderId="48" xfId="2" applyFont="1" applyBorder="1" applyAlignment="1">
      <alignment horizontal="centerContinuous"/>
    </xf>
    <xf numFmtId="165" fontId="66" fillId="0" borderId="48" xfId="2" applyNumberFormat="1" applyFont="1" applyBorder="1" applyAlignment="1" applyProtection="1">
      <alignment horizontal="centerContinuous"/>
      <protection locked="0"/>
    </xf>
    <xf numFmtId="43" fontId="48" fillId="0" borderId="10" xfId="1776" applyNumberFormat="1" applyFont="1" applyBorder="1"/>
    <xf numFmtId="165" fontId="44" fillId="0" borderId="0" xfId="0" applyNumberFormat="1" applyFont="1"/>
    <xf numFmtId="165" fontId="145" fillId="0" borderId="0" xfId="0" applyNumberFormat="1" applyFont="1"/>
    <xf numFmtId="166" fontId="42" fillId="0" borderId="0" xfId="0" applyNumberFormat="1" applyFont="1" applyAlignment="1">
      <alignment horizontal="right"/>
    </xf>
    <xf numFmtId="166" fontId="146" fillId="0" borderId="0" xfId="0" applyNumberFormat="1" applyFont="1"/>
    <xf numFmtId="166" fontId="48" fillId="0" borderId="0" xfId="0" applyNumberFormat="1" applyFont="1" applyAlignment="1">
      <alignment horizontal="right"/>
    </xf>
    <xf numFmtId="166" fontId="48" fillId="0" borderId="0" xfId="0" applyNumberFormat="1" applyFont="1"/>
    <xf numFmtId="166" fontId="41" fillId="0" borderId="0" xfId="0" applyNumberFormat="1" applyFont="1" applyAlignment="1">
      <alignment horizontal="center"/>
    </xf>
    <xf numFmtId="168" fontId="44" fillId="0" borderId="0" xfId="0" applyNumberFormat="1" applyFont="1"/>
    <xf numFmtId="165" fontId="51" fillId="0" borderId="0" xfId="0" applyNumberFormat="1" applyFont="1"/>
    <xf numFmtId="37" fontId="41" fillId="0" borderId="0" xfId="0" quotePrefix="1" applyNumberFormat="1" applyFont="1" applyAlignment="1">
      <alignment horizontal="left"/>
    </xf>
    <xf numFmtId="170" fontId="48" fillId="0" borderId="14" xfId="0" applyNumberFormat="1" applyFont="1" applyBorder="1"/>
    <xf numFmtId="174" fontId="48" fillId="0" borderId="0" xfId="0" applyNumberFormat="1" applyFont="1"/>
    <xf numFmtId="174" fontId="48" fillId="0" borderId="14" xfId="0" applyNumberFormat="1" applyFont="1" applyBorder="1"/>
    <xf numFmtId="169" fontId="48" fillId="0" borderId="0" xfId="0" applyNumberFormat="1" applyFont="1"/>
    <xf numFmtId="166" fontId="51" fillId="0" borderId="0" xfId="0" applyNumberFormat="1" applyFont="1"/>
    <xf numFmtId="166" fontId="44" fillId="0" borderId="0" xfId="0" applyNumberFormat="1" applyFont="1"/>
    <xf numFmtId="166" fontId="145" fillId="0" borderId="0" xfId="0" applyNumberFormat="1" applyFont="1"/>
    <xf numFmtId="165" fontId="54" fillId="0" borderId="0" xfId="0" applyNumberFormat="1" applyFont="1"/>
    <xf numFmtId="166" fontId="49" fillId="0" borderId="0" xfId="0" applyNumberFormat="1" applyFont="1" applyAlignment="1">
      <alignment horizontal="left"/>
    </xf>
    <xf numFmtId="165" fontId="49" fillId="0" borderId="0" xfId="0" applyNumberFormat="1" applyFont="1"/>
    <xf numFmtId="165" fontId="147" fillId="0" borderId="0" xfId="0" applyNumberFormat="1" applyFont="1"/>
    <xf numFmtId="165" fontId="50" fillId="0" borderId="0" xfId="0" applyNumberFormat="1" applyFont="1"/>
    <xf numFmtId="165" fontId="132" fillId="0" borderId="0" xfId="0" applyNumberFormat="1" applyFont="1"/>
    <xf numFmtId="165" fontId="57" fillId="0" borderId="0" xfId="0" applyNumberFormat="1" applyFont="1"/>
    <xf numFmtId="166" fontId="58" fillId="0" borderId="0" xfId="0" applyNumberFormat="1" applyFont="1" applyAlignment="1">
      <alignment horizontal="right"/>
    </xf>
    <xf numFmtId="166" fontId="60" fillId="0" borderId="0" xfId="0" applyNumberFormat="1" applyFont="1"/>
    <xf numFmtId="166" fontId="59" fillId="0" borderId="0" xfId="0" applyNumberFormat="1" applyFont="1"/>
    <xf numFmtId="166" fontId="59" fillId="0" borderId="48" xfId="0" applyNumberFormat="1" applyFont="1" applyBorder="1"/>
    <xf numFmtId="165" fontId="44" fillId="0" borderId="48" xfId="0" applyNumberFormat="1" applyFont="1" applyBorder="1"/>
    <xf numFmtId="166" fontId="61" fillId="0" borderId="0" xfId="0" applyNumberFormat="1" applyFont="1" applyAlignment="1">
      <alignment horizontal="center"/>
    </xf>
    <xf numFmtId="166" fontId="49" fillId="0" borderId="0" xfId="0" applyNumberFormat="1" applyFont="1" applyAlignment="1">
      <alignment horizontal="center"/>
    </xf>
    <xf numFmtId="166" fontId="41" fillId="0" borderId="0" xfId="0" quotePrefix="1" applyNumberFormat="1" applyFont="1" applyAlignment="1">
      <alignment horizontal="left"/>
    </xf>
    <xf numFmtId="166" fontId="62" fillId="0" borderId="0" xfId="0" applyNumberFormat="1" applyFont="1"/>
    <xf numFmtId="166" fontId="50" fillId="0" borderId="15" xfId="0" applyNumberFormat="1" applyFont="1" applyBorder="1"/>
    <xf numFmtId="174" fontId="62" fillId="0" borderId="0" xfId="0" applyNumberFormat="1" applyFont="1"/>
    <xf numFmtId="169" fontId="50" fillId="0" borderId="15" xfId="0" applyNumberFormat="1" applyFont="1" applyBorder="1"/>
    <xf numFmtId="170" fontId="62" fillId="0" borderId="0" xfId="0" applyNumberFormat="1" applyFont="1"/>
    <xf numFmtId="170" fontId="62" fillId="0" borderId="0" xfId="0" applyNumberFormat="1" applyFont="1" applyAlignment="1">
      <alignment horizontal="center"/>
    </xf>
    <xf numFmtId="170" fontId="61" fillId="0" borderId="0" xfId="0" applyNumberFormat="1" applyFont="1"/>
    <xf numFmtId="166" fontId="49" fillId="0" borderId="15" xfId="0" applyNumberFormat="1" applyFont="1" applyBorder="1"/>
    <xf numFmtId="3" fontId="41" fillId="0" borderId="0" xfId="0" applyNumberFormat="1" applyFont="1" applyAlignment="1">
      <alignment horizontal="left"/>
    </xf>
    <xf numFmtId="170" fontId="61" fillId="0" borderId="0" xfId="0" applyNumberFormat="1" applyFont="1" applyAlignment="1">
      <alignment horizontal="center"/>
    </xf>
    <xf numFmtId="170" fontId="48" fillId="0" borderId="0" xfId="0" applyNumberFormat="1" applyFont="1" applyAlignment="1">
      <alignment horizontal="center"/>
    </xf>
    <xf numFmtId="166" fontId="48" fillId="0" borderId="0" xfId="0" quotePrefix="1" applyNumberFormat="1" applyFont="1" applyAlignment="1">
      <alignment horizontal="left"/>
    </xf>
    <xf numFmtId="174" fontId="61" fillId="0" borderId="0" xfId="0" applyNumberFormat="1" applyFont="1"/>
    <xf numFmtId="174" fontId="61" fillId="0" borderId="21" xfId="0" applyNumberFormat="1" applyFont="1" applyBorder="1"/>
    <xf numFmtId="169" fontId="49" fillId="0" borderId="15" xfId="0" applyNumberFormat="1" applyFont="1" applyBorder="1"/>
    <xf numFmtId="166" fontId="63" fillId="0" borderId="0" xfId="0" applyNumberFormat="1" applyFont="1"/>
    <xf numFmtId="166" fontId="41" fillId="0" borderId="0" xfId="0" applyNumberFormat="1" applyFont="1" applyAlignment="1">
      <alignment horizontal="left"/>
    </xf>
    <xf numFmtId="170" fontId="68" fillId="0" borderId="0" xfId="2" applyNumberFormat="1" applyFont="1"/>
    <xf numFmtId="164" fontId="68" fillId="0" borderId="0" xfId="2" applyNumberFormat="1" applyFont="1"/>
    <xf numFmtId="165" fontId="69" fillId="0" borderId="0" xfId="2" applyNumberFormat="1" applyFont="1" applyAlignment="1">
      <alignment horizontal="right"/>
    </xf>
    <xf numFmtId="1" fontId="48" fillId="0" borderId="0" xfId="2" quotePrefix="1" applyNumberFormat="1" applyFont="1" applyAlignment="1">
      <alignment horizontal="center"/>
    </xf>
    <xf numFmtId="165" fontId="68" fillId="0" borderId="15" xfId="2" applyNumberFormat="1" applyFont="1" applyBorder="1"/>
    <xf numFmtId="169" fontId="48" fillId="0" borderId="18" xfId="2" applyNumberFormat="1" applyFont="1" applyBorder="1"/>
    <xf numFmtId="169" fontId="78" fillId="0" borderId="15" xfId="2" applyNumberFormat="1" applyFont="1" applyBorder="1"/>
    <xf numFmtId="169" fontId="47" fillId="0" borderId="0" xfId="2" applyNumberFormat="1" applyFont="1"/>
    <xf numFmtId="170" fontId="68" fillId="0" borderId="15" xfId="2" applyNumberFormat="1" applyFont="1" applyBorder="1"/>
    <xf numFmtId="170" fontId="78" fillId="0" borderId="15" xfId="2" applyNumberFormat="1" applyFont="1" applyBorder="1"/>
    <xf numFmtId="170" fontId="48" fillId="0" borderId="48" xfId="1046" applyNumberFormat="1" applyFont="1" applyFill="1" applyBorder="1" applyProtection="1"/>
    <xf numFmtId="170" fontId="41" fillId="0" borderId="15" xfId="0" quotePrefix="1" applyNumberFormat="1" applyFont="1" applyBorder="1" applyAlignment="1">
      <alignment horizontal="right"/>
    </xf>
    <xf numFmtId="170" fontId="50" fillId="0" borderId="0" xfId="2" applyNumberFormat="1" applyFont="1" applyAlignment="1">
      <alignment horizontal="right"/>
    </xf>
    <xf numFmtId="170" fontId="68" fillId="0" borderId="15" xfId="2" applyNumberFormat="1" applyFont="1" applyBorder="1" applyAlignment="1">
      <alignment horizontal="center"/>
    </xf>
    <xf numFmtId="170" fontId="47" fillId="0" borderId="0" xfId="2" applyNumberFormat="1" applyFont="1"/>
    <xf numFmtId="169" fontId="48" fillId="0" borderId="17" xfId="2" applyNumberFormat="1" applyFont="1" applyBorder="1"/>
    <xf numFmtId="165" fontId="51" fillId="0" borderId="0" xfId="2" applyNumberFormat="1" applyFont="1"/>
    <xf numFmtId="166" fontId="50" fillId="0" borderId="0" xfId="2" quotePrefix="1" applyNumberFormat="1" applyFont="1" applyAlignment="1">
      <alignment horizontal="left"/>
    </xf>
    <xf numFmtId="168" fontId="48" fillId="0" borderId="0" xfId="2" applyNumberFormat="1" applyFont="1"/>
    <xf numFmtId="193" fontId="41" fillId="0" borderId="0" xfId="2" applyNumberFormat="1"/>
    <xf numFmtId="170" fontId="48" fillId="0" borderId="69" xfId="2" applyNumberFormat="1" applyFont="1" applyBorder="1"/>
    <xf numFmtId="174" fontId="48" fillId="0" borderId="70" xfId="2" applyNumberFormat="1" applyFont="1" applyBorder="1"/>
    <xf numFmtId="170" fontId="41" fillId="0" borderId="0" xfId="1" applyNumberFormat="1" applyFont="1" applyFill="1" applyAlignment="1" applyProtection="1">
      <alignment horizontal="right"/>
    </xf>
    <xf numFmtId="170" fontId="41" fillId="0" borderId="15" xfId="1" applyNumberFormat="1" applyFont="1" applyFill="1" applyBorder="1" applyAlignment="1" applyProtection="1">
      <alignment horizontal="right"/>
    </xf>
    <xf numFmtId="170" fontId="48" fillId="0" borderId="28" xfId="1046" applyNumberFormat="1" applyFont="1" applyFill="1" applyBorder="1" applyProtection="1"/>
    <xf numFmtId="43" fontId="0" fillId="0" borderId="0" xfId="2" applyNumberFormat="1" applyFont="1"/>
    <xf numFmtId="170" fontId="48" fillId="0" borderId="48" xfId="6" applyNumberFormat="1" applyFont="1" applyFill="1" applyBorder="1" applyAlignment="1" applyProtection="1"/>
    <xf numFmtId="170" fontId="48" fillId="0" borderId="0" xfId="6" applyNumberFormat="1" applyFont="1" applyFill="1" applyAlignment="1" applyProtection="1"/>
    <xf numFmtId="170" fontId="48" fillId="0" borderId="18" xfId="6" applyNumberFormat="1" applyFont="1" applyFill="1" applyBorder="1" applyAlignment="1" applyProtection="1"/>
    <xf numFmtId="0" fontId="0" fillId="0" borderId="15" xfId="2" applyFont="1" applyBorder="1"/>
    <xf numFmtId="166" fontId="46" fillId="0" borderId="0" xfId="4" applyNumberFormat="1" applyFont="1"/>
    <xf numFmtId="43" fontId="46" fillId="0" borderId="0" xfId="5" applyFont="1" applyFill="1" applyBorder="1" applyAlignment="1" applyProtection="1">
      <alignment horizontal="right"/>
    </xf>
    <xf numFmtId="0" fontId="69" fillId="0" borderId="0" xfId="4" quotePrefix="1" applyFont="1" applyAlignment="1">
      <alignment horizontal="left"/>
    </xf>
    <xf numFmtId="0" fontId="69" fillId="0" borderId="0" xfId="4" applyFont="1" applyAlignment="1">
      <alignment horizontal="right"/>
    </xf>
    <xf numFmtId="43" fontId="47" fillId="0" borderId="0" xfId="5" applyFont="1" applyFill="1" applyBorder="1" applyAlignment="1" applyProtection="1">
      <alignment horizontal="right"/>
    </xf>
    <xf numFmtId="0" fontId="48" fillId="0" borderId="0" xfId="4" applyFont="1" applyAlignment="1">
      <alignment horizontal="center"/>
    </xf>
    <xf numFmtId="166" fontId="48" fillId="0" borderId="0" xfId="4" applyNumberFormat="1" applyFont="1" applyAlignment="1">
      <alignment horizontal="center"/>
    </xf>
    <xf numFmtId="165" fontId="48" fillId="0" borderId="0" xfId="4" applyNumberFormat="1" applyFont="1"/>
    <xf numFmtId="165" fontId="48" fillId="0" borderId="0" xfId="4" applyNumberFormat="1" applyFont="1" applyAlignment="1">
      <alignment horizontal="center"/>
    </xf>
    <xf numFmtId="0" fontId="48" fillId="0" borderId="0" xfId="4" applyFont="1" applyAlignment="1">
      <alignment horizontal="left"/>
    </xf>
    <xf numFmtId="174" fontId="48" fillId="0" borderId="0" xfId="4" quotePrefix="1" applyNumberFormat="1" applyFont="1" applyAlignment="1">
      <alignment horizontal="right"/>
    </xf>
    <xf numFmtId="174" fontId="48" fillId="0" borderId="0" xfId="4" applyNumberFormat="1" applyFont="1" applyAlignment="1">
      <alignment horizontal="center"/>
    </xf>
    <xf numFmtId="174" fontId="48" fillId="0" borderId="15" xfId="4" applyNumberFormat="1" applyFont="1" applyBorder="1"/>
    <xf numFmtId="164" fontId="48" fillId="0" borderId="0" xfId="4" applyNumberFormat="1" applyFont="1"/>
    <xf numFmtId="170" fontId="48" fillId="0" borderId="0" xfId="5517" applyNumberFormat="1" applyFont="1"/>
    <xf numFmtId="170" fontId="48" fillId="0" borderId="0" xfId="4" applyNumberFormat="1" applyFont="1" applyAlignment="1">
      <alignment horizontal="center"/>
    </xf>
    <xf numFmtId="170" fontId="48" fillId="0" borderId="15" xfId="4" applyNumberFormat="1" applyFont="1" applyBorder="1"/>
    <xf numFmtId="0" fontId="47" fillId="0" borderId="0" xfId="4" applyFont="1"/>
    <xf numFmtId="0" fontId="41" fillId="0" borderId="0" xfId="4" applyFont="1"/>
    <xf numFmtId="170" fontId="48" fillId="0" borderId="0" xfId="5517" applyNumberFormat="1" applyFont="1" applyAlignment="1">
      <alignment horizontal="right"/>
    </xf>
    <xf numFmtId="170" fontId="48" fillId="0" borderId="0" xfId="4" applyNumberFormat="1" applyFont="1" applyAlignment="1">
      <alignment horizontal="right"/>
    </xf>
    <xf numFmtId="39" fontId="47" fillId="0" borderId="0" xfId="4" applyNumberFormat="1" applyFont="1"/>
    <xf numFmtId="0" fontId="48" fillId="0" borderId="0" xfId="4" quotePrefix="1" applyFont="1" applyAlignment="1">
      <alignment horizontal="left"/>
    </xf>
    <xf numFmtId="0" fontId="41" fillId="0" borderId="0" xfId="4" quotePrefix="1" applyFont="1" applyAlignment="1">
      <alignment horizontal="left"/>
    </xf>
    <xf numFmtId="0" fontId="41" fillId="0" borderId="0" xfId="4" applyFont="1" applyAlignment="1">
      <alignment horizontal="left"/>
    </xf>
    <xf numFmtId="170" fontId="41" fillId="0" borderId="48" xfId="5517" applyNumberFormat="1" applyFont="1" applyBorder="1"/>
    <xf numFmtId="39" fontId="60" fillId="0" borderId="0" xfId="4" applyNumberFormat="1" applyFont="1"/>
    <xf numFmtId="170" fontId="41" fillId="0" borderId="0" xfId="5517" applyNumberFormat="1" applyFont="1" applyAlignment="1">
      <alignment horizontal="right"/>
    </xf>
    <xf numFmtId="170" fontId="41" fillId="0" borderId="48" xfId="1046" applyNumberFormat="1" applyFont="1" applyFill="1" applyBorder="1" applyProtection="1"/>
    <xf numFmtId="174" fontId="48" fillId="0" borderId="16" xfId="4" applyNumberFormat="1" applyFont="1" applyBorder="1"/>
    <xf numFmtId="174" fontId="48" fillId="0" borderId="16" xfId="4" applyNumberFormat="1" applyFont="1" applyBorder="1" applyAlignment="1">
      <alignment horizontal="center"/>
    </xf>
    <xf numFmtId="7" fontId="47" fillId="0" borderId="0" xfId="4" applyNumberFormat="1" applyFont="1"/>
    <xf numFmtId="169" fontId="46" fillId="0" borderId="0" xfId="4" applyNumberFormat="1" applyFont="1"/>
    <xf numFmtId="169" fontId="46" fillId="0" borderId="0" xfId="4" quotePrefix="1" applyNumberFormat="1" applyFont="1" applyAlignment="1">
      <alignment horizontal="right"/>
    </xf>
    <xf numFmtId="0" fontId="46" fillId="0" borderId="0" xfId="4" applyFont="1" applyAlignment="1">
      <alignment horizontal="center"/>
    </xf>
    <xf numFmtId="164" fontId="46" fillId="0" borderId="0" xfId="4" applyNumberFormat="1" applyFont="1"/>
    <xf numFmtId="39" fontId="46" fillId="0" borderId="0" xfId="4" applyNumberFormat="1" applyFont="1"/>
    <xf numFmtId="174" fontId="46" fillId="0" borderId="0" xfId="4" applyNumberFormat="1" applyFont="1"/>
    <xf numFmtId="43" fontId="46" fillId="0" borderId="0" xfId="5" applyFont="1" applyFill="1" applyProtection="1"/>
    <xf numFmtId="0" fontId="46" fillId="0" borderId="0" xfId="4" quotePrefix="1" applyFont="1" applyAlignment="1">
      <alignment horizontal="left"/>
    </xf>
    <xf numFmtId="170" fontId="46" fillId="0" borderId="0" xfId="4" quotePrefix="1" applyNumberFormat="1" applyFont="1" applyAlignment="1">
      <alignment horizontal="left"/>
    </xf>
    <xf numFmtId="43" fontId="46" fillId="0" borderId="0" xfId="4" applyNumberFormat="1" applyFont="1"/>
    <xf numFmtId="49" fontId="89" fillId="0" borderId="0" xfId="4" applyNumberFormat="1" applyFont="1" applyAlignment="1">
      <alignment horizontal="left"/>
    </xf>
    <xf numFmtId="0" fontId="89" fillId="0" borderId="0" xfId="4" applyFont="1" applyAlignment="1">
      <alignment horizontal="left"/>
    </xf>
    <xf numFmtId="165" fontId="41" fillId="0" borderId="0" xfId="5458" applyNumberFormat="1"/>
    <xf numFmtId="3" fontId="41" fillId="0" borderId="0" xfId="2" applyNumberFormat="1" applyAlignment="1">
      <alignment vertical="center"/>
    </xf>
    <xf numFmtId="3" fontId="41" fillId="0" borderId="0" xfId="2" applyNumberFormat="1" applyAlignment="1">
      <alignment horizontal="left" vertical="center"/>
    </xf>
    <xf numFmtId="170" fontId="61" fillId="0" borderId="48" xfId="2" applyNumberFormat="1" applyFont="1" applyBorder="1" applyAlignment="1">
      <alignment horizontal="right"/>
    </xf>
    <xf numFmtId="170" fontId="62" fillId="0" borderId="48" xfId="2" applyNumberFormat="1" applyFont="1" applyBorder="1" applyAlignment="1">
      <alignment horizontal="center"/>
    </xf>
    <xf numFmtId="0" fontId="68" fillId="0" borderId="0" xfId="1776" applyFont="1"/>
    <xf numFmtId="165" fontId="46" fillId="0" borderId="0" xfId="0" applyNumberFormat="1" applyFont="1" applyAlignment="1">
      <alignment horizontal="left"/>
    </xf>
    <xf numFmtId="165" fontId="46" fillId="0" borderId="0" xfId="0" applyNumberFormat="1" applyFont="1" applyAlignment="1">
      <alignment horizontal="centerContinuous"/>
    </xf>
    <xf numFmtId="0" fontId="68" fillId="0" borderId="0" xfId="0" applyNumberFormat="1" applyFont="1"/>
    <xf numFmtId="165" fontId="69" fillId="0" borderId="0" xfId="0" quotePrefix="1" applyNumberFormat="1" applyFont="1" applyAlignment="1">
      <alignment horizontal="left"/>
    </xf>
    <xf numFmtId="165" fontId="41" fillId="0" borderId="0" xfId="0" applyNumberFormat="1" applyFont="1" applyAlignment="1">
      <alignment horizontal="centerContinuous"/>
    </xf>
    <xf numFmtId="165" fontId="48" fillId="0" borderId="0" xfId="0" applyNumberFormat="1" applyFont="1" applyAlignment="1">
      <alignment horizontal="centerContinuous"/>
    </xf>
    <xf numFmtId="165" fontId="66" fillId="0" borderId="0" xfId="0" applyNumberFormat="1" applyFont="1"/>
    <xf numFmtId="165" fontId="68" fillId="0" borderId="0" xfId="0" applyNumberFormat="1" applyFont="1"/>
    <xf numFmtId="165" fontId="69" fillId="0" borderId="0" xfId="0" applyNumberFormat="1" applyFont="1" applyAlignment="1">
      <alignment horizontal="left"/>
    </xf>
    <xf numFmtId="165" fontId="69" fillId="0" borderId="0" xfId="0" quotePrefix="1" applyNumberFormat="1" applyFont="1" applyAlignment="1">
      <alignment horizontal="right"/>
    </xf>
    <xf numFmtId="165" fontId="66" fillId="0" borderId="0" xfId="0" applyNumberFormat="1" applyFont="1" applyAlignment="1">
      <alignment horizontal="centerContinuous"/>
    </xf>
    <xf numFmtId="165" fontId="48" fillId="0" borderId="0" xfId="0" quotePrefix="1" applyNumberFormat="1" applyFont="1" applyAlignment="1">
      <alignment horizontal="centerContinuous"/>
    </xf>
    <xf numFmtId="165" fontId="41" fillId="0" borderId="48" xfId="0" applyNumberFormat="1" applyFont="1" applyBorder="1" applyAlignment="1">
      <alignment horizontal="centerContinuous"/>
    </xf>
    <xf numFmtId="165" fontId="66" fillId="0" borderId="0" xfId="0" quotePrefix="1" applyNumberFormat="1" applyFont="1" applyAlignment="1">
      <alignment horizontal="center"/>
    </xf>
    <xf numFmtId="165" fontId="41" fillId="0" borderId="18" xfId="0" applyNumberFormat="1" applyFont="1" applyBorder="1"/>
    <xf numFmtId="165" fontId="41" fillId="0" borderId="14" xfId="0" applyNumberFormat="1" applyFont="1" applyBorder="1"/>
    <xf numFmtId="0" fontId="48" fillId="0" borderId="0" xfId="0" applyNumberFormat="1" applyFont="1"/>
    <xf numFmtId="174" fontId="41" fillId="0" borderId="14" xfId="0" applyNumberFormat="1" applyFont="1" applyBorder="1"/>
    <xf numFmtId="0" fontId="41" fillId="0" borderId="0" xfId="0" quotePrefix="1" applyNumberFormat="1" applyFont="1" applyAlignment="1">
      <alignment horizontal="left"/>
    </xf>
    <xf numFmtId="0" fontId="41" fillId="0" borderId="0" xfId="0" quotePrefix="1" applyNumberFormat="1" applyFont="1" applyAlignment="1">
      <alignment horizontal="center"/>
    </xf>
    <xf numFmtId="170" fontId="41" fillId="0" borderId="0" xfId="0" quotePrefix="1" applyNumberFormat="1" applyFont="1" applyAlignment="1">
      <alignment horizontal="left"/>
    </xf>
    <xf numFmtId="170" fontId="41" fillId="0" borderId="14" xfId="0" applyNumberFormat="1" applyFont="1" applyBorder="1"/>
    <xf numFmtId="166" fontId="41" fillId="0" borderId="0" xfId="0" quotePrefix="1" applyNumberFormat="1" applyFont="1" applyAlignment="1">
      <alignment horizontal="center"/>
    </xf>
    <xf numFmtId="170" fontId="48" fillId="0" borderId="0" xfId="0" quotePrefix="1" applyNumberFormat="1" applyFont="1"/>
    <xf numFmtId="170" fontId="48" fillId="0" borderId="0" xfId="0" quotePrefix="1" applyNumberFormat="1" applyFont="1" applyAlignment="1">
      <alignment horizontal="left"/>
    </xf>
    <xf numFmtId="164" fontId="67" fillId="0" borderId="0" xfId="0" applyFont="1"/>
    <xf numFmtId="165" fontId="67" fillId="0" borderId="0" xfId="0" applyNumberFormat="1" applyFont="1"/>
    <xf numFmtId="165" fontId="78" fillId="0" borderId="0" xfId="0" applyNumberFormat="1" applyFont="1"/>
    <xf numFmtId="166" fontId="66" fillId="0" borderId="0" xfId="0" applyNumberFormat="1" applyFont="1"/>
    <xf numFmtId="0" fontId="48" fillId="0" borderId="0" xfId="0" quotePrefix="1" applyNumberFormat="1" applyFont="1" applyAlignment="1">
      <alignment horizontal="left"/>
    </xf>
    <xf numFmtId="164" fontId="68" fillId="0" borderId="0" xfId="0" applyFont="1"/>
    <xf numFmtId="166" fontId="41" fillId="0" borderId="0" xfId="0" quotePrefix="1" applyNumberFormat="1" applyFont="1"/>
    <xf numFmtId="166" fontId="41" fillId="0" borderId="0" xfId="0" quotePrefix="1" applyNumberFormat="1" applyFont="1" applyAlignment="1">
      <alignment horizontal="right"/>
    </xf>
    <xf numFmtId="0" fontId="41" fillId="0" borderId="0" xfId="1767" applyFont="1"/>
    <xf numFmtId="0" fontId="18" fillId="0" borderId="0" xfId="841" applyFont="1"/>
    <xf numFmtId="4" fontId="47" fillId="0" borderId="0" xfId="1028" applyNumberFormat="1" applyFont="1"/>
    <xf numFmtId="1" fontId="47" fillId="0" borderId="0" xfId="1028" applyNumberFormat="1" applyFont="1"/>
    <xf numFmtId="0" fontId="47" fillId="0" borderId="0" xfId="1028" applyFont="1" applyAlignment="1">
      <alignment horizontal="left"/>
    </xf>
    <xf numFmtId="4" fontId="69" fillId="0" borderId="0" xfId="1028" applyNumberFormat="1" applyFont="1" applyAlignment="1">
      <alignment horizontal="left" vertical="center"/>
    </xf>
    <xf numFmtId="0" fontId="47" fillId="0" borderId="0" xfId="1028" applyFont="1" applyAlignment="1">
      <alignment horizontal="right"/>
    </xf>
    <xf numFmtId="4" fontId="47" fillId="0" borderId="0" xfId="1028" applyNumberFormat="1" applyFont="1" applyAlignment="1">
      <alignment horizontal="center"/>
    </xf>
    <xf numFmtId="1" fontId="48" fillId="0" borderId="32" xfId="1028" applyNumberFormat="1" applyFont="1" applyBorder="1"/>
    <xf numFmtId="4" fontId="48" fillId="0" borderId="32" xfId="1028" applyNumberFormat="1" applyFont="1" applyBorder="1"/>
    <xf numFmtId="4" fontId="48" fillId="0" borderId="32" xfId="1028" applyNumberFormat="1" applyFont="1" applyBorder="1" applyAlignment="1">
      <alignment horizontal="center"/>
    </xf>
    <xf numFmtId="0" fontId="118" fillId="0" borderId="0" xfId="841" applyFont="1"/>
    <xf numFmtId="0" fontId="0" fillId="0" borderId="0" xfId="0" applyNumberFormat="1"/>
    <xf numFmtId="4" fontId="48" fillId="0" borderId="0" xfId="1028" applyNumberFormat="1" applyFont="1"/>
    <xf numFmtId="4" fontId="48" fillId="35" borderId="67" xfId="1028" applyNumberFormat="1" applyFont="1" applyFill="1" applyBorder="1" applyAlignment="1">
      <alignment horizontal="center"/>
    </xf>
    <xf numFmtId="4" fontId="48" fillId="0" borderId="0" xfId="1028" applyNumberFormat="1" applyFont="1" applyAlignment="1">
      <alignment horizontal="center"/>
    </xf>
    <xf numFmtId="0" fontId="100" fillId="0" borderId="0" xfId="0" applyNumberFormat="1" applyFont="1"/>
    <xf numFmtId="0" fontId="41" fillId="0" borderId="0" xfId="1028" quotePrefix="1" applyAlignment="1">
      <alignment horizontal="center"/>
    </xf>
    <xf numFmtId="4" fontId="41" fillId="0" borderId="0" xfId="1028" applyNumberFormat="1" applyAlignment="1">
      <alignment horizontal="left"/>
    </xf>
    <xf numFmtId="0" fontId="104" fillId="0" borderId="0" xfId="0" applyNumberFormat="1" applyFont="1"/>
    <xf numFmtId="44" fontId="41" fillId="0" borderId="0" xfId="1767" applyNumberFormat="1" applyFont="1" applyAlignment="1">
      <alignment horizontal="right"/>
    </xf>
    <xf numFmtId="1" fontId="41" fillId="0" borderId="0" xfId="1028" applyNumberFormat="1" applyAlignment="1">
      <alignment horizontal="center"/>
    </xf>
    <xf numFmtId="4" fontId="48" fillId="35" borderId="67" xfId="1028" quotePrefix="1" applyNumberFormat="1" applyFont="1" applyFill="1" applyBorder="1" applyAlignment="1">
      <alignment horizontal="center"/>
    </xf>
    <xf numFmtId="4" fontId="48" fillId="0" borderId="0" xfId="1028" quotePrefix="1" applyNumberFormat="1" applyFont="1" applyAlignment="1">
      <alignment horizontal="center"/>
    </xf>
    <xf numFmtId="4" fontId="41" fillId="0" borderId="0" xfId="1028" quotePrefix="1" applyNumberFormat="1" applyAlignment="1">
      <alignment horizontal="left"/>
    </xf>
    <xf numFmtId="4" fontId="41" fillId="0" borderId="0" xfId="1028" applyNumberFormat="1"/>
    <xf numFmtId="4" fontId="41" fillId="0" borderId="0" xfId="1028" applyNumberFormat="1" applyAlignment="1">
      <alignment horizontal="center"/>
    </xf>
    <xf numFmtId="1" fontId="41" fillId="0" borderId="0" xfId="1028" quotePrefix="1" applyNumberFormat="1"/>
    <xf numFmtId="4" fontId="48" fillId="0" borderId="0" xfId="0" applyNumberFormat="1" applyFont="1"/>
    <xf numFmtId="0" fontId="100" fillId="0" borderId="0" xfId="1028" quotePrefix="1" applyFont="1"/>
    <xf numFmtId="1" fontId="41" fillId="0" borderId="0" xfId="1028" applyNumberFormat="1"/>
    <xf numFmtId="4" fontId="48" fillId="35" borderId="67" xfId="0" applyNumberFormat="1" applyFont="1" applyFill="1" applyBorder="1" applyAlignment="1">
      <alignment horizontal="center"/>
    </xf>
    <xf numFmtId="4" fontId="48" fillId="0" borderId="0" xfId="0" applyNumberFormat="1" applyFont="1" applyAlignment="1">
      <alignment horizontal="center"/>
    </xf>
    <xf numFmtId="4" fontId="41" fillId="0" borderId="0" xfId="0" applyNumberFormat="1" applyFont="1"/>
    <xf numFmtId="4" fontId="41" fillId="0" borderId="0" xfId="0" applyNumberFormat="1" applyFont="1" applyAlignment="1">
      <alignment horizontal="center"/>
    </xf>
    <xf numFmtId="1" fontId="41" fillId="0" borderId="0" xfId="1028" quotePrefix="1" applyNumberFormat="1" applyAlignment="1">
      <alignment horizontal="center"/>
    </xf>
    <xf numFmtId="4" fontId="41" fillId="0" borderId="0" xfId="1028" quotePrefix="1" applyNumberFormat="1" applyAlignment="1">
      <alignment horizontal="right"/>
    </xf>
    <xf numFmtId="4" fontId="41" fillId="0" borderId="0" xfId="1028" quotePrefix="1" applyNumberFormat="1" applyAlignment="1">
      <alignment horizontal="center"/>
    </xf>
    <xf numFmtId="37" fontId="48" fillId="0" borderId="0" xfId="1028" quotePrefix="1" applyNumberFormat="1" applyFont="1" applyAlignment="1">
      <alignment horizontal="center"/>
    </xf>
    <xf numFmtId="43" fontId="48" fillId="0" borderId="0" xfId="17924" applyFont="1" applyFill="1" applyAlignment="1" applyProtection="1">
      <alignment horizontal="right"/>
    </xf>
    <xf numFmtId="4" fontId="41" fillId="33" borderId="0" xfId="1028" applyNumberFormat="1" applyFill="1" applyAlignment="1">
      <alignment horizontal="centerContinuous"/>
    </xf>
    <xf numFmtId="4" fontId="41" fillId="33" borderId="0" xfId="1028" applyNumberFormat="1" applyFill="1" applyAlignment="1">
      <alignment horizontal="center"/>
    </xf>
    <xf numFmtId="4" fontId="41" fillId="0" borderId="0" xfId="1028" applyNumberFormat="1" applyAlignment="1">
      <alignment horizontal="right"/>
    </xf>
    <xf numFmtId="1" fontId="48" fillId="0" borderId="0" xfId="1028" quotePrefix="1" applyNumberFormat="1" applyFont="1"/>
    <xf numFmtId="0" fontId="100" fillId="0" borderId="0" xfId="1028" applyFont="1"/>
    <xf numFmtId="0" fontId="48" fillId="0" borderId="0" xfId="1028" applyFont="1" applyAlignment="1">
      <alignment horizontal="center"/>
    </xf>
    <xf numFmtId="4" fontId="48" fillId="35" borderId="39" xfId="1028" applyNumberFormat="1" applyFont="1" applyFill="1" applyBorder="1" applyAlignment="1">
      <alignment horizontal="left"/>
    </xf>
    <xf numFmtId="164" fontId="41" fillId="0" borderId="0" xfId="1028" applyNumberFormat="1"/>
    <xf numFmtId="4" fontId="48" fillId="0" borderId="0" xfId="0" applyNumberFormat="1" applyFont="1" applyAlignment="1">
      <alignment horizontal="left"/>
    </xf>
    <xf numFmtId="0" fontId="118" fillId="0" borderId="0" xfId="1028" quotePrefix="1" applyFont="1"/>
    <xf numFmtId="164" fontId="41" fillId="0" borderId="0" xfId="1028" quotePrefix="1" applyNumberFormat="1"/>
    <xf numFmtId="7" fontId="48" fillId="0" borderId="0" xfId="0" applyNumberFormat="1" applyFont="1" applyAlignment="1">
      <alignment horizontal="right"/>
    </xf>
    <xf numFmtId="37" fontId="48" fillId="0" borderId="0" xfId="1028" applyNumberFormat="1" applyFont="1" applyAlignment="1">
      <alignment horizontal="right"/>
    </xf>
    <xf numFmtId="4" fontId="48" fillId="0" borderId="0" xfId="0" applyNumberFormat="1" applyFont="1" applyAlignment="1">
      <alignment horizontal="left" vertical="top"/>
    </xf>
    <xf numFmtId="37" fontId="48" fillId="0" borderId="0" xfId="0" applyNumberFormat="1" applyFont="1" applyAlignment="1">
      <alignment horizontal="right" vertical="top"/>
    </xf>
    <xf numFmtId="37" fontId="104" fillId="0" borderId="0" xfId="0" applyNumberFormat="1" applyFont="1" applyAlignment="1">
      <alignment horizontal="right" vertical="top"/>
    </xf>
    <xf numFmtId="37" fontId="48" fillId="0" borderId="0" xfId="841" applyNumberFormat="1" applyFont="1" applyAlignment="1">
      <alignment horizontal="right"/>
    </xf>
    <xf numFmtId="37" fontId="48" fillId="0" borderId="0" xfId="0" applyNumberFormat="1" applyFont="1" applyAlignment="1">
      <alignment horizontal="right"/>
    </xf>
    <xf numFmtId="43" fontId="100" fillId="0" borderId="0" xfId="0" applyNumberFormat="1" applyFont="1"/>
    <xf numFmtId="7" fontId="48" fillId="0" borderId="0" xfId="1028" applyNumberFormat="1" applyFont="1" applyAlignment="1">
      <alignment horizontal="right"/>
    </xf>
    <xf numFmtId="37" fontId="48" fillId="0" borderId="0" xfId="1028" quotePrefix="1" applyNumberFormat="1" applyFont="1" applyAlignment="1">
      <alignment horizontal="right"/>
    </xf>
    <xf numFmtId="0" fontId="138" fillId="0" borderId="0" xfId="841" applyFont="1"/>
    <xf numFmtId="4" fontId="46" fillId="0" borderId="0" xfId="1767" applyNumberFormat="1" applyFont="1" applyAlignment="1">
      <alignment horizontal="right"/>
    </xf>
    <xf numFmtId="42" fontId="41" fillId="0" borderId="0" xfId="739" applyNumberFormat="1"/>
    <xf numFmtId="42" fontId="48" fillId="0" borderId="16" xfId="840" applyNumberFormat="1" applyFont="1" applyBorder="1"/>
    <xf numFmtId="165" fontId="41" fillId="0" borderId="0" xfId="740" applyNumberFormat="1" applyFont="1" applyProtection="1">
      <protection locked="0"/>
    </xf>
    <xf numFmtId="177" fontId="69" fillId="0" borderId="0" xfId="740" applyNumberFormat="1" applyFont="1"/>
    <xf numFmtId="177" fontId="69" fillId="0" borderId="0" xfId="740" quotePrefix="1" applyNumberFormat="1" applyFont="1" applyAlignment="1">
      <alignment horizontal="right"/>
    </xf>
    <xf numFmtId="0" fontId="87" fillId="0" borderId="0" xfId="740" applyFont="1" applyAlignment="1">
      <alignment horizontal="right"/>
    </xf>
    <xf numFmtId="177" fontId="69" fillId="0" borderId="0" xfId="740" quotePrefix="1" applyNumberFormat="1" applyFont="1" applyAlignment="1">
      <alignment horizontal="left"/>
    </xf>
    <xf numFmtId="177" fontId="41" fillId="0" borderId="0" xfId="740" applyNumberFormat="1" applyFont="1" applyAlignment="1">
      <alignment horizontal="fill"/>
    </xf>
    <xf numFmtId="179" fontId="48" fillId="0" borderId="10" xfId="740" quotePrefix="1" applyNumberFormat="1" applyFont="1" applyBorder="1" applyAlignment="1">
      <alignment horizontal="center"/>
    </xf>
    <xf numFmtId="179" fontId="48" fillId="0" borderId="0" xfId="740" quotePrefix="1" applyNumberFormat="1" applyFont="1" applyAlignment="1">
      <alignment horizontal="center"/>
    </xf>
    <xf numFmtId="173" fontId="41" fillId="0" borderId="0" xfId="740" applyNumberFormat="1" applyFont="1"/>
    <xf numFmtId="182" fontId="100" fillId="0" borderId="0" xfId="740" applyNumberFormat="1" applyFont="1"/>
    <xf numFmtId="177" fontId="48" fillId="0" borderId="0" xfId="740" applyNumberFormat="1" applyFont="1" applyAlignment="1">
      <alignment horizontal="left"/>
    </xf>
    <xf numFmtId="43" fontId="41" fillId="0" borderId="0" xfId="741" applyFont="1" applyFill="1" applyAlignment="1"/>
    <xf numFmtId="181" fontId="41" fillId="0" borderId="0" xfId="740" applyNumberFormat="1" applyFont="1" applyAlignment="1">
      <alignment horizontal="right"/>
    </xf>
    <xf numFmtId="177" fontId="73" fillId="0" borderId="0" xfId="740" applyNumberFormat="1" applyFont="1" applyAlignment="1">
      <alignment horizontal="left"/>
    </xf>
    <xf numFmtId="41" fontId="0" fillId="0" borderId="0" xfId="0" applyNumberFormat="1"/>
    <xf numFmtId="41" fontId="47" fillId="0" borderId="0" xfId="0" applyNumberFormat="1" applyFont="1" applyAlignment="1">
      <alignment horizontal="center" wrapText="1"/>
    </xf>
    <xf numFmtId="198" fontId="0" fillId="0" borderId="0" xfId="0" applyNumberFormat="1"/>
    <xf numFmtId="41" fontId="113" fillId="0" borderId="0" xfId="0" applyNumberFormat="1" applyFont="1"/>
    <xf numFmtId="41" fontId="168" fillId="0" borderId="0" xfId="0" applyNumberFormat="1" applyFont="1" applyAlignment="1">
      <alignment horizontal="center" vertical="top"/>
    </xf>
    <xf numFmtId="170" fontId="69" fillId="0" borderId="68" xfId="2" quotePrefix="1" applyNumberFormat="1" applyFont="1" applyBorder="1" applyAlignment="1">
      <alignment horizontal="right"/>
    </xf>
    <xf numFmtId="170" fontId="41" fillId="0" borderId="48" xfId="2" quotePrefix="1" applyNumberFormat="1" applyBorder="1" applyAlignment="1">
      <alignment horizontal="center"/>
    </xf>
    <xf numFmtId="170" fontId="41" fillId="0" borderId="22" xfId="2" applyNumberFormat="1" applyBorder="1"/>
    <xf numFmtId="165" fontId="41" fillId="0" borderId="0" xfId="836" applyNumberFormat="1" applyFont="1" applyProtection="1">
      <protection locked="0"/>
    </xf>
    <xf numFmtId="0" fontId="55" fillId="0" borderId="0" xfId="836" applyFont="1"/>
    <xf numFmtId="0" fontId="43" fillId="0" borderId="0" xfId="836" quotePrefix="1" applyAlignment="1">
      <alignment horizontal="left"/>
    </xf>
    <xf numFmtId="182" fontId="81" fillId="0" borderId="0" xfId="836" applyNumberFormat="1" applyFont="1"/>
    <xf numFmtId="0" fontId="116" fillId="0" borderId="0" xfId="2" applyFont="1"/>
    <xf numFmtId="165" fontId="46" fillId="0" borderId="0" xfId="0" applyNumberFormat="1" applyFont="1" applyProtection="1">
      <protection locked="0"/>
    </xf>
    <xf numFmtId="165" fontId="168" fillId="0" borderId="0" xfId="0" applyNumberFormat="1" applyFont="1" applyProtection="1">
      <protection locked="0"/>
    </xf>
    <xf numFmtId="168" fontId="51" fillId="0" borderId="0" xfId="0" applyNumberFormat="1" applyFont="1"/>
    <xf numFmtId="37" fontId="48" fillId="0" borderId="0" xfId="1028" applyNumberFormat="1" applyFont="1" applyAlignment="1">
      <alignment horizontal="center"/>
    </xf>
    <xf numFmtId="4" fontId="41" fillId="0" borderId="0" xfId="0" applyNumberFormat="1" applyFont="1" applyAlignment="1">
      <alignment horizontal="left"/>
    </xf>
    <xf numFmtId="1" fontId="41" fillId="0" borderId="0" xfId="0" applyNumberFormat="1" applyFont="1" applyAlignment="1">
      <alignment horizontal="center"/>
    </xf>
    <xf numFmtId="189" fontId="0" fillId="0" borderId="0" xfId="17" applyNumberFormat="1" applyFont="1"/>
    <xf numFmtId="180" fontId="41" fillId="0" borderId="0" xfId="17" applyNumberFormat="1"/>
    <xf numFmtId="181" fontId="64" fillId="0" borderId="0" xfId="1776" applyNumberFormat="1" applyFont="1" applyAlignment="1">
      <alignment horizontal="left"/>
    </xf>
    <xf numFmtId="180" fontId="69" fillId="0" borderId="0" xfId="1776" applyNumberFormat="1" applyFont="1" applyAlignment="1">
      <alignment horizontal="right"/>
    </xf>
    <xf numFmtId="0" fontId="41" fillId="0" borderId="0" xfId="1028" quotePrefix="1" applyAlignment="1">
      <alignment horizontal="left"/>
    </xf>
    <xf numFmtId="165" fontId="42" fillId="0" borderId="0" xfId="2" applyNumberFormat="1" applyFont="1" applyAlignment="1">
      <alignment horizontal="right"/>
    </xf>
    <xf numFmtId="43" fontId="0" fillId="0" borderId="0" xfId="0" applyNumberFormat="1" applyAlignment="1">
      <alignment horizontal="right"/>
    </xf>
    <xf numFmtId="165" fontId="48" fillId="0" borderId="0" xfId="0" applyNumberFormat="1" applyFont="1" applyAlignment="1">
      <alignment horizontal="right"/>
    </xf>
    <xf numFmtId="171" fontId="61" fillId="0" borderId="0" xfId="2" quotePrefix="1" applyNumberFormat="1" applyFont="1" applyAlignment="1">
      <alignment horizontal="center"/>
    </xf>
    <xf numFmtId="165" fontId="47" fillId="0" borderId="0" xfId="2" applyNumberFormat="1" applyFont="1" applyAlignment="1">
      <alignment horizontal="right"/>
    </xf>
    <xf numFmtId="0" fontId="41" fillId="0" borderId="18" xfId="2" applyBorder="1"/>
    <xf numFmtId="170" fontId="166" fillId="0" borderId="17" xfId="2" applyNumberFormat="1" applyFont="1" applyBorder="1"/>
    <xf numFmtId="174" fontId="69" fillId="0" borderId="0" xfId="2" quotePrefix="1" applyNumberFormat="1" applyFont="1" applyAlignment="1">
      <alignment horizontal="right"/>
    </xf>
    <xf numFmtId="170" fontId="64" fillId="0" borderId="48" xfId="2" applyNumberFormat="1" applyFont="1" applyBorder="1"/>
    <xf numFmtId="174" fontId="69" fillId="0" borderId="18" xfId="2" applyNumberFormat="1" applyFont="1" applyBorder="1"/>
    <xf numFmtId="0" fontId="64" fillId="0" borderId="18" xfId="2" applyFont="1" applyBorder="1"/>
    <xf numFmtId="166" fontId="61" fillId="0" borderId="0" xfId="2" quotePrefix="1" applyNumberFormat="1" applyFont="1" applyAlignment="1">
      <alignment horizontal="center"/>
    </xf>
    <xf numFmtId="174" fontId="61" fillId="0" borderId="18" xfId="2" applyNumberFormat="1" applyFont="1" applyBorder="1"/>
    <xf numFmtId="166" fontId="62" fillId="0" borderId="18" xfId="2" applyNumberFormat="1" applyFont="1" applyBorder="1"/>
    <xf numFmtId="172" fontId="41" fillId="0" borderId="0" xfId="0" applyNumberFormat="1" applyFont="1" applyProtection="1">
      <protection locked="0"/>
    </xf>
    <xf numFmtId="164" fontId="48" fillId="0" borderId="48" xfId="0" applyFont="1" applyBorder="1" applyProtection="1">
      <protection locked="0"/>
    </xf>
    <xf numFmtId="170" fontId="62" fillId="0" borderId="18" xfId="2" applyNumberFormat="1" applyFont="1" applyBorder="1"/>
    <xf numFmtId="170" fontId="78" fillId="0" borderId="0" xfId="2" applyNumberFormat="1" applyFont="1"/>
    <xf numFmtId="164" fontId="41" fillId="0" borderId="48" xfId="0" applyFont="1" applyBorder="1" applyProtection="1">
      <protection locked="0"/>
    </xf>
    <xf numFmtId="170" fontId="61" fillId="0" borderId="18" xfId="2" applyNumberFormat="1" applyFont="1" applyBorder="1"/>
    <xf numFmtId="172" fontId="48" fillId="0" borderId="48" xfId="0" applyNumberFormat="1" applyFont="1" applyBorder="1" applyProtection="1">
      <protection locked="0"/>
    </xf>
    <xf numFmtId="196" fontId="66" fillId="0" borderId="0" xfId="2" applyNumberFormat="1" applyFont="1"/>
    <xf numFmtId="164" fontId="48" fillId="0" borderId="16" xfId="0" applyFont="1" applyBorder="1" applyProtection="1">
      <protection locked="0"/>
    </xf>
    <xf numFmtId="166" fontId="61" fillId="0" borderId="48" xfId="2" applyNumberFormat="1" applyFont="1" applyBorder="1" applyAlignment="1">
      <alignment horizontal="center"/>
    </xf>
    <xf numFmtId="170" fontId="61" fillId="0" borderId="48" xfId="2" applyNumberFormat="1" applyFont="1" applyBorder="1"/>
    <xf numFmtId="164" fontId="41" fillId="0" borderId="48" xfId="2" applyNumberFormat="1" applyBorder="1"/>
    <xf numFmtId="165" fontId="48" fillId="0" borderId="48" xfId="0" quotePrefix="1" applyNumberFormat="1" applyFont="1" applyBorder="1"/>
    <xf numFmtId="165" fontId="41" fillId="0" borderId="48" xfId="0" applyNumberFormat="1" applyFont="1" applyBorder="1"/>
    <xf numFmtId="165" fontId="48" fillId="0" borderId="48" xfId="0" applyNumberFormat="1" applyFont="1" applyBorder="1" applyAlignment="1">
      <alignment horizontal="centerContinuous"/>
    </xf>
    <xf numFmtId="0" fontId="64" fillId="0" borderId="0" xfId="836" quotePrefix="1" applyFont="1" applyAlignment="1">
      <alignment horizontal="left"/>
    </xf>
    <xf numFmtId="165" fontId="68" fillId="0" borderId="0" xfId="840" quotePrefix="1" applyNumberFormat="1" applyFont="1"/>
    <xf numFmtId="41" fontId="47" fillId="0" borderId="0" xfId="1773" applyNumberFormat="1" applyFont="1" applyFill="1" applyAlignment="1">
      <alignment horizontal="right"/>
    </xf>
    <xf numFmtId="174" fontId="41" fillId="0" borderId="0" xfId="17" applyNumberFormat="1" applyAlignment="1">
      <alignment horizontal="right"/>
    </xf>
    <xf numFmtId="189" fontId="0" fillId="0" borderId="0" xfId="17" applyNumberFormat="1" applyFont="1" applyAlignment="1">
      <alignment horizontal="right"/>
    </xf>
    <xf numFmtId="177" fontId="0" fillId="0" borderId="0" xfId="17" applyNumberFormat="1" applyFont="1"/>
    <xf numFmtId="180" fontId="41" fillId="0" borderId="0" xfId="17" applyNumberFormat="1" applyAlignment="1">
      <alignment horizontal="right"/>
    </xf>
    <xf numFmtId="182" fontId="41" fillId="0" borderId="0" xfId="740" applyNumberFormat="1" applyFont="1"/>
    <xf numFmtId="185" fontId="81" fillId="0" borderId="0" xfId="836" applyNumberFormat="1" applyFont="1"/>
    <xf numFmtId="165" fontId="41" fillId="0" borderId="0" xfId="840" applyNumberFormat="1" applyFont="1" applyProtection="1">
      <protection locked="0"/>
    </xf>
    <xf numFmtId="165" fontId="48" fillId="0" borderId="0" xfId="840" applyNumberFormat="1" applyFont="1" applyAlignment="1">
      <alignment horizontal="right"/>
    </xf>
    <xf numFmtId="165" fontId="48" fillId="0" borderId="0" xfId="840" applyNumberFormat="1" applyFont="1"/>
    <xf numFmtId="170" fontId="52" fillId="0" borderId="0" xfId="2" applyNumberFormat="1" applyFont="1"/>
    <xf numFmtId="170" fontId="52" fillId="0" borderId="18" xfId="2" applyNumberFormat="1" applyFont="1" applyBorder="1"/>
    <xf numFmtId="174" fontId="48" fillId="0" borderId="0" xfId="5517" applyNumberFormat="1" applyFont="1"/>
    <xf numFmtId="170" fontId="41" fillId="0" borderId="0" xfId="1" quotePrefix="1" applyNumberFormat="1" applyFont="1" applyFill="1" applyAlignment="1"/>
    <xf numFmtId="170" fontId="0" fillId="0" borderId="0" xfId="0" applyNumberFormat="1"/>
    <xf numFmtId="170" fontId="41" fillId="0" borderId="48" xfId="2" applyNumberFormat="1" applyBorder="1" applyAlignment="1">
      <alignment horizontal="center"/>
    </xf>
    <xf numFmtId="169" fontId="0" fillId="0" borderId="0" xfId="2" applyNumberFormat="1" applyFont="1"/>
    <xf numFmtId="166" fontId="41" fillId="0" borderId="0" xfId="5517" applyNumberFormat="1" applyFont="1"/>
    <xf numFmtId="174" fontId="41" fillId="0" borderId="30" xfId="2" applyNumberFormat="1" applyBorder="1"/>
    <xf numFmtId="170" fontId="0" fillId="0" borderId="30" xfId="2" applyNumberFormat="1" applyFont="1" applyBorder="1"/>
    <xf numFmtId="165" fontId="137" fillId="0" borderId="0" xfId="2" applyNumberFormat="1" applyFont="1"/>
    <xf numFmtId="170" fontId="48" fillId="0" borderId="66" xfId="2" quotePrefix="1" applyNumberFormat="1" applyFont="1" applyBorder="1"/>
    <xf numFmtId="174" fontId="66" fillId="0" borderId="0" xfId="2" applyNumberFormat="1" applyFont="1"/>
    <xf numFmtId="193" fontId="48" fillId="0" borderId="0" xfId="2" applyNumberFormat="1" applyFont="1"/>
    <xf numFmtId="164" fontId="66" fillId="0" borderId="0" xfId="0" quotePrefix="1" applyFont="1"/>
    <xf numFmtId="164" fontId="67" fillId="0" borderId="76" xfId="0" applyFont="1" applyBorder="1"/>
    <xf numFmtId="41" fontId="46" fillId="0" borderId="0" xfId="0" applyNumberFormat="1" applyFont="1" applyAlignment="1">
      <alignment horizontal="right"/>
    </xf>
    <xf numFmtId="42" fontId="47" fillId="0" borderId="59" xfId="0" applyNumberFormat="1" applyFont="1" applyBorder="1" applyAlignment="1">
      <alignment horizontal="right"/>
    </xf>
    <xf numFmtId="43" fontId="182" fillId="0" borderId="0" xfId="9967" applyNumberFormat="1"/>
    <xf numFmtId="43" fontId="46" fillId="0" borderId="0" xfId="0" quotePrefix="1" applyNumberFormat="1" applyFont="1"/>
    <xf numFmtId="43" fontId="46" fillId="0" borderId="0" xfId="0" applyNumberFormat="1" applyFont="1" applyAlignment="1">
      <alignment horizontal="left" vertical="top"/>
    </xf>
    <xf numFmtId="170" fontId="62" fillId="0" borderId="29" xfId="2" applyNumberFormat="1" applyFont="1" applyBorder="1"/>
    <xf numFmtId="164" fontId="41" fillId="0" borderId="29" xfId="2" applyNumberFormat="1" applyBorder="1"/>
    <xf numFmtId="165" fontId="41" fillId="58" borderId="0" xfId="0" applyNumberFormat="1" applyFont="1" applyFill="1"/>
    <xf numFmtId="170" fontId="41" fillId="58" borderId="0" xfId="0" applyNumberFormat="1" applyFont="1" applyFill="1"/>
    <xf numFmtId="170" fontId="48" fillId="58" borderId="0" xfId="0" applyNumberFormat="1" applyFont="1" applyFill="1"/>
    <xf numFmtId="165" fontId="48" fillId="58" borderId="0" xfId="0" applyNumberFormat="1" applyFont="1" applyFill="1"/>
    <xf numFmtId="174" fontId="48" fillId="58" borderId="0" xfId="0" applyNumberFormat="1" applyFont="1" applyFill="1"/>
    <xf numFmtId="166" fontId="170" fillId="0" borderId="0" xfId="2" applyNumberFormat="1" applyFont="1"/>
    <xf numFmtId="166" fontId="170" fillId="0" borderId="0" xfId="2" quotePrefix="1" applyNumberFormat="1" applyFont="1" applyAlignment="1">
      <alignment horizontal="left"/>
    </xf>
    <xf numFmtId="0" fontId="170" fillId="0" borderId="0" xfId="2" applyFont="1"/>
    <xf numFmtId="0" fontId="170" fillId="0" borderId="0" xfId="2" quotePrefix="1" applyFont="1" applyAlignment="1">
      <alignment horizontal="left"/>
    </xf>
    <xf numFmtId="0" fontId="42" fillId="0" borderId="0" xfId="2" applyFont="1"/>
    <xf numFmtId="165" fontId="85" fillId="0" borderId="0" xfId="0" applyNumberFormat="1" applyFont="1" applyProtection="1">
      <protection locked="0"/>
    </xf>
    <xf numFmtId="166" fontId="41" fillId="0" borderId="0" xfId="4" applyNumberFormat="1" applyFont="1"/>
    <xf numFmtId="0" fontId="41" fillId="0" borderId="0" xfId="4" applyFont="1" applyAlignment="1">
      <alignment horizontal="center"/>
    </xf>
    <xf numFmtId="166" fontId="41" fillId="0" borderId="15" xfId="4" applyNumberFormat="1" applyFont="1" applyBorder="1"/>
    <xf numFmtId="170" fontId="48" fillId="0" borderId="76" xfId="0" quotePrefix="1" applyNumberFormat="1" applyFont="1" applyBorder="1"/>
    <xf numFmtId="164" fontId="113" fillId="0" borderId="10" xfId="0" applyFont="1" applyBorder="1" applyAlignment="1">
      <alignment horizontal="center"/>
    </xf>
    <xf numFmtId="43" fontId="168" fillId="0" borderId="0" xfId="0" applyNumberFormat="1" applyFont="1"/>
    <xf numFmtId="49" fontId="113" fillId="0" borderId="0" xfId="0" applyNumberFormat="1" applyFont="1"/>
    <xf numFmtId="0" fontId="168" fillId="0" borderId="0" xfId="0" applyNumberFormat="1" applyFont="1" applyAlignment="1">
      <alignment horizontal="left"/>
    </xf>
    <xf numFmtId="0" fontId="168" fillId="0" borderId="0" xfId="0" applyNumberFormat="1" applyFont="1" applyAlignment="1">
      <alignment vertical="top"/>
    </xf>
    <xf numFmtId="0" fontId="46" fillId="0" borderId="0" xfId="0" applyNumberFormat="1" applyFont="1" applyAlignment="1">
      <alignment horizontal="left"/>
    </xf>
    <xf numFmtId="43" fontId="168" fillId="0" borderId="0" xfId="17924" applyFont="1"/>
    <xf numFmtId="164" fontId="46" fillId="0" borderId="0" xfId="0" applyFont="1" applyAlignment="1">
      <alignment horizontal="left" indent="1"/>
    </xf>
    <xf numFmtId="49" fontId="168" fillId="0" borderId="0" xfId="0" applyNumberFormat="1" applyFont="1" applyAlignment="1">
      <alignment vertical="top" wrapText="1"/>
    </xf>
    <xf numFmtId="169" fontId="53" fillId="0" borderId="0" xfId="8" applyNumberFormat="1" applyFont="1" applyAlignment="1">
      <alignment horizontal="right" vertical="top"/>
    </xf>
    <xf numFmtId="0" fontId="186" fillId="0" borderId="0" xfId="25862"/>
    <xf numFmtId="7" fontId="186" fillId="0" borderId="0" xfId="25862" applyNumberFormat="1"/>
    <xf numFmtId="0" fontId="41" fillId="0" borderId="0" xfId="25865" applyFont="1" applyBorder="1" applyAlignment="1">
      <alignment horizontal="left"/>
    </xf>
    <xf numFmtId="43" fontId="166" fillId="0" borderId="0" xfId="25872" applyFont="1" applyFill="1" applyBorder="1"/>
    <xf numFmtId="0" fontId="46" fillId="0" borderId="0" xfId="25862" applyFont="1"/>
    <xf numFmtId="43" fontId="48" fillId="0" borderId="0" xfId="25869" applyNumberFormat="1" applyFont="1" applyFill="1" applyBorder="1"/>
    <xf numFmtId="164" fontId="113" fillId="0" borderId="0" xfId="0" applyFont="1" applyAlignment="1">
      <alignment horizontal="left"/>
    </xf>
    <xf numFmtId="43" fontId="113" fillId="0" borderId="0" xfId="0" applyNumberFormat="1" applyFont="1"/>
    <xf numFmtId="43" fontId="41" fillId="0" borderId="0" xfId="25869" applyNumberFormat="1" applyFont="1" applyFill="1" applyBorder="1"/>
    <xf numFmtId="43" fontId="48" fillId="0" borderId="0" xfId="1028" applyNumberFormat="1" applyFont="1" applyAlignment="1">
      <alignment horizontal="right"/>
    </xf>
    <xf numFmtId="164" fontId="48" fillId="0" borderId="0" xfId="0" applyFont="1" applyAlignment="1">
      <alignment horizontal="right"/>
    </xf>
    <xf numFmtId="43" fontId="41" fillId="0" borderId="0" xfId="17924" applyFont="1" applyFill="1" applyBorder="1" applyAlignment="1" applyProtection="1">
      <alignment horizontal="right"/>
    </xf>
    <xf numFmtId="43" fontId="0" fillId="0" borderId="0" xfId="17924" applyFont="1" applyFill="1" applyAlignment="1" applyProtection="1">
      <alignment horizontal="right"/>
    </xf>
    <xf numFmtId="43" fontId="41" fillId="0" borderId="0" xfId="25862" applyNumberFormat="1" applyFont="1"/>
    <xf numFmtId="0" fontId="41" fillId="0" borderId="0" xfId="25862" applyFont="1"/>
    <xf numFmtId="0" fontId="192" fillId="0" borderId="0" xfId="25862" applyFont="1" applyAlignment="1">
      <alignment horizontal="center"/>
    </xf>
    <xf numFmtId="44" fontId="48" fillId="0" borderId="59" xfId="25873" applyFont="1" applyFill="1" applyBorder="1"/>
    <xf numFmtId="44" fontId="113" fillId="0" borderId="0" xfId="0" applyNumberFormat="1" applyFont="1"/>
    <xf numFmtId="0" fontId="150" fillId="0" borderId="0" xfId="1028" quotePrefix="1" applyFont="1" applyAlignment="1">
      <alignment horizontal="right"/>
    </xf>
    <xf numFmtId="178" fontId="0" fillId="0" borderId="0" xfId="2" applyNumberFormat="1" applyFont="1"/>
    <xf numFmtId="170" fontId="48" fillId="0" borderId="0" xfId="6" applyNumberFormat="1" applyFont="1" applyFill="1" applyBorder="1" applyAlignment="1" applyProtection="1"/>
    <xf numFmtId="165" fontId="0" fillId="0" borderId="0" xfId="2" quotePrefix="1" applyNumberFormat="1" applyFont="1" applyAlignment="1">
      <alignment horizontal="left"/>
    </xf>
    <xf numFmtId="164" fontId="41" fillId="0" borderId="0" xfId="1940" applyNumberFormat="1" applyFont="1" applyBorder="1" applyAlignment="1"/>
    <xf numFmtId="164" fontId="64" fillId="0" borderId="0" xfId="1940" applyNumberFormat="1" applyFont="1" applyFill="1" applyBorder="1" applyAlignment="1"/>
    <xf numFmtId="164" fontId="64" fillId="0" borderId="48" xfId="1940" applyNumberFormat="1" applyFont="1" applyBorder="1" applyAlignment="1"/>
    <xf numFmtId="164" fontId="69" fillId="0" borderId="48" xfId="1940" applyNumberFormat="1" applyFont="1" applyFill="1" applyBorder="1" applyAlignment="1"/>
    <xf numFmtId="164" fontId="48" fillId="0" borderId="76" xfId="2" applyNumberFormat="1" applyFont="1" applyBorder="1"/>
    <xf numFmtId="165" fontId="164" fillId="0" borderId="0" xfId="2" applyNumberFormat="1" applyFont="1"/>
    <xf numFmtId="165" fontId="41" fillId="0" borderId="0" xfId="2" quotePrefix="1" applyNumberFormat="1" applyAlignment="1">
      <alignment horizontal="left"/>
    </xf>
    <xf numFmtId="170" fontId="64" fillId="0" borderId="48" xfId="2" quotePrefix="1" applyNumberFormat="1" applyFont="1" applyBorder="1" applyAlignment="1">
      <alignment horizontal="right"/>
    </xf>
    <xf numFmtId="170" fontId="69" fillId="0" borderId="17" xfId="2" applyNumberFormat="1" applyFont="1" applyBorder="1"/>
    <xf numFmtId="174" fontId="69" fillId="0" borderId="17" xfId="2" applyNumberFormat="1" applyFont="1" applyBorder="1"/>
    <xf numFmtId="0" fontId="53" fillId="0" borderId="0" xfId="0" applyNumberFormat="1" applyFont="1" applyAlignment="1">
      <alignment horizontal="left"/>
    </xf>
    <xf numFmtId="0" fontId="41" fillId="0" borderId="0" xfId="25863" applyFont="1" applyBorder="1">
      <alignment horizontal="right"/>
    </xf>
    <xf numFmtId="44" fontId="41" fillId="0" borderId="0" xfId="25873" applyFont="1" applyFill="1" applyBorder="1"/>
    <xf numFmtId="44" fontId="48" fillId="0" borderId="0" xfId="25873" applyFont="1" applyFill="1" applyBorder="1"/>
    <xf numFmtId="0" fontId="39" fillId="0" borderId="0" xfId="25862" applyFont="1" applyAlignment="1">
      <alignment horizontal="left"/>
    </xf>
    <xf numFmtId="177" fontId="41" fillId="0" borderId="0" xfId="1776" applyNumberFormat="1"/>
    <xf numFmtId="164" fontId="113" fillId="0" borderId="72" xfId="0" applyFont="1" applyBorder="1" applyAlignment="1">
      <alignment horizontal="left"/>
    </xf>
    <xf numFmtId="4" fontId="113" fillId="0" borderId="0" xfId="0" applyNumberFormat="1" applyFont="1"/>
    <xf numFmtId="43" fontId="113" fillId="0" borderId="72" xfId="0" applyNumberFormat="1" applyFont="1" applyBorder="1"/>
    <xf numFmtId="199" fontId="41" fillId="0" borderId="0" xfId="0" applyNumberFormat="1" applyFont="1"/>
    <xf numFmtId="174" fontId="48" fillId="0" borderId="56" xfId="0" applyNumberFormat="1" applyFont="1" applyBorder="1"/>
    <xf numFmtId="0" fontId="187" fillId="0" borderId="0" xfId="25862" applyFont="1" applyAlignment="1">
      <alignment horizontal="left"/>
    </xf>
    <xf numFmtId="0" fontId="42" fillId="0" borderId="0" xfId="25862" quotePrefix="1" applyFont="1" applyAlignment="1">
      <alignment horizontal="left"/>
    </xf>
    <xf numFmtId="0" fontId="150" fillId="0" borderId="0" xfId="25862" applyFont="1" applyAlignment="1">
      <alignment horizontal="left"/>
    </xf>
    <xf numFmtId="0" fontId="48" fillId="0" borderId="0" xfId="25864" applyFont="1" applyFill="1"/>
    <xf numFmtId="0" fontId="0" fillId="0" borderId="0" xfId="25863" applyFont="1" applyBorder="1">
      <alignment horizontal="right"/>
    </xf>
    <xf numFmtId="0" fontId="52" fillId="0" borderId="0" xfId="25865" applyFont="1" applyBorder="1" applyAlignment="1">
      <alignment horizontal="left"/>
    </xf>
    <xf numFmtId="0" fontId="41" fillId="0" borderId="0" xfId="25865" applyFont="1"/>
    <xf numFmtId="44" fontId="48" fillId="0" borderId="0" xfId="25867" applyFont="1" applyFill="1" applyBorder="1"/>
    <xf numFmtId="0" fontId="0" fillId="0" borderId="0" xfId="25865" applyFont="1"/>
    <xf numFmtId="0" fontId="166" fillId="0" borderId="0" xfId="25865" applyFont="1"/>
    <xf numFmtId="0" fontId="48" fillId="0" borderId="0" xfId="25870" applyFill="1"/>
    <xf numFmtId="44" fontId="48" fillId="0" borderId="0" xfId="25867" applyFont="1" applyFill="1" applyBorder="1" applyAlignment="1">
      <alignment horizontal="right"/>
    </xf>
    <xf numFmtId="0" fontId="168" fillId="0" borderId="0" xfId="25871" applyFont="1" applyAlignment="1">
      <alignment horizontal="left" wrapText="1"/>
    </xf>
    <xf numFmtId="0" fontId="150" fillId="0" borderId="0" xfId="25871" applyFont="1"/>
    <xf numFmtId="44" fontId="48" fillId="0" borderId="59" xfId="25867" applyFont="1" applyFill="1" applyBorder="1"/>
    <xf numFmtId="0" fontId="113" fillId="0" borderId="0" xfId="25862" applyFont="1" applyAlignment="1">
      <alignment horizontal="left"/>
    </xf>
    <xf numFmtId="0" fontId="198" fillId="0" borderId="0" xfId="25862" applyFont="1" applyAlignment="1">
      <alignment horizontal="left" vertical="top"/>
    </xf>
    <xf numFmtId="0" fontId="168" fillId="0" borderId="0" xfId="25862" applyFont="1" applyAlignment="1">
      <alignment horizontal="left" vertical="top"/>
    </xf>
    <xf numFmtId="44" fontId="166" fillId="0" borderId="0" xfId="25872" applyNumberFormat="1" applyFont="1" applyFill="1" applyBorder="1" applyAlignment="1">
      <alignment horizontal="left"/>
    </xf>
    <xf numFmtId="43" fontId="46" fillId="0" borderId="0" xfId="25862" applyNumberFormat="1" applyFont="1"/>
    <xf numFmtId="43" fontId="39" fillId="0" borderId="0" xfId="25862" applyNumberFormat="1" applyFont="1" applyAlignment="1">
      <alignment horizontal="left"/>
    </xf>
    <xf numFmtId="43" fontId="186" fillId="0" borderId="0" xfId="25862" applyNumberFormat="1"/>
    <xf numFmtId="0" fontId="168" fillId="0" borderId="0" xfId="25862" applyFont="1" applyAlignment="1">
      <alignment horizontal="left"/>
    </xf>
    <xf numFmtId="0" fontId="0" fillId="0" borderId="0" xfId="0" applyNumberFormat="1" applyAlignment="1">
      <alignment horizontal="left"/>
    </xf>
    <xf numFmtId="170" fontId="41" fillId="0" borderId="15" xfId="4" applyNumberFormat="1" applyFont="1" applyBorder="1"/>
    <xf numFmtId="170" fontId="41" fillId="0" borderId="0" xfId="4" applyNumberFormat="1" applyFont="1"/>
    <xf numFmtId="44" fontId="168" fillId="0" borderId="0" xfId="0" applyNumberFormat="1" applyFont="1"/>
    <xf numFmtId="49" fontId="46" fillId="0" borderId="0" xfId="0" applyNumberFormat="1" applyFont="1" applyAlignment="1">
      <alignment horizontal="left" vertical="top"/>
    </xf>
    <xf numFmtId="177" fontId="64" fillId="0" borderId="0" xfId="740" applyNumberFormat="1" applyFont="1"/>
    <xf numFmtId="0" fontId="41" fillId="0" borderId="0" xfId="1028" applyAlignment="1">
      <alignment horizontal="left"/>
    </xf>
    <xf numFmtId="0" fontId="69" fillId="0" borderId="0" xfId="25862" quotePrefix="1" applyFont="1" applyAlignment="1">
      <alignment horizontal="left"/>
    </xf>
    <xf numFmtId="172" fontId="69" fillId="0" borderId="0" xfId="1940" applyNumberFormat="1" applyFont="1" applyAlignment="1"/>
    <xf numFmtId="172" fontId="66" fillId="0" borderId="0" xfId="0" applyNumberFormat="1" applyFont="1"/>
    <xf numFmtId="164" fontId="53" fillId="0" borderId="0" xfId="0" applyFont="1"/>
    <xf numFmtId="42" fontId="52" fillId="0" borderId="0" xfId="840" applyNumberFormat="1" applyFont="1"/>
    <xf numFmtId="42" fontId="150" fillId="0" borderId="0" xfId="840" applyNumberFormat="1" applyFont="1"/>
    <xf numFmtId="37" fontId="150" fillId="0" borderId="0" xfId="840" applyNumberFormat="1" applyFont="1"/>
    <xf numFmtId="183" fontId="41" fillId="0" borderId="0" xfId="0" applyNumberFormat="1" applyFont="1"/>
    <xf numFmtId="41" fontId="52" fillId="0" borderId="0" xfId="11" applyNumberFormat="1" applyFont="1" applyFill="1" applyAlignment="1"/>
    <xf numFmtId="170" fontId="98" fillId="0" borderId="0" xfId="2" applyNumberFormat="1" applyFont="1"/>
    <xf numFmtId="166" fontId="53" fillId="0" borderId="0" xfId="8" applyNumberFormat="1" applyFont="1" applyAlignment="1">
      <alignment horizontal="right"/>
    </xf>
    <xf numFmtId="169" fontId="100" fillId="0" borderId="0" xfId="8" applyNumberFormat="1"/>
    <xf numFmtId="166" fontId="67" fillId="0" borderId="0" xfId="2" quotePrefix="1" applyNumberFormat="1" applyFont="1" applyAlignment="1">
      <alignment horizontal="left"/>
    </xf>
    <xf numFmtId="4" fontId="41" fillId="0" borderId="0" xfId="1028" applyNumberFormat="1" applyAlignment="1">
      <alignment horizontal="centerContinuous"/>
    </xf>
    <xf numFmtId="43" fontId="41" fillId="0" borderId="0" xfId="9049" applyFont="1" applyFill="1" applyAlignment="1" applyProtection="1">
      <alignment horizontal="right"/>
    </xf>
    <xf numFmtId="43" fontId="41" fillId="0" borderId="0" xfId="25872" applyFont="1" applyFill="1" applyBorder="1" applyAlignment="1">
      <alignment horizontal="left"/>
    </xf>
    <xf numFmtId="44" fontId="41" fillId="0" borderId="0" xfId="25872" applyNumberFormat="1" applyFont="1" applyFill="1" applyBorder="1" applyAlignment="1">
      <alignment horizontal="left"/>
    </xf>
    <xf numFmtId="43" fontId="41" fillId="0" borderId="0" xfId="25872" applyFont="1" applyFill="1" applyBorder="1"/>
    <xf numFmtId="0" fontId="53" fillId="0" borderId="0" xfId="0" applyNumberFormat="1" applyFont="1" applyAlignment="1">
      <alignment horizontal="left" vertical="top"/>
    </xf>
    <xf numFmtId="174" fontId="41" fillId="0" borderId="0" xfId="1" applyNumberFormat="1" applyFont="1" applyFill="1" applyAlignment="1" applyProtection="1"/>
    <xf numFmtId="174" fontId="0" fillId="0" borderId="0" xfId="0" applyNumberFormat="1"/>
    <xf numFmtId="174" fontId="41" fillId="0" borderId="0" xfId="0" applyNumberFormat="1" applyFont="1" applyAlignment="1">
      <alignment horizontal="right"/>
    </xf>
    <xf numFmtId="170" fontId="0" fillId="0" borderId="0" xfId="0" applyNumberFormat="1" applyAlignment="1">
      <alignment horizontal="right"/>
    </xf>
    <xf numFmtId="0" fontId="69" fillId="33" borderId="0" xfId="2" applyFont="1" applyFill="1" applyAlignment="1">
      <alignment horizontal="left" vertical="center"/>
    </xf>
    <xf numFmtId="37" fontId="46" fillId="33" borderId="0" xfId="2" applyNumberFormat="1" applyFont="1" applyFill="1" applyAlignment="1">
      <alignment vertical="center"/>
    </xf>
    <xf numFmtId="37" fontId="46" fillId="0" borderId="0" xfId="2" applyNumberFormat="1" applyFont="1" applyAlignment="1">
      <alignment vertical="center"/>
    </xf>
    <xf numFmtId="0" fontId="69" fillId="0" borderId="0" xfId="2" applyFont="1" applyAlignment="1" applyProtection="1">
      <alignment horizontal="left" vertical="center"/>
      <protection locked="0"/>
    </xf>
    <xf numFmtId="0" fontId="69" fillId="0" borderId="0" xfId="2" applyFont="1" applyAlignment="1">
      <alignment horizontal="left" vertical="center"/>
    </xf>
    <xf numFmtId="170" fontId="69" fillId="0" borderId="26" xfId="2" quotePrefix="1" applyNumberFormat="1" applyFont="1" applyBorder="1" applyAlignment="1">
      <alignment horizontal="right"/>
    </xf>
    <xf numFmtId="170" fontId="69" fillId="0" borderId="26" xfId="2" quotePrefix="1" applyNumberFormat="1" applyFont="1" applyBorder="1" applyAlignment="1">
      <alignment horizontal="center"/>
    </xf>
    <xf numFmtId="191" fontId="53" fillId="0" borderId="0" xfId="8" applyNumberFormat="1" applyFont="1" applyAlignment="1">
      <alignment horizontal="right"/>
    </xf>
    <xf numFmtId="164" fontId="140" fillId="0" borderId="0" xfId="0" applyFont="1"/>
    <xf numFmtId="164" fontId="53" fillId="0" borderId="0" xfId="0" applyFont="1" applyAlignment="1">
      <alignment horizontal="left"/>
    </xf>
    <xf numFmtId="164" fontId="53" fillId="0" borderId="0" xfId="0" applyFont="1" applyAlignment="1">
      <alignment horizontal="right"/>
    </xf>
    <xf numFmtId="164" fontId="141" fillId="0" borderId="0" xfId="0" applyFont="1"/>
    <xf numFmtId="164" fontId="141" fillId="0" borderId="0" xfId="0" applyFont="1" applyAlignment="1">
      <alignment horizontal="left"/>
    </xf>
    <xf numFmtId="170" fontId="48" fillId="0" borderId="76" xfId="2" applyNumberFormat="1" applyFont="1" applyBorder="1" applyAlignment="1">
      <alignment horizontal="right"/>
    </xf>
    <xf numFmtId="170" fontId="48" fillId="0" borderId="58" xfId="2" applyNumberFormat="1" applyFont="1" applyBorder="1"/>
    <xf numFmtId="4" fontId="0" fillId="0" borderId="0" xfId="0" applyNumberFormat="1" applyAlignment="1">
      <alignment horizontal="right"/>
    </xf>
    <xf numFmtId="43" fontId="132" fillId="0" borderId="0" xfId="2" applyNumberFormat="1" applyFont="1"/>
    <xf numFmtId="43" fontId="0" fillId="0" borderId="0" xfId="2" applyNumberFormat="1" applyFont="1" applyAlignment="1">
      <alignment horizontal="center" vertical="top"/>
    </xf>
    <xf numFmtId="43" fontId="48" fillId="0" borderId="72" xfId="25873" applyNumberFormat="1" applyFont="1" applyFill="1" applyBorder="1" applyAlignment="1">
      <alignment horizontal="right"/>
    </xf>
    <xf numFmtId="43" fontId="48" fillId="0" borderId="0" xfId="25873" applyNumberFormat="1" applyFont="1" applyFill="1" applyBorder="1" applyAlignment="1">
      <alignment horizontal="right"/>
    </xf>
    <xf numFmtId="43" fontId="48" fillId="0" borderId="72" xfId="25867" applyNumberFormat="1" applyFont="1" applyFill="1" applyBorder="1" applyAlignment="1">
      <alignment horizontal="right"/>
    </xf>
    <xf numFmtId="174" fontId="0" fillId="0" borderId="0" xfId="2" quotePrefix="1" applyNumberFormat="1" applyFont="1"/>
    <xf numFmtId="43" fontId="0" fillId="0" borderId="0" xfId="25863" applyNumberFormat="1" applyFont="1" applyBorder="1">
      <alignment horizontal="right"/>
    </xf>
    <xf numFmtId="43" fontId="0" fillId="0" borderId="0" xfId="25865" applyNumberFormat="1" applyFont="1"/>
    <xf numFmtId="44" fontId="0" fillId="0" borderId="0" xfId="25865" applyNumberFormat="1" applyFont="1"/>
    <xf numFmtId="37" fontId="41" fillId="0" borderId="0" xfId="0" applyNumberFormat="1" applyFont="1" applyAlignment="1">
      <alignment horizontal="left"/>
    </xf>
    <xf numFmtId="164" fontId="47" fillId="0" borderId="0" xfId="0" quotePrefix="1" applyFont="1" applyAlignment="1">
      <alignment horizontal="right"/>
    </xf>
    <xf numFmtId="170" fontId="69" fillId="0" borderId="0" xfId="2" quotePrefix="1" applyNumberFormat="1" applyFont="1"/>
    <xf numFmtId="44" fontId="41" fillId="0" borderId="0" xfId="25869" applyNumberFormat="1" applyFont="1" applyFill="1" applyBorder="1"/>
    <xf numFmtId="172" fontId="48" fillId="0" borderId="16" xfId="0" applyNumberFormat="1" applyFont="1" applyBorder="1"/>
    <xf numFmtId="170" fontId="53" fillId="0" borderId="0" xfId="8" applyNumberFormat="1" applyFont="1"/>
    <xf numFmtId="169" fontId="53" fillId="0" borderId="0" xfId="8" applyNumberFormat="1" applyFont="1"/>
    <xf numFmtId="166" fontId="100" fillId="0" borderId="0" xfId="8" applyNumberFormat="1"/>
    <xf numFmtId="169" fontId="142" fillId="0" borderId="0" xfId="8" applyNumberFormat="1" applyFont="1"/>
    <xf numFmtId="39" fontId="46" fillId="0" borderId="0" xfId="0" quotePrefix="1" applyNumberFormat="1" applyFont="1" applyAlignment="1">
      <alignment horizontal="right"/>
    </xf>
    <xf numFmtId="39" fontId="46" fillId="0" borderId="0" xfId="0" quotePrefix="1" applyNumberFormat="1" applyFont="1"/>
    <xf numFmtId="4" fontId="46" fillId="0" borderId="0" xfId="0" applyNumberFormat="1" applyFont="1"/>
    <xf numFmtId="7" fontId="46" fillId="0" borderId="0" xfId="0" applyNumberFormat="1" applyFont="1"/>
    <xf numFmtId="199" fontId="41" fillId="0" borderId="0" xfId="2" applyNumberFormat="1"/>
    <xf numFmtId="166" fontId="53" fillId="0" borderId="0" xfId="8" quotePrefix="1" applyNumberFormat="1" applyFont="1"/>
    <xf numFmtId="0" fontId="188" fillId="0" borderId="0" xfId="25862" applyFont="1" applyAlignment="1">
      <alignment horizontal="left"/>
    </xf>
    <xf numFmtId="0" fontId="69" fillId="0" borderId="0" xfId="25862" applyFont="1" applyAlignment="1">
      <alignment horizontal="right"/>
    </xf>
    <xf numFmtId="0" fontId="189" fillId="0" borderId="0" xfId="25862" quotePrefix="1" applyFont="1" applyAlignment="1">
      <alignment horizontal="left"/>
    </xf>
    <xf numFmtId="0" fontId="52" fillId="0" borderId="0" xfId="25862" applyFont="1" applyAlignment="1">
      <alignment horizontal="left"/>
    </xf>
    <xf numFmtId="7" fontId="48" fillId="0" borderId="0" xfId="25862" applyNumberFormat="1" applyFont="1" applyAlignment="1">
      <alignment horizontal="center"/>
    </xf>
    <xf numFmtId="0" fontId="194" fillId="0" borderId="0" xfId="25862" applyFont="1" applyAlignment="1">
      <alignment horizontal="left"/>
    </xf>
    <xf numFmtId="7" fontId="41" fillId="0" borderId="0" xfId="25862" applyNumberFormat="1" applyFont="1"/>
    <xf numFmtId="0" fontId="195" fillId="0" borderId="0" xfId="25862" applyFont="1" applyAlignment="1">
      <alignment horizontal="center"/>
    </xf>
    <xf numFmtId="0" fontId="194" fillId="0" borderId="0" xfId="25862" applyFont="1"/>
    <xf numFmtId="43" fontId="52" fillId="0" borderId="0" xfId="0" applyNumberFormat="1" applyFont="1" applyAlignment="1">
      <alignment horizontal="right" wrapText="1"/>
    </xf>
    <xf numFmtId="43" fontId="52" fillId="0" borderId="0" xfId="25871" applyNumberFormat="1" applyFont="1" applyAlignment="1">
      <alignment horizontal="left"/>
    </xf>
    <xf numFmtId="43" fontId="52" fillId="0" borderId="0" xfId="25875" applyNumberFormat="1" applyFont="1" applyAlignment="1">
      <alignment horizontal="right"/>
    </xf>
    <xf numFmtId="43" fontId="52" fillId="0" borderId="0" xfId="25875" applyNumberFormat="1" applyFont="1"/>
    <xf numFmtId="43" fontId="52" fillId="0" borderId="0" xfId="25871" applyNumberFormat="1" applyFont="1"/>
    <xf numFmtId="43" fontId="52" fillId="0" borderId="0" xfId="4579" applyNumberFormat="1" applyFont="1" applyAlignment="1">
      <alignment wrapText="1"/>
    </xf>
    <xf numFmtId="0" fontId="214" fillId="0" borderId="0" xfId="25862" applyFont="1" applyAlignment="1">
      <alignment horizontal="left"/>
    </xf>
    <xf numFmtId="43" fontId="214" fillId="0" borderId="0" xfId="25862" applyNumberFormat="1" applyFont="1" applyAlignment="1">
      <alignment horizontal="left"/>
    </xf>
    <xf numFmtId="43" fontId="41" fillId="0" borderId="0" xfId="25871" applyNumberFormat="1" applyFont="1"/>
    <xf numFmtId="43" fontId="41" fillId="0" borderId="0" xfId="25871" applyNumberFormat="1" applyFont="1" applyAlignment="1">
      <alignment horizontal="left"/>
    </xf>
    <xf numFmtId="43" fontId="41" fillId="0" borderId="0" xfId="25875" applyNumberFormat="1" applyFont="1" applyAlignment="1">
      <alignment horizontal="right"/>
    </xf>
    <xf numFmtId="43" fontId="41" fillId="0" borderId="0" xfId="25875" applyNumberFormat="1" applyFont="1"/>
    <xf numFmtId="43" fontId="41" fillId="0" borderId="0" xfId="4579" applyNumberFormat="1" applyAlignment="1">
      <alignment wrapText="1"/>
    </xf>
    <xf numFmtId="0" fontId="168" fillId="0" borderId="0" xfId="25862" applyFont="1" applyAlignment="1">
      <alignment horizontal="left" vertical="top" wrapText="1"/>
    </xf>
    <xf numFmtId="43" fontId="41" fillId="0" borderId="0" xfId="25862" applyNumberFormat="1" applyFont="1" applyAlignment="1">
      <alignment horizontal="right" wrapText="1"/>
    </xf>
    <xf numFmtId="43" fontId="41" fillId="0" borderId="0" xfId="25862" applyNumberFormat="1" applyFont="1" applyAlignment="1">
      <alignment horizontal="left"/>
    </xf>
    <xf numFmtId="43" fontId="41" fillId="0" borderId="0" xfId="25862" applyNumberFormat="1" applyFont="1" applyAlignment="1">
      <alignment horizontal="right"/>
    </xf>
    <xf numFmtId="43" fontId="41" fillId="0" borderId="0" xfId="25862" applyNumberFormat="1" applyFont="1" applyAlignment="1">
      <alignment wrapText="1"/>
    </xf>
    <xf numFmtId="43" fontId="64" fillId="0" borderId="0" xfId="25862" applyNumberFormat="1" applyFont="1"/>
    <xf numFmtId="43" fontId="41" fillId="0" borderId="0" xfId="0" applyNumberFormat="1" applyFont="1" applyAlignment="1">
      <alignment horizontal="right" wrapText="1"/>
    </xf>
    <xf numFmtId="0" fontId="69" fillId="0" borderId="0" xfId="25862" applyFont="1"/>
    <xf numFmtId="44" fontId="186" fillId="0" borderId="0" xfId="25862" applyNumberFormat="1"/>
    <xf numFmtId="172" fontId="48" fillId="0" borderId="0" xfId="2" applyNumberFormat="1" applyFont="1"/>
    <xf numFmtId="174" fontId="41" fillId="0" borderId="0" xfId="0" quotePrefix="1" applyNumberFormat="1" applyFont="1" applyAlignment="1">
      <alignment horizontal="right"/>
    </xf>
    <xf numFmtId="0" fontId="46" fillId="0" borderId="73" xfId="860" applyFont="1" applyBorder="1"/>
    <xf numFmtId="0" fontId="46" fillId="0" borderId="71" xfId="860" applyFont="1" applyBorder="1"/>
    <xf numFmtId="166" fontId="48" fillId="0" borderId="48" xfId="0" applyNumberFormat="1" applyFont="1" applyBorder="1" applyAlignment="1">
      <alignment horizontal="centerContinuous"/>
    </xf>
    <xf numFmtId="166" fontId="48" fillId="0" borderId="48" xfId="0" quotePrefix="1" applyNumberFormat="1" applyFont="1" applyBorder="1" applyAlignment="1">
      <alignment horizontal="center"/>
    </xf>
    <xf numFmtId="165" fontId="41" fillId="0" borderId="0" xfId="0" quotePrefix="1" applyNumberFormat="1" applyFont="1" applyAlignment="1">
      <alignment horizontal="left"/>
    </xf>
    <xf numFmtId="170" fontId="48" fillId="0" borderId="76" xfId="0" applyNumberFormat="1" applyFont="1" applyBorder="1"/>
    <xf numFmtId="164" fontId="48" fillId="0" borderId="76" xfId="0" applyFont="1" applyBorder="1"/>
    <xf numFmtId="3" fontId="41" fillId="0" borderId="0" xfId="0" applyNumberFormat="1" applyFont="1"/>
    <xf numFmtId="173" fontId="41" fillId="0" borderId="0" xfId="0" applyNumberFormat="1" applyFont="1"/>
    <xf numFmtId="170" fontId="48" fillId="0" borderId="48" xfId="0" applyNumberFormat="1" applyFont="1" applyBorder="1"/>
    <xf numFmtId="170" fontId="48" fillId="0" borderId="48" xfId="2" applyNumberFormat="1" applyFont="1" applyBorder="1" applyAlignment="1">
      <alignment horizontal="right"/>
    </xf>
    <xf numFmtId="164" fontId="48" fillId="0" borderId="56" xfId="0" applyFont="1" applyBorder="1"/>
    <xf numFmtId="166" fontId="150" fillId="0" borderId="48" xfId="0" applyNumberFormat="1" applyFont="1" applyBorder="1" applyAlignment="1">
      <alignment horizontal="centerContinuous"/>
    </xf>
    <xf numFmtId="166" fontId="41" fillId="0" borderId="21" xfId="0" applyNumberFormat="1" applyFont="1" applyBorder="1"/>
    <xf numFmtId="174" fontId="41" fillId="0" borderId="21" xfId="0" applyNumberFormat="1" applyFont="1" applyBorder="1"/>
    <xf numFmtId="169" fontId="41" fillId="0" borderId="0" xfId="0" applyNumberFormat="1" applyFont="1"/>
    <xf numFmtId="170" fontId="41" fillId="0" borderId="21" xfId="0" applyNumberFormat="1" applyFont="1" applyBorder="1"/>
    <xf numFmtId="170" fontId="41" fillId="0" borderId="21" xfId="0" applyNumberFormat="1" applyFont="1" applyBorder="1" applyAlignment="1">
      <alignment horizontal="center"/>
    </xf>
    <xf numFmtId="170" fontId="48" fillId="0" borderId="21" xfId="0" applyNumberFormat="1" applyFont="1" applyBorder="1"/>
    <xf numFmtId="170" fontId="41" fillId="0" borderId="48" xfId="0" applyNumberFormat="1" applyFont="1" applyBorder="1" applyAlignment="1">
      <alignment horizontal="right"/>
    </xf>
    <xf numFmtId="170" fontId="48" fillId="0" borderId="21" xfId="0" applyNumberFormat="1" applyFont="1" applyBorder="1" applyAlignment="1">
      <alignment horizontal="center"/>
    </xf>
    <xf numFmtId="170" fontId="61" fillId="0" borderId="21" xfId="0" applyNumberFormat="1" applyFont="1" applyBorder="1"/>
    <xf numFmtId="170" fontId="48" fillId="0" borderId="48" xfId="0" applyNumberFormat="1" applyFont="1" applyBorder="1" applyAlignment="1">
      <alignment horizontal="center"/>
    </xf>
    <xf numFmtId="174" fontId="61" fillId="0" borderId="56" xfId="0" applyNumberFormat="1" applyFont="1" applyBorder="1"/>
    <xf numFmtId="165" fontId="41" fillId="0" borderId="0" xfId="2" applyNumberFormat="1" applyAlignment="1">
      <alignment horizontal="center"/>
    </xf>
    <xf numFmtId="0" fontId="41" fillId="0" borderId="71" xfId="2" applyBorder="1"/>
    <xf numFmtId="165" fontId="41" fillId="0" borderId="71" xfId="2" applyNumberFormat="1" applyBorder="1"/>
    <xf numFmtId="166" fontId="48" fillId="0" borderId="48" xfId="2" quotePrefix="1" applyNumberFormat="1" applyFont="1" applyBorder="1" applyAlignment="1">
      <alignment horizontal="center"/>
    </xf>
    <xf numFmtId="0" fontId="41" fillId="0" borderId="78" xfId="2" applyBorder="1"/>
    <xf numFmtId="174" fontId="41" fillId="0" borderId="54" xfId="2" applyNumberFormat="1" applyBorder="1"/>
    <xf numFmtId="170" fontId="41" fillId="0" borderId="52" xfId="2" applyNumberFormat="1" applyBorder="1"/>
    <xf numFmtId="170" fontId="41" fillId="0" borderId="48" xfId="2" quotePrefix="1" applyNumberFormat="1" applyBorder="1" applyAlignment="1">
      <alignment horizontal="right"/>
    </xf>
    <xf numFmtId="170" fontId="48" fillId="0" borderId="79" xfId="2" applyNumberFormat="1" applyFont="1" applyBorder="1"/>
    <xf numFmtId="170" fontId="48" fillId="0" borderId="80" xfId="2" applyNumberFormat="1" applyFont="1" applyBorder="1"/>
    <xf numFmtId="172" fontId="48" fillId="0" borderId="66" xfId="2" applyNumberFormat="1" applyFont="1" applyBorder="1"/>
    <xf numFmtId="170" fontId="48" fillId="0" borderId="48" xfId="2" quotePrefix="1" applyNumberFormat="1" applyFont="1" applyBorder="1" applyAlignment="1">
      <alignment horizontal="center"/>
    </xf>
    <xf numFmtId="0" fontId="41" fillId="0" borderId="0" xfId="2" quotePrefix="1"/>
    <xf numFmtId="193" fontId="41" fillId="0" borderId="48" xfId="0" applyNumberFormat="1" applyFont="1" applyBorder="1"/>
    <xf numFmtId="0" fontId="41" fillId="0" borderId="0" xfId="2" quotePrefix="1" applyAlignment="1">
      <alignment horizontal="center"/>
    </xf>
    <xf numFmtId="170" fontId="48" fillId="0" borderId="81" xfId="2" quotePrefix="1" applyNumberFormat="1" applyFont="1" applyBorder="1" applyAlignment="1">
      <alignment horizontal="right"/>
    </xf>
    <xf numFmtId="170" fontId="48" fillId="0" borderId="82" xfId="2" quotePrefix="1" applyNumberFormat="1" applyFont="1" applyBorder="1"/>
    <xf numFmtId="164" fontId="48" fillId="0" borderId="66" xfId="2" applyNumberFormat="1" applyFont="1" applyBorder="1"/>
    <xf numFmtId="174" fontId="48" fillId="0" borderId="71" xfId="2" applyNumberFormat="1" applyFont="1" applyBorder="1"/>
    <xf numFmtId="174" fontId="48" fillId="0" borderId="78" xfId="2" applyNumberFormat="1" applyFont="1" applyBorder="1"/>
    <xf numFmtId="174" fontId="48" fillId="0" borderId="83" xfId="2" applyNumberFormat="1" applyFont="1" applyBorder="1"/>
    <xf numFmtId="172" fontId="48" fillId="0" borderId="59" xfId="2" applyNumberFormat="1" applyFont="1" applyBorder="1"/>
    <xf numFmtId="165" fontId="41" fillId="0" borderId="84" xfId="2" applyNumberFormat="1" applyBorder="1"/>
    <xf numFmtId="0" fontId="41" fillId="0" borderId="85" xfId="2" applyBorder="1"/>
    <xf numFmtId="0" fontId="41" fillId="0" borderId="84" xfId="2" applyBorder="1"/>
    <xf numFmtId="174" fontId="41" fillId="0" borderId="48" xfId="2" applyNumberFormat="1" applyBorder="1"/>
    <xf numFmtId="170" fontId="48" fillId="0" borderId="66" xfId="2" applyNumberFormat="1" applyFont="1" applyBorder="1" applyAlignment="1">
      <alignment horizontal="right"/>
    </xf>
    <xf numFmtId="170" fontId="48" fillId="0" borderId="81" xfId="2" applyNumberFormat="1" applyFont="1" applyBorder="1" applyAlignment="1">
      <alignment horizontal="right"/>
    </xf>
    <xf numFmtId="170" fontId="48" fillId="0" borderId="82" xfId="2" applyNumberFormat="1" applyFont="1" applyBorder="1" applyAlignment="1">
      <alignment horizontal="right"/>
    </xf>
    <xf numFmtId="170" fontId="48" fillId="0" borderId="66" xfId="2" applyNumberFormat="1" applyFont="1" applyBorder="1" applyProtection="1">
      <protection locked="0"/>
    </xf>
    <xf numFmtId="164" fontId="48" fillId="0" borderId="66" xfId="2" applyNumberFormat="1" applyFont="1" applyBorder="1" applyProtection="1">
      <protection locked="0"/>
    </xf>
    <xf numFmtId="170" fontId="41" fillId="0" borderId="86" xfId="2" applyNumberFormat="1" applyBorder="1"/>
    <xf numFmtId="170" fontId="48" fillId="0" borderId="66" xfId="2" applyNumberFormat="1" applyFont="1" applyBorder="1" applyAlignment="1">
      <alignment horizontal="center"/>
    </xf>
    <xf numFmtId="170" fontId="48" fillId="0" borderId="81" xfId="2" applyNumberFormat="1" applyFont="1" applyBorder="1" applyAlignment="1">
      <alignment horizontal="center"/>
    </xf>
    <xf numFmtId="170" fontId="48" fillId="0" borderId="82" xfId="2" applyNumberFormat="1" applyFont="1" applyBorder="1" applyAlignment="1">
      <alignment horizontal="center"/>
    </xf>
    <xf numFmtId="170" fontId="41" fillId="0" borderId="84" xfId="2" applyNumberFormat="1" applyBorder="1"/>
    <xf numFmtId="170" fontId="48" fillId="0" borderId="48" xfId="2" quotePrefix="1" applyNumberFormat="1" applyFont="1" applyBorder="1" applyAlignment="1">
      <alignment horizontal="right"/>
    </xf>
    <xf numFmtId="174" fontId="48" fillId="0" borderId="71" xfId="2" applyNumberFormat="1" applyFont="1" applyBorder="1" applyAlignment="1">
      <alignment horizontal="right"/>
    </xf>
    <xf numFmtId="174" fontId="48" fillId="0" borderId="87" xfId="2" applyNumberFormat="1" applyFont="1" applyBorder="1" applyAlignment="1">
      <alignment horizontal="right"/>
    </xf>
    <xf numFmtId="174" fontId="48" fillId="0" borderId="88" xfId="2" applyNumberFormat="1" applyFont="1" applyBorder="1" applyAlignment="1">
      <alignment horizontal="right"/>
    </xf>
    <xf numFmtId="174" fontId="48" fillId="0" borderId="59" xfId="2" quotePrefix="1" applyNumberFormat="1" applyFont="1" applyBorder="1"/>
    <xf numFmtId="0" fontId="41" fillId="33" borderId="48" xfId="2" applyFill="1" applyBorder="1" applyAlignment="1">
      <alignment horizontal="center"/>
    </xf>
    <xf numFmtId="37" fontId="46" fillId="0" borderId="71" xfId="2" applyNumberFormat="1" applyFont="1" applyBorder="1"/>
    <xf numFmtId="166" fontId="41" fillId="0" borderId="0" xfId="2" quotePrefix="1" applyNumberFormat="1" applyAlignment="1">
      <alignment horizontal="center"/>
    </xf>
    <xf numFmtId="37" fontId="41" fillId="0" borderId="48" xfId="2" applyNumberFormat="1" applyBorder="1"/>
    <xf numFmtId="37" fontId="48" fillId="0" borderId="48" xfId="2" applyNumberFormat="1" applyFont="1" applyBorder="1" applyAlignment="1" applyProtection="1">
      <alignment horizontal="centerContinuous"/>
      <protection locked="0"/>
    </xf>
    <xf numFmtId="37" fontId="48" fillId="0" borderId="89" xfId="2" applyNumberFormat="1" applyFont="1" applyBorder="1" applyAlignment="1">
      <alignment horizontal="centerContinuous"/>
    </xf>
    <xf numFmtId="37" fontId="48" fillId="0" borderId="11" xfId="2" applyNumberFormat="1" applyFont="1" applyBorder="1" applyAlignment="1">
      <alignment horizontal="center"/>
    </xf>
    <xf numFmtId="37" fontId="48" fillId="0" borderId="82" xfId="2" applyNumberFormat="1" applyFont="1" applyBorder="1"/>
    <xf numFmtId="37" fontId="132" fillId="0" borderId="48" xfId="2" applyNumberFormat="1" applyFont="1" applyBorder="1"/>
    <xf numFmtId="165" fontId="48" fillId="0" borderId="71" xfId="0" applyNumberFormat="1" applyFont="1" applyBorder="1" applyAlignment="1">
      <alignment horizontal="center"/>
    </xf>
    <xf numFmtId="165" fontId="48" fillId="0" borderId="71" xfId="0" quotePrefix="1" applyNumberFormat="1" applyFont="1" applyBorder="1" applyAlignment="1">
      <alignment horizontal="center"/>
    </xf>
    <xf numFmtId="0" fontId="48" fillId="0" borderId="71" xfId="0" applyNumberFormat="1" applyFont="1" applyBorder="1" applyAlignment="1">
      <alignment horizontal="center"/>
    </xf>
    <xf numFmtId="165" fontId="48" fillId="0" borderId="72" xfId="0" applyNumberFormat="1" applyFont="1" applyBorder="1" applyAlignment="1">
      <alignment horizontal="center"/>
    </xf>
    <xf numFmtId="165" fontId="41" fillId="0" borderId="71" xfId="0" applyNumberFormat="1" applyFont="1" applyBorder="1"/>
    <xf numFmtId="170" fontId="48" fillId="0" borderId="71" xfId="0" quotePrefix="1" applyNumberFormat="1" applyFont="1" applyBorder="1"/>
    <xf numFmtId="170" fontId="48" fillId="0" borderId="28" xfId="0" quotePrefix="1" applyNumberFormat="1" applyFont="1" applyBorder="1"/>
    <xf numFmtId="164" fontId="67" fillId="0" borderId="28" xfId="0" applyFont="1" applyBorder="1"/>
    <xf numFmtId="170" fontId="41" fillId="0" borderId="71" xfId="0" quotePrefix="1" applyNumberFormat="1" applyFont="1" applyBorder="1" applyAlignment="1">
      <alignment horizontal="center"/>
    </xf>
    <xf numFmtId="170" fontId="48" fillId="0" borderId="71" xfId="0" applyNumberFormat="1" applyFont="1" applyBorder="1"/>
    <xf numFmtId="170" fontId="41" fillId="0" borderId="71" xfId="0" applyNumberFormat="1" applyFont="1" applyBorder="1"/>
    <xf numFmtId="166" fontId="48" fillId="0" borderId="71" xfId="0" applyNumberFormat="1" applyFont="1" applyBorder="1"/>
    <xf numFmtId="166" fontId="48" fillId="0" borderId="72" xfId="0" applyNumberFormat="1" applyFont="1" applyBorder="1"/>
    <xf numFmtId="164" fontId="67" fillId="0" borderId="72" xfId="0" applyFont="1" applyBorder="1"/>
    <xf numFmtId="164" fontId="67" fillId="0" borderId="56" xfId="0" applyFont="1" applyBorder="1"/>
    <xf numFmtId="166" fontId="62" fillId="0" borderId="71" xfId="2" applyNumberFormat="1" applyFont="1" applyBorder="1"/>
    <xf numFmtId="170" fontId="48" fillId="0" borderId="73" xfId="0" applyNumberFormat="1" applyFont="1" applyBorder="1"/>
    <xf numFmtId="170" fontId="61" fillId="0" borderId="76" xfId="2" applyNumberFormat="1" applyFont="1" applyBorder="1"/>
    <xf numFmtId="164" fontId="48" fillId="0" borderId="76" xfId="0" applyFont="1" applyBorder="1" applyProtection="1">
      <protection locked="0"/>
    </xf>
    <xf numFmtId="170" fontId="48" fillId="0" borderId="48" xfId="5" applyNumberFormat="1" applyFont="1" applyFill="1" applyBorder="1"/>
    <xf numFmtId="166" fontId="62" fillId="0" borderId="72" xfId="2" applyNumberFormat="1" applyFont="1" applyBorder="1"/>
    <xf numFmtId="170" fontId="62" fillId="0" borderId="72" xfId="2" applyNumberFormat="1" applyFont="1" applyBorder="1"/>
    <xf numFmtId="166" fontId="41" fillId="0" borderId="0" xfId="2" quotePrefix="1" applyNumberFormat="1" applyAlignment="1">
      <alignment horizontal="left"/>
    </xf>
    <xf numFmtId="170" fontId="48" fillId="0" borderId="48" xfId="5" applyNumberFormat="1" applyFont="1" applyFill="1" applyBorder="1" applyProtection="1"/>
    <xf numFmtId="166" fontId="62" fillId="0" borderId="29" xfId="2" applyNumberFormat="1" applyFont="1" applyBorder="1"/>
    <xf numFmtId="170" fontId="61" fillId="0" borderId="28" xfId="2" applyNumberFormat="1" applyFont="1" applyBorder="1"/>
    <xf numFmtId="170" fontId="62" fillId="0" borderId="71" xfId="2" applyNumberFormat="1" applyFont="1" applyBorder="1"/>
    <xf numFmtId="1" fontId="48" fillId="0" borderId="48" xfId="2" quotePrefix="1" applyNumberFormat="1" applyFont="1" applyBorder="1" applyAlignment="1">
      <alignment horizontal="center"/>
    </xf>
    <xf numFmtId="0" fontId="41" fillId="0" borderId="17" xfId="2" applyBorder="1"/>
    <xf numFmtId="172" fontId="41" fillId="0" borderId="48" xfId="2" applyNumberFormat="1" applyBorder="1"/>
    <xf numFmtId="172" fontId="41" fillId="0" borderId="48" xfId="0" applyNumberFormat="1" applyFont="1" applyBorder="1"/>
    <xf numFmtId="170" fontId="41" fillId="0" borderId="29" xfId="2" applyNumberFormat="1" applyBorder="1"/>
    <xf numFmtId="3" fontId="41" fillId="0" borderId="0" xfId="2" applyNumberFormat="1" applyAlignment="1">
      <alignment horizontal="left"/>
    </xf>
    <xf numFmtId="164" fontId="48" fillId="0" borderId="48" xfId="2" quotePrefix="1" applyNumberFormat="1" applyFont="1" applyBorder="1" applyAlignment="1">
      <alignment horizontal="right"/>
    </xf>
    <xf numFmtId="166" fontId="41" fillId="0" borderId="71" xfId="2" applyNumberFormat="1" applyBorder="1"/>
    <xf numFmtId="164" fontId="41" fillId="0" borderId="71" xfId="2" applyNumberFormat="1" applyBorder="1"/>
    <xf numFmtId="165" fontId="41" fillId="0" borderId="15" xfId="2" applyNumberFormat="1" applyBorder="1"/>
    <xf numFmtId="165" fontId="41" fillId="0" borderId="18" xfId="2" applyNumberFormat="1" applyBorder="1"/>
    <xf numFmtId="165" fontId="41" fillId="0" borderId="30" xfId="2" applyNumberFormat="1" applyBorder="1"/>
    <xf numFmtId="170" fontId="41" fillId="0" borderId="30" xfId="2" applyNumberFormat="1" applyBorder="1" applyAlignment="1">
      <alignment horizontal="center"/>
    </xf>
    <xf numFmtId="165" fontId="41" fillId="0" borderId="0" xfId="2" applyNumberFormat="1" applyAlignment="1">
      <alignment horizontal="left"/>
    </xf>
    <xf numFmtId="170" fontId="41" fillId="0" borderId="69" xfId="2" applyNumberFormat="1" applyBorder="1"/>
    <xf numFmtId="170" fontId="41" fillId="0" borderId="72" xfId="2" applyNumberFormat="1" applyBorder="1"/>
    <xf numFmtId="164" fontId="41" fillId="0" borderId="72" xfId="2" applyNumberFormat="1" applyBorder="1"/>
    <xf numFmtId="170" fontId="41" fillId="0" borderId="0" xfId="5" applyNumberFormat="1" applyFont="1" applyFill="1" applyProtection="1"/>
    <xf numFmtId="170" fontId="41" fillId="0" borderId="0" xfId="5" applyNumberFormat="1" applyFont="1" applyFill="1" applyBorder="1" applyProtection="1"/>
    <xf numFmtId="168" fontId="41" fillId="0" borderId="23" xfId="2" applyNumberFormat="1" applyBorder="1"/>
    <xf numFmtId="165" fontId="41" fillId="0" borderId="21" xfId="2" applyNumberFormat="1" applyBorder="1"/>
    <xf numFmtId="164" fontId="48" fillId="0" borderId="76" xfId="2" applyNumberFormat="1" applyFont="1" applyBorder="1" applyProtection="1">
      <protection locked="0"/>
    </xf>
    <xf numFmtId="170" fontId="48" fillId="0" borderId="48" xfId="1046" applyNumberFormat="1" applyFont="1" applyFill="1" applyBorder="1"/>
    <xf numFmtId="164" fontId="48" fillId="0" borderId="48" xfId="1046" applyNumberFormat="1" applyFont="1" applyFill="1" applyBorder="1"/>
    <xf numFmtId="170" fontId="41" fillId="0" borderId="48" xfId="0" quotePrefix="1" applyNumberFormat="1" applyFont="1" applyBorder="1" applyAlignment="1">
      <alignment horizontal="right"/>
    </xf>
    <xf numFmtId="166" fontId="41" fillId="0" borderId="21" xfId="2" applyNumberFormat="1" applyBorder="1"/>
    <xf numFmtId="164" fontId="48" fillId="0" borderId="48" xfId="2" applyNumberFormat="1" applyFont="1" applyBorder="1" applyAlignment="1">
      <alignment horizontal="center"/>
    </xf>
    <xf numFmtId="165" fontId="41" fillId="0" borderId="17" xfId="2" applyNumberFormat="1" applyBorder="1"/>
    <xf numFmtId="166" fontId="41" fillId="0" borderId="17" xfId="2" applyNumberFormat="1" applyBorder="1"/>
    <xf numFmtId="164" fontId="48" fillId="0" borderId="28" xfId="2" applyNumberFormat="1" applyFont="1" applyBorder="1" applyAlignment="1">
      <alignment horizontal="right"/>
    </xf>
    <xf numFmtId="170" fontId="41" fillId="0" borderId="72" xfId="2" applyNumberFormat="1" applyBorder="1" applyAlignment="1">
      <alignment horizontal="right"/>
    </xf>
    <xf numFmtId="172" fontId="48" fillId="0" borderId="48" xfId="2" applyNumberFormat="1" applyFont="1" applyBorder="1" applyAlignment="1">
      <alignment horizontal="right"/>
    </xf>
    <xf numFmtId="164" fontId="41" fillId="0" borderId="72" xfId="2" applyNumberFormat="1" applyBorder="1" applyAlignment="1">
      <alignment horizontal="right"/>
    </xf>
    <xf numFmtId="172" fontId="48" fillId="0" borderId="16" xfId="2" applyNumberFormat="1" applyFont="1" applyBorder="1"/>
    <xf numFmtId="0" fontId="48" fillId="0" borderId="48" xfId="4" applyFont="1" applyBorder="1" applyAlignment="1">
      <alignment horizontal="center"/>
    </xf>
    <xf numFmtId="166" fontId="48" fillId="0" borderId="48" xfId="4" applyNumberFormat="1" applyFont="1" applyBorder="1" applyAlignment="1">
      <alignment horizontal="center"/>
    </xf>
    <xf numFmtId="166" fontId="41" fillId="0" borderId="0" xfId="4" applyNumberFormat="1" applyFont="1" applyAlignment="1">
      <alignment horizontal="center"/>
    </xf>
    <xf numFmtId="0" fontId="41" fillId="0" borderId="0" xfId="4" quotePrefix="1" applyFont="1" applyAlignment="1">
      <alignment horizontal="center"/>
    </xf>
    <xf numFmtId="169" fontId="41" fillId="0" borderId="0" xfId="4" applyNumberFormat="1" applyFont="1" applyAlignment="1">
      <alignment horizontal="center"/>
    </xf>
    <xf numFmtId="0" fontId="41" fillId="0" borderId="15" xfId="4" applyFont="1" applyBorder="1" applyAlignment="1">
      <alignment horizontal="center"/>
    </xf>
    <xf numFmtId="170" fontId="41" fillId="0" borderId="0" xfId="4" applyNumberFormat="1" applyFont="1" applyAlignment="1">
      <alignment horizontal="center"/>
    </xf>
    <xf numFmtId="164" fontId="41" fillId="0" borderId="0" xfId="4" applyNumberFormat="1" applyFont="1"/>
    <xf numFmtId="170" fontId="41" fillId="0" borderId="48" xfId="4" quotePrefix="1" applyNumberFormat="1" applyFont="1" applyBorder="1"/>
    <xf numFmtId="170" fontId="48" fillId="0" borderId="48" xfId="4" applyNumberFormat="1" applyFont="1" applyBorder="1"/>
    <xf numFmtId="170" fontId="41" fillId="0" borderId="48" xfId="4" applyNumberFormat="1" applyFont="1" applyBorder="1"/>
    <xf numFmtId="170" fontId="41" fillId="0" borderId="0" xfId="4" applyNumberFormat="1" applyFont="1" applyAlignment="1">
      <alignment horizontal="right"/>
    </xf>
    <xf numFmtId="170" fontId="0" fillId="0" borderId="48" xfId="2" applyNumberFormat="1" applyFont="1" applyBorder="1"/>
    <xf numFmtId="172" fontId="0" fillId="0" borderId="48" xfId="2" applyNumberFormat="1" applyFont="1" applyBorder="1"/>
    <xf numFmtId="170" fontId="41" fillId="0" borderId="0" xfId="2" applyNumberFormat="1" applyAlignment="1">
      <alignment horizontal="right" vertical="center"/>
    </xf>
    <xf numFmtId="170" fontId="41" fillId="0" borderId="18" xfId="2" applyNumberFormat="1" applyBorder="1" applyAlignment="1">
      <alignment horizontal="right" vertical="center"/>
    </xf>
    <xf numFmtId="170" fontId="41" fillId="0" borderId="0" xfId="5" applyNumberFormat="1" applyFont="1" applyFill="1"/>
    <xf numFmtId="170" fontId="48" fillId="0" borderId="48" xfId="1" applyNumberFormat="1" applyFont="1" applyBorder="1" applyAlignment="1"/>
    <xf numFmtId="170" fontId="48" fillId="0" borderId="48" xfId="1" applyNumberFormat="1" applyFont="1" applyFill="1" applyBorder="1" applyAlignment="1"/>
    <xf numFmtId="169" fontId="41" fillId="0" borderId="18" xfId="2" applyNumberFormat="1" applyBorder="1"/>
    <xf numFmtId="164" fontId="41" fillId="0" borderId="28" xfId="0" applyFont="1" applyBorder="1"/>
    <xf numFmtId="170" fontId="48" fillId="0" borderId="28" xfId="5" applyNumberFormat="1" applyFont="1" applyFill="1" applyBorder="1" applyProtection="1"/>
    <xf numFmtId="172" fontId="41" fillId="0" borderId="0" xfId="1940" applyNumberFormat="1" applyFont="1" applyFill="1" applyBorder="1" applyAlignment="1" applyProtection="1"/>
    <xf numFmtId="169" fontId="41" fillId="0" borderId="0" xfId="6" applyNumberFormat="1" applyFont="1" applyFill="1" applyBorder="1" applyAlignment="1" applyProtection="1"/>
    <xf numFmtId="164" fontId="48" fillId="0" borderId="28" xfId="0" applyFont="1" applyBorder="1" applyProtection="1">
      <protection locked="0"/>
    </xf>
    <xf numFmtId="170" fontId="41" fillId="0" borderId="0" xfId="2" quotePrefix="1" applyNumberFormat="1" applyAlignment="1">
      <alignment horizontal="left"/>
    </xf>
    <xf numFmtId="170" fontId="41" fillId="0" borderId="48" xfId="1" applyNumberFormat="1" applyFont="1" applyFill="1" applyBorder="1" applyAlignment="1">
      <alignment horizontal="center"/>
    </xf>
    <xf numFmtId="170" fontId="41" fillId="0" borderId="0" xfId="1" applyNumberFormat="1" applyFont="1" applyFill="1" applyBorder="1" applyAlignment="1">
      <alignment horizontal="center"/>
    </xf>
    <xf numFmtId="169" fontId="69" fillId="0" borderId="0" xfId="2" applyNumberFormat="1" applyFont="1" applyAlignment="1" applyProtection="1">
      <alignment horizontal="right"/>
      <protection locked="0"/>
    </xf>
    <xf numFmtId="165" fontId="69" fillId="0" borderId="0" xfId="2" applyNumberFormat="1" applyFont="1" applyAlignment="1">
      <alignment horizontal="center"/>
    </xf>
    <xf numFmtId="165" fontId="69" fillId="0" borderId="0" xfId="2" quotePrefix="1" applyNumberFormat="1" applyFont="1" applyAlignment="1">
      <alignment horizontal="center"/>
    </xf>
    <xf numFmtId="165" fontId="69" fillId="0" borderId="48" xfId="2" applyNumberFormat="1" applyFont="1" applyBorder="1" applyAlignment="1">
      <alignment horizontal="center"/>
    </xf>
    <xf numFmtId="166" fontId="79" fillId="0" borderId="71" xfId="2" applyNumberFormat="1" applyFont="1" applyBorder="1"/>
    <xf numFmtId="166" fontId="64" fillId="0" borderId="15" xfId="2" applyNumberFormat="1" applyFont="1" applyBorder="1" applyProtection="1">
      <protection locked="0"/>
    </xf>
    <xf numFmtId="10" fontId="64" fillId="0" borderId="0" xfId="2" applyNumberFormat="1" applyFont="1"/>
    <xf numFmtId="170" fontId="64" fillId="0" borderId="0" xfId="1" applyNumberFormat="1" applyFont="1" applyFill="1" applyAlignment="1">
      <alignment horizontal="center"/>
    </xf>
    <xf numFmtId="172" fontId="64" fillId="0" borderId="0" xfId="0" applyNumberFormat="1" applyFont="1"/>
    <xf numFmtId="0" fontId="64" fillId="0" borderId="15" xfId="2" applyFont="1" applyBorder="1"/>
    <xf numFmtId="170" fontId="64" fillId="0" borderId="48" xfId="1" applyNumberFormat="1" applyFont="1" applyFill="1" applyBorder="1" applyAlignment="1">
      <alignment horizontal="center"/>
    </xf>
    <xf numFmtId="172" fontId="64" fillId="0" borderId="48" xfId="0" applyNumberFormat="1" applyFont="1" applyBorder="1"/>
    <xf numFmtId="170" fontId="79" fillId="0" borderId="71" xfId="2" applyNumberFormat="1" applyFont="1" applyBorder="1"/>
    <xf numFmtId="166" fontId="69" fillId="0" borderId="0" xfId="2" applyNumberFormat="1" applyFont="1"/>
    <xf numFmtId="199" fontId="69" fillId="0" borderId="48" xfId="1940" applyNumberFormat="1" applyFont="1" applyBorder="1" applyAlignment="1"/>
    <xf numFmtId="10" fontId="64" fillId="0" borderId="0" xfId="1940" applyNumberFormat="1" applyFont="1" applyBorder="1" applyAlignment="1"/>
    <xf numFmtId="166" fontId="64" fillId="0" borderId="15" xfId="2" applyNumberFormat="1" applyFont="1" applyBorder="1" applyAlignment="1" applyProtection="1">
      <alignment horizontal="center"/>
      <protection locked="0"/>
    </xf>
    <xf numFmtId="172" fontId="64" fillId="0" borderId="0" xfId="1940" applyNumberFormat="1" applyFont="1" applyAlignment="1"/>
    <xf numFmtId="166" fontId="64" fillId="0" borderId="15" xfId="2" quotePrefix="1" applyNumberFormat="1" applyFont="1" applyBorder="1" applyAlignment="1" applyProtection="1">
      <alignment horizontal="right"/>
      <protection locked="0"/>
    </xf>
    <xf numFmtId="199" fontId="64" fillId="0" borderId="48" xfId="1940" applyNumberFormat="1" applyFont="1" applyBorder="1" applyAlignment="1"/>
    <xf numFmtId="166" fontId="69" fillId="0" borderId="15" xfId="2" applyNumberFormat="1" applyFont="1" applyBorder="1"/>
    <xf numFmtId="169" fontId="64" fillId="0" borderId="15" xfId="2" applyNumberFormat="1" applyFont="1" applyBorder="1"/>
    <xf numFmtId="166" fontId="64" fillId="0" borderId="15" xfId="2" applyNumberFormat="1" applyFont="1" applyBorder="1"/>
    <xf numFmtId="172" fontId="69" fillId="0" borderId="48" xfId="1940" applyNumberFormat="1" applyFont="1" applyBorder="1" applyAlignment="1"/>
    <xf numFmtId="169" fontId="64" fillId="0" borderId="0" xfId="2" applyNumberFormat="1" applyFont="1"/>
    <xf numFmtId="10" fontId="64" fillId="0" borderId="0" xfId="1940" applyNumberFormat="1" applyFont="1" applyFill="1" applyBorder="1" applyAlignment="1"/>
    <xf numFmtId="166" fontId="82" fillId="0" borderId="71" xfId="2" applyNumberFormat="1" applyFont="1" applyBorder="1"/>
    <xf numFmtId="164" fontId="69" fillId="0" borderId="16" xfId="1940" applyNumberFormat="1" applyFont="1" applyBorder="1" applyAlignment="1"/>
    <xf numFmtId="165" fontId="64" fillId="0" borderId="71" xfId="2" applyNumberFormat="1" applyFont="1" applyBorder="1"/>
    <xf numFmtId="169" fontId="69" fillId="0" borderId="15" xfId="2" applyNumberFormat="1" applyFont="1" applyBorder="1" applyAlignment="1" applyProtection="1">
      <alignment horizontal="right"/>
      <protection locked="0"/>
    </xf>
    <xf numFmtId="0" fontId="64" fillId="0" borderId="15" xfId="2" applyFont="1" applyBorder="1" applyProtection="1">
      <protection locked="0"/>
    </xf>
    <xf numFmtId="164" fontId="64" fillId="0" borderId="0" xfId="1940" applyNumberFormat="1" applyFont="1" applyBorder="1" applyAlignment="1"/>
    <xf numFmtId="164" fontId="64" fillId="0" borderId="48" xfId="1940" applyNumberFormat="1" applyFont="1" applyFill="1" applyBorder="1" applyAlignment="1"/>
    <xf numFmtId="170" fontId="64" fillId="0" borderId="71" xfId="2" applyNumberFormat="1" applyFont="1" applyBorder="1"/>
    <xf numFmtId="164" fontId="69" fillId="0" borderId="48" xfId="1940" applyNumberFormat="1" applyFont="1" applyBorder="1" applyAlignment="1"/>
    <xf numFmtId="164" fontId="64" fillId="0" borderId="0" xfId="1940" applyNumberFormat="1" applyFont="1" applyAlignment="1"/>
    <xf numFmtId="193" fontId="64" fillId="0" borderId="48" xfId="2" applyNumberFormat="1" applyFont="1" applyBorder="1"/>
    <xf numFmtId="172" fontId="64" fillId="0" borderId="48" xfId="2" applyNumberFormat="1" applyFont="1" applyBorder="1"/>
    <xf numFmtId="170" fontId="64" fillId="0" borderId="71" xfId="2" applyNumberFormat="1" applyFont="1" applyBorder="1" applyAlignment="1">
      <alignment horizontal="center"/>
    </xf>
    <xf numFmtId="0" fontId="64" fillId="0" borderId="71" xfId="2" applyFont="1" applyBorder="1"/>
    <xf numFmtId="0" fontId="69" fillId="0" borderId="48" xfId="2" applyFont="1" applyBorder="1" applyAlignment="1">
      <alignment horizontal="center"/>
    </xf>
    <xf numFmtId="174" fontId="69" fillId="0" borderId="71" xfId="2" quotePrefix="1" applyNumberFormat="1" applyFont="1" applyBorder="1"/>
    <xf numFmtId="170" fontId="69" fillId="0" borderId="71" xfId="2" applyNumberFormat="1" applyFont="1" applyBorder="1" applyAlignment="1">
      <alignment horizontal="right"/>
    </xf>
    <xf numFmtId="170" fontId="69" fillId="0" borderId="76" xfId="2" applyNumberFormat="1" applyFont="1" applyBorder="1"/>
    <xf numFmtId="166" fontId="69" fillId="0" borderId="0" xfId="2" applyNumberFormat="1" applyFont="1" applyAlignment="1">
      <alignment horizontal="right"/>
    </xf>
    <xf numFmtId="164" fontId="69" fillId="0" borderId="76" xfId="1940" applyNumberFormat="1" applyFont="1" applyBorder="1" applyAlignment="1"/>
    <xf numFmtId="170" fontId="64" fillId="0" borderId="71" xfId="2" applyNumberFormat="1" applyFont="1" applyBorder="1" applyProtection="1">
      <protection locked="0"/>
    </xf>
    <xf numFmtId="164" fontId="64" fillId="0" borderId="0" xfId="1940" applyNumberFormat="1" applyFont="1" applyFill="1" applyAlignment="1"/>
    <xf numFmtId="170" fontId="69" fillId="0" borderId="10" xfId="2" applyNumberFormat="1" applyFont="1" applyBorder="1"/>
    <xf numFmtId="172" fontId="69" fillId="0" borderId="10" xfId="0" applyNumberFormat="1" applyFont="1" applyBorder="1"/>
    <xf numFmtId="170" fontId="69" fillId="0" borderId="71" xfId="2" applyNumberFormat="1" applyFont="1" applyBorder="1" applyAlignment="1">
      <alignment horizontal="center"/>
    </xf>
    <xf numFmtId="170" fontId="69" fillId="0" borderId="71" xfId="2" quotePrefix="1" applyNumberFormat="1" applyFont="1" applyBorder="1" applyAlignment="1">
      <alignment horizontal="center"/>
    </xf>
    <xf numFmtId="174" fontId="69" fillId="0" borderId="71" xfId="2" applyNumberFormat="1" applyFont="1" applyBorder="1"/>
    <xf numFmtId="174" fontId="69" fillId="0" borderId="59" xfId="2" applyNumberFormat="1" applyFont="1" applyBorder="1"/>
    <xf numFmtId="172" fontId="69" fillId="0" borderId="59" xfId="1940" applyNumberFormat="1" applyFont="1" applyBorder="1" applyAlignment="1"/>
    <xf numFmtId="165" fontId="69" fillId="0" borderId="10" xfId="2" applyNumberFormat="1" applyFont="1" applyBorder="1" applyAlignment="1">
      <alignment horizontal="center"/>
    </xf>
    <xf numFmtId="174" fontId="69" fillId="0" borderId="71" xfId="2" quotePrefix="1" applyNumberFormat="1" applyFont="1" applyBorder="1" applyAlignment="1">
      <alignment horizontal="right"/>
    </xf>
    <xf numFmtId="164" fontId="69" fillId="0" borderId="0" xfId="1940" applyNumberFormat="1" applyFont="1" applyFill="1" applyAlignment="1"/>
    <xf numFmtId="172" fontId="64" fillId="0" borderId="0" xfId="1940" applyNumberFormat="1" applyFont="1" applyFill="1" applyAlignment="1"/>
    <xf numFmtId="172" fontId="69" fillId="0" borderId="76" xfId="1940" applyNumberFormat="1" applyFont="1" applyBorder="1" applyAlignment="1"/>
    <xf numFmtId="172" fontId="69" fillId="0" borderId="10" xfId="2" applyNumberFormat="1" applyFont="1" applyBorder="1"/>
    <xf numFmtId="170" fontId="64" fillId="0" borderId="0" xfId="2" applyNumberFormat="1" applyFont="1" applyAlignment="1">
      <alignment horizontal="center"/>
    </xf>
    <xf numFmtId="164" fontId="69" fillId="0" borderId="59" xfId="1940" applyNumberFormat="1" applyFont="1" applyBorder="1" applyAlignment="1"/>
    <xf numFmtId="170" fontId="64" fillId="0" borderId="23" xfId="2" applyNumberFormat="1" applyFont="1" applyBorder="1"/>
    <xf numFmtId="177" fontId="48" fillId="0" borderId="66" xfId="740" applyNumberFormat="1" applyFont="1" applyBorder="1" applyAlignment="1">
      <alignment horizontal="right"/>
    </xf>
    <xf numFmtId="177" fontId="48" fillId="0" borderId="66" xfId="740" applyNumberFormat="1" applyFont="1" applyBorder="1"/>
    <xf numFmtId="0" fontId="64" fillId="0" borderId="71" xfId="836" applyFont="1" applyBorder="1"/>
    <xf numFmtId="177" fontId="69" fillId="0" borderId="66" xfId="836" applyNumberFormat="1" applyFont="1" applyBorder="1" applyAlignment="1">
      <alignment horizontal="right"/>
    </xf>
    <xf numFmtId="177" fontId="64" fillId="0" borderId="71" xfId="836" applyNumberFormat="1" applyFont="1" applyBorder="1"/>
    <xf numFmtId="185" fontId="64" fillId="0" borderId="71" xfId="836" applyNumberFormat="1" applyFont="1" applyBorder="1"/>
    <xf numFmtId="0" fontId="69" fillId="0" borderId="71" xfId="836" applyFont="1" applyBorder="1"/>
    <xf numFmtId="177" fontId="64" fillId="0" borderId="10" xfId="1767" applyNumberFormat="1" applyFont="1" applyBorder="1" applyAlignment="1">
      <alignment horizontal="left"/>
    </xf>
    <xf numFmtId="177" fontId="64" fillId="0" borderId="10" xfId="740" applyNumberFormat="1" applyFont="1" applyBorder="1" applyAlignment="1">
      <alignment horizontal="center"/>
    </xf>
    <xf numFmtId="181" fontId="64" fillId="0" borderId="71" xfId="836" applyNumberFormat="1" applyFont="1" applyBorder="1" applyAlignment="1">
      <alignment horizontal="right"/>
    </xf>
    <xf numFmtId="181" fontId="81" fillId="0" borderId="71" xfId="836" applyNumberFormat="1" applyFont="1" applyBorder="1"/>
    <xf numFmtId="177" fontId="69" fillId="0" borderId="10" xfId="836" applyNumberFormat="1" applyFont="1" applyBorder="1" applyAlignment="1">
      <alignment horizontal="right"/>
    </xf>
    <xf numFmtId="177" fontId="69" fillId="0" borderId="58" xfId="836" applyNumberFormat="1" applyFont="1" applyBorder="1" applyAlignment="1">
      <alignment horizontal="right"/>
    </xf>
    <xf numFmtId="0" fontId="47" fillId="0" borderId="10" xfId="0" applyNumberFormat="1" applyFont="1" applyBorder="1" applyAlignment="1">
      <alignment horizontal="center"/>
    </xf>
    <xf numFmtId="43" fontId="47" fillId="0" borderId="10" xfId="9967" quotePrefix="1" applyNumberFormat="1" applyFont="1" applyBorder="1" applyAlignment="1">
      <alignment horizontal="center"/>
    </xf>
    <xf numFmtId="0" fontId="157" fillId="0" borderId="10" xfId="5458" applyNumberFormat="1" applyFont="1" applyBorder="1"/>
    <xf numFmtId="0" fontId="157" fillId="0" borderId="10" xfId="5458" quotePrefix="1" applyNumberFormat="1" applyFont="1" applyBorder="1" applyAlignment="1">
      <alignment horizontal="center"/>
    </xf>
    <xf numFmtId="190" fontId="41" fillId="0" borderId="71" xfId="11" applyNumberFormat="1" applyFont="1" applyFill="1" applyBorder="1" applyAlignment="1"/>
    <xf numFmtId="41" fontId="41" fillId="0" borderId="72" xfId="11" applyNumberFormat="1" applyFont="1" applyFill="1" applyBorder="1" applyAlignment="1"/>
    <xf numFmtId="41" fontId="48" fillId="0" borderId="10" xfId="840" applyNumberFormat="1" applyFont="1" applyBorder="1"/>
    <xf numFmtId="43" fontId="48" fillId="0" borderId="10" xfId="1776" applyNumberFormat="1" applyFont="1" applyBorder="1" applyAlignment="1">
      <alignment horizontal="right"/>
    </xf>
    <xf numFmtId="44" fontId="48" fillId="0" borderId="16" xfId="1776" applyNumberFormat="1" applyFont="1" applyBorder="1" applyAlignment="1">
      <alignment horizontal="right"/>
    </xf>
    <xf numFmtId="164" fontId="69" fillId="0" borderId="10" xfId="0" applyFont="1" applyBorder="1" applyAlignment="1">
      <alignment horizontal="center"/>
    </xf>
    <xf numFmtId="41" fontId="48" fillId="0" borderId="66" xfId="739" applyNumberFormat="1" applyFont="1" applyBorder="1"/>
    <xf numFmtId="42" fontId="99" fillId="0" borderId="16" xfId="739" applyNumberFormat="1" applyFont="1" applyBorder="1"/>
    <xf numFmtId="0" fontId="2" fillId="0" borderId="0" xfId="841" applyFont="1"/>
    <xf numFmtId="41" fontId="41" fillId="0" borderId="72" xfId="11" applyNumberFormat="1" applyFont="1" applyBorder="1" applyAlignment="1"/>
    <xf numFmtId="42" fontId="150" fillId="0" borderId="16" xfId="840" applyNumberFormat="1" applyFont="1" applyBorder="1"/>
    <xf numFmtId="0" fontId="46" fillId="0" borderId="66" xfId="860" applyFont="1" applyBorder="1"/>
    <xf numFmtId="0" fontId="143" fillId="0" borderId="66" xfId="860" applyFont="1" applyBorder="1"/>
    <xf numFmtId="0" fontId="46" fillId="0" borderId="66" xfId="860" applyFont="1" applyBorder="1" applyAlignment="1">
      <alignment horizontal="left"/>
    </xf>
    <xf numFmtId="170" fontId="48" fillId="0" borderId="66" xfId="0" applyNumberFormat="1" applyFont="1" applyBorder="1" applyAlignment="1">
      <alignment horizontal="right"/>
    </xf>
    <xf numFmtId="170" fontId="48" fillId="0" borderId="66" xfId="0" applyNumberFormat="1" applyFont="1" applyBorder="1"/>
    <xf numFmtId="164" fontId="48" fillId="0" borderId="66" xfId="0" applyFont="1" applyBorder="1"/>
    <xf numFmtId="170" fontId="48" fillId="0" borderId="66" xfId="0" applyNumberFormat="1" applyFont="1" applyBorder="1" applyAlignment="1">
      <alignment horizontal="center"/>
    </xf>
    <xf numFmtId="170" fontId="48" fillId="0" borderId="66" xfId="0" quotePrefix="1" applyNumberFormat="1" applyFont="1" applyBorder="1" applyAlignment="1">
      <alignment horizontal="right"/>
    </xf>
    <xf numFmtId="170" fontId="48" fillId="0" borderId="66" xfId="0" quotePrefix="1" applyNumberFormat="1" applyFont="1" applyBorder="1" applyAlignment="1">
      <alignment horizontal="center"/>
    </xf>
    <xf numFmtId="170" fontId="48" fillId="0" borderId="66" xfId="2" applyNumberFormat="1" applyFont="1" applyBorder="1"/>
    <xf numFmtId="170" fontId="48" fillId="0" borderId="28" xfId="4" applyNumberFormat="1" applyFont="1" applyBorder="1"/>
    <xf numFmtId="170" fontId="48" fillId="0" borderId="29" xfId="2" applyNumberFormat="1" applyFont="1" applyBorder="1"/>
    <xf numFmtId="172" fontId="48" fillId="0" borderId="28" xfId="0" applyNumberFormat="1" applyFont="1" applyBorder="1"/>
    <xf numFmtId="170" fontId="41" fillId="0" borderId="29" xfId="5517" applyNumberFormat="1" applyFont="1" applyBorder="1"/>
    <xf numFmtId="170" fontId="41" fillId="0" borderId="29" xfId="4" applyNumberFormat="1" applyFont="1" applyBorder="1"/>
    <xf numFmtId="170" fontId="41" fillId="0" borderId="29" xfId="4" applyNumberFormat="1" applyFont="1" applyBorder="1" applyAlignment="1">
      <alignment horizontal="center"/>
    </xf>
    <xf numFmtId="166" fontId="41" fillId="0" borderId="29" xfId="4" applyNumberFormat="1" applyFont="1" applyBorder="1"/>
    <xf numFmtId="166" fontId="41" fillId="0" borderId="29" xfId="4" applyNumberFormat="1" applyFont="1" applyBorder="1" applyAlignment="1">
      <alignment horizontal="right"/>
    </xf>
    <xf numFmtId="170" fontId="48" fillId="0" borderId="28" xfId="1046" applyNumberFormat="1" applyFont="1" applyFill="1" applyBorder="1"/>
    <xf numFmtId="170" fontId="48" fillId="0" borderId="28" xfId="5" applyNumberFormat="1" applyFont="1" applyFill="1" applyBorder="1"/>
    <xf numFmtId="170" fontId="61" fillId="0" borderId="21" xfId="2" applyNumberFormat="1" applyFont="1" applyBorder="1"/>
    <xf numFmtId="174" fontId="69" fillId="0" borderId="71" xfId="2" applyNumberFormat="1" applyFont="1" applyBorder="1" applyAlignment="1">
      <alignment horizontal="right"/>
    </xf>
    <xf numFmtId="170" fontId="64" fillId="0" borderId="10" xfId="2" applyNumberFormat="1" applyFont="1" applyBorder="1" applyAlignment="1">
      <alignment horizontal="right"/>
    </xf>
    <xf numFmtId="170" fontId="41" fillId="0" borderId="48" xfId="5517" applyNumberFormat="1" applyFont="1" applyBorder="1" applyAlignment="1">
      <alignment horizontal="center"/>
    </xf>
    <xf numFmtId="170" fontId="41" fillId="0" borderId="69" xfId="0" applyNumberFormat="1" applyFont="1" applyBorder="1" applyAlignment="1">
      <alignment horizontal="right"/>
    </xf>
    <xf numFmtId="170" fontId="215" fillId="0" borderId="0" xfId="0" quotePrefix="1" applyNumberFormat="1" applyFont="1" applyAlignment="1">
      <alignment horizontal="right"/>
    </xf>
    <xf numFmtId="170" fontId="216" fillId="0" borderId="71" xfId="0" applyNumberFormat="1" applyFont="1" applyBorder="1"/>
    <xf numFmtId="170" fontId="64" fillId="0" borderId="0" xfId="2" applyNumberFormat="1" applyFont="1" applyAlignment="1" applyProtection="1">
      <alignment horizontal="center"/>
      <protection locked="0"/>
    </xf>
    <xf numFmtId="170" fontId="64" fillId="0" borderId="10" xfId="2" applyNumberFormat="1" applyFont="1" applyBorder="1" applyAlignment="1">
      <alignment horizontal="center"/>
    </xf>
    <xf numFmtId="170" fontId="64" fillId="0" borderId="48" xfId="2" applyNumberFormat="1" applyFont="1" applyBorder="1" applyAlignment="1">
      <alignment horizontal="right"/>
    </xf>
    <xf numFmtId="170" fontId="79" fillId="0" borderId="71" xfId="2" applyNumberFormat="1" applyFont="1" applyBorder="1" applyAlignment="1">
      <alignment horizontal="right"/>
    </xf>
    <xf numFmtId="170" fontId="79" fillId="0" borderId="72" xfId="2" applyNumberFormat="1" applyFont="1" applyBorder="1" applyAlignment="1">
      <alignment horizontal="right"/>
    </xf>
    <xf numFmtId="170" fontId="82" fillId="0" borderId="18" xfId="2" applyNumberFormat="1" applyFont="1" applyBorder="1"/>
    <xf numFmtId="170" fontId="79" fillId="0" borderId="0" xfId="2" quotePrefix="1" applyNumberFormat="1" applyFont="1" applyAlignment="1">
      <alignment horizontal="right"/>
    </xf>
    <xf numFmtId="170" fontId="82" fillId="0" borderId="48" xfId="2" applyNumberFormat="1" applyFont="1" applyBorder="1" applyAlignment="1">
      <alignment horizontal="right"/>
    </xf>
    <xf numFmtId="170" fontId="81" fillId="0" borderId="0" xfId="2" applyNumberFormat="1" applyFont="1" applyAlignment="1">
      <alignment horizontal="right"/>
    </xf>
    <xf numFmtId="170" fontId="82" fillId="0" borderId="0" xfId="2" applyNumberFormat="1" applyFont="1" applyAlignment="1">
      <alignment horizontal="center"/>
    </xf>
    <xf numFmtId="170" fontId="68" fillId="0" borderId="0" xfId="2" applyNumberFormat="1" applyFont="1" applyAlignment="1">
      <alignment horizontal="right"/>
    </xf>
    <xf numFmtId="166" fontId="82" fillId="0" borderId="71" xfId="2" applyNumberFormat="1" applyFont="1" applyBorder="1" applyAlignment="1">
      <alignment horizontal="right"/>
    </xf>
    <xf numFmtId="166" fontId="82" fillId="0" borderId="0" xfId="2" applyNumberFormat="1" applyFont="1" applyAlignment="1">
      <alignment horizontal="right"/>
    </xf>
    <xf numFmtId="166" fontId="78" fillId="0" borderId="0" xfId="2" applyNumberFormat="1" applyFont="1" applyAlignment="1">
      <alignment horizontal="right"/>
    </xf>
    <xf numFmtId="174" fontId="48" fillId="0" borderId="0" xfId="2" quotePrefix="1" applyNumberFormat="1" applyFont="1" applyAlignment="1">
      <alignment horizontal="center"/>
    </xf>
    <xf numFmtId="0" fontId="48" fillId="0" borderId="17" xfId="2" applyFont="1" applyBorder="1" applyAlignment="1">
      <alignment horizontal="center"/>
    </xf>
    <xf numFmtId="174" fontId="41" fillId="0" borderId="17" xfId="2" applyNumberFormat="1" applyBorder="1"/>
    <xf numFmtId="174" fontId="41" fillId="0" borderId="17" xfId="2" applyNumberFormat="1" applyBorder="1" applyAlignment="1">
      <alignment horizontal="right"/>
    </xf>
    <xf numFmtId="174" fontId="48" fillId="0" borderId="17" xfId="2" applyNumberFormat="1" applyFont="1" applyBorder="1"/>
    <xf numFmtId="170" fontId="0" fillId="0" borderId="0" xfId="0" applyNumberFormat="1" applyAlignment="1" applyProtection="1">
      <alignment horizontal="right"/>
      <protection locked="0"/>
    </xf>
    <xf numFmtId="170" fontId="41" fillId="0" borderId="17" xfId="2" applyNumberFormat="1" applyBorder="1" applyAlignment="1">
      <alignment horizontal="right"/>
    </xf>
    <xf numFmtId="0" fontId="216" fillId="0" borderId="0" xfId="2" quotePrefix="1" applyFont="1" applyAlignment="1">
      <alignment horizontal="center"/>
    </xf>
    <xf numFmtId="3" fontId="48" fillId="0" borderId="0" xfId="2" applyNumberFormat="1" applyFont="1" applyAlignment="1">
      <alignment horizontal="center"/>
    </xf>
    <xf numFmtId="3" fontId="41" fillId="0" borderId="71" xfId="2" applyNumberFormat="1" applyBorder="1"/>
    <xf numFmtId="170" fontId="85" fillId="0" borderId="0" xfId="2" applyNumberFormat="1" applyFont="1"/>
    <xf numFmtId="165" fontId="44" fillId="0" borderId="0" xfId="2" applyNumberFormat="1" applyFont="1"/>
    <xf numFmtId="0" fontId="218" fillId="0" borderId="0" xfId="2" applyFont="1"/>
    <xf numFmtId="170" fontId="166" fillId="0" borderId="0" xfId="5517" applyNumberFormat="1" applyFont="1"/>
    <xf numFmtId="170" fontId="166" fillId="0" borderId="0" xfId="2" quotePrefix="1" applyNumberFormat="1" applyFont="1"/>
    <xf numFmtId="165" fontId="166" fillId="0" borderId="0" xfId="2" applyNumberFormat="1" applyFont="1"/>
    <xf numFmtId="165" fontId="219" fillId="0" borderId="0" xfId="2" applyNumberFormat="1" applyFont="1"/>
    <xf numFmtId="164" fontId="166" fillId="0" borderId="0" xfId="0" applyFont="1"/>
    <xf numFmtId="170" fontId="166" fillId="0" borderId="0" xfId="5" applyNumberFormat="1" applyFont="1" applyFill="1" applyProtection="1"/>
    <xf numFmtId="170" fontId="166" fillId="0" borderId="0" xfId="5" applyNumberFormat="1" applyFont="1" applyFill="1" applyBorder="1" applyProtection="1"/>
    <xf numFmtId="170" fontId="166" fillId="0" borderId="0" xfId="2" quotePrefix="1" applyNumberFormat="1" applyFont="1" applyAlignment="1">
      <alignment horizontal="right"/>
    </xf>
    <xf numFmtId="170" fontId="166" fillId="0" borderId="18" xfId="2" applyNumberFormat="1" applyFont="1" applyBorder="1"/>
    <xf numFmtId="170" fontId="166" fillId="0" borderId="0" xfId="2" applyNumberFormat="1" applyFont="1" applyAlignment="1">
      <alignment horizontal="right"/>
    </xf>
    <xf numFmtId="170" fontId="166" fillId="0" borderId="30" xfId="2" applyNumberFormat="1" applyFont="1" applyBorder="1"/>
    <xf numFmtId="170" fontId="220" fillId="0" borderId="0" xfId="2" applyNumberFormat="1" applyFont="1"/>
    <xf numFmtId="165" fontId="87" fillId="0" borderId="0" xfId="2" applyNumberFormat="1" applyFont="1"/>
    <xf numFmtId="170" fontId="215" fillId="0" borderId="0" xfId="2" applyNumberFormat="1" applyFont="1" applyAlignment="1">
      <alignment horizontal="center"/>
    </xf>
    <xf numFmtId="166" fontId="48" fillId="0" borderId="0" xfId="4" applyNumberFormat="1" applyFont="1"/>
    <xf numFmtId="170" fontId="41" fillId="0" borderId="0" xfId="5517" quotePrefix="1" applyNumberFormat="1" applyFont="1" applyAlignment="1">
      <alignment horizontal="right"/>
    </xf>
    <xf numFmtId="166" fontId="41" fillId="0" borderId="0" xfId="2" applyNumberFormat="1" applyAlignment="1">
      <alignment horizontal="center"/>
    </xf>
    <xf numFmtId="170" fontId="0" fillId="0" borderId="17" xfId="2" applyNumberFormat="1" applyFont="1" applyBorder="1"/>
    <xf numFmtId="170" fontId="41" fillId="0" borderId="12" xfId="2" applyNumberFormat="1" applyBorder="1"/>
    <xf numFmtId="166" fontId="166" fillId="0" borderId="0" xfId="2" applyNumberFormat="1" applyFont="1"/>
    <xf numFmtId="170" fontId="166" fillId="0" borderId="0" xfId="2" applyNumberFormat="1" applyFont="1" applyAlignment="1">
      <alignment horizontal="center"/>
    </xf>
    <xf numFmtId="165" fontId="90" fillId="0" borderId="0" xfId="2" applyNumberFormat="1" applyFont="1"/>
    <xf numFmtId="169" fontId="41" fillId="0" borderId="0" xfId="2" quotePrefix="1" applyNumberFormat="1" applyAlignment="1">
      <alignment horizontal="right"/>
    </xf>
    <xf numFmtId="170" fontId="41" fillId="0" borderId="0" xfId="1" applyNumberFormat="1" applyFont="1" applyFill="1" applyBorder="1" applyAlignment="1" applyProtection="1"/>
    <xf numFmtId="170" fontId="90" fillId="0" borderId="0" xfId="2" applyNumberFormat="1" applyFont="1"/>
    <xf numFmtId="170" fontId="48" fillId="0" borderId="26" xfId="2" applyNumberFormat="1" applyFont="1" applyBorder="1"/>
    <xf numFmtId="0" fontId="0" fillId="0" borderId="21" xfId="2" applyFont="1" applyBorder="1"/>
    <xf numFmtId="165" fontId="92" fillId="0" borderId="0" xfId="2" applyNumberFormat="1" applyFont="1" applyAlignment="1">
      <alignment horizontal="left"/>
    </xf>
    <xf numFmtId="193" fontId="41" fillId="0" borderId="0" xfId="2" applyNumberFormat="1" applyAlignment="1">
      <alignment horizontal="right"/>
    </xf>
    <xf numFmtId="170" fontId="41" fillId="0" borderId="15" xfId="2" applyNumberFormat="1" applyBorder="1" applyAlignment="1">
      <alignment horizontal="right"/>
    </xf>
    <xf numFmtId="172" fontId="41" fillId="0" borderId="48" xfId="0" applyNumberFormat="1" applyFont="1" applyBorder="1" applyProtection="1">
      <protection locked="0"/>
    </xf>
    <xf numFmtId="164" fontId="0" fillId="0" borderId="48" xfId="2" applyNumberFormat="1" applyFont="1" applyBorder="1"/>
    <xf numFmtId="170" fontId="0" fillId="0" borderId="72" xfId="2" applyNumberFormat="1" applyFont="1" applyBorder="1" applyAlignment="1">
      <alignment horizontal="center"/>
    </xf>
    <xf numFmtId="0" fontId="0" fillId="0" borderId="0" xfId="2" applyFont="1" applyAlignment="1">
      <alignment horizontal="center"/>
    </xf>
    <xf numFmtId="164" fontId="0" fillId="0" borderId="72" xfId="2" applyNumberFormat="1" applyFont="1" applyBorder="1" applyAlignment="1">
      <alignment horizontal="center"/>
    </xf>
    <xf numFmtId="170" fontId="167" fillId="0" borderId="15" xfId="2" applyNumberFormat="1" applyFont="1" applyBorder="1"/>
    <xf numFmtId="174" fontId="166" fillId="0" borderId="0" xfId="2" applyNumberFormat="1" applyFont="1"/>
    <xf numFmtId="174" fontId="166" fillId="0" borderId="17" xfId="2" applyNumberFormat="1" applyFont="1" applyBorder="1"/>
    <xf numFmtId="174" fontId="167" fillId="0" borderId="15" xfId="2" applyNumberFormat="1" applyFont="1" applyBorder="1"/>
    <xf numFmtId="164" fontId="0" fillId="0" borderId="25" xfId="2" applyNumberFormat="1" applyFont="1" applyBorder="1"/>
    <xf numFmtId="170" fontId="64" fillId="0" borderId="26" xfId="2" applyNumberFormat="1" applyFont="1" applyBorder="1" applyAlignment="1">
      <alignment horizontal="right"/>
    </xf>
    <xf numFmtId="170" fontId="69" fillId="0" borderId="58" xfId="2" applyNumberFormat="1" applyFont="1" applyBorder="1" applyAlignment="1">
      <alignment horizontal="right"/>
    </xf>
    <xf numFmtId="170" fontId="69" fillId="0" borderId="90" xfId="2" quotePrefix="1" applyNumberFormat="1" applyFont="1" applyBorder="1" applyAlignment="1">
      <alignment horizontal="right"/>
    </xf>
    <xf numFmtId="174" fontId="82" fillId="0" borderId="91" xfId="2" applyNumberFormat="1" applyFont="1" applyBorder="1"/>
    <xf numFmtId="177" fontId="212" fillId="0" borderId="0" xfId="740" applyNumberFormat="1" applyFont="1"/>
    <xf numFmtId="177" fontId="48" fillId="0" borderId="10" xfId="740" quotePrefix="1" applyNumberFormat="1" applyFont="1" applyBorder="1" applyAlignment="1">
      <alignment horizontal="center"/>
    </xf>
    <xf numFmtId="177" fontId="48" fillId="0" borderId="26" xfId="740" applyNumberFormat="1" applyFont="1" applyBorder="1" applyAlignment="1">
      <alignment horizontal="center"/>
    </xf>
    <xf numFmtId="177" fontId="48" fillId="0" borderId="10" xfId="740" applyNumberFormat="1" applyFont="1" applyBorder="1" applyAlignment="1">
      <alignment horizontal="center"/>
    </xf>
    <xf numFmtId="180" fontId="41" fillId="0" borderId="0" xfId="1767" applyNumberFormat="1" applyFont="1" applyAlignment="1">
      <alignment horizontal="left"/>
    </xf>
    <xf numFmtId="177" fontId="41" fillId="0" borderId="0" xfId="1767" applyNumberFormat="1" applyFont="1" applyAlignment="1">
      <alignment horizontal="right"/>
    </xf>
    <xf numFmtId="177" fontId="41" fillId="0" borderId="0" xfId="1767" applyNumberFormat="1" applyFont="1" applyAlignment="1">
      <alignment horizontal="left"/>
    </xf>
    <xf numFmtId="177" fontId="41" fillId="0" borderId="0" xfId="0" applyNumberFormat="1" applyFont="1" applyAlignment="1">
      <alignment horizontal="center"/>
    </xf>
    <xf numFmtId="177" fontId="102" fillId="0" borderId="0" xfId="1767" applyNumberFormat="1" applyFont="1"/>
    <xf numFmtId="177" fontId="0" fillId="0" borderId="0" xfId="1767" applyNumberFormat="1" applyFont="1" applyAlignment="1">
      <alignment horizontal="right"/>
    </xf>
    <xf numFmtId="181" fontId="41" fillId="0" borderId="0" xfId="740" applyNumberFormat="1" applyFont="1"/>
    <xf numFmtId="180" fontId="48" fillId="0" borderId="16" xfId="740" applyNumberFormat="1" applyFont="1" applyBorder="1"/>
    <xf numFmtId="181" fontId="48" fillId="0" borderId="0" xfId="740" applyNumberFormat="1" applyFont="1" applyAlignment="1">
      <alignment horizontal="right"/>
    </xf>
    <xf numFmtId="177" fontId="41" fillId="0" borderId="0" xfId="740" quotePrefix="1" applyNumberFormat="1" applyFont="1"/>
    <xf numFmtId="181" fontId="100" fillId="0" borderId="0" xfId="740" applyNumberFormat="1" applyFont="1"/>
    <xf numFmtId="0" fontId="56" fillId="0" borderId="0" xfId="836" applyFont="1"/>
    <xf numFmtId="184" fontId="69" fillId="0" borderId="0" xfId="836" quotePrefix="1" applyNumberFormat="1" applyFont="1" applyAlignment="1">
      <alignment horizontal="center"/>
    </xf>
    <xf numFmtId="0" fontId="65" fillId="0" borderId="71" xfId="836" applyFont="1" applyBorder="1"/>
    <xf numFmtId="177" fontId="64" fillId="0" borderId="0" xfId="836" applyNumberFormat="1" applyFont="1" applyAlignment="1">
      <alignment horizontal="fill"/>
    </xf>
    <xf numFmtId="177" fontId="199" fillId="0" borderId="0" xfId="1767" applyNumberFormat="1" applyFont="1" applyAlignment="1">
      <alignment horizontal="left"/>
    </xf>
    <xf numFmtId="185" fontId="64" fillId="0" borderId="71" xfId="836" applyNumberFormat="1" applyFont="1" applyBorder="1" applyAlignment="1">
      <alignment horizontal="right"/>
    </xf>
    <xf numFmtId="185" fontId="64" fillId="0" borderId="0" xfId="836" applyNumberFormat="1" applyFont="1" applyAlignment="1">
      <alignment horizontal="right"/>
    </xf>
    <xf numFmtId="39" fontId="81" fillId="0" borderId="0" xfId="836" applyNumberFormat="1" applyFont="1"/>
    <xf numFmtId="181" fontId="81" fillId="0" borderId="0" xfId="836" applyNumberFormat="1" applyFont="1"/>
    <xf numFmtId="181" fontId="81" fillId="0" borderId="0" xfId="836" applyNumberFormat="1" applyFont="1" applyAlignment="1">
      <alignment horizontal="left"/>
    </xf>
    <xf numFmtId="185" fontId="64" fillId="0" borderId="0" xfId="836" quotePrefix="1" applyNumberFormat="1" applyFont="1" applyAlignment="1">
      <alignment horizontal="center"/>
    </xf>
    <xf numFmtId="176" fontId="81" fillId="0" borderId="0" xfId="836" applyNumberFormat="1" applyFont="1"/>
    <xf numFmtId="181" fontId="64" fillId="0" borderId="71" xfId="836" applyNumberFormat="1" applyFont="1" applyBorder="1"/>
    <xf numFmtId="177" fontId="64" fillId="0" borderId="0" xfId="836" applyNumberFormat="1" applyFont="1" applyProtection="1">
      <protection locked="0"/>
    </xf>
    <xf numFmtId="173" fontId="64" fillId="0" borderId="0" xfId="836" applyNumberFormat="1" applyFont="1" applyProtection="1">
      <protection locked="0"/>
    </xf>
    <xf numFmtId="176" fontId="64" fillId="0" borderId="0" xfId="836" applyNumberFormat="1" applyFont="1" applyProtection="1">
      <protection locked="0"/>
    </xf>
    <xf numFmtId="176" fontId="64" fillId="0" borderId="0" xfId="836" applyNumberFormat="1" applyFont="1" applyAlignment="1" applyProtection="1">
      <alignment horizontal="right"/>
      <protection locked="0"/>
    </xf>
    <xf numFmtId="176" fontId="64" fillId="0" borderId="0" xfId="836" applyNumberFormat="1" applyFont="1" applyAlignment="1">
      <alignment horizontal="center"/>
    </xf>
    <xf numFmtId="0" fontId="46" fillId="0" borderId="0" xfId="9967" applyFont="1" applyAlignment="1">
      <alignment horizontal="center"/>
    </xf>
    <xf numFmtId="0" fontId="47" fillId="0" borderId="10" xfId="9967" applyFont="1" applyBorder="1" applyAlignment="1">
      <alignment horizontal="centerContinuous"/>
    </xf>
    <xf numFmtId="0" fontId="182" fillId="0" borderId="0" xfId="9967"/>
    <xf numFmtId="0" fontId="46" fillId="0" borderId="64" xfId="9967" applyFont="1" applyBorder="1"/>
    <xf numFmtId="0" fontId="47" fillId="0" borderId="0" xfId="9967" applyFont="1" applyAlignment="1">
      <alignment horizontal="centerContinuous" vertical="top"/>
    </xf>
    <xf numFmtId="0" fontId="47" fillId="0" borderId="0" xfId="9967" applyFont="1" applyAlignment="1">
      <alignment horizontal="centerContinuous"/>
    </xf>
    <xf numFmtId="0" fontId="46" fillId="0" borderId="14" xfId="9967" applyFont="1" applyBorder="1"/>
    <xf numFmtId="0" fontId="46" fillId="0" borderId="0" xfId="9967" applyFont="1"/>
    <xf numFmtId="49" fontId="47" fillId="0" borderId="10" xfId="9967" applyNumberFormat="1" applyFont="1" applyBorder="1" applyAlignment="1">
      <alignment horizontal="center"/>
    </xf>
    <xf numFmtId="186" fontId="47" fillId="0" borderId="10" xfId="9967" applyNumberFormat="1" applyFont="1" applyBorder="1" applyAlignment="1">
      <alignment horizontal="center"/>
    </xf>
    <xf numFmtId="4" fontId="46" fillId="0" borderId="0" xfId="0" applyNumberFormat="1" applyFont="1" applyAlignment="1">
      <alignment horizontal="right"/>
    </xf>
    <xf numFmtId="0" fontId="46" fillId="0" borderId="14" xfId="0" applyNumberFormat="1" applyFont="1" applyBorder="1"/>
    <xf numFmtId="42" fontId="46" fillId="0" borderId="0" xfId="0" applyNumberFormat="1" applyFont="1"/>
    <xf numFmtId="41" fontId="46" fillId="0" borderId="14" xfId="0" applyNumberFormat="1" applyFont="1" applyBorder="1"/>
    <xf numFmtId="41" fontId="217" fillId="0" borderId="0" xfId="0" applyNumberFormat="1" applyFont="1" applyAlignment="1">
      <alignment horizontal="right"/>
    </xf>
    <xf numFmtId="41" fontId="46" fillId="0" borderId="0" xfId="0" quotePrefix="1" applyNumberFormat="1" applyFont="1" applyAlignment="1">
      <alignment horizontal="right"/>
    </xf>
    <xf numFmtId="41" fontId="168" fillId="0" borderId="0" xfId="0" applyNumberFormat="1" applyFont="1" applyAlignment="1">
      <alignment horizontal="right"/>
    </xf>
    <xf numFmtId="3" fontId="46" fillId="0" borderId="0" xfId="0" applyNumberFormat="1" applyFont="1"/>
    <xf numFmtId="0" fontId="47" fillId="0" borderId="31" xfId="0" applyNumberFormat="1" applyFont="1" applyBorder="1"/>
    <xf numFmtId="39" fontId="47" fillId="0" borderId="0" xfId="0" applyNumberFormat="1" applyFont="1" applyAlignment="1">
      <alignment horizontal="center" vertical="top"/>
    </xf>
    <xf numFmtId="7" fontId="47" fillId="0" borderId="0" xfId="0" applyNumberFormat="1" applyFont="1" applyAlignment="1">
      <alignment horizontal="right" vertical="top"/>
    </xf>
    <xf numFmtId="187" fontId="46" fillId="0" borderId="0" xfId="0" applyNumberFormat="1" applyFont="1" applyAlignment="1">
      <alignment horizontal="center" vertical="top"/>
    </xf>
    <xf numFmtId="187" fontId="46" fillId="0" borderId="0" xfId="0" applyNumberFormat="1" applyFont="1"/>
    <xf numFmtId="42" fontId="46" fillId="0" borderId="0" xfId="0" applyNumberFormat="1" applyFont="1" applyAlignment="1">
      <alignment horizontal="right"/>
    </xf>
    <xf numFmtId="39" fontId="46" fillId="0" borderId="0" xfId="0" applyNumberFormat="1" applyFont="1" applyAlignment="1">
      <alignment horizontal="center"/>
    </xf>
    <xf numFmtId="43" fontId="46" fillId="0" borderId="0" xfId="0" applyNumberFormat="1" applyFont="1" applyAlignment="1">
      <alignment horizontal="center"/>
    </xf>
    <xf numFmtId="39" fontId="46" fillId="0" borderId="0" xfId="0" quotePrefix="1" applyNumberFormat="1" applyFont="1" applyAlignment="1">
      <alignment horizontal="center"/>
    </xf>
    <xf numFmtId="43" fontId="46" fillId="0" borderId="0" xfId="0" applyNumberFormat="1" applyFont="1" applyAlignment="1">
      <alignment horizontal="center" vertical="top"/>
    </xf>
    <xf numFmtId="39" fontId="47" fillId="0" borderId="0" xfId="0" applyNumberFormat="1" applyFont="1" applyAlignment="1">
      <alignment horizontal="right"/>
    </xf>
    <xf numFmtId="43" fontId="47" fillId="0" borderId="0" xfId="0" applyNumberFormat="1" applyFont="1" applyAlignment="1">
      <alignment horizontal="center" vertical="top"/>
    </xf>
    <xf numFmtId="0" fontId="46" fillId="0" borderId="0" xfId="0" applyNumberFormat="1" applyFont="1" applyAlignment="1">
      <alignment horizontal="center"/>
    </xf>
    <xf numFmtId="0" fontId="46" fillId="0" borderId="0" xfId="0" applyNumberFormat="1" applyFont="1" applyAlignment="1">
      <alignment horizontal="center" vertical="top"/>
    </xf>
    <xf numFmtId="187" fontId="46" fillId="0" borderId="0" xfId="0" applyNumberFormat="1" applyFont="1" applyAlignment="1">
      <alignment horizontal="right" vertical="top"/>
    </xf>
    <xf numFmtId="0" fontId="69" fillId="0" borderId="0" xfId="5458" applyNumberFormat="1" applyFont="1" applyAlignment="1">
      <alignment horizontal="right" vertical="top"/>
    </xf>
    <xf numFmtId="0" fontId="157" fillId="0" borderId="0" xfId="5458" applyNumberFormat="1" applyFont="1" applyAlignment="1">
      <alignment horizontal="right"/>
    </xf>
    <xf numFmtId="0" fontId="157" fillId="0" borderId="0" xfId="5458" quotePrefix="1" applyNumberFormat="1" applyFont="1" applyAlignment="1">
      <alignment horizontal="center"/>
    </xf>
    <xf numFmtId="0" fontId="157" fillId="0" borderId="0" xfId="5458" applyNumberFormat="1" applyFont="1" applyAlignment="1">
      <alignment horizontal="centerContinuous"/>
    </xf>
    <xf numFmtId="0" fontId="157" fillId="0" borderId="10" xfId="5458" applyNumberFormat="1" applyFont="1" applyBorder="1" applyAlignment="1">
      <alignment horizontal="centerContinuous"/>
    </xf>
    <xf numFmtId="49" fontId="157" fillId="0" borderId="10" xfId="5458" applyNumberFormat="1" applyFont="1" applyBorder="1" applyAlignment="1">
      <alignment horizontal="center"/>
    </xf>
    <xf numFmtId="49" fontId="157" fillId="0" borderId="10" xfId="5458" quotePrefix="1" applyNumberFormat="1" applyFont="1" applyBorder="1" applyAlignment="1">
      <alignment horizontal="center"/>
    </xf>
    <xf numFmtId="0" fontId="157" fillId="0" borderId="66" xfId="5458" applyNumberFormat="1" applyFont="1" applyBorder="1" applyAlignment="1">
      <alignment horizontal="center"/>
    </xf>
    <xf numFmtId="0" fontId="157" fillId="0" borderId="10" xfId="5458" applyNumberFormat="1" applyFont="1" applyBorder="1" applyAlignment="1">
      <alignment horizontal="center"/>
    </xf>
    <xf numFmtId="39" fontId="158" fillId="0" borderId="0" xfId="5458" quotePrefix="1" applyNumberFormat="1" applyFont="1"/>
    <xf numFmtId="39" fontId="156" fillId="0" borderId="0" xfId="5458" applyNumberFormat="1" applyFont="1"/>
    <xf numFmtId="0" fontId="158" fillId="0" borderId="0" xfId="5458" applyNumberFormat="1" applyFont="1"/>
    <xf numFmtId="42" fontId="158" fillId="0" borderId="0" xfId="5488" applyNumberFormat="1" applyFont="1" applyAlignment="1">
      <alignment horizontal="right"/>
    </xf>
    <xf numFmtId="42" fontId="158" fillId="0" borderId="0" xfId="5458" applyNumberFormat="1" applyFont="1" applyAlignment="1">
      <alignment horizontal="right" vertical="top"/>
    </xf>
    <xf numFmtId="41" fontId="158" fillId="0" borderId="0" xfId="5458" applyNumberFormat="1" applyFont="1" applyAlignment="1">
      <alignment horizontal="right"/>
    </xf>
    <xf numFmtId="42" fontId="156" fillId="0" borderId="0" xfId="5458" applyNumberFormat="1" applyFont="1" applyAlignment="1">
      <alignment horizontal="right"/>
    </xf>
    <xf numFmtId="0" fontId="158" fillId="0" borderId="0" xfId="5458" applyNumberFormat="1" applyFont="1" applyAlignment="1">
      <alignment horizontal="right"/>
    </xf>
    <xf numFmtId="41" fontId="158" fillId="0" borderId="0" xfId="5488" applyNumberFormat="1" applyFont="1" applyAlignment="1">
      <alignment horizontal="right"/>
    </xf>
    <xf numFmtId="41" fontId="156" fillId="0" borderId="0" xfId="5458" applyNumberFormat="1" applyFont="1" applyAlignment="1">
      <alignment horizontal="right"/>
    </xf>
    <xf numFmtId="190" fontId="41" fillId="0" borderId="0" xfId="5458" applyNumberFormat="1"/>
    <xf numFmtId="37" fontId="46" fillId="0" borderId="0" xfId="5508" applyNumberFormat="1" applyFont="1"/>
    <xf numFmtId="0" fontId="41" fillId="0" borderId="0" xfId="5458" applyNumberFormat="1"/>
    <xf numFmtId="37" fontId="156" fillId="0" borderId="0" xfId="5458" applyNumberFormat="1" applyFont="1"/>
    <xf numFmtId="42" fontId="156" fillId="0" borderId="0" xfId="5458" applyNumberFormat="1" applyFont="1"/>
    <xf numFmtId="44" fontId="156" fillId="0" borderId="0" xfId="5458" applyNumberFormat="1" applyFont="1"/>
    <xf numFmtId="44" fontId="46" fillId="0" borderId="0" xfId="5508" applyNumberFormat="1" applyFont="1"/>
    <xf numFmtId="42" fontId="46" fillId="0" borderId="0" xfId="5508" applyNumberFormat="1" applyFont="1"/>
    <xf numFmtId="41" fontId="41" fillId="0" borderId="72" xfId="840" quotePrefix="1" applyNumberFormat="1" applyFont="1" applyBorder="1" applyAlignment="1">
      <alignment horizontal="right"/>
    </xf>
    <xf numFmtId="41" fontId="215" fillId="0" borderId="0" xfId="840" applyNumberFormat="1" applyFont="1"/>
    <xf numFmtId="39" fontId="48" fillId="0" borderId="0" xfId="0" applyNumberFormat="1" applyFont="1" applyAlignment="1">
      <alignment horizontal="center"/>
    </xf>
    <xf numFmtId="43" fontId="48" fillId="0" borderId="59" xfId="1028" applyNumberFormat="1" applyFont="1" applyBorder="1" applyAlignment="1">
      <alignment horizontal="right"/>
    </xf>
    <xf numFmtId="43" fontId="48" fillId="0" borderId="59" xfId="1767" applyNumberFormat="1" applyFont="1" applyBorder="1" applyAlignment="1">
      <alignment horizontal="right"/>
    </xf>
    <xf numFmtId="43" fontId="48" fillId="0" borderId="59" xfId="17924" applyFont="1" applyFill="1" applyBorder="1" applyAlignment="1" applyProtection="1">
      <alignment horizontal="right"/>
    </xf>
    <xf numFmtId="43" fontId="48" fillId="0" borderId="59" xfId="0" applyNumberFormat="1" applyFont="1" applyBorder="1" applyAlignment="1">
      <alignment horizontal="right"/>
    </xf>
    <xf numFmtId="43" fontId="48" fillId="0" borderId="0" xfId="1767" applyNumberFormat="1" applyFont="1" applyAlignment="1">
      <alignment horizontal="right"/>
    </xf>
    <xf numFmtId="164" fontId="41" fillId="0" borderId="0" xfId="1767" applyNumberFormat="1" applyFont="1"/>
    <xf numFmtId="164" fontId="100" fillId="0" borderId="0" xfId="1767" applyNumberFormat="1"/>
    <xf numFmtId="7" fontId="48" fillId="0" borderId="0" xfId="1767" applyNumberFormat="1" applyFont="1" applyAlignment="1">
      <alignment horizontal="right"/>
    </xf>
    <xf numFmtId="4" fontId="104" fillId="0" borderId="0" xfId="0" applyNumberFormat="1" applyFont="1" applyAlignment="1">
      <alignment horizontal="left"/>
    </xf>
    <xf numFmtId="0" fontId="5" fillId="0" borderId="0" xfId="841" applyFont="1"/>
    <xf numFmtId="0" fontId="87" fillId="0" borderId="0" xfId="841" applyFont="1" applyAlignment="1">
      <alignment horizontal="right"/>
    </xf>
    <xf numFmtId="0" fontId="85" fillId="0" borderId="0" xfId="1028" applyFont="1" applyAlignment="1">
      <alignment horizontal="right"/>
    </xf>
    <xf numFmtId="4" fontId="117" fillId="0" borderId="0" xfId="1028" applyNumberFormat="1" applyFont="1" applyAlignment="1">
      <alignment horizontal="right"/>
    </xf>
    <xf numFmtId="39" fontId="47" fillId="0" borderId="0" xfId="1028" applyNumberFormat="1" applyFont="1"/>
    <xf numFmtId="4" fontId="117" fillId="0" borderId="0" xfId="1028" applyNumberFormat="1" applyFont="1"/>
    <xf numFmtId="39" fontId="117" fillId="0" borderId="0" xfId="1028" applyNumberFormat="1" applyFont="1" applyAlignment="1">
      <alignment horizontal="right"/>
    </xf>
    <xf numFmtId="4" fontId="89" fillId="0" borderId="0" xfId="1028" applyNumberFormat="1" applyFont="1"/>
    <xf numFmtId="39" fontId="117" fillId="0" borderId="0" xfId="1028" applyNumberFormat="1" applyFont="1"/>
    <xf numFmtId="4" fontId="117" fillId="0" borderId="0" xfId="1028" quotePrefix="1" applyNumberFormat="1" applyFont="1" applyAlignment="1">
      <alignment horizontal="left"/>
    </xf>
    <xf numFmtId="39" fontId="117" fillId="0" borderId="0" xfId="1028" quotePrefix="1" applyNumberFormat="1" applyFont="1" applyAlignment="1">
      <alignment horizontal="left"/>
    </xf>
    <xf numFmtId="4" fontId="46" fillId="0" borderId="0" xfId="1028" applyNumberFormat="1" applyFont="1" applyAlignment="1">
      <alignment horizontal="right"/>
    </xf>
    <xf numFmtId="1" fontId="48" fillId="0" borderId="0" xfId="1028" applyNumberFormat="1" applyFont="1"/>
    <xf numFmtId="44" fontId="118" fillId="0" borderId="0" xfId="841" applyNumberFormat="1" applyFont="1"/>
    <xf numFmtId="43" fontId="41" fillId="0" borderId="0" xfId="1028" applyNumberFormat="1" applyAlignment="1">
      <alignment horizontal="right"/>
    </xf>
    <xf numFmtId="43" fontId="41" fillId="0" borderId="0" xfId="1767" applyNumberFormat="1" applyFont="1"/>
    <xf numFmtId="43" fontId="0" fillId="0" borderId="0" xfId="0" applyNumberFormat="1"/>
    <xf numFmtId="164" fontId="100" fillId="0" borderId="0" xfId="1028" applyNumberFormat="1" applyFont="1"/>
    <xf numFmtId="39" fontId="41" fillId="0" borderId="0" xfId="1028" applyNumberFormat="1"/>
    <xf numFmtId="165" fontId="215" fillId="0" borderId="0" xfId="0" applyNumberFormat="1" applyFont="1"/>
    <xf numFmtId="165" fontId="221" fillId="0" borderId="0" xfId="0" applyNumberFormat="1" applyFont="1"/>
    <xf numFmtId="165" fontId="222" fillId="0" borderId="0" xfId="0" applyNumberFormat="1" applyFont="1"/>
    <xf numFmtId="39" fontId="223" fillId="0" borderId="0" xfId="0" applyNumberFormat="1" applyFont="1" applyAlignment="1">
      <alignment horizontal="left"/>
    </xf>
    <xf numFmtId="166" fontId="223" fillId="0" borderId="0" xfId="0" applyNumberFormat="1" applyFont="1" applyAlignment="1">
      <alignment horizontal="right"/>
    </xf>
    <xf numFmtId="166" fontId="217" fillId="0" borderId="0" xfId="0" applyNumberFormat="1" applyFont="1"/>
    <xf numFmtId="166" fontId="225" fillId="0" borderId="0" xfId="0" applyNumberFormat="1" applyFont="1"/>
    <xf numFmtId="166" fontId="216" fillId="0" borderId="0" xfId="0" applyNumberFormat="1" applyFont="1" applyAlignment="1">
      <alignment horizontal="right"/>
    </xf>
    <xf numFmtId="166" fontId="216" fillId="0" borderId="0" xfId="0" quotePrefix="1" applyNumberFormat="1" applyFont="1" applyAlignment="1">
      <alignment horizontal="right"/>
    </xf>
    <xf numFmtId="166" fontId="216" fillId="0" borderId="0" xfId="0" applyNumberFormat="1" applyFont="1" applyAlignment="1">
      <alignment horizontal="center"/>
    </xf>
    <xf numFmtId="166" fontId="216" fillId="0" borderId="0" xfId="0" applyNumberFormat="1" applyFont="1"/>
    <xf numFmtId="166" fontId="215" fillId="0" borderId="0" xfId="0" applyNumberFormat="1" applyFont="1"/>
    <xf numFmtId="166" fontId="216" fillId="0" borderId="48" xfId="0" applyNumberFormat="1" applyFont="1" applyBorder="1" applyAlignment="1">
      <alignment horizontal="centerContinuous"/>
    </xf>
    <xf numFmtId="166" fontId="216" fillId="0" borderId="0" xfId="0" quotePrefix="1" applyNumberFormat="1" applyFont="1" applyAlignment="1">
      <alignment horizontal="center"/>
    </xf>
    <xf numFmtId="166" fontId="215" fillId="0" borderId="0" xfId="0" applyNumberFormat="1" applyFont="1" applyAlignment="1">
      <alignment horizontal="center"/>
    </xf>
    <xf numFmtId="166" fontId="216" fillId="0" borderId="48" xfId="0" quotePrefix="1" applyNumberFormat="1" applyFont="1" applyBorder="1" applyAlignment="1">
      <alignment horizontal="center"/>
    </xf>
    <xf numFmtId="166" fontId="216" fillId="0" borderId="48" xfId="0" applyNumberFormat="1" applyFont="1" applyBorder="1" applyAlignment="1">
      <alignment horizontal="center"/>
    </xf>
    <xf numFmtId="166" fontId="215" fillId="0" borderId="15" xfId="0" applyNumberFormat="1" applyFont="1" applyBorder="1"/>
    <xf numFmtId="37" fontId="215" fillId="0" borderId="0" xfId="0" quotePrefix="1" applyNumberFormat="1" applyFont="1" applyAlignment="1">
      <alignment horizontal="left"/>
    </xf>
    <xf numFmtId="174" fontId="215" fillId="0" borderId="0" xfId="0" applyNumberFormat="1" applyFont="1"/>
    <xf numFmtId="167" fontId="215" fillId="0" borderId="0" xfId="0" applyNumberFormat="1" applyFont="1"/>
    <xf numFmtId="174" fontId="215" fillId="0" borderId="0" xfId="2" applyNumberFormat="1" applyFont="1"/>
    <xf numFmtId="167" fontId="215" fillId="0" borderId="15" xfId="0" applyNumberFormat="1" applyFont="1" applyBorder="1"/>
    <xf numFmtId="168" fontId="221" fillId="0" borderId="0" xfId="0" applyNumberFormat="1" applyFont="1"/>
    <xf numFmtId="164" fontId="215" fillId="0" borderId="0" xfId="0" applyFont="1"/>
    <xf numFmtId="37" fontId="215" fillId="0" borderId="0" xfId="0" applyNumberFormat="1" applyFont="1" applyAlignment="1">
      <alignment horizontal="left"/>
    </xf>
    <xf numFmtId="170" fontId="215" fillId="0" borderId="0" xfId="0" applyNumberFormat="1" applyFont="1"/>
    <xf numFmtId="170" fontId="215" fillId="0" borderId="0" xfId="0" applyNumberFormat="1" applyFont="1" applyAlignment="1">
      <alignment horizontal="right"/>
    </xf>
    <xf numFmtId="170" fontId="215" fillId="0" borderId="0" xfId="2" applyNumberFormat="1" applyFont="1"/>
    <xf numFmtId="170" fontId="215" fillId="0" borderId="15" xfId="0" applyNumberFormat="1" applyFont="1" applyBorder="1"/>
    <xf numFmtId="165" fontId="215" fillId="0" borderId="0" xfId="0" quotePrefix="1" applyNumberFormat="1" applyFont="1" applyAlignment="1">
      <alignment horizontal="left"/>
    </xf>
    <xf numFmtId="170" fontId="216" fillId="0" borderId="66" xfId="0" applyNumberFormat="1" applyFont="1" applyBorder="1" applyAlignment="1">
      <alignment horizontal="right"/>
    </xf>
    <xf numFmtId="170" fontId="216" fillId="0" borderId="0" xfId="0" applyNumberFormat="1" applyFont="1" applyAlignment="1">
      <alignment horizontal="right"/>
    </xf>
    <xf numFmtId="170" fontId="216" fillId="0" borderId="0" xfId="0" applyNumberFormat="1" applyFont="1"/>
    <xf numFmtId="170" fontId="216" fillId="0" borderId="66" xfId="0" applyNumberFormat="1" applyFont="1" applyBorder="1"/>
    <xf numFmtId="170" fontId="216" fillId="0" borderId="15" xfId="0" applyNumberFormat="1" applyFont="1" applyBorder="1"/>
    <xf numFmtId="165" fontId="226" fillId="0" borderId="0" xfId="0" applyNumberFormat="1" applyFont="1"/>
    <xf numFmtId="164" fontId="216" fillId="0" borderId="66" xfId="0" applyFont="1" applyBorder="1"/>
    <xf numFmtId="170" fontId="215" fillId="0" borderId="0" xfId="0" applyNumberFormat="1" applyFont="1" applyAlignment="1">
      <alignment horizontal="center"/>
    </xf>
    <xf numFmtId="170" fontId="215" fillId="0" borderId="0" xfId="0" quotePrefix="1" applyNumberFormat="1" applyFont="1" applyAlignment="1">
      <alignment horizontal="center"/>
    </xf>
    <xf numFmtId="166" fontId="215" fillId="0" borderId="0" xfId="0" quotePrefix="1" applyNumberFormat="1" applyFont="1" applyAlignment="1">
      <alignment horizontal="center"/>
    </xf>
    <xf numFmtId="3" fontId="215" fillId="0" borderId="0" xfId="0" applyNumberFormat="1" applyFont="1"/>
    <xf numFmtId="170" fontId="215" fillId="0" borderId="0" xfId="0" quotePrefix="1" applyNumberFormat="1" applyFont="1"/>
    <xf numFmtId="170" fontId="215" fillId="0" borderId="15" xfId="0" quotePrefix="1" applyNumberFormat="1" applyFont="1" applyBorder="1" applyAlignment="1">
      <alignment horizontal="right"/>
    </xf>
    <xf numFmtId="166" fontId="215" fillId="0" borderId="0" xfId="0" quotePrefix="1" applyNumberFormat="1" applyFont="1" applyAlignment="1">
      <alignment horizontal="left"/>
    </xf>
    <xf numFmtId="172" fontId="215" fillId="0" borderId="0" xfId="0" applyNumberFormat="1" applyFont="1"/>
    <xf numFmtId="166" fontId="215" fillId="0" borderId="0" xfId="0" quotePrefix="1" applyNumberFormat="1" applyFont="1"/>
    <xf numFmtId="3" fontId="215" fillId="0" borderId="0" xfId="0" applyNumberFormat="1" applyFont="1" applyAlignment="1">
      <alignment horizontal="left"/>
    </xf>
    <xf numFmtId="170" fontId="215" fillId="0" borderId="48" xfId="0" applyNumberFormat="1" applyFont="1" applyBorder="1"/>
    <xf numFmtId="170" fontId="216" fillId="0" borderId="48" xfId="0" applyNumberFormat="1" applyFont="1" applyBorder="1"/>
    <xf numFmtId="172" fontId="216" fillId="0" borderId="48" xfId="0" applyNumberFormat="1" applyFont="1" applyBorder="1"/>
    <xf numFmtId="170" fontId="215" fillId="0" borderId="15" xfId="0" applyNumberFormat="1" applyFont="1" applyBorder="1" applyAlignment="1">
      <alignment horizontal="center"/>
    </xf>
    <xf numFmtId="164" fontId="215" fillId="0" borderId="48" xfId="0" applyFont="1" applyBorder="1"/>
    <xf numFmtId="170" fontId="216" fillId="0" borderId="66" xfId="0" quotePrefix="1" applyNumberFormat="1" applyFont="1" applyBorder="1" applyAlignment="1">
      <alignment horizontal="right"/>
    </xf>
    <xf numFmtId="170" fontId="216" fillId="0" borderId="0" xfId="0" quotePrefix="1" applyNumberFormat="1" applyFont="1" applyAlignment="1">
      <alignment horizontal="right"/>
    </xf>
    <xf numFmtId="173" fontId="215" fillId="0" borderId="0" xfId="0" applyNumberFormat="1" applyFont="1"/>
    <xf numFmtId="172" fontId="216" fillId="0" borderId="0" xfId="0" applyNumberFormat="1" applyFont="1"/>
    <xf numFmtId="166" fontId="216" fillId="0" borderId="0" xfId="0" applyNumberFormat="1" applyFont="1" applyAlignment="1">
      <alignment horizontal="left"/>
    </xf>
    <xf numFmtId="164" fontId="216" fillId="0" borderId="48" xfId="0" applyFont="1" applyBorder="1"/>
    <xf numFmtId="174" fontId="216" fillId="0" borderId="56" xfId="0" applyNumberFormat="1" applyFont="1" applyBorder="1"/>
    <xf numFmtId="174" fontId="216" fillId="0" borderId="0" xfId="0" applyNumberFormat="1" applyFont="1"/>
    <xf numFmtId="164" fontId="216" fillId="0" borderId="56" xfId="0" applyFont="1" applyBorder="1"/>
    <xf numFmtId="166" fontId="226" fillId="0" borderId="0" xfId="0" applyNumberFormat="1" applyFont="1"/>
    <xf numFmtId="166" fontId="221" fillId="0" borderId="0" xfId="0" applyNumberFormat="1" applyFont="1"/>
    <xf numFmtId="165" fontId="228" fillId="0" borderId="0" xfId="0" applyNumberFormat="1" applyFont="1"/>
    <xf numFmtId="165" fontId="216" fillId="0" borderId="0" xfId="0" applyNumberFormat="1" applyFont="1"/>
    <xf numFmtId="165" fontId="217" fillId="0" borderId="0" xfId="0" applyNumberFormat="1" applyFont="1"/>
    <xf numFmtId="166" fontId="229" fillId="0" borderId="0" xfId="0" quotePrefix="1" applyNumberFormat="1" applyFont="1" applyAlignment="1">
      <alignment horizontal="left"/>
    </xf>
    <xf numFmtId="166" fontId="229" fillId="0" borderId="0" xfId="0" applyNumberFormat="1" applyFont="1" applyAlignment="1">
      <alignment horizontal="left"/>
    </xf>
    <xf numFmtId="165" fontId="229" fillId="0" borderId="0" xfId="0" applyNumberFormat="1" applyFont="1"/>
    <xf numFmtId="165" fontId="230" fillId="0" borderId="0" xfId="0" applyNumberFormat="1" applyFont="1"/>
    <xf numFmtId="170" fontId="166" fillId="0" borderId="0" xfId="0" applyNumberFormat="1" applyFont="1"/>
    <xf numFmtId="170" fontId="167" fillId="0" borderId="0" xfId="0" applyNumberFormat="1" applyFont="1"/>
    <xf numFmtId="170" fontId="167" fillId="0" borderId="15" xfId="0" applyNumberFormat="1" applyFont="1" applyBorder="1"/>
    <xf numFmtId="170" fontId="166" fillId="0" borderId="15" xfId="0" applyNumberFormat="1" applyFont="1" applyBorder="1"/>
    <xf numFmtId="174" fontId="167" fillId="0" borderId="0" xfId="0" applyNumberFormat="1" applyFont="1"/>
    <xf numFmtId="174" fontId="167" fillId="0" borderId="15" xfId="0" applyNumberFormat="1" applyFont="1" applyBorder="1"/>
    <xf numFmtId="164" fontId="48" fillId="0" borderId="76" xfId="2" quotePrefix="1" applyNumberFormat="1" applyFont="1" applyBorder="1"/>
    <xf numFmtId="174" fontId="69" fillId="0" borderId="16" xfId="4" applyNumberFormat="1" applyFont="1" applyBorder="1"/>
    <xf numFmtId="170" fontId="215" fillId="0" borderId="0" xfId="2" applyNumberFormat="1" applyFont="1" applyAlignment="1">
      <alignment horizontal="right"/>
    </xf>
    <xf numFmtId="165" fontId="159" fillId="0" borderId="0" xfId="2" applyNumberFormat="1" applyFont="1"/>
    <xf numFmtId="170" fontId="52" fillId="0" borderId="0" xfId="2" applyNumberFormat="1" applyFont="1" applyAlignment="1">
      <alignment horizontal="right"/>
    </xf>
    <xf numFmtId="170" fontId="150" fillId="0" borderId="0" xfId="2" applyNumberFormat="1" applyFont="1"/>
    <xf numFmtId="170" fontId="41" fillId="0" borderId="0" xfId="1773" applyNumberFormat="1" applyFont="1" applyFill="1" applyAlignment="1"/>
    <xf numFmtId="41" fontId="216" fillId="0" borderId="66" xfId="840" applyNumberFormat="1" applyFont="1" applyBorder="1"/>
    <xf numFmtId="170" fontId="41" fillId="0" borderId="0" xfId="2" applyNumberFormat="1" applyAlignment="1">
      <alignment horizontal="center" vertical="top"/>
    </xf>
    <xf numFmtId="164" fontId="0" fillId="0" borderId="0" xfId="0" applyAlignment="1">
      <alignment horizontal="center"/>
    </xf>
    <xf numFmtId="170" fontId="62" fillId="0" borderId="0" xfId="2" quotePrefix="1" applyNumberFormat="1" applyFont="1"/>
    <xf numFmtId="174" fontId="48" fillId="0" borderId="24" xfId="0" applyNumberFormat="1" applyFont="1" applyBorder="1"/>
    <xf numFmtId="0" fontId="221" fillId="0" borderId="0" xfId="2" applyFont="1"/>
    <xf numFmtId="165" fontId="215" fillId="0" borderId="0" xfId="0" applyNumberFormat="1" applyFont="1" applyAlignment="1">
      <alignment horizontal="left"/>
    </xf>
    <xf numFmtId="0" fontId="215" fillId="0" borderId="0" xfId="2" applyFont="1"/>
    <xf numFmtId="170" fontId="215" fillId="0" borderId="0" xfId="5517" applyNumberFormat="1" applyFont="1"/>
    <xf numFmtId="170" fontId="215" fillId="0" borderId="0" xfId="2" quotePrefix="1" applyNumberFormat="1" applyFont="1"/>
    <xf numFmtId="170" fontId="215" fillId="0" borderId="17" xfId="2" applyNumberFormat="1" applyFont="1" applyBorder="1"/>
    <xf numFmtId="165" fontId="215" fillId="0" borderId="0" xfId="2" applyNumberFormat="1" applyFont="1"/>
    <xf numFmtId="165" fontId="231" fillId="0" borderId="15" xfId="2" applyNumberFormat="1" applyFont="1" applyBorder="1"/>
    <xf numFmtId="165" fontId="217" fillId="0" borderId="0" xfId="2" applyNumberFormat="1" applyFont="1"/>
    <xf numFmtId="165" fontId="231" fillId="0" borderId="0" xfId="2" applyNumberFormat="1" applyFont="1"/>
    <xf numFmtId="170" fontId="215" fillId="0" borderId="0" xfId="5" applyNumberFormat="1" applyFont="1" applyFill="1" applyProtection="1"/>
    <xf numFmtId="170" fontId="215" fillId="0" borderId="0" xfId="0" applyNumberFormat="1" applyFont="1" applyAlignment="1" applyProtection="1">
      <alignment horizontal="right"/>
      <protection locked="0"/>
    </xf>
    <xf numFmtId="170" fontId="215" fillId="0" borderId="17" xfId="2" applyNumberFormat="1" applyFont="1" applyBorder="1" applyAlignment="1">
      <alignment horizontal="right"/>
    </xf>
    <xf numFmtId="170" fontId="215" fillId="0" borderId="30" xfId="2" applyNumberFormat="1" applyFont="1" applyBorder="1"/>
    <xf numFmtId="166" fontId="48" fillId="0" borderId="92" xfId="2" applyNumberFormat="1" applyFont="1" applyBorder="1"/>
    <xf numFmtId="170" fontId="62" fillId="0" borderId="92" xfId="2" applyNumberFormat="1" applyFont="1" applyBorder="1"/>
    <xf numFmtId="164" fontId="215" fillId="0" borderId="0" xfId="0" applyFont="1" applyAlignment="1">
      <alignment horizontal="left"/>
    </xf>
    <xf numFmtId="166" fontId="48" fillId="0" borderId="0" xfId="0" applyNumberFormat="1" applyFont="1" applyAlignment="1">
      <alignment horizontal="center"/>
    </xf>
    <xf numFmtId="164" fontId="41" fillId="0" borderId="0" xfId="0" applyFont="1" applyAlignment="1">
      <alignment horizontal="center"/>
    </xf>
    <xf numFmtId="166" fontId="48" fillId="0" borderId="48" xfId="0" applyNumberFormat="1" applyFont="1" applyBorder="1" applyAlignment="1">
      <alignment horizontal="center"/>
    </xf>
    <xf numFmtId="164" fontId="45" fillId="0" borderId="0" xfId="0" applyFont="1" applyAlignment="1">
      <alignment horizontal="left"/>
    </xf>
    <xf numFmtId="166" fontId="42" fillId="0" borderId="0" xfId="0" applyNumberFormat="1" applyFont="1" applyAlignment="1">
      <alignment horizontal="left"/>
    </xf>
    <xf numFmtId="0" fontId="48" fillId="0" borderId="0" xfId="2" applyFont="1" applyAlignment="1">
      <alignment horizontal="right"/>
    </xf>
    <xf numFmtId="0" fontId="48" fillId="0" borderId="0" xfId="2" applyFont="1" applyAlignment="1">
      <alignment horizontal="left"/>
    </xf>
    <xf numFmtId="0" fontId="48" fillId="0" borderId="48" xfId="2" applyFont="1" applyBorder="1" applyAlignment="1">
      <alignment horizontal="center"/>
    </xf>
    <xf numFmtId="0" fontId="48" fillId="0" borderId="48" xfId="2" applyFont="1" applyBorder="1" applyAlignment="1" applyProtection="1">
      <alignment horizontal="center"/>
      <protection locked="0"/>
    </xf>
    <xf numFmtId="166" fontId="48" fillId="0" borderId="48" xfId="2" applyNumberFormat="1" applyFont="1" applyBorder="1" applyAlignment="1">
      <alignment horizontal="center"/>
    </xf>
    <xf numFmtId="0" fontId="48" fillId="0" borderId="48" xfId="2" quotePrefix="1" applyFont="1" applyBorder="1" applyAlignment="1">
      <alignment horizontal="center"/>
    </xf>
    <xf numFmtId="0" fontId="88" fillId="0" borderId="0" xfId="4"/>
    <xf numFmtId="0" fontId="48" fillId="0" borderId="48" xfId="4" quotePrefix="1" applyFont="1" applyBorder="1" applyAlignment="1">
      <alignment horizontal="center"/>
    </xf>
    <xf numFmtId="0" fontId="0" fillId="0" borderId="48" xfId="2" applyFont="1" applyBorder="1"/>
    <xf numFmtId="0" fontId="69" fillId="0" borderId="0" xfId="2" quotePrefix="1" applyFont="1" applyAlignment="1">
      <alignment horizontal="center"/>
    </xf>
    <xf numFmtId="0" fontId="64" fillId="0" borderId="0" xfId="2" applyFont="1" applyAlignment="1">
      <alignment horizontal="center"/>
    </xf>
    <xf numFmtId="0" fontId="69" fillId="0" borderId="48" xfId="2" quotePrefix="1" applyFont="1" applyBorder="1" applyAlignment="1">
      <alignment horizontal="center"/>
    </xf>
    <xf numFmtId="0" fontId="69" fillId="0" borderId="10" xfId="2" quotePrefix="1" applyFont="1" applyBorder="1" applyAlignment="1">
      <alignment horizontal="center"/>
    </xf>
    <xf numFmtId="181" fontId="46" fillId="0" borderId="0" xfId="1776" applyNumberFormat="1" applyFont="1" applyAlignment="1">
      <alignment horizontal="left" vertical="top" wrapText="1"/>
    </xf>
    <xf numFmtId="3" fontId="215" fillId="0" borderId="0" xfId="2" applyNumberFormat="1" applyFont="1"/>
    <xf numFmtId="166" fontId="215" fillId="0" borderId="0" xfId="2" applyNumberFormat="1" applyFont="1"/>
    <xf numFmtId="166" fontId="41" fillId="0" borderId="30" xfId="2" applyNumberFormat="1" applyBorder="1" applyAlignment="1">
      <alignment horizontal="center"/>
    </xf>
    <xf numFmtId="166" fontId="41" fillId="0" borderId="30" xfId="2" applyNumberFormat="1" applyBorder="1"/>
    <xf numFmtId="177" fontId="64" fillId="0" borderId="10" xfId="1767" applyNumberFormat="1" applyFont="1" applyBorder="1" applyAlignment="1">
      <alignment horizontal="right"/>
    </xf>
    <xf numFmtId="170" fontId="216" fillId="0" borderId="48" xfId="2" applyNumberFormat="1" applyFont="1" applyBorder="1" applyAlignment="1">
      <alignment horizontal="right"/>
    </xf>
    <xf numFmtId="170" fontId="41" fillId="0" borderId="92" xfId="2" applyNumberFormat="1" applyBorder="1"/>
    <xf numFmtId="170" fontId="41" fillId="0" borderId="92" xfId="2" quotePrefix="1" applyNumberFormat="1" applyBorder="1" applyAlignment="1">
      <alignment horizontal="right"/>
    </xf>
    <xf numFmtId="0" fontId="41" fillId="0" borderId="92" xfId="2" applyBorder="1"/>
    <xf numFmtId="174" fontId="41" fillId="0" borderId="92" xfId="2" applyNumberFormat="1" applyBorder="1" applyAlignment="1">
      <alignment horizontal="right"/>
    </xf>
    <xf numFmtId="170" fontId="41" fillId="0" borderId="92" xfId="2" applyNumberFormat="1" applyBorder="1" applyAlignment="1">
      <alignment horizontal="right"/>
    </xf>
    <xf numFmtId="170" fontId="41" fillId="0" borderId="92" xfId="2" quotePrefix="1" applyNumberFormat="1" applyBorder="1" applyAlignment="1">
      <alignment horizontal="center"/>
    </xf>
    <xf numFmtId="170" fontId="48" fillId="0" borderId="92" xfId="2" quotePrefix="1" applyNumberFormat="1" applyFont="1" applyBorder="1" applyAlignment="1">
      <alignment horizontal="right"/>
    </xf>
    <xf numFmtId="170" fontId="48" fillId="0" borderId="92" xfId="2" applyNumberFormat="1" applyFont="1" applyBorder="1" applyAlignment="1">
      <alignment horizontal="right"/>
    </xf>
    <xf numFmtId="37" fontId="48" fillId="0" borderId="92" xfId="2" applyNumberFormat="1" applyFont="1" applyBorder="1" applyAlignment="1">
      <alignment horizontal="center"/>
    </xf>
    <xf numFmtId="37" fontId="46" fillId="0" borderId="92" xfId="2" applyNumberFormat="1" applyFont="1" applyBorder="1"/>
    <xf numFmtId="37" fontId="41" fillId="0" borderId="92" xfId="2" applyNumberFormat="1" applyBorder="1"/>
    <xf numFmtId="174" fontId="41" fillId="0" borderId="92" xfId="2" applyNumberFormat="1" applyBorder="1"/>
    <xf numFmtId="170" fontId="41" fillId="0" borderId="92" xfId="2" applyNumberFormat="1" applyBorder="1" applyAlignment="1">
      <alignment horizontal="center"/>
    </xf>
    <xf numFmtId="170" fontId="48" fillId="0" borderId="92" xfId="2" applyNumberFormat="1" applyFont="1" applyBorder="1"/>
    <xf numFmtId="174" fontId="48" fillId="0" borderId="92" xfId="2" applyNumberFormat="1" applyFont="1" applyBorder="1"/>
    <xf numFmtId="170" fontId="48" fillId="0" borderId="92" xfId="0" quotePrefix="1" applyNumberFormat="1" applyFont="1" applyBorder="1" applyAlignment="1">
      <alignment horizontal="left"/>
    </xf>
    <xf numFmtId="174" fontId="48" fillId="0" borderId="92" xfId="0" applyNumberFormat="1" applyFont="1" applyBorder="1"/>
    <xf numFmtId="170" fontId="62" fillId="0" borderId="93" xfId="2" applyNumberFormat="1" applyFont="1" applyBorder="1"/>
    <xf numFmtId="170" fontId="61" fillId="0" borderId="93" xfId="2" applyNumberFormat="1" applyFont="1" applyBorder="1"/>
    <xf numFmtId="170" fontId="41" fillId="0" borderId="94" xfId="2" quotePrefix="1" applyNumberFormat="1" applyBorder="1"/>
    <xf numFmtId="170" fontId="41" fillId="0" borderId="94" xfId="2" applyNumberFormat="1" applyBorder="1"/>
    <xf numFmtId="170" fontId="41" fillId="0" borderId="94" xfId="2" applyNumberFormat="1" applyBorder="1" applyAlignment="1">
      <alignment horizontal="right"/>
    </xf>
    <xf numFmtId="170" fontId="41" fillId="0" borderId="94" xfId="0" quotePrefix="1" applyNumberFormat="1" applyFont="1" applyBorder="1" applyAlignment="1">
      <alignment horizontal="right"/>
    </xf>
    <xf numFmtId="170" fontId="48" fillId="0" borderId="94" xfId="2" applyNumberFormat="1" applyFont="1" applyBorder="1"/>
    <xf numFmtId="165" fontId="41" fillId="0" borderId="94" xfId="2" applyNumberFormat="1" applyBorder="1"/>
    <xf numFmtId="174" fontId="48" fillId="0" borderId="94" xfId="4" applyNumberFormat="1" applyFont="1" applyBorder="1"/>
    <xf numFmtId="0" fontId="41" fillId="0" borderId="94" xfId="4" applyFont="1" applyBorder="1"/>
    <xf numFmtId="166" fontId="41" fillId="0" borderId="94" xfId="4" applyNumberFormat="1" applyFont="1" applyBorder="1"/>
    <xf numFmtId="170" fontId="41" fillId="0" borderId="94" xfId="4" applyNumberFormat="1" applyFont="1" applyBorder="1"/>
    <xf numFmtId="170" fontId="48" fillId="0" borderId="94" xfId="4" applyNumberFormat="1" applyFont="1" applyBorder="1"/>
    <xf numFmtId="174" fontId="48" fillId="0" borderId="94" xfId="2" applyNumberFormat="1" applyFont="1" applyBorder="1"/>
    <xf numFmtId="166" fontId="41" fillId="0" borderId="94" xfId="2" applyNumberFormat="1" applyBorder="1"/>
    <xf numFmtId="170" fontId="41" fillId="0" borderId="94" xfId="2" applyNumberFormat="1" applyBorder="1" applyAlignment="1">
      <alignment horizontal="center"/>
    </xf>
    <xf numFmtId="170" fontId="41" fillId="0" borderId="94" xfId="1" applyNumberFormat="1" applyFont="1" applyFill="1" applyBorder="1" applyAlignment="1" applyProtection="1"/>
    <xf numFmtId="170" fontId="48" fillId="0" borderId="94" xfId="2" applyNumberFormat="1" applyFont="1" applyBorder="1" applyAlignment="1">
      <alignment horizontal="center"/>
    </xf>
    <xf numFmtId="170" fontId="48" fillId="0" borderId="94" xfId="6" applyNumberFormat="1" applyFont="1" applyFill="1" applyBorder="1" applyAlignment="1" applyProtection="1"/>
    <xf numFmtId="170" fontId="166" fillId="0" borderId="94" xfId="2" applyNumberFormat="1" applyFont="1" applyBorder="1"/>
    <xf numFmtId="170" fontId="82" fillId="0" borderId="94" xfId="2" applyNumberFormat="1" applyFont="1" applyBorder="1"/>
    <xf numFmtId="170" fontId="79" fillId="0" borderId="93" xfId="2" applyNumberFormat="1" applyFont="1" applyBorder="1"/>
    <xf numFmtId="174" fontId="69" fillId="0" borderId="94" xfId="2" applyNumberFormat="1" applyFont="1" applyBorder="1"/>
    <xf numFmtId="0" fontId="64" fillId="0" borderId="94" xfId="2" applyFont="1" applyBorder="1"/>
    <xf numFmtId="170" fontId="64" fillId="0" borderId="94" xfId="2" applyNumberFormat="1" applyFont="1" applyBorder="1"/>
    <xf numFmtId="170" fontId="69" fillId="0" borderId="94" xfId="2" applyNumberFormat="1" applyFont="1" applyBorder="1"/>
    <xf numFmtId="174" fontId="69" fillId="0" borderId="93" xfId="2" applyNumberFormat="1" applyFont="1" applyBorder="1" applyProtection="1">
      <protection locked="0"/>
    </xf>
    <xf numFmtId="0" fontId="64" fillId="0" borderId="93" xfId="2" applyFont="1" applyBorder="1" applyProtection="1">
      <protection locked="0"/>
    </xf>
    <xf numFmtId="170" fontId="64" fillId="0" borderId="93" xfId="2" applyNumberFormat="1" applyFont="1" applyBorder="1" applyProtection="1">
      <protection locked="0"/>
    </xf>
    <xf numFmtId="170" fontId="69" fillId="0" borderId="93" xfId="2" applyNumberFormat="1" applyFont="1" applyBorder="1" applyProtection="1">
      <protection locked="0"/>
    </xf>
    <xf numFmtId="170" fontId="64" fillId="0" borderId="93" xfId="2" applyNumberFormat="1" applyFont="1" applyBorder="1" applyAlignment="1" applyProtection="1">
      <alignment horizontal="center"/>
      <protection locked="0"/>
    </xf>
    <xf numFmtId="170" fontId="69" fillId="0" borderId="93" xfId="2" applyNumberFormat="1" applyFont="1" applyBorder="1" applyAlignment="1" applyProtection="1">
      <alignment horizontal="right"/>
      <protection locked="0"/>
    </xf>
    <xf numFmtId="170" fontId="64" fillId="0" borderId="93" xfId="2" applyNumberFormat="1" applyFont="1" applyBorder="1" applyAlignment="1">
      <alignment horizontal="center"/>
    </xf>
    <xf numFmtId="174" fontId="150" fillId="0" borderId="0" xfId="5517" applyNumberFormat="1" applyFont="1"/>
    <xf numFmtId="170" fontId="69" fillId="0" borderId="68" xfId="2" applyNumberFormat="1" applyFont="1" applyBorder="1" applyAlignment="1">
      <alignment horizontal="center"/>
    </xf>
    <xf numFmtId="49" fontId="48" fillId="0" borderId="32" xfId="1767" quotePrefix="1" applyNumberFormat="1" applyFont="1" applyBorder="1" applyAlignment="1">
      <alignment horizontal="center"/>
    </xf>
    <xf numFmtId="186" fontId="48" fillId="0" borderId="32" xfId="0" applyNumberFormat="1" applyFont="1" applyBorder="1" applyAlignment="1">
      <alignment horizontal="center"/>
    </xf>
    <xf numFmtId="39" fontId="48" fillId="0" borderId="32" xfId="0" applyNumberFormat="1" applyFont="1" applyBorder="1" applyAlignment="1">
      <alignment horizontal="center"/>
    </xf>
    <xf numFmtId="44" fontId="48" fillId="0" borderId="59" xfId="1767" applyNumberFormat="1" applyFont="1" applyBorder="1" applyAlignment="1">
      <alignment horizontal="right"/>
    </xf>
    <xf numFmtId="170" fontId="48" fillId="0" borderId="68" xfId="0" quotePrefix="1" applyNumberFormat="1" applyFont="1" applyBorder="1"/>
    <xf numFmtId="170" fontId="41" fillId="0" borderId="90" xfId="2" applyNumberFormat="1" applyBorder="1"/>
    <xf numFmtId="43" fontId="232" fillId="0" borderId="0" xfId="0" applyNumberFormat="1" applyFont="1"/>
    <xf numFmtId="43" fontId="52" fillId="0" borderId="0" xfId="1767" applyNumberFormat="1" applyFont="1" applyAlignment="1">
      <alignment horizontal="right"/>
    </xf>
    <xf numFmtId="39" fontId="48" fillId="0" borderId="48" xfId="1776" applyNumberFormat="1" applyFont="1" applyBorder="1" applyAlignment="1">
      <alignment horizontal="center"/>
    </xf>
    <xf numFmtId="43" fontId="41" fillId="0" borderId="48" xfId="1776" applyNumberFormat="1" applyBorder="1" applyAlignment="1">
      <alignment horizontal="right"/>
    </xf>
    <xf numFmtId="43" fontId="48" fillId="0" borderId="48" xfId="1776" applyNumberFormat="1" applyFont="1" applyBorder="1"/>
    <xf numFmtId="44" fontId="48" fillId="0" borderId="56" xfId="1776" applyNumberFormat="1" applyFont="1" applyBorder="1"/>
    <xf numFmtId="43" fontId="41" fillId="0" borderId="48" xfId="1776" applyNumberFormat="1" applyBorder="1"/>
    <xf numFmtId="43" fontId="48" fillId="0" borderId="48" xfId="1776" applyNumberFormat="1" applyFont="1" applyBorder="1" applyAlignment="1">
      <alignment horizontal="right"/>
    </xf>
    <xf numFmtId="44" fontId="48" fillId="0" borderId="56" xfId="1776" applyNumberFormat="1" applyFont="1" applyBorder="1" applyAlignment="1">
      <alignment horizontal="right"/>
    </xf>
    <xf numFmtId="41" fontId="41" fillId="0" borderId="48" xfId="840" applyNumberFormat="1" applyFont="1" applyBorder="1"/>
    <xf numFmtId="41" fontId="41" fillId="0" borderId="66" xfId="840" applyNumberFormat="1" applyFont="1" applyBorder="1"/>
    <xf numFmtId="0" fontId="41" fillId="0" borderId="48" xfId="17" applyNumberFormat="1" applyBorder="1" applyAlignment="1">
      <alignment horizontal="center"/>
    </xf>
    <xf numFmtId="49" fontId="157" fillId="0" borderId="10" xfId="5458" applyNumberFormat="1" applyFont="1" applyBorder="1" applyAlignment="1">
      <alignment horizontal="centerContinuous"/>
    </xf>
    <xf numFmtId="43" fontId="41" fillId="0" borderId="0" xfId="1776" applyNumberFormat="1" applyAlignment="1">
      <alignment horizontal="right" vertical="top"/>
    </xf>
    <xf numFmtId="44" fontId="41" fillId="0" borderId="0" xfId="49694" applyFont="1" applyFill="1" applyBorder="1"/>
    <xf numFmtId="44" fontId="48" fillId="0" borderId="0" xfId="49694" applyFont="1" applyFill="1" applyBorder="1"/>
    <xf numFmtId="43" fontId="41" fillId="0" borderId="0" xfId="49695" applyFont="1" applyFill="1" applyBorder="1"/>
    <xf numFmtId="43" fontId="166" fillId="0" borderId="0" xfId="740" applyNumberFormat="1" applyFont="1"/>
    <xf numFmtId="43" fontId="219" fillId="0" borderId="0" xfId="740" applyNumberFormat="1" applyFont="1"/>
    <xf numFmtId="43" fontId="167" fillId="0" borderId="0" xfId="740" quotePrefix="1" applyNumberFormat="1" applyFont="1" applyAlignment="1">
      <alignment horizontal="right"/>
    </xf>
    <xf numFmtId="43" fontId="233" fillId="0" borderId="0" xfId="740" applyNumberFormat="1" applyFont="1" applyAlignment="1">
      <alignment horizontal="right"/>
    </xf>
    <xf numFmtId="43" fontId="167" fillId="0" borderId="0" xfId="740" applyNumberFormat="1" applyFont="1" applyAlignment="1">
      <alignment horizontal="center"/>
    </xf>
    <xf numFmtId="43" fontId="167" fillId="0" borderId="0" xfId="740" quotePrefix="1" applyNumberFormat="1" applyFont="1" applyAlignment="1">
      <alignment horizontal="center"/>
    </xf>
    <xf numFmtId="43" fontId="166" fillId="0" borderId="0" xfId="740" applyNumberFormat="1" applyFont="1" applyAlignment="1">
      <alignment horizontal="left"/>
    </xf>
    <xf numFmtId="43" fontId="166" fillId="0" borderId="0" xfId="740" quotePrefix="1" applyNumberFormat="1" applyFont="1" applyAlignment="1">
      <alignment horizontal="center"/>
    </xf>
    <xf numFmtId="43" fontId="166" fillId="0" borderId="0" xfId="740" applyNumberFormat="1" applyFont="1" applyAlignment="1">
      <alignment horizontal="center"/>
    </xf>
    <xf numFmtId="43" fontId="167" fillId="0" borderId="0" xfId="740" applyNumberFormat="1" applyFont="1" applyAlignment="1">
      <alignment horizontal="right"/>
    </xf>
    <xf numFmtId="43" fontId="166" fillId="0" borderId="0" xfId="740" applyNumberFormat="1" applyFont="1" applyAlignment="1">
      <alignment horizontal="right"/>
    </xf>
    <xf numFmtId="43" fontId="167" fillId="0" borderId="0" xfId="740" applyNumberFormat="1" applyFont="1"/>
    <xf numFmtId="182" fontId="219" fillId="0" borderId="0" xfId="0" applyNumberFormat="1" applyFont="1"/>
    <xf numFmtId="40" fontId="46" fillId="0" borderId="0" xfId="2" applyNumberFormat="1" applyFont="1"/>
    <xf numFmtId="201" fontId="47" fillId="0" borderId="0" xfId="2" applyNumberFormat="1" applyFont="1"/>
    <xf numFmtId="201" fontId="234" fillId="0" borderId="0" xfId="2" applyNumberFormat="1" applyFont="1"/>
    <xf numFmtId="168" fontId="41" fillId="0" borderId="0" xfId="2" quotePrefix="1" applyNumberFormat="1"/>
    <xf numFmtId="44" fontId="113" fillId="0" borderId="59" xfId="1047" applyFont="1" applyBorder="1"/>
    <xf numFmtId="164" fontId="113" fillId="0" borderId="48" xfId="0" applyFont="1" applyBorder="1" applyAlignment="1">
      <alignment horizontal="center"/>
    </xf>
    <xf numFmtId="164" fontId="113" fillId="0" borderId="48" xfId="0" applyFont="1" applyBorder="1" applyAlignment="1">
      <alignment horizontal="center" wrapText="1"/>
    </xf>
    <xf numFmtId="43" fontId="47" fillId="0" borderId="0" xfId="9967" quotePrefix="1" applyNumberFormat="1" applyFont="1" applyAlignment="1">
      <alignment horizontal="center"/>
    </xf>
    <xf numFmtId="42" fontId="47" fillId="0" borderId="0" xfId="0" applyNumberFormat="1" applyFont="1" applyAlignment="1">
      <alignment horizontal="right"/>
    </xf>
    <xf numFmtId="172" fontId="215" fillId="0" borderId="0" xfId="2" applyNumberFormat="1" applyFont="1"/>
    <xf numFmtId="200" fontId="41" fillId="0" borderId="0" xfId="0" applyNumberFormat="1" applyFont="1"/>
    <xf numFmtId="165" fontId="46" fillId="0" borderId="0" xfId="2" applyNumberFormat="1" applyFont="1" applyAlignment="1">
      <alignment horizontal="centerContinuous"/>
    </xf>
    <xf numFmtId="170" fontId="66" fillId="0" borderId="0" xfId="2" applyNumberFormat="1" applyFont="1" applyAlignment="1">
      <alignment horizontal="right"/>
    </xf>
    <xf numFmtId="43" fontId="41" fillId="0" borderId="0" xfId="17924" applyFont="1" applyFill="1" applyAlignment="1" applyProtection="1">
      <alignment horizontal="center"/>
    </xf>
    <xf numFmtId="166" fontId="53" fillId="0" borderId="0" xfId="8" applyNumberFormat="1" applyFont="1"/>
    <xf numFmtId="0" fontId="192" fillId="0" borderId="0" xfId="25862" applyFont="1" applyAlignment="1">
      <alignment horizontal="center" wrapText="1"/>
    </xf>
    <xf numFmtId="0" fontId="150" fillId="0" borderId="0" xfId="25863" applyFont="1" applyBorder="1">
      <alignment horizontal="right"/>
    </xf>
    <xf numFmtId="43" fontId="150" fillId="0" borderId="0" xfId="25862" applyNumberFormat="1" applyFont="1" applyAlignment="1">
      <alignment horizontal="left"/>
    </xf>
    <xf numFmtId="37" fontId="41" fillId="0" borderId="0" xfId="25871" applyNumberFormat="1" applyFont="1" applyAlignment="1">
      <alignment horizontal="left"/>
    </xf>
    <xf numFmtId="37" fontId="150" fillId="0" borderId="0" xfId="25863" applyNumberFormat="1" applyFont="1" applyBorder="1">
      <alignment horizontal="right"/>
    </xf>
    <xf numFmtId="44" fontId="150" fillId="0" borderId="0" xfId="25862" applyNumberFormat="1" applyFont="1" applyAlignment="1">
      <alignment horizontal="left"/>
    </xf>
    <xf numFmtId="44" fontId="41" fillId="0" borderId="0" xfId="0" applyNumberFormat="1" applyFont="1"/>
    <xf numFmtId="43" fontId="166" fillId="0" borderId="0" xfId="25871" applyNumberFormat="1" applyFont="1" applyAlignment="1">
      <alignment horizontal="left"/>
    </xf>
    <xf numFmtId="44" fontId="166" fillId="0" borderId="0" xfId="25871" applyNumberFormat="1" applyFont="1" applyAlignment="1">
      <alignment horizontal="left"/>
    </xf>
    <xf numFmtId="43" fontId="104" fillId="0" borderId="0" xfId="0" applyNumberFormat="1" applyFont="1" applyAlignment="1">
      <alignment vertical="top" wrapText="1"/>
    </xf>
    <xf numFmtId="43" fontId="166" fillId="0" borderId="0" xfId="25871" applyNumberFormat="1" applyFont="1"/>
    <xf numFmtId="44" fontId="166" fillId="0" borderId="0" xfId="25871" applyNumberFormat="1" applyFont="1"/>
    <xf numFmtId="43" fontId="113" fillId="0" borderId="0" xfId="25862" applyNumberFormat="1" applyFont="1" applyAlignment="1">
      <alignment horizontal="left"/>
    </xf>
    <xf numFmtId="44" fontId="41" fillId="0" borderId="0" xfId="25862" applyNumberFormat="1" applyFont="1" applyAlignment="1">
      <alignment horizontal="left"/>
    </xf>
    <xf numFmtId="44" fontId="46" fillId="0" borderId="0" xfId="25862" applyNumberFormat="1" applyFont="1"/>
    <xf numFmtId="170" fontId="48" fillId="0" borderId="92" xfId="0" applyNumberFormat="1" applyFont="1" applyBorder="1"/>
    <xf numFmtId="165" fontId="48" fillId="0" borderId="14" xfId="0" applyNumberFormat="1" applyFont="1" applyBorder="1"/>
    <xf numFmtId="44" fontId="52" fillId="0" borderId="0" xfId="25871" applyNumberFormat="1" applyFont="1" applyAlignment="1">
      <alignment horizontal="left"/>
    </xf>
    <xf numFmtId="43" fontId="85" fillId="0" borderId="0" xfId="25862" applyNumberFormat="1" applyFont="1"/>
    <xf numFmtId="177" fontId="52" fillId="0" borderId="0" xfId="1767" applyNumberFormat="1" applyFont="1" applyAlignment="1">
      <alignment horizontal="left"/>
    </xf>
    <xf numFmtId="177" fontId="52" fillId="0" borderId="0" xfId="740" applyNumberFormat="1" applyFont="1" applyAlignment="1">
      <alignment horizontal="right"/>
    </xf>
    <xf numFmtId="177" fontId="52" fillId="0" borderId="0" xfId="740" applyNumberFormat="1" applyFont="1" applyAlignment="1">
      <alignment horizontal="center"/>
    </xf>
    <xf numFmtId="177" fontId="0" fillId="0" borderId="0" xfId="0" applyNumberFormat="1"/>
    <xf numFmtId="177" fontId="41" fillId="0" borderId="0" xfId="740" quotePrefix="1" applyNumberFormat="1" applyFont="1" applyAlignment="1">
      <alignment horizontal="center"/>
    </xf>
    <xf numFmtId="166" fontId="215" fillId="0" borderId="92" xfId="0" applyNumberFormat="1" applyFont="1" applyBorder="1"/>
    <xf numFmtId="166" fontId="215" fillId="0" borderId="52" xfId="0" applyNumberFormat="1" applyFont="1" applyBorder="1"/>
    <xf numFmtId="167" fontId="215" fillId="0" borderId="0" xfId="0" applyNumberFormat="1" applyFont="1" applyAlignment="1">
      <alignment horizontal="center"/>
    </xf>
    <xf numFmtId="174" fontId="215" fillId="0" borderId="0" xfId="0" applyNumberFormat="1" applyFont="1" applyAlignment="1">
      <alignment horizontal="right"/>
    </xf>
    <xf numFmtId="174" fontId="215" fillId="0" borderId="0" xfId="0" quotePrefix="1" applyNumberFormat="1" applyFont="1" applyAlignment="1">
      <alignment horizontal="left"/>
    </xf>
    <xf numFmtId="174" fontId="215" fillId="0" borderId="92" xfId="0" applyNumberFormat="1" applyFont="1" applyBorder="1"/>
    <xf numFmtId="167" fontId="215" fillId="0" borderId="92" xfId="0" applyNumberFormat="1" applyFont="1" applyBorder="1"/>
    <xf numFmtId="167" fontId="215" fillId="0" borderId="52" xfId="0" applyNumberFormat="1" applyFont="1" applyBorder="1"/>
    <xf numFmtId="170" fontId="215" fillId="0" borderId="92" xfId="0" applyNumberFormat="1" applyFont="1" applyBorder="1"/>
    <xf numFmtId="170" fontId="215" fillId="0" borderId="52" xfId="0" applyNumberFormat="1" applyFont="1" applyBorder="1"/>
    <xf numFmtId="170" fontId="216" fillId="0" borderId="92" xfId="0" applyNumberFormat="1" applyFont="1" applyBorder="1"/>
    <xf numFmtId="170" fontId="216" fillId="0" borderId="52" xfId="0" applyNumberFormat="1" applyFont="1" applyBorder="1"/>
    <xf numFmtId="170" fontId="216" fillId="0" borderId="66" xfId="0" applyNumberFormat="1" applyFont="1" applyBorder="1" applyAlignment="1">
      <alignment horizontal="center"/>
    </xf>
    <xf numFmtId="170" fontId="227" fillId="0" borderId="0" xfId="0" applyNumberFormat="1" applyFont="1"/>
    <xf numFmtId="170" fontId="221" fillId="0" borderId="0" xfId="0" applyNumberFormat="1" applyFont="1"/>
    <xf numFmtId="170" fontId="216" fillId="0" borderId="48" xfId="0" applyNumberFormat="1" applyFont="1" applyBorder="1" applyAlignment="1">
      <alignment horizontal="right"/>
    </xf>
    <xf numFmtId="170" fontId="166" fillId="0" borderId="92" xfId="0" applyNumberFormat="1" applyFont="1" applyBorder="1"/>
    <xf numFmtId="170" fontId="166" fillId="0" borderId="52" xfId="0" applyNumberFormat="1" applyFont="1" applyBorder="1"/>
    <xf numFmtId="170" fontId="167" fillId="0" borderId="92" xfId="0" applyNumberFormat="1" applyFont="1" applyBorder="1"/>
    <xf numFmtId="170" fontId="167" fillId="0" borderId="52" xfId="0" applyNumberFormat="1" applyFont="1" applyBorder="1"/>
    <xf numFmtId="174" fontId="216" fillId="0" borderId="92" xfId="0" applyNumberFormat="1" applyFont="1" applyBorder="1"/>
    <xf numFmtId="174" fontId="167" fillId="0" borderId="92" xfId="0" applyNumberFormat="1" applyFont="1" applyBorder="1"/>
    <xf numFmtId="174" fontId="167" fillId="0" borderId="52" xfId="0" applyNumberFormat="1" applyFont="1" applyBorder="1"/>
    <xf numFmtId="166" fontId="41" fillId="0" borderId="52" xfId="0" applyNumberFormat="1" applyFont="1" applyBorder="1"/>
    <xf numFmtId="174" fontId="41" fillId="0" borderId="52" xfId="0" applyNumberFormat="1" applyFont="1" applyBorder="1"/>
    <xf numFmtId="170" fontId="41" fillId="0" borderId="52" xfId="0" applyNumberFormat="1" applyFont="1" applyBorder="1"/>
    <xf numFmtId="170" fontId="41" fillId="0" borderId="52" xfId="0" applyNumberFormat="1" applyFont="1" applyBorder="1" applyAlignment="1">
      <alignment horizontal="center"/>
    </xf>
    <xf numFmtId="170" fontId="48" fillId="0" borderId="52" xfId="0" applyNumberFormat="1" applyFont="1" applyBorder="1"/>
    <xf numFmtId="170" fontId="48" fillId="0" borderId="52" xfId="0" applyNumberFormat="1" applyFont="1" applyBorder="1" applyAlignment="1">
      <alignment horizontal="center"/>
    </xf>
    <xf numFmtId="170" fontId="61" fillId="0" borderId="52" xfId="0" applyNumberFormat="1" applyFont="1" applyBorder="1"/>
    <xf numFmtId="174" fontId="61" fillId="0" borderId="52" xfId="0" applyNumberFormat="1" applyFont="1" applyBorder="1"/>
    <xf numFmtId="174" fontId="41" fillId="0" borderId="18" xfId="0" applyNumberFormat="1" applyFont="1" applyBorder="1"/>
    <xf numFmtId="174" fontId="41" fillId="0" borderId="17" xfId="0" applyNumberFormat="1" applyFont="1" applyBorder="1"/>
    <xf numFmtId="170" fontId="41" fillId="0" borderId="18" xfId="0" applyNumberFormat="1" applyFont="1" applyBorder="1"/>
    <xf numFmtId="170" fontId="48" fillId="0" borderId="18" xfId="0" applyNumberFormat="1" applyFont="1" applyBorder="1"/>
    <xf numFmtId="170" fontId="41" fillId="0" borderId="72" xfId="0" quotePrefix="1" applyNumberFormat="1" applyFont="1" applyBorder="1"/>
    <xf numFmtId="170" fontId="48" fillId="0" borderId="71" xfId="0" quotePrefix="1" applyNumberFormat="1" applyFont="1" applyBorder="1" applyAlignment="1">
      <alignment horizontal="center"/>
    </xf>
    <xf numFmtId="165" fontId="48" fillId="0" borderId="18" xfId="0" applyNumberFormat="1" applyFont="1" applyBorder="1"/>
    <xf numFmtId="174" fontId="48" fillId="0" borderId="0" xfId="0" applyNumberFormat="1" applyFont="1" applyAlignment="1">
      <alignment horizontal="center"/>
    </xf>
    <xf numFmtId="174" fontId="48" fillId="0" borderId="20" xfId="0" applyNumberFormat="1" applyFont="1" applyBorder="1"/>
    <xf numFmtId="37" fontId="41" fillId="0" borderId="0" xfId="25863" applyNumberFormat="1" applyFont="1" applyBorder="1">
      <alignment horizontal="right"/>
    </xf>
    <xf numFmtId="44" fontId="41" fillId="0" borderId="0" xfId="25862" applyNumberFormat="1" applyFont="1"/>
    <xf numFmtId="44" fontId="41" fillId="0" borderId="0" xfId="25871" applyNumberFormat="1" applyFont="1"/>
    <xf numFmtId="171" fontId="113" fillId="0" borderId="0" xfId="25862" applyNumberFormat="1" applyFont="1" applyAlignment="1">
      <alignment horizontal="left"/>
    </xf>
    <xf numFmtId="171" fontId="46" fillId="0" borderId="0" xfId="25862" applyNumberFormat="1" applyFont="1"/>
    <xf numFmtId="7" fontId="41" fillId="0" borderId="0" xfId="25863" applyNumberFormat="1" applyFont="1" applyBorder="1">
      <alignment horizontal="right"/>
    </xf>
    <xf numFmtId="37" fontId="41" fillId="0" borderId="0" xfId="25871" applyNumberFormat="1" applyFont="1"/>
    <xf numFmtId="7" fontId="46" fillId="0" borderId="0" xfId="25862" applyNumberFormat="1" applyFont="1"/>
    <xf numFmtId="44" fontId="214" fillId="0" borderId="0" xfId="25862" applyNumberFormat="1" applyFont="1" applyAlignment="1">
      <alignment horizontal="left"/>
    </xf>
    <xf numFmtId="190" fontId="1" fillId="0" borderId="71" xfId="11" applyNumberFormat="1" applyFont="1" applyFill="1" applyBorder="1" applyAlignment="1"/>
    <xf numFmtId="37" fontId="215" fillId="0" borderId="0" xfId="0" quotePrefix="1" applyNumberFormat="1" applyFont="1" applyAlignment="1" applyProtection="1">
      <alignment horizontal="left"/>
      <protection locked="0"/>
    </xf>
    <xf numFmtId="37" fontId="41" fillId="0" borderId="0" xfId="0" quotePrefix="1" applyNumberFormat="1" applyFont="1" applyAlignment="1" applyProtection="1">
      <alignment horizontal="left"/>
      <protection locked="0"/>
    </xf>
    <xf numFmtId="166" fontId="223" fillId="0" borderId="0" xfId="0" applyNumberFormat="1" applyFont="1" applyAlignment="1">
      <alignment horizontal="left"/>
    </xf>
    <xf numFmtId="164" fontId="215" fillId="0" borderId="0" xfId="0" applyFont="1" applyAlignment="1">
      <alignment horizontal="left"/>
    </xf>
    <xf numFmtId="164" fontId="224" fillId="0" borderId="0" xfId="0" applyFont="1" applyAlignment="1">
      <alignment horizontal="left"/>
    </xf>
    <xf numFmtId="166" fontId="216" fillId="0" borderId="48" xfId="0" applyNumberFormat="1" applyFont="1" applyBorder="1" applyAlignment="1">
      <alignment horizontal="left"/>
    </xf>
    <xf numFmtId="164" fontId="215" fillId="0" borderId="48" xfId="0" applyFont="1" applyBorder="1" applyAlignment="1">
      <alignment horizontal="left"/>
    </xf>
    <xf numFmtId="166" fontId="48" fillId="0" borderId="0" xfId="0" applyNumberFormat="1" applyFont="1" applyAlignment="1">
      <alignment horizontal="center"/>
    </xf>
    <xf numFmtId="164" fontId="41" fillId="0" borderId="0" xfId="0" applyFont="1" applyAlignment="1">
      <alignment horizontal="center"/>
    </xf>
    <xf numFmtId="166" fontId="48" fillId="0" borderId="48" xfId="0" applyNumberFormat="1" applyFont="1" applyBorder="1" applyAlignment="1">
      <alignment horizontal="center"/>
    </xf>
    <xf numFmtId="39" fontId="42" fillId="0" borderId="0" xfId="0" applyNumberFormat="1" applyFont="1" applyAlignment="1">
      <alignment horizontal="left"/>
    </xf>
    <xf numFmtId="164" fontId="45" fillId="0" borderId="0" xfId="0" applyFont="1" applyAlignment="1">
      <alignment horizontal="left"/>
    </xf>
    <xf numFmtId="166" fontId="42" fillId="0" borderId="0" xfId="0" applyNumberFormat="1" applyFont="1" applyAlignment="1">
      <alignment horizontal="left"/>
    </xf>
    <xf numFmtId="0" fontId="48" fillId="0" borderId="0" xfId="2" applyFont="1" applyAlignment="1">
      <alignment horizontal="right"/>
    </xf>
    <xf numFmtId="0" fontId="48" fillId="0" borderId="0" xfId="2" applyFont="1" applyAlignment="1">
      <alignment horizontal="left"/>
    </xf>
    <xf numFmtId="0" fontId="48" fillId="0" borderId="48" xfId="2" applyFont="1" applyBorder="1" applyAlignment="1">
      <alignment horizontal="center"/>
    </xf>
    <xf numFmtId="0" fontId="69" fillId="0" borderId="0" xfId="2" applyFont="1" applyAlignment="1" applyProtection="1">
      <alignment vertical="center"/>
      <protection locked="0"/>
    </xf>
    <xf numFmtId="0" fontId="0" fillId="0" borderId="0" xfId="2" applyFont="1" applyAlignment="1">
      <alignment vertical="center"/>
    </xf>
    <xf numFmtId="0" fontId="48" fillId="33" borderId="48" xfId="2" applyFont="1" applyFill="1" applyBorder="1" applyAlignment="1">
      <alignment horizontal="center"/>
    </xf>
    <xf numFmtId="0" fontId="69" fillId="0" borderId="0" xfId="2" applyFont="1" applyProtection="1">
      <protection locked="0"/>
    </xf>
    <xf numFmtId="0" fontId="0" fillId="0" borderId="0" xfId="2" applyFont="1"/>
    <xf numFmtId="166" fontId="77" fillId="0" borderId="0" xfId="2" applyNumberFormat="1" applyFont="1" applyAlignment="1">
      <alignment horizontal="right"/>
    </xf>
    <xf numFmtId="0" fontId="41" fillId="0" borderId="0" xfId="2"/>
    <xf numFmtId="49" fontId="48" fillId="0" borderId="48" xfId="2" quotePrefix="1" applyNumberFormat="1" applyFont="1" applyBorder="1" applyAlignment="1" applyProtection="1">
      <alignment horizontal="center"/>
      <protection locked="0"/>
    </xf>
    <xf numFmtId="0" fontId="48" fillId="0" borderId="48" xfId="2" applyFont="1" applyBorder="1" applyAlignment="1" applyProtection="1">
      <alignment horizontal="center"/>
      <protection locked="0"/>
    </xf>
    <xf numFmtId="166" fontId="48" fillId="0" borderId="48" xfId="2" applyNumberFormat="1" applyFont="1" applyBorder="1" applyAlignment="1">
      <alignment horizontal="center"/>
    </xf>
    <xf numFmtId="0" fontId="48" fillId="0" borderId="48" xfId="2" quotePrefix="1" applyFont="1" applyBorder="1" applyAlignment="1">
      <alignment horizontal="center"/>
    </xf>
    <xf numFmtId="49" fontId="48" fillId="0" borderId="48" xfId="2" quotePrefix="1" applyNumberFormat="1" applyFont="1" applyBorder="1" applyAlignment="1">
      <alignment horizontal="center"/>
    </xf>
    <xf numFmtId="0" fontId="47" fillId="0" borderId="0" xfId="4" quotePrefix="1" applyFont="1" applyAlignment="1">
      <alignment horizontal="right"/>
    </xf>
    <xf numFmtId="0" fontId="88" fillId="0" borderId="0" xfId="4"/>
    <xf numFmtId="49" fontId="48" fillId="0" borderId="48" xfId="4" quotePrefix="1" applyNumberFormat="1" applyFont="1" applyBorder="1" applyAlignment="1">
      <alignment horizontal="center"/>
    </xf>
    <xf numFmtId="0" fontId="48" fillId="0" borderId="48" xfId="4" quotePrefix="1" applyFont="1" applyBorder="1" applyAlignment="1">
      <alignment horizontal="center"/>
    </xf>
    <xf numFmtId="0" fontId="0" fillId="0" borderId="48" xfId="2" applyFont="1" applyBorder="1"/>
    <xf numFmtId="166" fontId="69" fillId="0" borderId="48" xfId="2" quotePrefix="1" applyNumberFormat="1" applyFont="1" applyBorder="1" applyAlignment="1" applyProtection="1">
      <alignment horizontal="center"/>
      <protection locked="0"/>
    </xf>
    <xf numFmtId="166" fontId="69" fillId="0" borderId="48" xfId="2" applyNumberFormat="1" applyFont="1" applyBorder="1" applyAlignment="1" applyProtection="1">
      <alignment horizontal="center"/>
      <protection locked="0"/>
    </xf>
    <xf numFmtId="165" fontId="69" fillId="0" borderId="48" xfId="2" quotePrefix="1" applyNumberFormat="1" applyFont="1" applyBorder="1" applyAlignment="1" applyProtection="1">
      <alignment horizontal="center"/>
      <protection locked="0"/>
    </xf>
    <xf numFmtId="165" fontId="69" fillId="0" borderId="48" xfId="2" applyNumberFormat="1" applyFont="1" applyBorder="1" applyAlignment="1" applyProtection="1">
      <alignment horizontal="center"/>
      <protection locked="0"/>
    </xf>
    <xf numFmtId="0" fontId="69" fillId="0" borderId="0" xfId="2" quotePrefix="1" applyFont="1" applyAlignment="1">
      <alignment horizontal="center"/>
    </xf>
    <xf numFmtId="0" fontId="64" fillId="0" borderId="0" xfId="2" applyFont="1" applyAlignment="1">
      <alignment horizontal="center"/>
    </xf>
    <xf numFmtId="49" fontId="69" fillId="0" borderId="48" xfId="2" quotePrefix="1" applyNumberFormat="1" applyFont="1" applyBorder="1" applyAlignment="1">
      <alignment horizontal="center"/>
    </xf>
    <xf numFmtId="0" fontId="69" fillId="0" borderId="48" xfId="2" quotePrefix="1" applyFont="1" applyBorder="1" applyAlignment="1">
      <alignment horizontal="center"/>
    </xf>
    <xf numFmtId="49" fontId="69" fillId="0" borderId="10" xfId="2" quotePrefix="1" applyNumberFormat="1" applyFont="1" applyBorder="1" applyAlignment="1">
      <alignment horizontal="center"/>
    </xf>
    <xf numFmtId="0" fontId="69" fillId="0" borderId="10" xfId="2" quotePrefix="1" applyFont="1" applyBorder="1" applyAlignment="1">
      <alignment horizontal="center"/>
    </xf>
    <xf numFmtId="181" fontId="85" fillId="0" borderId="0" xfId="1776" quotePrefix="1" applyNumberFormat="1" applyFont="1" applyAlignment="1">
      <alignment horizontal="justify" vertical="top"/>
    </xf>
    <xf numFmtId="181" fontId="85" fillId="0" borderId="0" xfId="1776" quotePrefix="1" applyNumberFormat="1" applyFont="1" applyAlignment="1">
      <alignment horizontal="justify" vertical="top" wrapText="1"/>
    </xf>
    <xf numFmtId="181" fontId="48" fillId="0" borderId="0" xfId="1776" quotePrefix="1" applyNumberFormat="1" applyFont="1" applyAlignment="1">
      <alignment horizontal="left" vertical="distributed" wrapText="1"/>
    </xf>
    <xf numFmtId="181" fontId="46" fillId="0" borderId="0" xfId="1776" applyNumberFormat="1" applyFont="1" applyAlignment="1">
      <alignment horizontal="left" vertical="top" wrapText="1"/>
    </xf>
    <xf numFmtId="0" fontId="47" fillId="0" borderId="48" xfId="9967" applyFont="1" applyBorder="1" applyAlignment="1">
      <alignment horizontal="center"/>
    </xf>
    <xf numFmtId="0" fontId="41" fillId="0" borderId="0" xfId="17" applyNumberFormat="1" applyAlignment="1">
      <alignment horizontal="left" wrapText="1"/>
    </xf>
    <xf numFmtId="0" fontId="45" fillId="0" borderId="33" xfId="739" applyFont="1" applyBorder="1" applyAlignment="1">
      <alignment horizontal="justify" wrapText="1"/>
    </xf>
    <xf numFmtId="0" fontId="45" fillId="0" borderId="34" xfId="739" applyFont="1" applyBorder="1" applyAlignment="1">
      <alignment horizontal="justify" wrapText="1"/>
    </xf>
    <xf numFmtId="0" fontId="45" fillId="0" borderId="35" xfId="739" applyFont="1" applyBorder="1" applyAlignment="1">
      <alignment horizontal="justify" wrapText="1"/>
    </xf>
    <xf numFmtId="0" fontId="45" fillId="0" borderId="36" xfId="739" applyFont="1" applyBorder="1" applyAlignment="1">
      <alignment horizontal="justify" wrapText="1"/>
    </xf>
    <xf numFmtId="0" fontId="45" fillId="0" borderId="0" xfId="739" applyFont="1" applyAlignment="1">
      <alignment horizontal="justify" wrapText="1"/>
    </xf>
    <xf numFmtId="0" fontId="45" fillId="0" borderId="27" xfId="739" applyFont="1" applyBorder="1" applyAlignment="1">
      <alignment horizontal="justify" wrapText="1"/>
    </xf>
    <xf numFmtId="0" fontId="45" fillId="0" borderId="37" xfId="739" applyFont="1" applyBorder="1" applyAlignment="1">
      <alignment horizontal="justify" wrapText="1"/>
    </xf>
    <xf numFmtId="0" fontId="45" fillId="0" borderId="32" xfId="739" applyFont="1" applyBorder="1" applyAlignment="1">
      <alignment horizontal="justify" wrapText="1"/>
    </xf>
    <xf numFmtId="0" fontId="45" fillId="0" borderId="38" xfId="739" applyFont="1" applyBorder="1" applyAlignment="1">
      <alignment horizontal="justify" wrapText="1"/>
    </xf>
    <xf numFmtId="17" fontId="48" fillId="0" borderId="48" xfId="25862" quotePrefix="1" applyNumberFormat="1" applyFont="1" applyBorder="1" applyAlignment="1">
      <alignment horizontal="center"/>
    </xf>
    <xf numFmtId="7" fontId="48" fillId="0" borderId="48" xfId="25862" applyNumberFormat="1" applyFont="1" applyBorder="1" applyAlignment="1">
      <alignment horizontal="center"/>
    </xf>
    <xf numFmtId="17" fontId="48" fillId="0" borderId="10" xfId="25862" quotePrefix="1" applyNumberFormat="1" applyFont="1" applyBorder="1" applyAlignment="1">
      <alignment horizontal="center"/>
    </xf>
    <xf numFmtId="7" fontId="48" fillId="0" borderId="10" xfId="25862" applyNumberFormat="1" applyFont="1" applyBorder="1" applyAlignment="1">
      <alignment horizontal="center"/>
    </xf>
  </cellXfs>
  <cellStyles count="49832">
    <cellStyle name="20% - Accent1" xfId="49696" builtinId="30" customBuiltin="1"/>
    <cellStyle name="20% - Accent1 10" xfId="25" xr:uid="{00000000-0005-0000-0000-000000000000}"/>
    <cellStyle name="20% - Accent1 10 10" xfId="17928" xr:uid="{00000000-0005-0000-0000-000001000000}"/>
    <cellStyle name="20% - Accent1 10 10 2" xfId="41760" xr:uid="{D54AD429-DF24-4D06-A487-245C7A4D476F}"/>
    <cellStyle name="20% - Accent1 10 11" xfId="25880" xr:uid="{B5BD093D-2241-4BFC-809C-B952D4D79907}"/>
    <cellStyle name="20% - Accent1 10 2" xfId="26" xr:uid="{00000000-0005-0000-0000-000002000000}"/>
    <cellStyle name="20% - Accent1 10 2 2" xfId="27" xr:uid="{00000000-0005-0000-0000-000003000000}"/>
    <cellStyle name="20% - Accent1 10 2 2 2" xfId="1055" xr:uid="{00000000-0005-0000-0000-000004000000}"/>
    <cellStyle name="20% - Accent1 10 2 2 2 2" xfId="4585" xr:uid="{00000000-0005-0000-0000-000005000000}"/>
    <cellStyle name="20% - Accent1 10 2 2 2 2 2" xfId="8176" xr:uid="{00000000-0005-0000-0000-000006000000}"/>
    <cellStyle name="20% - Accent1 10 2 2 2 2 2 2" xfId="16147" xr:uid="{00000000-0005-0000-0000-000007000000}"/>
    <cellStyle name="20% - Accent1 10 2 2 2 2 2 2 2" xfId="39989" xr:uid="{3B40D96F-92AA-4A4C-A528-48CD10E2B5CE}"/>
    <cellStyle name="20% - Accent1 10 2 2 2 2 2 3" xfId="24093" xr:uid="{00000000-0005-0000-0000-000008000000}"/>
    <cellStyle name="20% - Accent1 10 2 2 2 2 2 3 2" xfId="47925" xr:uid="{7CEB6BE4-6805-47F9-AD0F-B51186C3951A}"/>
    <cellStyle name="20% - Accent1 10 2 2 2 2 2 4" xfId="32048" xr:uid="{22535533-ED80-473A-A630-BAF68FC28F89}"/>
    <cellStyle name="20% - Accent1 10 2 2 2 2 3" xfId="12609" xr:uid="{00000000-0005-0000-0000-000009000000}"/>
    <cellStyle name="20% - Accent1 10 2 2 2 2 3 2" xfId="36458" xr:uid="{0AC6E630-351F-4D31-9CCA-C3D899124F05}"/>
    <cellStyle name="20% - Accent1 10 2 2 2 2 4" xfId="20564" xr:uid="{00000000-0005-0000-0000-00000A000000}"/>
    <cellStyle name="20% - Accent1 10 2 2 2 2 4 2" xfId="44396" xr:uid="{93072CEE-D451-4091-AEBA-3AB8CFFB8376}"/>
    <cellStyle name="20% - Accent1 10 2 2 2 2 5" xfId="28517" xr:uid="{53000ADD-C283-4963-940A-EEE73EA5A7D5}"/>
    <cellStyle name="20% - Accent1 10 2 2 2 3" xfId="6417" xr:uid="{00000000-0005-0000-0000-00000B000000}"/>
    <cellStyle name="20% - Accent1 10 2 2 2 3 2" xfId="14389" xr:uid="{00000000-0005-0000-0000-00000C000000}"/>
    <cellStyle name="20% - Accent1 10 2 2 2 3 2 2" xfId="38231" xr:uid="{A957E603-81C3-4664-8EA4-5C21060456EF}"/>
    <cellStyle name="20% - Accent1 10 2 2 2 3 3" xfId="22336" xr:uid="{00000000-0005-0000-0000-00000D000000}"/>
    <cellStyle name="20% - Accent1 10 2 2 2 3 3 2" xfId="46168" xr:uid="{6428B369-D4CD-4E9F-91D4-BA6BAFA9BE3F}"/>
    <cellStyle name="20% - Accent1 10 2 2 2 3 4" xfId="30290" xr:uid="{757E17B2-4F2C-4BEA-8068-DC6794200163}"/>
    <cellStyle name="20% - Accent1 10 2 2 2 4" xfId="10853" xr:uid="{00000000-0005-0000-0000-00000E000000}"/>
    <cellStyle name="20% - Accent1 10 2 2 2 4 2" xfId="34702" xr:uid="{DDD12B88-54F7-4FD1-B629-26A2859320B8}"/>
    <cellStyle name="20% - Accent1 10 2 2 2 5" xfId="18808" xr:uid="{00000000-0005-0000-0000-00000F000000}"/>
    <cellStyle name="20% - Accent1 10 2 2 2 5 2" xfId="42640" xr:uid="{ADA83C4F-4476-4E17-B2DE-60BC797F8EA6}"/>
    <cellStyle name="20% - Accent1 10 2 2 2 6" xfId="26760" xr:uid="{BBA91749-A146-478C-9D0F-D12C712EE809}"/>
    <cellStyle name="20% - Accent1 10 2 2 2_Exh G" xfId="1944" xr:uid="{00000000-0005-0000-0000-000010000000}"/>
    <cellStyle name="20% - Accent1 10 2 2 3" xfId="3706" xr:uid="{00000000-0005-0000-0000-000011000000}"/>
    <cellStyle name="20% - Accent1 10 2 2 3 2" xfId="7298" xr:uid="{00000000-0005-0000-0000-000012000000}"/>
    <cellStyle name="20% - Accent1 10 2 2 3 2 2" xfId="15269" xr:uid="{00000000-0005-0000-0000-000013000000}"/>
    <cellStyle name="20% - Accent1 10 2 2 3 2 2 2" xfId="39111" xr:uid="{50EDE723-5D51-4DC9-B42F-C2C6FDC9DE54}"/>
    <cellStyle name="20% - Accent1 10 2 2 3 2 3" xfId="23215" xr:uid="{00000000-0005-0000-0000-000014000000}"/>
    <cellStyle name="20% - Accent1 10 2 2 3 2 3 2" xfId="47047" xr:uid="{A88D0D10-B92C-4F16-9FD1-7B77DA0DDFF2}"/>
    <cellStyle name="20% - Accent1 10 2 2 3 2 4" xfId="31170" xr:uid="{BC22CC1F-CB8C-4355-8F3E-051C63E30232}"/>
    <cellStyle name="20% - Accent1 10 2 2 3 3" xfId="11731" xr:uid="{00000000-0005-0000-0000-000015000000}"/>
    <cellStyle name="20% - Accent1 10 2 2 3 3 2" xfId="35580" xr:uid="{1CFF968D-4AF4-4CCD-8628-E7E9C7CD7EEB}"/>
    <cellStyle name="20% - Accent1 10 2 2 3 4" xfId="19686" xr:uid="{00000000-0005-0000-0000-000016000000}"/>
    <cellStyle name="20% - Accent1 10 2 2 3 4 2" xfId="43518" xr:uid="{32C941E4-0333-457F-871B-D7CF5C8D14B1}"/>
    <cellStyle name="20% - Accent1 10 2 2 3 5" xfId="27639" xr:uid="{1C5ED38D-D56A-4018-98EE-FD965DD90612}"/>
    <cellStyle name="20% - Accent1 10 2 2 4" xfId="5526" xr:uid="{00000000-0005-0000-0000-000017000000}"/>
    <cellStyle name="20% - Accent1 10 2 2 4 2" xfId="13510" xr:uid="{00000000-0005-0000-0000-000018000000}"/>
    <cellStyle name="20% - Accent1 10 2 2 4 2 2" xfId="37353" xr:uid="{91284129-5D02-4B07-8D93-2109066E635C}"/>
    <cellStyle name="20% - Accent1 10 2 2 4 3" xfId="21458" xr:uid="{00000000-0005-0000-0000-000019000000}"/>
    <cellStyle name="20% - Accent1 10 2 2 4 3 2" xfId="45290" xr:uid="{7C5CD11D-A327-484E-86D9-B38C9B510E59}"/>
    <cellStyle name="20% - Accent1 10 2 2 4 4" xfId="29412" xr:uid="{CD1DE642-F2EA-4AA0-B0E4-1B41D860A1BB}"/>
    <cellStyle name="20% - Accent1 10 2 2 5" xfId="9079" xr:uid="{00000000-0005-0000-0000-00001A000000}"/>
    <cellStyle name="20% - Accent1 10 2 2 5 2" xfId="17037" xr:uid="{00000000-0005-0000-0000-00001B000000}"/>
    <cellStyle name="20% - Accent1 10 2 2 5 2 2" xfId="40877" xr:uid="{41AF5449-CF7A-4F03-8043-8C6E890167E0}"/>
    <cellStyle name="20% - Accent1 10 2 2 5 3" xfId="24981" xr:uid="{00000000-0005-0000-0000-00001C000000}"/>
    <cellStyle name="20% - Accent1 10 2 2 5 3 2" xfId="48813" xr:uid="{E4CA491E-0674-4C47-A4F0-399941A0ACD6}"/>
    <cellStyle name="20% - Accent1 10 2 2 5 4" xfId="32936" xr:uid="{297085F4-6AE4-4D11-A335-76517CFB6282}"/>
    <cellStyle name="20% - Accent1 10 2 2 6" xfId="9975" xr:uid="{00000000-0005-0000-0000-00001D000000}"/>
    <cellStyle name="20% - Accent1 10 2 2 6 2" xfId="33824" xr:uid="{3BE356BE-1E12-4E81-906E-77D4D94A6041}"/>
    <cellStyle name="20% - Accent1 10 2 2 7" xfId="17930" xr:uid="{00000000-0005-0000-0000-00001E000000}"/>
    <cellStyle name="20% - Accent1 10 2 2 7 2" xfId="41762" xr:uid="{188EBB27-5B11-4E49-9C78-CB06A81A02A4}"/>
    <cellStyle name="20% - Accent1 10 2 2 8" xfId="25882" xr:uid="{AC6FE465-004E-48CD-AC72-02C478475425}"/>
    <cellStyle name="20% - Accent1 10 2 2_Exh G" xfId="1943" xr:uid="{00000000-0005-0000-0000-00001F000000}"/>
    <cellStyle name="20% - Accent1 10 2 3" xfId="1054" xr:uid="{00000000-0005-0000-0000-000020000000}"/>
    <cellStyle name="20% - Accent1 10 2 3 2" xfId="4584" xr:uid="{00000000-0005-0000-0000-000021000000}"/>
    <cellStyle name="20% - Accent1 10 2 3 2 2" xfId="8175" xr:uid="{00000000-0005-0000-0000-000022000000}"/>
    <cellStyle name="20% - Accent1 10 2 3 2 2 2" xfId="16146" xr:uid="{00000000-0005-0000-0000-000023000000}"/>
    <cellStyle name="20% - Accent1 10 2 3 2 2 2 2" xfId="39988" xr:uid="{E98D46D6-B81B-4F38-91F2-51929E25C46F}"/>
    <cellStyle name="20% - Accent1 10 2 3 2 2 3" xfId="24092" xr:uid="{00000000-0005-0000-0000-000024000000}"/>
    <cellStyle name="20% - Accent1 10 2 3 2 2 3 2" xfId="47924" xr:uid="{D02C99D6-7A77-4581-8C6C-D3EE3177A586}"/>
    <cellStyle name="20% - Accent1 10 2 3 2 2 4" xfId="32047" xr:uid="{80E264E7-5596-4EE8-AEF0-79240CC04E42}"/>
    <cellStyle name="20% - Accent1 10 2 3 2 3" xfId="12608" xr:uid="{00000000-0005-0000-0000-000025000000}"/>
    <cellStyle name="20% - Accent1 10 2 3 2 3 2" xfId="36457" xr:uid="{0B9FC142-B46E-4493-856F-907B07C459C0}"/>
    <cellStyle name="20% - Accent1 10 2 3 2 4" xfId="20563" xr:uid="{00000000-0005-0000-0000-000026000000}"/>
    <cellStyle name="20% - Accent1 10 2 3 2 4 2" xfId="44395" xr:uid="{34F90425-8481-4D5B-A6C6-D3A7E5B39FAE}"/>
    <cellStyle name="20% - Accent1 10 2 3 2 5" xfId="28516" xr:uid="{2EB436C3-C39D-40F7-A3BF-A582CE001CC7}"/>
    <cellStyle name="20% - Accent1 10 2 3 3" xfId="6416" xr:uid="{00000000-0005-0000-0000-000027000000}"/>
    <cellStyle name="20% - Accent1 10 2 3 3 2" xfId="14388" xr:uid="{00000000-0005-0000-0000-000028000000}"/>
    <cellStyle name="20% - Accent1 10 2 3 3 2 2" xfId="38230" xr:uid="{933788A2-587E-458A-97C7-7976A71E555F}"/>
    <cellStyle name="20% - Accent1 10 2 3 3 3" xfId="22335" xr:uid="{00000000-0005-0000-0000-000029000000}"/>
    <cellStyle name="20% - Accent1 10 2 3 3 3 2" xfId="46167" xr:uid="{63C2CAF7-5131-4D3A-8C09-F5C4B7DB27B6}"/>
    <cellStyle name="20% - Accent1 10 2 3 3 4" xfId="30289" xr:uid="{87DB6417-73CE-4573-8A00-1074279BC534}"/>
    <cellStyle name="20% - Accent1 10 2 3 4" xfId="10852" xr:uid="{00000000-0005-0000-0000-00002A000000}"/>
    <cellStyle name="20% - Accent1 10 2 3 4 2" xfId="34701" xr:uid="{C1AE6BBB-87B0-48AF-8BC3-12CB2A91E988}"/>
    <cellStyle name="20% - Accent1 10 2 3 5" xfId="18807" xr:uid="{00000000-0005-0000-0000-00002B000000}"/>
    <cellStyle name="20% - Accent1 10 2 3 5 2" xfId="42639" xr:uid="{1F902941-D8C9-4C1B-9301-BB17F95ACCEE}"/>
    <cellStyle name="20% - Accent1 10 2 3 6" xfId="26759" xr:uid="{73011931-A146-434D-95C5-E9965CBF2D45}"/>
    <cellStyle name="20% - Accent1 10 2 3_Exh G" xfId="1945" xr:uid="{00000000-0005-0000-0000-00002C000000}"/>
    <cellStyle name="20% - Accent1 10 2 4" xfId="3705" xr:uid="{00000000-0005-0000-0000-00002D000000}"/>
    <cellStyle name="20% - Accent1 10 2 4 2" xfId="7297" xr:uid="{00000000-0005-0000-0000-00002E000000}"/>
    <cellStyle name="20% - Accent1 10 2 4 2 2" xfId="15268" xr:uid="{00000000-0005-0000-0000-00002F000000}"/>
    <cellStyle name="20% - Accent1 10 2 4 2 2 2" xfId="39110" xr:uid="{19551634-F9CF-4470-A8EB-7A0DF9AB0A35}"/>
    <cellStyle name="20% - Accent1 10 2 4 2 3" xfId="23214" xr:uid="{00000000-0005-0000-0000-000030000000}"/>
    <cellStyle name="20% - Accent1 10 2 4 2 3 2" xfId="47046" xr:uid="{AC4174CE-53DE-477F-87E8-D5D9295874A1}"/>
    <cellStyle name="20% - Accent1 10 2 4 2 4" xfId="31169" xr:uid="{9E4E3200-F64A-428F-8026-C15774117FE6}"/>
    <cellStyle name="20% - Accent1 10 2 4 3" xfId="11730" xr:uid="{00000000-0005-0000-0000-000031000000}"/>
    <cellStyle name="20% - Accent1 10 2 4 3 2" xfId="35579" xr:uid="{D586C06A-90A5-4CF3-892A-5A3481E46FE6}"/>
    <cellStyle name="20% - Accent1 10 2 4 4" xfId="19685" xr:uid="{00000000-0005-0000-0000-000032000000}"/>
    <cellStyle name="20% - Accent1 10 2 4 4 2" xfId="43517" xr:uid="{5ADABEC2-A0D5-424F-8D3F-E807BD3B52D7}"/>
    <cellStyle name="20% - Accent1 10 2 4 5" xfId="27638" xr:uid="{EEE8D0DF-71BB-42A8-9FD4-015A57239FCE}"/>
    <cellStyle name="20% - Accent1 10 2 5" xfId="5525" xr:uid="{00000000-0005-0000-0000-000033000000}"/>
    <cellStyle name="20% - Accent1 10 2 5 2" xfId="13509" xr:uid="{00000000-0005-0000-0000-000034000000}"/>
    <cellStyle name="20% - Accent1 10 2 5 2 2" xfId="37352" xr:uid="{47B69594-AA43-413E-8195-AD95DC129744}"/>
    <cellStyle name="20% - Accent1 10 2 5 3" xfId="21457" xr:uid="{00000000-0005-0000-0000-000035000000}"/>
    <cellStyle name="20% - Accent1 10 2 5 3 2" xfId="45289" xr:uid="{96CC88C9-5D5B-494E-8587-A571036F4221}"/>
    <cellStyle name="20% - Accent1 10 2 5 4" xfId="29411" xr:uid="{151CABA6-CF3B-49B1-88CE-E275A785EC88}"/>
    <cellStyle name="20% - Accent1 10 2 6" xfId="9078" xr:uid="{00000000-0005-0000-0000-000036000000}"/>
    <cellStyle name="20% - Accent1 10 2 6 2" xfId="17036" xr:uid="{00000000-0005-0000-0000-000037000000}"/>
    <cellStyle name="20% - Accent1 10 2 6 2 2" xfId="40876" xr:uid="{23E2CF90-3E26-4363-8AB8-F626CF916648}"/>
    <cellStyle name="20% - Accent1 10 2 6 3" xfId="24980" xr:uid="{00000000-0005-0000-0000-000038000000}"/>
    <cellStyle name="20% - Accent1 10 2 6 3 2" xfId="48812" xr:uid="{A1C76EC4-1815-45D9-84F3-6ED115D87AD3}"/>
    <cellStyle name="20% - Accent1 10 2 6 4" xfId="32935" xr:uid="{54FFD23E-708F-44B2-90FE-BFF9B301D02D}"/>
    <cellStyle name="20% - Accent1 10 2 7" xfId="9974" xr:uid="{00000000-0005-0000-0000-000039000000}"/>
    <cellStyle name="20% - Accent1 10 2 7 2" xfId="33823" xr:uid="{1CB24C0B-34F2-43BD-A349-DEA314D19A0A}"/>
    <cellStyle name="20% - Accent1 10 2 8" xfId="17929" xr:uid="{00000000-0005-0000-0000-00003A000000}"/>
    <cellStyle name="20% - Accent1 10 2 8 2" xfId="41761" xr:uid="{4580FA3E-32D5-4C7E-AE29-D0044B3E9E37}"/>
    <cellStyle name="20% - Accent1 10 2 9" xfId="25881" xr:uid="{A1A94017-4D7A-413B-8E45-2AA965855EC8}"/>
    <cellStyle name="20% - Accent1 10 2_Exh G" xfId="1942" xr:uid="{00000000-0005-0000-0000-00003B000000}"/>
    <cellStyle name="20% - Accent1 10 3" xfId="28" xr:uid="{00000000-0005-0000-0000-00003C000000}"/>
    <cellStyle name="20% - Accent1 10 3 2" xfId="1056" xr:uid="{00000000-0005-0000-0000-00003D000000}"/>
    <cellStyle name="20% - Accent1 10 3 2 2" xfId="4586" xr:uid="{00000000-0005-0000-0000-00003E000000}"/>
    <cellStyle name="20% - Accent1 10 3 2 2 2" xfId="8177" xr:uid="{00000000-0005-0000-0000-00003F000000}"/>
    <cellStyle name="20% - Accent1 10 3 2 2 2 2" xfId="16148" xr:uid="{00000000-0005-0000-0000-000040000000}"/>
    <cellStyle name="20% - Accent1 10 3 2 2 2 2 2" xfId="39990" xr:uid="{92467DB1-9756-4C44-ADEC-E59C5E3F9F21}"/>
    <cellStyle name="20% - Accent1 10 3 2 2 2 3" xfId="24094" xr:uid="{00000000-0005-0000-0000-000041000000}"/>
    <cellStyle name="20% - Accent1 10 3 2 2 2 3 2" xfId="47926" xr:uid="{200FC925-5749-47D8-B858-B6F7538187F6}"/>
    <cellStyle name="20% - Accent1 10 3 2 2 2 4" xfId="32049" xr:uid="{904DAC14-A69B-4C81-94CA-AF50F8895895}"/>
    <cellStyle name="20% - Accent1 10 3 2 2 3" xfId="12610" xr:uid="{00000000-0005-0000-0000-000042000000}"/>
    <cellStyle name="20% - Accent1 10 3 2 2 3 2" xfId="36459" xr:uid="{F7C61370-615F-4D74-9A2A-8F8561A02FAF}"/>
    <cellStyle name="20% - Accent1 10 3 2 2 4" xfId="20565" xr:uid="{00000000-0005-0000-0000-000043000000}"/>
    <cellStyle name="20% - Accent1 10 3 2 2 4 2" xfId="44397" xr:uid="{B5783020-A021-40A7-81BA-7E7AA9288DF6}"/>
    <cellStyle name="20% - Accent1 10 3 2 2 5" xfId="28518" xr:uid="{82EF0E60-43FD-468F-BDE4-3056375C7D63}"/>
    <cellStyle name="20% - Accent1 10 3 2 3" xfId="6418" xr:uid="{00000000-0005-0000-0000-000044000000}"/>
    <cellStyle name="20% - Accent1 10 3 2 3 2" xfId="14390" xr:uid="{00000000-0005-0000-0000-000045000000}"/>
    <cellStyle name="20% - Accent1 10 3 2 3 2 2" xfId="38232" xr:uid="{1E87A4A6-BCC5-476C-81C0-B9E1E5BB0CB7}"/>
    <cellStyle name="20% - Accent1 10 3 2 3 3" xfId="22337" xr:uid="{00000000-0005-0000-0000-000046000000}"/>
    <cellStyle name="20% - Accent1 10 3 2 3 3 2" xfId="46169" xr:uid="{3973CC81-76FF-4FF4-A2A9-BEDC96CBAEDE}"/>
    <cellStyle name="20% - Accent1 10 3 2 3 4" xfId="30291" xr:uid="{57FB4785-F932-4FFF-BE89-A4F291D13BEC}"/>
    <cellStyle name="20% - Accent1 10 3 2 4" xfId="10854" xr:uid="{00000000-0005-0000-0000-000047000000}"/>
    <cellStyle name="20% - Accent1 10 3 2 4 2" xfId="34703" xr:uid="{6647EDF7-2C15-45B2-B98B-3889C96959AE}"/>
    <cellStyle name="20% - Accent1 10 3 2 5" xfId="18809" xr:uid="{00000000-0005-0000-0000-000048000000}"/>
    <cellStyle name="20% - Accent1 10 3 2 5 2" xfId="42641" xr:uid="{BFE87766-51B7-4C5A-90E1-A6A0732E2F70}"/>
    <cellStyle name="20% - Accent1 10 3 2 6" xfId="26761" xr:uid="{834EA2EA-10E8-411B-9640-7630901F05E0}"/>
    <cellStyle name="20% - Accent1 10 3 2_Exh G" xfId="1947" xr:uid="{00000000-0005-0000-0000-000049000000}"/>
    <cellStyle name="20% - Accent1 10 3 3" xfId="3707" xr:uid="{00000000-0005-0000-0000-00004A000000}"/>
    <cellStyle name="20% - Accent1 10 3 3 2" xfId="7299" xr:uid="{00000000-0005-0000-0000-00004B000000}"/>
    <cellStyle name="20% - Accent1 10 3 3 2 2" xfId="15270" xr:uid="{00000000-0005-0000-0000-00004C000000}"/>
    <cellStyle name="20% - Accent1 10 3 3 2 2 2" xfId="39112" xr:uid="{429B466A-7E67-4705-957E-5677B53290B0}"/>
    <cellStyle name="20% - Accent1 10 3 3 2 3" xfId="23216" xr:uid="{00000000-0005-0000-0000-00004D000000}"/>
    <cellStyle name="20% - Accent1 10 3 3 2 3 2" xfId="47048" xr:uid="{55B41D9F-4892-4994-A4E3-A24D8F3609B0}"/>
    <cellStyle name="20% - Accent1 10 3 3 2 4" xfId="31171" xr:uid="{F25E22E5-AD62-40D8-A3D9-9D103C99EC74}"/>
    <cellStyle name="20% - Accent1 10 3 3 3" xfId="11732" xr:uid="{00000000-0005-0000-0000-00004E000000}"/>
    <cellStyle name="20% - Accent1 10 3 3 3 2" xfId="35581" xr:uid="{D00778BD-799A-4E2B-A1F7-34562B0832D7}"/>
    <cellStyle name="20% - Accent1 10 3 3 4" xfId="19687" xr:uid="{00000000-0005-0000-0000-00004F000000}"/>
    <cellStyle name="20% - Accent1 10 3 3 4 2" xfId="43519" xr:uid="{B30527F2-5841-4F93-BFAB-A716F8CDADB9}"/>
    <cellStyle name="20% - Accent1 10 3 3 5" xfId="27640" xr:uid="{27E38583-DFD0-4D9A-B16F-038531A94A76}"/>
    <cellStyle name="20% - Accent1 10 3 4" xfId="5527" xr:uid="{00000000-0005-0000-0000-000050000000}"/>
    <cellStyle name="20% - Accent1 10 3 4 2" xfId="13511" xr:uid="{00000000-0005-0000-0000-000051000000}"/>
    <cellStyle name="20% - Accent1 10 3 4 2 2" xfId="37354" xr:uid="{5D0E5100-730B-4B88-BE4B-48C4C3291FDE}"/>
    <cellStyle name="20% - Accent1 10 3 4 3" xfId="21459" xr:uid="{00000000-0005-0000-0000-000052000000}"/>
    <cellStyle name="20% - Accent1 10 3 4 3 2" xfId="45291" xr:uid="{B5B362B1-3FF3-49AB-A22D-BA2E80399FDF}"/>
    <cellStyle name="20% - Accent1 10 3 4 4" xfId="29413" xr:uid="{C7BF6480-2FA2-469C-8991-EA94BF71DC82}"/>
    <cellStyle name="20% - Accent1 10 3 5" xfId="9080" xr:uid="{00000000-0005-0000-0000-000053000000}"/>
    <cellStyle name="20% - Accent1 10 3 5 2" xfId="17038" xr:uid="{00000000-0005-0000-0000-000054000000}"/>
    <cellStyle name="20% - Accent1 10 3 5 2 2" xfId="40878" xr:uid="{634083AE-E26E-42E5-850A-C7470663C561}"/>
    <cellStyle name="20% - Accent1 10 3 5 3" xfId="24982" xr:uid="{00000000-0005-0000-0000-000055000000}"/>
    <cellStyle name="20% - Accent1 10 3 5 3 2" xfId="48814" xr:uid="{A81009B6-940B-4DE2-8ABF-9A51A40D1DD0}"/>
    <cellStyle name="20% - Accent1 10 3 5 4" xfId="32937" xr:uid="{180564AC-D675-42D1-8277-587B97A689B3}"/>
    <cellStyle name="20% - Accent1 10 3 6" xfId="9976" xr:uid="{00000000-0005-0000-0000-000056000000}"/>
    <cellStyle name="20% - Accent1 10 3 6 2" xfId="33825" xr:uid="{929EE666-6048-4C87-BE61-8EBFFA54D55D}"/>
    <cellStyle name="20% - Accent1 10 3 7" xfId="17931" xr:uid="{00000000-0005-0000-0000-000057000000}"/>
    <cellStyle name="20% - Accent1 10 3 7 2" xfId="41763" xr:uid="{72A0551D-CFBD-4FF1-A3CF-EB71984227AB}"/>
    <cellStyle name="20% - Accent1 10 3 8" xfId="25883" xr:uid="{7A5BBFD1-5CD2-4816-9809-A1BBA9BF7682}"/>
    <cellStyle name="20% - Accent1 10 3_Exh G" xfId="1946" xr:uid="{00000000-0005-0000-0000-000058000000}"/>
    <cellStyle name="20% - Accent1 10 4" xfId="862" xr:uid="{00000000-0005-0000-0000-000059000000}"/>
    <cellStyle name="20% - Accent1 10 5" xfId="1053" xr:uid="{00000000-0005-0000-0000-00005A000000}"/>
    <cellStyle name="20% - Accent1 10 5 2" xfId="4583" xr:uid="{00000000-0005-0000-0000-00005B000000}"/>
    <cellStyle name="20% - Accent1 10 5 2 2" xfId="8174" xr:uid="{00000000-0005-0000-0000-00005C000000}"/>
    <cellStyle name="20% - Accent1 10 5 2 2 2" xfId="16145" xr:uid="{00000000-0005-0000-0000-00005D000000}"/>
    <cellStyle name="20% - Accent1 10 5 2 2 2 2" xfId="39987" xr:uid="{15A046AD-1820-45E3-9719-FD550E46A474}"/>
    <cellStyle name="20% - Accent1 10 5 2 2 3" xfId="24091" xr:uid="{00000000-0005-0000-0000-00005E000000}"/>
    <cellStyle name="20% - Accent1 10 5 2 2 3 2" xfId="47923" xr:uid="{577F970C-E84F-4573-AFC7-90EFC3CD720E}"/>
    <cellStyle name="20% - Accent1 10 5 2 2 4" xfId="32046" xr:uid="{58ADC68D-96A3-4B9D-9BC1-70210808AE5B}"/>
    <cellStyle name="20% - Accent1 10 5 2 3" xfId="12607" xr:uid="{00000000-0005-0000-0000-00005F000000}"/>
    <cellStyle name="20% - Accent1 10 5 2 3 2" xfId="36456" xr:uid="{4FC65317-95F2-4D3E-BCC6-CF330BD57FFF}"/>
    <cellStyle name="20% - Accent1 10 5 2 4" xfId="20562" xr:uid="{00000000-0005-0000-0000-000060000000}"/>
    <cellStyle name="20% - Accent1 10 5 2 4 2" xfId="44394" xr:uid="{CFC7C107-8F80-4B37-ADF8-1AE2497611D6}"/>
    <cellStyle name="20% - Accent1 10 5 2 5" xfId="28515" xr:uid="{E9402D05-675A-466B-A6D0-95FB2FD6DD54}"/>
    <cellStyle name="20% - Accent1 10 5 3" xfId="6415" xr:uid="{00000000-0005-0000-0000-000061000000}"/>
    <cellStyle name="20% - Accent1 10 5 3 2" xfId="14387" xr:uid="{00000000-0005-0000-0000-000062000000}"/>
    <cellStyle name="20% - Accent1 10 5 3 2 2" xfId="38229" xr:uid="{57FC7362-2CB2-40EA-9A65-DFA8347F44DB}"/>
    <cellStyle name="20% - Accent1 10 5 3 3" xfId="22334" xr:uid="{00000000-0005-0000-0000-000063000000}"/>
    <cellStyle name="20% - Accent1 10 5 3 3 2" xfId="46166" xr:uid="{6ED6C06A-927E-4D74-B53B-9898BDA71C41}"/>
    <cellStyle name="20% - Accent1 10 5 3 4" xfId="30288" xr:uid="{6029595D-00D4-4615-A57D-0DE0A0E6F260}"/>
    <cellStyle name="20% - Accent1 10 5 4" xfId="10851" xr:uid="{00000000-0005-0000-0000-000064000000}"/>
    <cellStyle name="20% - Accent1 10 5 4 2" xfId="34700" xr:uid="{5E1A0A02-D725-40A6-894E-6C9969F5639F}"/>
    <cellStyle name="20% - Accent1 10 5 5" xfId="18806" xr:uid="{00000000-0005-0000-0000-000065000000}"/>
    <cellStyle name="20% - Accent1 10 5 5 2" xfId="42638" xr:uid="{6C9B17F8-D3F5-4F10-9DF5-B80DF397FF59}"/>
    <cellStyle name="20% - Accent1 10 5 6" xfId="26758" xr:uid="{BA8A1039-2EB1-4C29-91BA-2D7205E7BC8A}"/>
    <cellStyle name="20% - Accent1 10 5_Exh G" xfId="1948" xr:uid="{00000000-0005-0000-0000-000066000000}"/>
    <cellStyle name="20% - Accent1 10 6" xfId="3704" xr:uid="{00000000-0005-0000-0000-000067000000}"/>
    <cellStyle name="20% - Accent1 10 6 2" xfId="7296" xr:uid="{00000000-0005-0000-0000-000068000000}"/>
    <cellStyle name="20% - Accent1 10 6 2 2" xfId="15267" xr:uid="{00000000-0005-0000-0000-000069000000}"/>
    <cellStyle name="20% - Accent1 10 6 2 2 2" xfId="39109" xr:uid="{3E8C4DF4-4277-4830-A78E-B665B40B7936}"/>
    <cellStyle name="20% - Accent1 10 6 2 3" xfId="23213" xr:uid="{00000000-0005-0000-0000-00006A000000}"/>
    <cellStyle name="20% - Accent1 10 6 2 3 2" xfId="47045" xr:uid="{F1E78C19-4C23-4C86-AFCA-A8E2C69BE2B6}"/>
    <cellStyle name="20% - Accent1 10 6 2 4" xfId="31168" xr:uid="{AA6BB194-D26D-44CC-AF5D-DF0D983AF546}"/>
    <cellStyle name="20% - Accent1 10 6 3" xfId="11729" xr:uid="{00000000-0005-0000-0000-00006B000000}"/>
    <cellStyle name="20% - Accent1 10 6 3 2" xfId="35578" xr:uid="{5A987C18-EDDA-4363-8B2F-86002A315042}"/>
    <cellStyle name="20% - Accent1 10 6 4" xfId="19684" xr:uid="{00000000-0005-0000-0000-00006C000000}"/>
    <cellStyle name="20% - Accent1 10 6 4 2" xfId="43516" xr:uid="{889A82EC-63C4-48EC-9954-485AC8B0658D}"/>
    <cellStyle name="20% - Accent1 10 6 5" xfId="27637" xr:uid="{5C7526BB-291A-47C5-8350-47B23410B8D2}"/>
    <cellStyle name="20% - Accent1 10 7" xfId="5524" xr:uid="{00000000-0005-0000-0000-00006D000000}"/>
    <cellStyle name="20% - Accent1 10 7 2" xfId="13508" xr:uid="{00000000-0005-0000-0000-00006E000000}"/>
    <cellStyle name="20% - Accent1 10 7 2 2" xfId="37351" xr:uid="{8470E940-7C25-4991-BDA9-F61D92670199}"/>
    <cellStyle name="20% - Accent1 10 7 3" xfId="21456" xr:uid="{00000000-0005-0000-0000-00006F000000}"/>
    <cellStyle name="20% - Accent1 10 7 3 2" xfId="45288" xr:uid="{F5374DE5-7118-46B0-9D3A-5E174F880E1D}"/>
    <cellStyle name="20% - Accent1 10 7 4" xfId="29410" xr:uid="{EF6C6441-5A24-42E7-9415-0C872C54704D}"/>
    <cellStyle name="20% - Accent1 10 8" xfId="9077" xr:uid="{00000000-0005-0000-0000-000070000000}"/>
    <cellStyle name="20% - Accent1 10 8 2" xfId="17035" xr:uid="{00000000-0005-0000-0000-000071000000}"/>
    <cellStyle name="20% - Accent1 10 8 2 2" xfId="40875" xr:uid="{1EAD7DE4-D365-4F06-8797-6B933420CA99}"/>
    <cellStyle name="20% - Accent1 10 8 3" xfId="24979" xr:uid="{00000000-0005-0000-0000-000072000000}"/>
    <cellStyle name="20% - Accent1 10 8 3 2" xfId="48811" xr:uid="{E657A98C-0819-4491-8D67-65B0908816CA}"/>
    <cellStyle name="20% - Accent1 10 8 4" xfId="32934" xr:uid="{361D478C-E597-43D8-B6BD-FFD0B8E527AE}"/>
    <cellStyle name="20% - Accent1 10 9" xfId="9973" xr:uid="{00000000-0005-0000-0000-000073000000}"/>
    <cellStyle name="20% - Accent1 10 9 2" xfId="33822" xr:uid="{13A462B9-8FDF-46FB-8057-74438E9989DC}"/>
    <cellStyle name="20% - Accent1 10_Exh G" xfId="1941" xr:uid="{00000000-0005-0000-0000-000074000000}"/>
    <cellStyle name="20% - Accent1 11" xfId="29" xr:uid="{00000000-0005-0000-0000-000075000000}"/>
    <cellStyle name="20% - Accent1 11 10" xfId="25884" xr:uid="{9D016E12-0214-45A3-BA52-DC0716F9DB5D}"/>
    <cellStyle name="20% - Accent1 11 2" xfId="30" xr:uid="{00000000-0005-0000-0000-000076000000}"/>
    <cellStyle name="20% - Accent1 11 2 2" xfId="31" xr:uid="{00000000-0005-0000-0000-000077000000}"/>
    <cellStyle name="20% - Accent1 11 2 2 2" xfId="1059" xr:uid="{00000000-0005-0000-0000-000078000000}"/>
    <cellStyle name="20% - Accent1 11 2 2 2 2" xfId="4589" xr:uid="{00000000-0005-0000-0000-000079000000}"/>
    <cellStyle name="20% - Accent1 11 2 2 2 2 2" xfId="8180" xr:uid="{00000000-0005-0000-0000-00007A000000}"/>
    <cellStyle name="20% - Accent1 11 2 2 2 2 2 2" xfId="16151" xr:uid="{00000000-0005-0000-0000-00007B000000}"/>
    <cellStyle name="20% - Accent1 11 2 2 2 2 2 2 2" xfId="39993" xr:uid="{7D5F7F14-627A-4764-B00D-B1DA3B70A53B}"/>
    <cellStyle name="20% - Accent1 11 2 2 2 2 2 3" xfId="24097" xr:uid="{00000000-0005-0000-0000-00007C000000}"/>
    <cellStyle name="20% - Accent1 11 2 2 2 2 2 3 2" xfId="47929" xr:uid="{3FC9D4EC-5C6C-4AAA-850D-03E612F8B0FF}"/>
    <cellStyle name="20% - Accent1 11 2 2 2 2 2 4" xfId="32052" xr:uid="{72029543-0E44-445D-87B4-6EC9BF78212D}"/>
    <cellStyle name="20% - Accent1 11 2 2 2 2 3" xfId="12613" xr:uid="{00000000-0005-0000-0000-00007D000000}"/>
    <cellStyle name="20% - Accent1 11 2 2 2 2 3 2" xfId="36462" xr:uid="{0C277474-6D1F-40A9-85CB-DDF3EB214C5E}"/>
    <cellStyle name="20% - Accent1 11 2 2 2 2 4" xfId="20568" xr:uid="{00000000-0005-0000-0000-00007E000000}"/>
    <cellStyle name="20% - Accent1 11 2 2 2 2 4 2" xfId="44400" xr:uid="{8A237A89-C2E7-445C-97AC-2E195B0F544B}"/>
    <cellStyle name="20% - Accent1 11 2 2 2 2 5" xfId="28521" xr:uid="{0AFFA4B5-899B-436B-B642-9FFAFE836D28}"/>
    <cellStyle name="20% - Accent1 11 2 2 2 3" xfId="6421" xr:uid="{00000000-0005-0000-0000-00007F000000}"/>
    <cellStyle name="20% - Accent1 11 2 2 2 3 2" xfId="14393" xr:uid="{00000000-0005-0000-0000-000080000000}"/>
    <cellStyle name="20% - Accent1 11 2 2 2 3 2 2" xfId="38235" xr:uid="{544A32E2-6404-4D6B-8D78-07F08E3532AD}"/>
    <cellStyle name="20% - Accent1 11 2 2 2 3 3" xfId="22340" xr:uid="{00000000-0005-0000-0000-000081000000}"/>
    <cellStyle name="20% - Accent1 11 2 2 2 3 3 2" xfId="46172" xr:uid="{083A4737-CF3E-4CE6-BC3E-820B1DEE895F}"/>
    <cellStyle name="20% - Accent1 11 2 2 2 3 4" xfId="30294" xr:uid="{D02643CF-E598-4B01-9C5E-F1581C0815C9}"/>
    <cellStyle name="20% - Accent1 11 2 2 2 4" xfId="10857" xr:uid="{00000000-0005-0000-0000-000082000000}"/>
    <cellStyle name="20% - Accent1 11 2 2 2 4 2" xfId="34706" xr:uid="{D48A96CF-BF44-4721-8BBD-BD1BEF1BAB1C}"/>
    <cellStyle name="20% - Accent1 11 2 2 2 5" xfId="18812" xr:uid="{00000000-0005-0000-0000-000083000000}"/>
    <cellStyle name="20% - Accent1 11 2 2 2 5 2" xfId="42644" xr:uid="{D548B25C-0DE7-4225-8F55-0AFCEE3553E9}"/>
    <cellStyle name="20% - Accent1 11 2 2 2 6" xfId="26764" xr:uid="{964F29F0-368A-41B9-BD1E-B97BD530C40D}"/>
    <cellStyle name="20% - Accent1 11 2 2 2_Exh G" xfId="1952" xr:uid="{00000000-0005-0000-0000-000084000000}"/>
    <cellStyle name="20% - Accent1 11 2 2 3" xfId="3710" xr:uid="{00000000-0005-0000-0000-000085000000}"/>
    <cellStyle name="20% - Accent1 11 2 2 3 2" xfId="7302" xr:uid="{00000000-0005-0000-0000-000086000000}"/>
    <cellStyle name="20% - Accent1 11 2 2 3 2 2" xfId="15273" xr:uid="{00000000-0005-0000-0000-000087000000}"/>
    <cellStyle name="20% - Accent1 11 2 2 3 2 2 2" xfId="39115" xr:uid="{01F8B3DB-A22D-4ACC-93DA-9AD9FCB7D394}"/>
    <cellStyle name="20% - Accent1 11 2 2 3 2 3" xfId="23219" xr:uid="{00000000-0005-0000-0000-000088000000}"/>
    <cellStyle name="20% - Accent1 11 2 2 3 2 3 2" xfId="47051" xr:uid="{650F60EE-ECCA-4523-B569-55D50733B0F4}"/>
    <cellStyle name="20% - Accent1 11 2 2 3 2 4" xfId="31174" xr:uid="{20266C6B-C6A7-41AD-A750-3E64011C1EAA}"/>
    <cellStyle name="20% - Accent1 11 2 2 3 3" xfId="11735" xr:uid="{00000000-0005-0000-0000-000089000000}"/>
    <cellStyle name="20% - Accent1 11 2 2 3 3 2" xfId="35584" xr:uid="{1B886F49-151C-4514-8615-090CE2D1F2B9}"/>
    <cellStyle name="20% - Accent1 11 2 2 3 4" xfId="19690" xr:uid="{00000000-0005-0000-0000-00008A000000}"/>
    <cellStyle name="20% - Accent1 11 2 2 3 4 2" xfId="43522" xr:uid="{B807B7A0-3F3D-4C07-A24B-FBC3FCC7373A}"/>
    <cellStyle name="20% - Accent1 11 2 2 3 5" xfId="27643" xr:uid="{10A321C6-0ECF-44B1-8CBE-7171828EE9D0}"/>
    <cellStyle name="20% - Accent1 11 2 2 4" xfId="5530" xr:uid="{00000000-0005-0000-0000-00008B000000}"/>
    <cellStyle name="20% - Accent1 11 2 2 4 2" xfId="13514" xr:uid="{00000000-0005-0000-0000-00008C000000}"/>
    <cellStyle name="20% - Accent1 11 2 2 4 2 2" xfId="37357" xr:uid="{FB1B32BB-5A2B-4A95-89A0-E81F363F6A95}"/>
    <cellStyle name="20% - Accent1 11 2 2 4 3" xfId="21462" xr:uid="{00000000-0005-0000-0000-00008D000000}"/>
    <cellStyle name="20% - Accent1 11 2 2 4 3 2" xfId="45294" xr:uid="{808186A3-A3FE-494C-85A1-011B821D2FBB}"/>
    <cellStyle name="20% - Accent1 11 2 2 4 4" xfId="29416" xr:uid="{503419DF-55B7-46AE-8F20-7CCD217EF253}"/>
    <cellStyle name="20% - Accent1 11 2 2 5" xfId="9083" xr:uid="{00000000-0005-0000-0000-00008E000000}"/>
    <cellStyle name="20% - Accent1 11 2 2 5 2" xfId="17041" xr:uid="{00000000-0005-0000-0000-00008F000000}"/>
    <cellStyle name="20% - Accent1 11 2 2 5 2 2" xfId="40881" xr:uid="{F4AFBAEE-357C-4FCE-BF0B-840F491C4DEA}"/>
    <cellStyle name="20% - Accent1 11 2 2 5 3" xfId="24985" xr:uid="{00000000-0005-0000-0000-000090000000}"/>
    <cellStyle name="20% - Accent1 11 2 2 5 3 2" xfId="48817" xr:uid="{5BACCE1A-01CE-4368-B5A4-F54DA2DF78C2}"/>
    <cellStyle name="20% - Accent1 11 2 2 5 4" xfId="32940" xr:uid="{A1D38150-C391-4EDB-A14E-73C6CFA12E42}"/>
    <cellStyle name="20% - Accent1 11 2 2 6" xfId="9979" xr:uid="{00000000-0005-0000-0000-000091000000}"/>
    <cellStyle name="20% - Accent1 11 2 2 6 2" xfId="33828" xr:uid="{CCFD0929-7C3A-4B8D-9526-D822F33AD1E0}"/>
    <cellStyle name="20% - Accent1 11 2 2 7" xfId="17934" xr:uid="{00000000-0005-0000-0000-000092000000}"/>
    <cellStyle name="20% - Accent1 11 2 2 7 2" xfId="41766" xr:uid="{A1F0A6FA-E96E-461E-A055-34119CD1C587}"/>
    <cellStyle name="20% - Accent1 11 2 2 8" xfId="25886" xr:uid="{88027599-2788-4D43-99CF-4CA8FD1F0E46}"/>
    <cellStyle name="20% - Accent1 11 2 2_Exh G" xfId="1951" xr:uid="{00000000-0005-0000-0000-000093000000}"/>
    <cellStyle name="20% - Accent1 11 2 3" xfId="1058" xr:uid="{00000000-0005-0000-0000-000094000000}"/>
    <cellStyle name="20% - Accent1 11 2 3 2" xfId="4588" xr:uid="{00000000-0005-0000-0000-000095000000}"/>
    <cellStyle name="20% - Accent1 11 2 3 2 2" xfId="8179" xr:uid="{00000000-0005-0000-0000-000096000000}"/>
    <cellStyle name="20% - Accent1 11 2 3 2 2 2" xfId="16150" xr:uid="{00000000-0005-0000-0000-000097000000}"/>
    <cellStyle name="20% - Accent1 11 2 3 2 2 2 2" xfId="39992" xr:uid="{61385533-D6B4-4114-93CA-103F34EBE538}"/>
    <cellStyle name="20% - Accent1 11 2 3 2 2 3" xfId="24096" xr:uid="{00000000-0005-0000-0000-000098000000}"/>
    <cellStyle name="20% - Accent1 11 2 3 2 2 3 2" xfId="47928" xr:uid="{350139C7-4249-43AA-8C79-EF009565B4EB}"/>
    <cellStyle name="20% - Accent1 11 2 3 2 2 4" xfId="32051" xr:uid="{E05A2BCA-0594-41B6-83C5-B53A54F4CB89}"/>
    <cellStyle name="20% - Accent1 11 2 3 2 3" xfId="12612" xr:uid="{00000000-0005-0000-0000-000099000000}"/>
    <cellStyle name="20% - Accent1 11 2 3 2 3 2" xfId="36461" xr:uid="{B7D65091-F356-436D-85D5-B91F27986052}"/>
    <cellStyle name="20% - Accent1 11 2 3 2 4" xfId="20567" xr:uid="{00000000-0005-0000-0000-00009A000000}"/>
    <cellStyle name="20% - Accent1 11 2 3 2 4 2" xfId="44399" xr:uid="{75892CFF-6E28-48C4-AB8B-6388ABC8A94F}"/>
    <cellStyle name="20% - Accent1 11 2 3 2 5" xfId="28520" xr:uid="{7C289BF1-3F55-4210-9811-05837FAA6628}"/>
    <cellStyle name="20% - Accent1 11 2 3 3" xfId="6420" xr:uid="{00000000-0005-0000-0000-00009B000000}"/>
    <cellStyle name="20% - Accent1 11 2 3 3 2" xfId="14392" xr:uid="{00000000-0005-0000-0000-00009C000000}"/>
    <cellStyle name="20% - Accent1 11 2 3 3 2 2" xfId="38234" xr:uid="{A76ABB9C-9283-49ED-AFD9-BADA7E2B390D}"/>
    <cellStyle name="20% - Accent1 11 2 3 3 3" xfId="22339" xr:uid="{00000000-0005-0000-0000-00009D000000}"/>
    <cellStyle name="20% - Accent1 11 2 3 3 3 2" xfId="46171" xr:uid="{EE4A4C8A-2600-4965-8D5A-5FF20E715EDE}"/>
    <cellStyle name="20% - Accent1 11 2 3 3 4" xfId="30293" xr:uid="{3B6A7999-ADFA-4AC9-B6B1-790CCC36D26C}"/>
    <cellStyle name="20% - Accent1 11 2 3 4" xfId="10856" xr:uid="{00000000-0005-0000-0000-00009E000000}"/>
    <cellStyle name="20% - Accent1 11 2 3 4 2" xfId="34705" xr:uid="{2628480D-22AF-435C-9326-BEB9FAE6D1FE}"/>
    <cellStyle name="20% - Accent1 11 2 3 5" xfId="18811" xr:uid="{00000000-0005-0000-0000-00009F000000}"/>
    <cellStyle name="20% - Accent1 11 2 3 5 2" xfId="42643" xr:uid="{F2BBCD79-D257-4514-BF97-59736BDDD1EA}"/>
    <cellStyle name="20% - Accent1 11 2 3 6" xfId="26763" xr:uid="{73B3B3C0-A321-4025-8724-486FBF3D73E3}"/>
    <cellStyle name="20% - Accent1 11 2 3_Exh G" xfId="1953" xr:uid="{00000000-0005-0000-0000-0000A0000000}"/>
    <cellStyle name="20% - Accent1 11 2 4" xfId="3709" xr:uid="{00000000-0005-0000-0000-0000A1000000}"/>
    <cellStyle name="20% - Accent1 11 2 4 2" xfId="7301" xr:uid="{00000000-0005-0000-0000-0000A2000000}"/>
    <cellStyle name="20% - Accent1 11 2 4 2 2" xfId="15272" xr:uid="{00000000-0005-0000-0000-0000A3000000}"/>
    <cellStyle name="20% - Accent1 11 2 4 2 2 2" xfId="39114" xr:uid="{8EB240E2-EAAB-4AA4-AD2D-BFCF4FF8E182}"/>
    <cellStyle name="20% - Accent1 11 2 4 2 3" xfId="23218" xr:uid="{00000000-0005-0000-0000-0000A4000000}"/>
    <cellStyle name="20% - Accent1 11 2 4 2 3 2" xfId="47050" xr:uid="{586639B0-C75A-4616-A8A4-5ECC072B50C7}"/>
    <cellStyle name="20% - Accent1 11 2 4 2 4" xfId="31173" xr:uid="{9DEDB03A-030D-4D13-B319-E7DC902630BF}"/>
    <cellStyle name="20% - Accent1 11 2 4 3" xfId="11734" xr:uid="{00000000-0005-0000-0000-0000A5000000}"/>
    <cellStyle name="20% - Accent1 11 2 4 3 2" xfId="35583" xr:uid="{EB82E3F1-26FB-4B28-B52D-24BA9A057ED1}"/>
    <cellStyle name="20% - Accent1 11 2 4 4" xfId="19689" xr:uid="{00000000-0005-0000-0000-0000A6000000}"/>
    <cellStyle name="20% - Accent1 11 2 4 4 2" xfId="43521" xr:uid="{6411BE3C-3336-45F9-B369-4DB900FD04DD}"/>
    <cellStyle name="20% - Accent1 11 2 4 5" xfId="27642" xr:uid="{C21CCF24-C8DC-4918-AD37-654C00F93FC2}"/>
    <cellStyle name="20% - Accent1 11 2 5" xfId="5529" xr:uid="{00000000-0005-0000-0000-0000A7000000}"/>
    <cellStyle name="20% - Accent1 11 2 5 2" xfId="13513" xr:uid="{00000000-0005-0000-0000-0000A8000000}"/>
    <cellStyle name="20% - Accent1 11 2 5 2 2" xfId="37356" xr:uid="{85D6C4B0-F3D1-48BF-A493-1BDF1C593F50}"/>
    <cellStyle name="20% - Accent1 11 2 5 3" xfId="21461" xr:uid="{00000000-0005-0000-0000-0000A9000000}"/>
    <cellStyle name="20% - Accent1 11 2 5 3 2" xfId="45293" xr:uid="{7F9DF758-ED0D-4F13-89D5-4D08805A5738}"/>
    <cellStyle name="20% - Accent1 11 2 5 4" xfId="29415" xr:uid="{2F9CF1C0-1FA0-4FD8-A558-349BEF425E9B}"/>
    <cellStyle name="20% - Accent1 11 2 6" xfId="9082" xr:uid="{00000000-0005-0000-0000-0000AA000000}"/>
    <cellStyle name="20% - Accent1 11 2 6 2" xfId="17040" xr:uid="{00000000-0005-0000-0000-0000AB000000}"/>
    <cellStyle name="20% - Accent1 11 2 6 2 2" xfId="40880" xr:uid="{BCFED2C9-48CB-47AA-B2A9-6A5DC225C92D}"/>
    <cellStyle name="20% - Accent1 11 2 6 3" xfId="24984" xr:uid="{00000000-0005-0000-0000-0000AC000000}"/>
    <cellStyle name="20% - Accent1 11 2 6 3 2" xfId="48816" xr:uid="{F3794D1E-B3AF-49AB-8A80-A2ED5FF4562F}"/>
    <cellStyle name="20% - Accent1 11 2 6 4" xfId="32939" xr:uid="{0C14DFC0-5806-401C-9DFA-E1C7B535A924}"/>
    <cellStyle name="20% - Accent1 11 2 7" xfId="9978" xr:uid="{00000000-0005-0000-0000-0000AD000000}"/>
    <cellStyle name="20% - Accent1 11 2 7 2" xfId="33827" xr:uid="{D376191B-4778-4F76-84AE-24ED3675BB71}"/>
    <cellStyle name="20% - Accent1 11 2 8" xfId="17933" xr:uid="{00000000-0005-0000-0000-0000AE000000}"/>
    <cellStyle name="20% - Accent1 11 2 8 2" xfId="41765" xr:uid="{9DEDF6D3-F8C3-4507-9DB4-4221F897DEF4}"/>
    <cellStyle name="20% - Accent1 11 2 9" xfId="25885" xr:uid="{AE45FDA3-81BF-445C-8613-4E7E219857EC}"/>
    <cellStyle name="20% - Accent1 11 2_Exh G" xfId="1950" xr:uid="{00000000-0005-0000-0000-0000AF000000}"/>
    <cellStyle name="20% - Accent1 11 3" xfId="32" xr:uid="{00000000-0005-0000-0000-0000B0000000}"/>
    <cellStyle name="20% - Accent1 11 3 2" xfId="1060" xr:uid="{00000000-0005-0000-0000-0000B1000000}"/>
    <cellStyle name="20% - Accent1 11 3 2 2" xfId="4590" xr:uid="{00000000-0005-0000-0000-0000B2000000}"/>
    <cellStyle name="20% - Accent1 11 3 2 2 2" xfId="8181" xr:uid="{00000000-0005-0000-0000-0000B3000000}"/>
    <cellStyle name="20% - Accent1 11 3 2 2 2 2" xfId="16152" xr:uid="{00000000-0005-0000-0000-0000B4000000}"/>
    <cellStyle name="20% - Accent1 11 3 2 2 2 2 2" xfId="39994" xr:uid="{BD4817E8-4484-4768-BB2E-008739D9DA29}"/>
    <cellStyle name="20% - Accent1 11 3 2 2 2 3" xfId="24098" xr:uid="{00000000-0005-0000-0000-0000B5000000}"/>
    <cellStyle name="20% - Accent1 11 3 2 2 2 3 2" xfId="47930" xr:uid="{665153B9-19D9-488F-9ACF-8C7D1392B68D}"/>
    <cellStyle name="20% - Accent1 11 3 2 2 2 4" xfId="32053" xr:uid="{880E1339-35EF-4DE2-8DBA-BA5609D93862}"/>
    <cellStyle name="20% - Accent1 11 3 2 2 3" xfId="12614" xr:uid="{00000000-0005-0000-0000-0000B6000000}"/>
    <cellStyle name="20% - Accent1 11 3 2 2 3 2" xfId="36463" xr:uid="{E5B9DC25-0D79-4264-A2AC-0F7F3DDEC210}"/>
    <cellStyle name="20% - Accent1 11 3 2 2 4" xfId="20569" xr:uid="{00000000-0005-0000-0000-0000B7000000}"/>
    <cellStyle name="20% - Accent1 11 3 2 2 4 2" xfId="44401" xr:uid="{36955A7A-C196-47C4-BC16-0F9442419DB0}"/>
    <cellStyle name="20% - Accent1 11 3 2 2 5" xfId="28522" xr:uid="{F00C90F9-51CC-4DAB-8C64-869D87B1E9B4}"/>
    <cellStyle name="20% - Accent1 11 3 2 3" xfId="6422" xr:uid="{00000000-0005-0000-0000-0000B8000000}"/>
    <cellStyle name="20% - Accent1 11 3 2 3 2" xfId="14394" xr:uid="{00000000-0005-0000-0000-0000B9000000}"/>
    <cellStyle name="20% - Accent1 11 3 2 3 2 2" xfId="38236" xr:uid="{BE8C9416-AB9D-4DC7-AFFF-E1CF88DF1B92}"/>
    <cellStyle name="20% - Accent1 11 3 2 3 3" xfId="22341" xr:uid="{00000000-0005-0000-0000-0000BA000000}"/>
    <cellStyle name="20% - Accent1 11 3 2 3 3 2" xfId="46173" xr:uid="{505F3B1C-8EA9-4A3E-AE1F-494E69B07CAF}"/>
    <cellStyle name="20% - Accent1 11 3 2 3 4" xfId="30295" xr:uid="{A982D095-15F4-45BD-9532-19246E39B849}"/>
    <cellStyle name="20% - Accent1 11 3 2 4" xfId="10858" xr:uid="{00000000-0005-0000-0000-0000BB000000}"/>
    <cellStyle name="20% - Accent1 11 3 2 4 2" xfId="34707" xr:uid="{1E0698A4-B3B8-43A5-BBDC-E4DD91D80A52}"/>
    <cellStyle name="20% - Accent1 11 3 2 5" xfId="18813" xr:uid="{00000000-0005-0000-0000-0000BC000000}"/>
    <cellStyle name="20% - Accent1 11 3 2 5 2" xfId="42645" xr:uid="{FD9AF2AA-5A47-47AA-B1FD-2A7D946DDA63}"/>
    <cellStyle name="20% - Accent1 11 3 2 6" xfId="26765" xr:uid="{7BA671AE-3C4D-483C-A68C-E9C03863C60A}"/>
    <cellStyle name="20% - Accent1 11 3 2_Exh G" xfId="1955" xr:uid="{00000000-0005-0000-0000-0000BD000000}"/>
    <cellStyle name="20% - Accent1 11 3 3" xfId="3711" xr:uid="{00000000-0005-0000-0000-0000BE000000}"/>
    <cellStyle name="20% - Accent1 11 3 3 2" xfId="7303" xr:uid="{00000000-0005-0000-0000-0000BF000000}"/>
    <cellStyle name="20% - Accent1 11 3 3 2 2" xfId="15274" xr:uid="{00000000-0005-0000-0000-0000C0000000}"/>
    <cellStyle name="20% - Accent1 11 3 3 2 2 2" xfId="39116" xr:uid="{540419EC-737C-46B8-925D-EFC596503579}"/>
    <cellStyle name="20% - Accent1 11 3 3 2 3" xfId="23220" xr:uid="{00000000-0005-0000-0000-0000C1000000}"/>
    <cellStyle name="20% - Accent1 11 3 3 2 3 2" xfId="47052" xr:uid="{9B0B8263-D578-4503-8D10-07C4D99C621E}"/>
    <cellStyle name="20% - Accent1 11 3 3 2 4" xfId="31175" xr:uid="{867051FB-1E15-450D-A74A-0DE91DF6ADC8}"/>
    <cellStyle name="20% - Accent1 11 3 3 3" xfId="11736" xr:uid="{00000000-0005-0000-0000-0000C2000000}"/>
    <cellStyle name="20% - Accent1 11 3 3 3 2" xfId="35585" xr:uid="{5140F261-D019-454B-B2A1-66A226991E56}"/>
    <cellStyle name="20% - Accent1 11 3 3 4" xfId="19691" xr:uid="{00000000-0005-0000-0000-0000C3000000}"/>
    <cellStyle name="20% - Accent1 11 3 3 4 2" xfId="43523" xr:uid="{611BBEB2-2D22-4694-909A-9FA1D3DB4FCD}"/>
    <cellStyle name="20% - Accent1 11 3 3 5" xfId="27644" xr:uid="{B3061921-57FE-4934-9908-DF61209A3E30}"/>
    <cellStyle name="20% - Accent1 11 3 4" xfId="5531" xr:uid="{00000000-0005-0000-0000-0000C4000000}"/>
    <cellStyle name="20% - Accent1 11 3 4 2" xfId="13515" xr:uid="{00000000-0005-0000-0000-0000C5000000}"/>
    <cellStyle name="20% - Accent1 11 3 4 2 2" xfId="37358" xr:uid="{05D47188-0D9C-4EE6-8556-9C57EE671E14}"/>
    <cellStyle name="20% - Accent1 11 3 4 3" xfId="21463" xr:uid="{00000000-0005-0000-0000-0000C6000000}"/>
    <cellStyle name="20% - Accent1 11 3 4 3 2" xfId="45295" xr:uid="{94897D2F-4526-4395-AD8B-006321987695}"/>
    <cellStyle name="20% - Accent1 11 3 4 4" xfId="29417" xr:uid="{3D7BA088-0747-4B58-884F-D6A36E5D964C}"/>
    <cellStyle name="20% - Accent1 11 3 5" xfId="9084" xr:uid="{00000000-0005-0000-0000-0000C7000000}"/>
    <cellStyle name="20% - Accent1 11 3 5 2" xfId="17042" xr:uid="{00000000-0005-0000-0000-0000C8000000}"/>
    <cellStyle name="20% - Accent1 11 3 5 2 2" xfId="40882" xr:uid="{AF8F702B-7024-4D66-B17F-28B9D6FA79F1}"/>
    <cellStyle name="20% - Accent1 11 3 5 3" xfId="24986" xr:uid="{00000000-0005-0000-0000-0000C9000000}"/>
    <cellStyle name="20% - Accent1 11 3 5 3 2" xfId="48818" xr:uid="{9798F560-85DF-4323-B716-A0D722A09184}"/>
    <cellStyle name="20% - Accent1 11 3 5 4" xfId="32941" xr:uid="{4C3A8EA2-4AA0-420A-A608-4B475F26FF99}"/>
    <cellStyle name="20% - Accent1 11 3 6" xfId="9980" xr:uid="{00000000-0005-0000-0000-0000CA000000}"/>
    <cellStyle name="20% - Accent1 11 3 6 2" xfId="33829" xr:uid="{99CC59F9-0122-4D5D-85E0-7BA09CD5CD47}"/>
    <cellStyle name="20% - Accent1 11 3 7" xfId="17935" xr:uid="{00000000-0005-0000-0000-0000CB000000}"/>
    <cellStyle name="20% - Accent1 11 3 7 2" xfId="41767" xr:uid="{3CD32E5B-036F-48F6-B0F4-ED98B9DA21D2}"/>
    <cellStyle name="20% - Accent1 11 3 8" xfId="25887" xr:uid="{D07C72AC-6972-4795-83B1-56C1395B170C}"/>
    <cellStyle name="20% - Accent1 11 3_Exh G" xfId="1954" xr:uid="{00000000-0005-0000-0000-0000CC000000}"/>
    <cellStyle name="20% - Accent1 11 4" xfId="1057" xr:uid="{00000000-0005-0000-0000-0000CD000000}"/>
    <cellStyle name="20% - Accent1 11 4 2" xfId="4587" xr:uid="{00000000-0005-0000-0000-0000CE000000}"/>
    <cellStyle name="20% - Accent1 11 4 2 2" xfId="8178" xr:uid="{00000000-0005-0000-0000-0000CF000000}"/>
    <cellStyle name="20% - Accent1 11 4 2 2 2" xfId="16149" xr:uid="{00000000-0005-0000-0000-0000D0000000}"/>
    <cellStyle name="20% - Accent1 11 4 2 2 2 2" xfId="39991" xr:uid="{8AD99FBC-EC62-4C20-B6D0-EB988DD9F03D}"/>
    <cellStyle name="20% - Accent1 11 4 2 2 3" xfId="24095" xr:uid="{00000000-0005-0000-0000-0000D1000000}"/>
    <cellStyle name="20% - Accent1 11 4 2 2 3 2" xfId="47927" xr:uid="{4E447B79-C646-47CC-9148-21AE02DAE3BC}"/>
    <cellStyle name="20% - Accent1 11 4 2 2 4" xfId="32050" xr:uid="{95AB6CDA-197C-4397-A3AC-18AC6DA18AE4}"/>
    <cellStyle name="20% - Accent1 11 4 2 3" xfId="12611" xr:uid="{00000000-0005-0000-0000-0000D2000000}"/>
    <cellStyle name="20% - Accent1 11 4 2 3 2" xfId="36460" xr:uid="{A037AC63-9C60-4F04-953B-D7ECB4158E89}"/>
    <cellStyle name="20% - Accent1 11 4 2 4" xfId="20566" xr:uid="{00000000-0005-0000-0000-0000D3000000}"/>
    <cellStyle name="20% - Accent1 11 4 2 4 2" xfId="44398" xr:uid="{CF0FC6EC-20F6-417F-B83A-78998ED7FFAD}"/>
    <cellStyle name="20% - Accent1 11 4 2 5" xfId="28519" xr:uid="{F522EA8A-0A0F-4E04-91D0-5F80E12A25D9}"/>
    <cellStyle name="20% - Accent1 11 4 3" xfId="6419" xr:uid="{00000000-0005-0000-0000-0000D4000000}"/>
    <cellStyle name="20% - Accent1 11 4 3 2" xfId="14391" xr:uid="{00000000-0005-0000-0000-0000D5000000}"/>
    <cellStyle name="20% - Accent1 11 4 3 2 2" xfId="38233" xr:uid="{7BD5B17A-3325-4E0E-AAC0-3E8ABDB6F7DD}"/>
    <cellStyle name="20% - Accent1 11 4 3 3" xfId="22338" xr:uid="{00000000-0005-0000-0000-0000D6000000}"/>
    <cellStyle name="20% - Accent1 11 4 3 3 2" xfId="46170" xr:uid="{BD24290F-523B-476D-8E1B-DCDF1573673C}"/>
    <cellStyle name="20% - Accent1 11 4 3 4" xfId="30292" xr:uid="{3F641833-3C42-45F0-B302-8AFC1C28B6BA}"/>
    <cellStyle name="20% - Accent1 11 4 4" xfId="10855" xr:uid="{00000000-0005-0000-0000-0000D7000000}"/>
    <cellStyle name="20% - Accent1 11 4 4 2" xfId="34704" xr:uid="{BE1ACBB9-F284-4E47-9781-1B545DDD78E3}"/>
    <cellStyle name="20% - Accent1 11 4 5" xfId="18810" xr:uid="{00000000-0005-0000-0000-0000D8000000}"/>
    <cellStyle name="20% - Accent1 11 4 5 2" xfId="42642" xr:uid="{710B58FA-3519-4BCB-8DA3-47B82B10DA11}"/>
    <cellStyle name="20% - Accent1 11 4 6" xfId="26762" xr:uid="{87DBA921-6A46-4AD5-A32A-251FDA7313D2}"/>
    <cellStyle name="20% - Accent1 11 4_Exh G" xfId="1956" xr:uid="{00000000-0005-0000-0000-0000D9000000}"/>
    <cellStyle name="20% - Accent1 11 5" xfId="3708" xr:uid="{00000000-0005-0000-0000-0000DA000000}"/>
    <cellStyle name="20% - Accent1 11 5 2" xfId="7300" xr:uid="{00000000-0005-0000-0000-0000DB000000}"/>
    <cellStyle name="20% - Accent1 11 5 2 2" xfId="15271" xr:uid="{00000000-0005-0000-0000-0000DC000000}"/>
    <cellStyle name="20% - Accent1 11 5 2 2 2" xfId="39113" xr:uid="{98656AE4-76C8-4978-A72D-648F6527F227}"/>
    <cellStyle name="20% - Accent1 11 5 2 3" xfId="23217" xr:uid="{00000000-0005-0000-0000-0000DD000000}"/>
    <cellStyle name="20% - Accent1 11 5 2 3 2" xfId="47049" xr:uid="{7EF4E9E8-A4D3-44E8-8AAE-1C3EB97D0192}"/>
    <cellStyle name="20% - Accent1 11 5 2 4" xfId="31172" xr:uid="{8C0B7F2C-8C3F-4545-9B35-2E1F4744E1E9}"/>
    <cellStyle name="20% - Accent1 11 5 3" xfId="11733" xr:uid="{00000000-0005-0000-0000-0000DE000000}"/>
    <cellStyle name="20% - Accent1 11 5 3 2" xfId="35582" xr:uid="{F6AF4C64-C182-41B4-A967-D82EE6A234FE}"/>
    <cellStyle name="20% - Accent1 11 5 4" xfId="19688" xr:uid="{00000000-0005-0000-0000-0000DF000000}"/>
    <cellStyle name="20% - Accent1 11 5 4 2" xfId="43520" xr:uid="{E9760052-1E98-4239-9953-353C3157D1FF}"/>
    <cellStyle name="20% - Accent1 11 5 5" xfId="27641" xr:uid="{5E748CBD-3AB9-4741-909A-FEA379D24CD1}"/>
    <cellStyle name="20% - Accent1 11 6" xfId="5528" xr:uid="{00000000-0005-0000-0000-0000E0000000}"/>
    <cellStyle name="20% - Accent1 11 6 2" xfId="13512" xr:uid="{00000000-0005-0000-0000-0000E1000000}"/>
    <cellStyle name="20% - Accent1 11 6 2 2" xfId="37355" xr:uid="{51A9C1D4-68D5-40CF-BDF0-23BAE29AC24A}"/>
    <cellStyle name="20% - Accent1 11 6 3" xfId="21460" xr:uid="{00000000-0005-0000-0000-0000E2000000}"/>
    <cellStyle name="20% - Accent1 11 6 3 2" xfId="45292" xr:uid="{C3E20080-9754-4048-B3C7-2F643A08D7AF}"/>
    <cellStyle name="20% - Accent1 11 6 4" xfId="29414" xr:uid="{0883506A-BAE1-4EB0-BD92-4CF8125CEA97}"/>
    <cellStyle name="20% - Accent1 11 7" xfId="9081" xr:uid="{00000000-0005-0000-0000-0000E3000000}"/>
    <cellStyle name="20% - Accent1 11 7 2" xfId="17039" xr:uid="{00000000-0005-0000-0000-0000E4000000}"/>
    <cellStyle name="20% - Accent1 11 7 2 2" xfId="40879" xr:uid="{C3B11A23-F6A1-411D-AA43-0202BB2C7DA5}"/>
    <cellStyle name="20% - Accent1 11 7 3" xfId="24983" xr:uid="{00000000-0005-0000-0000-0000E5000000}"/>
    <cellStyle name="20% - Accent1 11 7 3 2" xfId="48815" xr:uid="{42800AEA-016F-400E-A23A-A0400B9B0AF6}"/>
    <cellStyle name="20% - Accent1 11 7 4" xfId="32938" xr:uid="{5508975B-B46C-4AD1-AFE6-AB80B5BE0EFD}"/>
    <cellStyle name="20% - Accent1 11 8" xfId="9977" xr:uid="{00000000-0005-0000-0000-0000E6000000}"/>
    <cellStyle name="20% - Accent1 11 8 2" xfId="33826" xr:uid="{084BFD42-888F-42A7-9CA4-9110983BFCA1}"/>
    <cellStyle name="20% - Accent1 11 9" xfId="17932" xr:uid="{00000000-0005-0000-0000-0000E7000000}"/>
    <cellStyle name="20% - Accent1 11 9 2" xfId="41764" xr:uid="{FA9C14DC-D8EB-46B1-A759-843F86D19D08}"/>
    <cellStyle name="20% - Accent1 11_Exh G" xfId="1949" xr:uid="{00000000-0005-0000-0000-0000E8000000}"/>
    <cellStyle name="20% - Accent1 12" xfId="33" xr:uid="{00000000-0005-0000-0000-0000E9000000}"/>
    <cellStyle name="20% - Accent1 12 10" xfId="25888" xr:uid="{29852C98-1C95-42FE-8122-4D6793EEBE0B}"/>
    <cellStyle name="20% - Accent1 12 2" xfId="34" xr:uid="{00000000-0005-0000-0000-0000EA000000}"/>
    <cellStyle name="20% - Accent1 12 2 2" xfId="35" xr:uid="{00000000-0005-0000-0000-0000EB000000}"/>
    <cellStyle name="20% - Accent1 12 2 2 2" xfId="1063" xr:uid="{00000000-0005-0000-0000-0000EC000000}"/>
    <cellStyle name="20% - Accent1 12 2 2 2 2" xfId="4593" xr:uid="{00000000-0005-0000-0000-0000ED000000}"/>
    <cellStyle name="20% - Accent1 12 2 2 2 2 2" xfId="8184" xr:uid="{00000000-0005-0000-0000-0000EE000000}"/>
    <cellStyle name="20% - Accent1 12 2 2 2 2 2 2" xfId="16155" xr:uid="{00000000-0005-0000-0000-0000EF000000}"/>
    <cellStyle name="20% - Accent1 12 2 2 2 2 2 2 2" xfId="39997" xr:uid="{336790F4-F0CA-46DE-B031-D953E37F2452}"/>
    <cellStyle name="20% - Accent1 12 2 2 2 2 2 3" xfId="24101" xr:uid="{00000000-0005-0000-0000-0000F0000000}"/>
    <cellStyle name="20% - Accent1 12 2 2 2 2 2 3 2" xfId="47933" xr:uid="{4FC2B80D-4F7F-453E-8F39-26BD0849F231}"/>
    <cellStyle name="20% - Accent1 12 2 2 2 2 2 4" xfId="32056" xr:uid="{53D2F3A1-1162-4433-8389-B91C45E889EE}"/>
    <cellStyle name="20% - Accent1 12 2 2 2 2 3" xfId="12617" xr:uid="{00000000-0005-0000-0000-0000F1000000}"/>
    <cellStyle name="20% - Accent1 12 2 2 2 2 3 2" xfId="36466" xr:uid="{18716E5A-C4A1-47A8-9CEC-D0CBCA281B1D}"/>
    <cellStyle name="20% - Accent1 12 2 2 2 2 4" xfId="20572" xr:uid="{00000000-0005-0000-0000-0000F2000000}"/>
    <cellStyle name="20% - Accent1 12 2 2 2 2 4 2" xfId="44404" xr:uid="{EA2FFFDF-D542-47CA-85F7-27E717AB40E8}"/>
    <cellStyle name="20% - Accent1 12 2 2 2 2 5" xfId="28525" xr:uid="{995FE494-4C97-4CB3-9009-D78B0EF2FAA2}"/>
    <cellStyle name="20% - Accent1 12 2 2 2 3" xfId="6425" xr:uid="{00000000-0005-0000-0000-0000F3000000}"/>
    <cellStyle name="20% - Accent1 12 2 2 2 3 2" xfId="14397" xr:uid="{00000000-0005-0000-0000-0000F4000000}"/>
    <cellStyle name="20% - Accent1 12 2 2 2 3 2 2" xfId="38239" xr:uid="{610D6AE4-7C46-4F37-B7E1-46BBB64BE79E}"/>
    <cellStyle name="20% - Accent1 12 2 2 2 3 3" xfId="22344" xr:uid="{00000000-0005-0000-0000-0000F5000000}"/>
    <cellStyle name="20% - Accent1 12 2 2 2 3 3 2" xfId="46176" xr:uid="{BE1F11A2-B026-4489-8A07-2B7B1A776433}"/>
    <cellStyle name="20% - Accent1 12 2 2 2 3 4" xfId="30298" xr:uid="{6602DCFC-4672-4454-B365-C046AE65DAE8}"/>
    <cellStyle name="20% - Accent1 12 2 2 2 4" xfId="10861" xr:uid="{00000000-0005-0000-0000-0000F6000000}"/>
    <cellStyle name="20% - Accent1 12 2 2 2 4 2" xfId="34710" xr:uid="{FB98596C-A7DF-4935-9FCA-BC5AF6ABBC72}"/>
    <cellStyle name="20% - Accent1 12 2 2 2 5" xfId="18816" xr:uid="{00000000-0005-0000-0000-0000F7000000}"/>
    <cellStyle name="20% - Accent1 12 2 2 2 5 2" xfId="42648" xr:uid="{A9D55ACB-EA93-4A2D-B90B-245F7CECBE27}"/>
    <cellStyle name="20% - Accent1 12 2 2 2 6" xfId="26768" xr:uid="{E57A9EC9-4616-4376-9D32-630F80CB37F9}"/>
    <cellStyle name="20% - Accent1 12 2 2 2_Exh G" xfId="1960" xr:uid="{00000000-0005-0000-0000-0000F8000000}"/>
    <cellStyle name="20% - Accent1 12 2 2 3" xfId="3714" xr:uid="{00000000-0005-0000-0000-0000F9000000}"/>
    <cellStyle name="20% - Accent1 12 2 2 3 2" xfId="7306" xr:uid="{00000000-0005-0000-0000-0000FA000000}"/>
    <cellStyle name="20% - Accent1 12 2 2 3 2 2" xfId="15277" xr:uid="{00000000-0005-0000-0000-0000FB000000}"/>
    <cellStyle name="20% - Accent1 12 2 2 3 2 2 2" xfId="39119" xr:uid="{1B6ACDBE-6065-4125-8A5E-1898393E6B28}"/>
    <cellStyle name="20% - Accent1 12 2 2 3 2 3" xfId="23223" xr:uid="{00000000-0005-0000-0000-0000FC000000}"/>
    <cellStyle name="20% - Accent1 12 2 2 3 2 3 2" xfId="47055" xr:uid="{CA4EFAE2-2CA3-4F98-99A9-DB2EE4C148C1}"/>
    <cellStyle name="20% - Accent1 12 2 2 3 2 4" xfId="31178" xr:uid="{CFA7D174-2847-459C-A9AC-8DD34A87F7E6}"/>
    <cellStyle name="20% - Accent1 12 2 2 3 3" xfId="11739" xr:uid="{00000000-0005-0000-0000-0000FD000000}"/>
    <cellStyle name="20% - Accent1 12 2 2 3 3 2" xfId="35588" xr:uid="{D350C77B-2F29-42F4-8D30-D07D694ADBCA}"/>
    <cellStyle name="20% - Accent1 12 2 2 3 4" xfId="19694" xr:uid="{00000000-0005-0000-0000-0000FE000000}"/>
    <cellStyle name="20% - Accent1 12 2 2 3 4 2" xfId="43526" xr:uid="{367AF1CC-6DE5-44F8-B3CE-1DBA7D580D1F}"/>
    <cellStyle name="20% - Accent1 12 2 2 3 5" xfId="27647" xr:uid="{06E322ED-DCC0-4A8C-B37B-E830011EC382}"/>
    <cellStyle name="20% - Accent1 12 2 2 4" xfId="5534" xr:uid="{00000000-0005-0000-0000-0000FF000000}"/>
    <cellStyle name="20% - Accent1 12 2 2 4 2" xfId="13518" xr:uid="{00000000-0005-0000-0000-000000010000}"/>
    <cellStyle name="20% - Accent1 12 2 2 4 2 2" xfId="37361" xr:uid="{6F7937D2-797D-4EDC-9E5A-EA7E5368E358}"/>
    <cellStyle name="20% - Accent1 12 2 2 4 3" xfId="21466" xr:uid="{00000000-0005-0000-0000-000001010000}"/>
    <cellStyle name="20% - Accent1 12 2 2 4 3 2" xfId="45298" xr:uid="{A58912DF-DF44-476A-BFFE-6623B0077646}"/>
    <cellStyle name="20% - Accent1 12 2 2 4 4" xfId="29420" xr:uid="{4F0C71AD-9C5B-410A-B499-30E0BD70FB02}"/>
    <cellStyle name="20% - Accent1 12 2 2 5" xfId="9087" xr:uid="{00000000-0005-0000-0000-000002010000}"/>
    <cellStyle name="20% - Accent1 12 2 2 5 2" xfId="17045" xr:uid="{00000000-0005-0000-0000-000003010000}"/>
    <cellStyle name="20% - Accent1 12 2 2 5 2 2" xfId="40885" xr:uid="{6F68F345-DA2B-4648-8551-137358269877}"/>
    <cellStyle name="20% - Accent1 12 2 2 5 3" xfId="24989" xr:uid="{00000000-0005-0000-0000-000004010000}"/>
    <cellStyle name="20% - Accent1 12 2 2 5 3 2" xfId="48821" xr:uid="{6A423494-B06F-4B31-8B0C-6DA556448933}"/>
    <cellStyle name="20% - Accent1 12 2 2 5 4" xfId="32944" xr:uid="{975622CD-F0B3-4870-94D5-E758B8E5BCEB}"/>
    <cellStyle name="20% - Accent1 12 2 2 6" xfId="9983" xr:uid="{00000000-0005-0000-0000-000005010000}"/>
    <cellStyle name="20% - Accent1 12 2 2 6 2" xfId="33832" xr:uid="{017DD113-1547-4E37-A506-512E9C0503E7}"/>
    <cellStyle name="20% - Accent1 12 2 2 7" xfId="17938" xr:uid="{00000000-0005-0000-0000-000006010000}"/>
    <cellStyle name="20% - Accent1 12 2 2 7 2" xfId="41770" xr:uid="{F6C7B7EA-D80D-4F98-8BF7-BA8BEA7693E5}"/>
    <cellStyle name="20% - Accent1 12 2 2 8" xfId="25890" xr:uid="{EE694A3A-AD27-40F7-9B3E-978441050ACC}"/>
    <cellStyle name="20% - Accent1 12 2 2_Exh G" xfId="1959" xr:uid="{00000000-0005-0000-0000-000007010000}"/>
    <cellStyle name="20% - Accent1 12 2 3" xfId="1062" xr:uid="{00000000-0005-0000-0000-000008010000}"/>
    <cellStyle name="20% - Accent1 12 2 3 2" xfId="4592" xr:uid="{00000000-0005-0000-0000-000009010000}"/>
    <cellStyle name="20% - Accent1 12 2 3 2 2" xfId="8183" xr:uid="{00000000-0005-0000-0000-00000A010000}"/>
    <cellStyle name="20% - Accent1 12 2 3 2 2 2" xfId="16154" xr:uid="{00000000-0005-0000-0000-00000B010000}"/>
    <cellStyle name="20% - Accent1 12 2 3 2 2 2 2" xfId="39996" xr:uid="{C6E0F24E-5152-4DFC-B88A-E5C3D972F697}"/>
    <cellStyle name="20% - Accent1 12 2 3 2 2 3" xfId="24100" xr:uid="{00000000-0005-0000-0000-00000C010000}"/>
    <cellStyle name="20% - Accent1 12 2 3 2 2 3 2" xfId="47932" xr:uid="{B991E387-DFD1-4C8F-B55A-41A74D86E292}"/>
    <cellStyle name="20% - Accent1 12 2 3 2 2 4" xfId="32055" xr:uid="{7ADAD8A0-1C06-4B6F-92C5-650D3133D2B1}"/>
    <cellStyle name="20% - Accent1 12 2 3 2 3" xfId="12616" xr:uid="{00000000-0005-0000-0000-00000D010000}"/>
    <cellStyle name="20% - Accent1 12 2 3 2 3 2" xfId="36465" xr:uid="{CA3B03D0-DBBE-40C0-AB1F-D5E1F5D38DB1}"/>
    <cellStyle name="20% - Accent1 12 2 3 2 4" xfId="20571" xr:uid="{00000000-0005-0000-0000-00000E010000}"/>
    <cellStyle name="20% - Accent1 12 2 3 2 4 2" xfId="44403" xr:uid="{5ACACAC5-9EA8-4348-87EC-C8EB8A8EBFFA}"/>
    <cellStyle name="20% - Accent1 12 2 3 2 5" xfId="28524" xr:uid="{45EA3ACF-DF2B-4A40-951D-F7ABEDBC17AE}"/>
    <cellStyle name="20% - Accent1 12 2 3 3" xfId="6424" xr:uid="{00000000-0005-0000-0000-00000F010000}"/>
    <cellStyle name="20% - Accent1 12 2 3 3 2" xfId="14396" xr:uid="{00000000-0005-0000-0000-000010010000}"/>
    <cellStyle name="20% - Accent1 12 2 3 3 2 2" xfId="38238" xr:uid="{EA03851A-6F08-441B-8F33-D0C24D83C499}"/>
    <cellStyle name="20% - Accent1 12 2 3 3 3" xfId="22343" xr:uid="{00000000-0005-0000-0000-000011010000}"/>
    <cellStyle name="20% - Accent1 12 2 3 3 3 2" xfId="46175" xr:uid="{1A4B3B16-BB84-4B12-BAF8-9DBFA8492A22}"/>
    <cellStyle name="20% - Accent1 12 2 3 3 4" xfId="30297" xr:uid="{9612D94A-51C9-4ECD-A4DA-045D2031CF7B}"/>
    <cellStyle name="20% - Accent1 12 2 3 4" xfId="10860" xr:uid="{00000000-0005-0000-0000-000012010000}"/>
    <cellStyle name="20% - Accent1 12 2 3 4 2" xfId="34709" xr:uid="{1FD0DF3F-1B6D-4437-8039-ED50DDD1BBDA}"/>
    <cellStyle name="20% - Accent1 12 2 3 5" xfId="18815" xr:uid="{00000000-0005-0000-0000-000013010000}"/>
    <cellStyle name="20% - Accent1 12 2 3 5 2" xfId="42647" xr:uid="{D52DCF90-2911-41FD-A2EC-FE284C340875}"/>
    <cellStyle name="20% - Accent1 12 2 3 6" xfId="26767" xr:uid="{0142C96B-B1FB-433F-AAAB-2BBB0B463926}"/>
    <cellStyle name="20% - Accent1 12 2 3_Exh G" xfId="1961" xr:uid="{00000000-0005-0000-0000-000014010000}"/>
    <cellStyle name="20% - Accent1 12 2 4" xfId="3713" xr:uid="{00000000-0005-0000-0000-000015010000}"/>
    <cellStyle name="20% - Accent1 12 2 4 2" xfId="7305" xr:uid="{00000000-0005-0000-0000-000016010000}"/>
    <cellStyle name="20% - Accent1 12 2 4 2 2" xfId="15276" xr:uid="{00000000-0005-0000-0000-000017010000}"/>
    <cellStyle name="20% - Accent1 12 2 4 2 2 2" xfId="39118" xr:uid="{F1E2F159-A368-40A5-9D4D-74AC49B67F8C}"/>
    <cellStyle name="20% - Accent1 12 2 4 2 3" xfId="23222" xr:uid="{00000000-0005-0000-0000-000018010000}"/>
    <cellStyle name="20% - Accent1 12 2 4 2 3 2" xfId="47054" xr:uid="{DE62C06A-A841-4E53-B9D1-6F03A6FF9DB8}"/>
    <cellStyle name="20% - Accent1 12 2 4 2 4" xfId="31177" xr:uid="{54F1E031-257A-4491-B33E-7C43CE0969CE}"/>
    <cellStyle name="20% - Accent1 12 2 4 3" xfId="11738" xr:uid="{00000000-0005-0000-0000-000019010000}"/>
    <cellStyle name="20% - Accent1 12 2 4 3 2" xfId="35587" xr:uid="{D548C1E9-353E-46A1-9108-B4D8D4BB517F}"/>
    <cellStyle name="20% - Accent1 12 2 4 4" xfId="19693" xr:uid="{00000000-0005-0000-0000-00001A010000}"/>
    <cellStyle name="20% - Accent1 12 2 4 4 2" xfId="43525" xr:uid="{943F2636-7B71-45FF-8D6E-902241826BA1}"/>
    <cellStyle name="20% - Accent1 12 2 4 5" xfId="27646" xr:uid="{3EE24360-C107-4094-A39F-9088963D4FC2}"/>
    <cellStyle name="20% - Accent1 12 2 5" xfId="5533" xr:uid="{00000000-0005-0000-0000-00001B010000}"/>
    <cellStyle name="20% - Accent1 12 2 5 2" xfId="13517" xr:uid="{00000000-0005-0000-0000-00001C010000}"/>
    <cellStyle name="20% - Accent1 12 2 5 2 2" xfId="37360" xr:uid="{DF2C83AA-8174-4AAB-BDDB-4FCF56F07C4F}"/>
    <cellStyle name="20% - Accent1 12 2 5 3" xfId="21465" xr:uid="{00000000-0005-0000-0000-00001D010000}"/>
    <cellStyle name="20% - Accent1 12 2 5 3 2" xfId="45297" xr:uid="{5D188469-B712-43CA-B79C-4A654893F1D8}"/>
    <cellStyle name="20% - Accent1 12 2 5 4" xfId="29419" xr:uid="{9FAB63A6-AE1A-4C9A-86B2-CD07BD394D9A}"/>
    <cellStyle name="20% - Accent1 12 2 6" xfId="9086" xr:uid="{00000000-0005-0000-0000-00001E010000}"/>
    <cellStyle name="20% - Accent1 12 2 6 2" xfId="17044" xr:uid="{00000000-0005-0000-0000-00001F010000}"/>
    <cellStyle name="20% - Accent1 12 2 6 2 2" xfId="40884" xr:uid="{9AAA874B-4EB8-4A6A-A4FB-164E5698577F}"/>
    <cellStyle name="20% - Accent1 12 2 6 3" xfId="24988" xr:uid="{00000000-0005-0000-0000-000020010000}"/>
    <cellStyle name="20% - Accent1 12 2 6 3 2" xfId="48820" xr:uid="{15F658CD-ACAD-4135-A057-10EA01DD4253}"/>
    <cellStyle name="20% - Accent1 12 2 6 4" xfId="32943" xr:uid="{3978589E-A335-467E-BA1D-57818ADF2F1D}"/>
    <cellStyle name="20% - Accent1 12 2 7" xfId="9982" xr:uid="{00000000-0005-0000-0000-000021010000}"/>
    <cellStyle name="20% - Accent1 12 2 7 2" xfId="33831" xr:uid="{98377D6A-8451-4E3A-B259-1418877A8896}"/>
    <cellStyle name="20% - Accent1 12 2 8" xfId="17937" xr:uid="{00000000-0005-0000-0000-000022010000}"/>
    <cellStyle name="20% - Accent1 12 2 8 2" xfId="41769" xr:uid="{9E9F4174-A3D2-4C56-AEAF-044327A9B0ED}"/>
    <cellStyle name="20% - Accent1 12 2 9" xfId="25889" xr:uid="{C2684D3F-36EE-4B04-BEF2-60EB132DDF43}"/>
    <cellStyle name="20% - Accent1 12 2_Exh G" xfId="1958" xr:uid="{00000000-0005-0000-0000-000023010000}"/>
    <cellStyle name="20% - Accent1 12 3" xfId="36" xr:uid="{00000000-0005-0000-0000-000024010000}"/>
    <cellStyle name="20% - Accent1 12 3 2" xfId="1064" xr:uid="{00000000-0005-0000-0000-000025010000}"/>
    <cellStyle name="20% - Accent1 12 3 2 2" xfId="4594" xr:uid="{00000000-0005-0000-0000-000026010000}"/>
    <cellStyle name="20% - Accent1 12 3 2 2 2" xfId="8185" xr:uid="{00000000-0005-0000-0000-000027010000}"/>
    <cellStyle name="20% - Accent1 12 3 2 2 2 2" xfId="16156" xr:uid="{00000000-0005-0000-0000-000028010000}"/>
    <cellStyle name="20% - Accent1 12 3 2 2 2 2 2" xfId="39998" xr:uid="{3DD1967E-40D2-4DEB-9475-B0EA0BCDC196}"/>
    <cellStyle name="20% - Accent1 12 3 2 2 2 3" xfId="24102" xr:uid="{00000000-0005-0000-0000-000029010000}"/>
    <cellStyle name="20% - Accent1 12 3 2 2 2 3 2" xfId="47934" xr:uid="{0A57EE38-354A-422D-A90C-128F9B44781A}"/>
    <cellStyle name="20% - Accent1 12 3 2 2 2 4" xfId="32057" xr:uid="{90D57A72-E38A-43B7-A28B-09267189AC40}"/>
    <cellStyle name="20% - Accent1 12 3 2 2 3" xfId="12618" xr:uid="{00000000-0005-0000-0000-00002A010000}"/>
    <cellStyle name="20% - Accent1 12 3 2 2 3 2" xfId="36467" xr:uid="{7BA863A8-28C8-4280-BEEF-EE4528F31ECF}"/>
    <cellStyle name="20% - Accent1 12 3 2 2 4" xfId="20573" xr:uid="{00000000-0005-0000-0000-00002B010000}"/>
    <cellStyle name="20% - Accent1 12 3 2 2 4 2" xfId="44405" xr:uid="{90946ED2-7D8F-4444-B1A8-BD991F951F71}"/>
    <cellStyle name="20% - Accent1 12 3 2 2 5" xfId="28526" xr:uid="{9C090719-E104-4742-9D74-5C6DC0DCD0C9}"/>
    <cellStyle name="20% - Accent1 12 3 2 3" xfId="6426" xr:uid="{00000000-0005-0000-0000-00002C010000}"/>
    <cellStyle name="20% - Accent1 12 3 2 3 2" xfId="14398" xr:uid="{00000000-0005-0000-0000-00002D010000}"/>
    <cellStyle name="20% - Accent1 12 3 2 3 2 2" xfId="38240" xr:uid="{0D8576D7-032E-4278-828B-C3C9A904F1F6}"/>
    <cellStyle name="20% - Accent1 12 3 2 3 3" xfId="22345" xr:uid="{00000000-0005-0000-0000-00002E010000}"/>
    <cellStyle name="20% - Accent1 12 3 2 3 3 2" xfId="46177" xr:uid="{CF0F46ED-1675-4C48-B3FA-42042F3EF195}"/>
    <cellStyle name="20% - Accent1 12 3 2 3 4" xfId="30299" xr:uid="{26B09D1D-C820-43ED-82C1-76ADDFD83685}"/>
    <cellStyle name="20% - Accent1 12 3 2 4" xfId="10862" xr:uid="{00000000-0005-0000-0000-00002F010000}"/>
    <cellStyle name="20% - Accent1 12 3 2 4 2" xfId="34711" xr:uid="{3CDB5BDF-B49A-45A6-B646-4C2DA7032B8D}"/>
    <cellStyle name="20% - Accent1 12 3 2 5" xfId="18817" xr:uid="{00000000-0005-0000-0000-000030010000}"/>
    <cellStyle name="20% - Accent1 12 3 2 5 2" xfId="42649" xr:uid="{90BCDCD2-33C0-42D4-AB3D-DEF85F3E0CAA}"/>
    <cellStyle name="20% - Accent1 12 3 2 6" xfId="26769" xr:uid="{450D67D6-4AFE-40DD-AB09-B48B1B6E2CBD}"/>
    <cellStyle name="20% - Accent1 12 3 2_Exh G" xfId="1963" xr:uid="{00000000-0005-0000-0000-000031010000}"/>
    <cellStyle name="20% - Accent1 12 3 3" xfId="3715" xr:uid="{00000000-0005-0000-0000-000032010000}"/>
    <cellStyle name="20% - Accent1 12 3 3 2" xfId="7307" xr:uid="{00000000-0005-0000-0000-000033010000}"/>
    <cellStyle name="20% - Accent1 12 3 3 2 2" xfId="15278" xr:uid="{00000000-0005-0000-0000-000034010000}"/>
    <cellStyle name="20% - Accent1 12 3 3 2 2 2" xfId="39120" xr:uid="{649989BA-6BEE-4C4B-8D67-B88C61563B0E}"/>
    <cellStyle name="20% - Accent1 12 3 3 2 3" xfId="23224" xr:uid="{00000000-0005-0000-0000-000035010000}"/>
    <cellStyle name="20% - Accent1 12 3 3 2 3 2" xfId="47056" xr:uid="{1C00F14B-7422-4FE2-BDFB-3A86C0355ACC}"/>
    <cellStyle name="20% - Accent1 12 3 3 2 4" xfId="31179" xr:uid="{0ED338D8-C371-4506-968C-99FF7ECA6076}"/>
    <cellStyle name="20% - Accent1 12 3 3 3" xfId="11740" xr:uid="{00000000-0005-0000-0000-000036010000}"/>
    <cellStyle name="20% - Accent1 12 3 3 3 2" xfId="35589" xr:uid="{3C41810B-D682-4AD2-88D1-75F958E1E08C}"/>
    <cellStyle name="20% - Accent1 12 3 3 4" xfId="19695" xr:uid="{00000000-0005-0000-0000-000037010000}"/>
    <cellStyle name="20% - Accent1 12 3 3 4 2" xfId="43527" xr:uid="{9D5CE3B4-0257-4467-8C41-911D60161523}"/>
    <cellStyle name="20% - Accent1 12 3 3 5" xfId="27648" xr:uid="{603FD1CE-7BDD-4A66-BF9C-1B9855717B4D}"/>
    <cellStyle name="20% - Accent1 12 3 4" xfId="5535" xr:uid="{00000000-0005-0000-0000-000038010000}"/>
    <cellStyle name="20% - Accent1 12 3 4 2" xfId="13519" xr:uid="{00000000-0005-0000-0000-000039010000}"/>
    <cellStyle name="20% - Accent1 12 3 4 2 2" xfId="37362" xr:uid="{CFEF37C5-7A74-4D38-BB80-1F99BDEF4646}"/>
    <cellStyle name="20% - Accent1 12 3 4 3" xfId="21467" xr:uid="{00000000-0005-0000-0000-00003A010000}"/>
    <cellStyle name="20% - Accent1 12 3 4 3 2" xfId="45299" xr:uid="{642B1BC7-43F9-4F1E-9EC5-527285BA2C09}"/>
    <cellStyle name="20% - Accent1 12 3 4 4" xfId="29421" xr:uid="{3C64C0A4-71C7-4995-B018-728C3609222F}"/>
    <cellStyle name="20% - Accent1 12 3 5" xfId="9088" xr:uid="{00000000-0005-0000-0000-00003B010000}"/>
    <cellStyle name="20% - Accent1 12 3 5 2" xfId="17046" xr:uid="{00000000-0005-0000-0000-00003C010000}"/>
    <cellStyle name="20% - Accent1 12 3 5 2 2" xfId="40886" xr:uid="{9C96214D-B5E7-4D1D-A710-8A24BB94699F}"/>
    <cellStyle name="20% - Accent1 12 3 5 3" xfId="24990" xr:uid="{00000000-0005-0000-0000-00003D010000}"/>
    <cellStyle name="20% - Accent1 12 3 5 3 2" xfId="48822" xr:uid="{D8AC2B05-33FF-4347-B73A-2107C8A0E55D}"/>
    <cellStyle name="20% - Accent1 12 3 5 4" xfId="32945" xr:uid="{38AA623C-7C8E-41DF-B50F-001FDB908CEF}"/>
    <cellStyle name="20% - Accent1 12 3 6" xfId="9984" xr:uid="{00000000-0005-0000-0000-00003E010000}"/>
    <cellStyle name="20% - Accent1 12 3 6 2" xfId="33833" xr:uid="{EDEEF180-259A-405E-AAD2-BB5BB873776B}"/>
    <cellStyle name="20% - Accent1 12 3 7" xfId="17939" xr:uid="{00000000-0005-0000-0000-00003F010000}"/>
    <cellStyle name="20% - Accent1 12 3 7 2" xfId="41771" xr:uid="{5EFC08D7-6638-4BB3-855D-3DB0C9CE9ED6}"/>
    <cellStyle name="20% - Accent1 12 3 8" xfId="25891" xr:uid="{ABC47DC3-7643-4D87-8FA8-42ED77067527}"/>
    <cellStyle name="20% - Accent1 12 3_Exh G" xfId="1962" xr:uid="{00000000-0005-0000-0000-000040010000}"/>
    <cellStyle name="20% - Accent1 12 4" xfId="1061" xr:uid="{00000000-0005-0000-0000-000041010000}"/>
    <cellStyle name="20% - Accent1 12 4 2" xfId="4591" xr:uid="{00000000-0005-0000-0000-000042010000}"/>
    <cellStyle name="20% - Accent1 12 4 2 2" xfId="8182" xr:uid="{00000000-0005-0000-0000-000043010000}"/>
    <cellStyle name="20% - Accent1 12 4 2 2 2" xfId="16153" xr:uid="{00000000-0005-0000-0000-000044010000}"/>
    <cellStyle name="20% - Accent1 12 4 2 2 2 2" xfId="39995" xr:uid="{9FF6A678-EBF4-457D-8F49-E13E34E972D0}"/>
    <cellStyle name="20% - Accent1 12 4 2 2 3" xfId="24099" xr:uid="{00000000-0005-0000-0000-000045010000}"/>
    <cellStyle name="20% - Accent1 12 4 2 2 3 2" xfId="47931" xr:uid="{6225E115-0818-4550-A0F7-E39FDF7ED5E0}"/>
    <cellStyle name="20% - Accent1 12 4 2 2 4" xfId="32054" xr:uid="{26E0681C-4028-42C0-BBA6-C3BBF94D5A26}"/>
    <cellStyle name="20% - Accent1 12 4 2 3" xfId="12615" xr:uid="{00000000-0005-0000-0000-000046010000}"/>
    <cellStyle name="20% - Accent1 12 4 2 3 2" xfId="36464" xr:uid="{75F90B0E-C891-4C6E-9E1F-FCC1B8C3A0F8}"/>
    <cellStyle name="20% - Accent1 12 4 2 4" xfId="20570" xr:uid="{00000000-0005-0000-0000-000047010000}"/>
    <cellStyle name="20% - Accent1 12 4 2 4 2" xfId="44402" xr:uid="{2C064F8B-4BC2-4DCD-A142-06418473B2EE}"/>
    <cellStyle name="20% - Accent1 12 4 2 5" xfId="28523" xr:uid="{A25A8AB9-0291-4D21-A0BE-72B5D1F1475A}"/>
    <cellStyle name="20% - Accent1 12 4 3" xfId="6423" xr:uid="{00000000-0005-0000-0000-000048010000}"/>
    <cellStyle name="20% - Accent1 12 4 3 2" xfId="14395" xr:uid="{00000000-0005-0000-0000-000049010000}"/>
    <cellStyle name="20% - Accent1 12 4 3 2 2" xfId="38237" xr:uid="{D74F99B4-ADAF-4667-B9E6-D46F8AE61774}"/>
    <cellStyle name="20% - Accent1 12 4 3 3" xfId="22342" xr:uid="{00000000-0005-0000-0000-00004A010000}"/>
    <cellStyle name="20% - Accent1 12 4 3 3 2" xfId="46174" xr:uid="{6D7D7FF8-1336-4124-AFA1-B3A6DF6036EE}"/>
    <cellStyle name="20% - Accent1 12 4 3 4" xfId="30296" xr:uid="{2B09B89E-77F7-4278-BDFD-7E975B25AEEB}"/>
    <cellStyle name="20% - Accent1 12 4 4" xfId="10859" xr:uid="{00000000-0005-0000-0000-00004B010000}"/>
    <cellStyle name="20% - Accent1 12 4 4 2" xfId="34708" xr:uid="{4649ED57-1A0B-4AF9-BAE5-2D735E750AFF}"/>
    <cellStyle name="20% - Accent1 12 4 5" xfId="18814" xr:uid="{00000000-0005-0000-0000-00004C010000}"/>
    <cellStyle name="20% - Accent1 12 4 5 2" xfId="42646" xr:uid="{4B7C8B56-FAE2-4F68-886E-382C275423C6}"/>
    <cellStyle name="20% - Accent1 12 4 6" xfId="26766" xr:uid="{BF66B095-1BF9-46C4-B294-520140FDA6DB}"/>
    <cellStyle name="20% - Accent1 12 4_Exh G" xfId="1964" xr:uid="{00000000-0005-0000-0000-00004D010000}"/>
    <cellStyle name="20% - Accent1 12 5" xfId="3712" xr:uid="{00000000-0005-0000-0000-00004E010000}"/>
    <cellStyle name="20% - Accent1 12 5 2" xfId="7304" xr:uid="{00000000-0005-0000-0000-00004F010000}"/>
    <cellStyle name="20% - Accent1 12 5 2 2" xfId="15275" xr:uid="{00000000-0005-0000-0000-000050010000}"/>
    <cellStyle name="20% - Accent1 12 5 2 2 2" xfId="39117" xr:uid="{E551DA3D-1EE9-47FE-ABA3-EF348651DE5A}"/>
    <cellStyle name="20% - Accent1 12 5 2 3" xfId="23221" xr:uid="{00000000-0005-0000-0000-000051010000}"/>
    <cellStyle name="20% - Accent1 12 5 2 3 2" xfId="47053" xr:uid="{AFFE9128-36B1-42C7-B4C9-DA20349A0EDE}"/>
    <cellStyle name="20% - Accent1 12 5 2 4" xfId="31176" xr:uid="{7A859D01-264F-4DDF-96EE-3721C7B027D7}"/>
    <cellStyle name="20% - Accent1 12 5 3" xfId="11737" xr:uid="{00000000-0005-0000-0000-000052010000}"/>
    <cellStyle name="20% - Accent1 12 5 3 2" xfId="35586" xr:uid="{3A416ADA-D800-48F7-95D0-A58CAD5A3955}"/>
    <cellStyle name="20% - Accent1 12 5 4" xfId="19692" xr:uid="{00000000-0005-0000-0000-000053010000}"/>
    <cellStyle name="20% - Accent1 12 5 4 2" xfId="43524" xr:uid="{F57D4B84-6155-46B1-85DE-A56CD814674D}"/>
    <cellStyle name="20% - Accent1 12 5 5" xfId="27645" xr:uid="{AAB3FAA5-1D1A-4734-B17B-D89E8D6833AB}"/>
    <cellStyle name="20% - Accent1 12 6" xfId="5532" xr:uid="{00000000-0005-0000-0000-000054010000}"/>
    <cellStyle name="20% - Accent1 12 6 2" xfId="13516" xr:uid="{00000000-0005-0000-0000-000055010000}"/>
    <cellStyle name="20% - Accent1 12 6 2 2" xfId="37359" xr:uid="{9F30532E-4272-4A57-BE92-97321FF74E1E}"/>
    <cellStyle name="20% - Accent1 12 6 3" xfId="21464" xr:uid="{00000000-0005-0000-0000-000056010000}"/>
    <cellStyle name="20% - Accent1 12 6 3 2" xfId="45296" xr:uid="{8CAEB7C9-5B54-4F95-A640-85D295D02BF9}"/>
    <cellStyle name="20% - Accent1 12 6 4" xfId="29418" xr:uid="{BC485048-2063-460C-A3FC-619FD9C2A0B1}"/>
    <cellStyle name="20% - Accent1 12 7" xfId="9085" xr:uid="{00000000-0005-0000-0000-000057010000}"/>
    <cellStyle name="20% - Accent1 12 7 2" xfId="17043" xr:uid="{00000000-0005-0000-0000-000058010000}"/>
    <cellStyle name="20% - Accent1 12 7 2 2" xfId="40883" xr:uid="{12A91051-3EC3-4F49-9B45-754FC884A7BE}"/>
    <cellStyle name="20% - Accent1 12 7 3" xfId="24987" xr:uid="{00000000-0005-0000-0000-000059010000}"/>
    <cellStyle name="20% - Accent1 12 7 3 2" xfId="48819" xr:uid="{4D866ECD-1B1C-407B-97A3-9BEC3A82A2C2}"/>
    <cellStyle name="20% - Accent1 12 7 4" xfId="32942" xr:uid="{ED3145F3-49DA-42D0-8BF4-229054D4D864}"/>
    <cellStyle name="20% - Accent1 12 8" xfId="9981" xr:uid="{00000000-0005-0000-0000-00005A010000}"/>
    <cellStyle name="20% - Accent1 12 8 2" xfId="33830" xr:uid="{F9E392A8-A83D-4F9A-9349-BB6597304D1E}"/>
    <cellStyle name="20% - Accent1 12 9" xfId="17936" xr:uid="{00000000-0005-0000-0000-00005B010000}"/>
    <cellStyle name="20% - Accent1 12 9 2" xfId="41768" xr:uid="{DF5B9D94-9AEF-4344-A512-71970577D7E1}"/>
    <cellStyle name="20% - Accent1 12_Exh G" xfId="1957" xr:uid="{00000000-0005-0000-0000-00005C010000}"/>
    <cellStyle name="20% - Accent1 13" xfId="37" xr:uid="{00000000-0005-0000-0000-00005D010000}"/>
    <cellStyle name="20% - Accent1 13 10" xfId="25892" xr:uid="{346FBD3C-D6BA-4DD0-961B-3F65EC16DFBC}"/>
    <cellStyle name="20% - Accent1 13 2" xfId="38" xr:uid="{00000000-0005-0000-0000-00005E010000}"/>
    <cellStyle name="20% - Accent1 13 2 2" xfId="39" xr:uid="{00000000-0005-0000-0000-00005F010000}"/>
    <cellStyle name="20% - Accent1 13 2 2 2" xfId="1067" xr:uid="{00000000-0005-0000-0000-000060010000}"/>
    <cellStyle name="20% - Accent1 13 2 2 2 2" xfId="4597" xr:uid="{00000000-0005-0000-0000-000061010000}"/>
    <cellStyle name="20% - Accent1 13 2 2 2 2 2" xfId="8188" xr:uid="{00000000-0005-0000-0000-000062010000}"/>
    <cellStyle name="20% - Accent1 13 2 2 2 2 2 2" xfId="16159" xr:uid="{00000000-0005-0000-0000-000063010000}"/>
    <cellStyle name="20% - Accent1 13 2 2 2 2 2 2 2" xfId="40001" xr:uid="{6C5A24FE-5506-4E36-87D9-5253FDB07CE4}"/>
    <cellStyle name="20% - Accent1 13 2 2 2 2 2 3" xfId="24105" xr:uid="{00000000-0005-0000-0000-000064010000}"/>
    <cellStyle name="20% - Accent1 13 2 2 2 2 2 3 2" xfId="47937" xr:uid="{5256D91A-11C1-47C2-A56D-A8D7BF854E25}"/>
    <cellStyle name="20% - Accent1 13 2 2 2 2 2 4" xfId="32060" xr:uid="{D6E48250-68CE-4CCB-8959-4C8F93B35B31}"/>
    <cellStyle name="20% - Accent1 13 2 2 2 2 3" xfId="12621" xr:uid="{00000000-0005-0000-0000-000065010000}"/>
    <cellStyle name="20% - Accent1 13 2 2 2 2 3 2" xfId="36470" xr:uid="{C95E56DD-EC3E-4BED-8750-306351A197CE}"/>
    <cellStyle name="20% - Accent1 13 2 2 2 2 4" xfId="20576" xr:uid="{00000000-0005-0000-0000-000066010000}"/>
    <cellStyle name="20% - Accent1 13 2 2 2 2 4 2" xfId="44408" xr:uid="{B5225973-44F6-4393-B0B4-34EAE2BEB806}"/>
    <cellStyle name="20% - Accent1 13 2 2 2 2 5" xfId="28529" xr:uid="{EC8A5FDC-BA29-4C88-BB39-437FBE8F428C}"/>
    <cellStyle name="20% - Accent1 13 2 2 2 3" xfId="6429" xr:uid="{00000000-0005-0000-0000-000067010000}"/>
    <cellStyle name="20% - Accent1 13 2 2 2 3 2" xfId="14401" xr:uid="{00000000-0005-0000-0000-000068010000}"/>
    <cellStyle name="20% - Accent1 13 2 2 2 3 2 2" xfId="38243" xr:uid="{A545CAC4-C858-44C0-9FA7-FC642AD5B706}"/>
    <cellStyle name="20% - Accent1 13 2 2 2 3 3" xfId="22348" xr:uid="{00000000-0005-0000-0000-000069010000}"/>
    <cellStyle name="20% - Accent1 13 2 2 2 3 3 2" xfId="46180" xr:uid="{DAC695E5-449C-4776-905C-36FA7B455254}"/>
    <cellStyle name="20% - Accent1 13 2 2 2 3 4" xfId="30302" xr:uid="{FC4ABC74-8B4C-4544-BE13-8A7270659C68}"/>
    <cellStyle name="20% - Accent1 13 2 2 2 4" xfId="10865" xr:uid="{00000000-0005-0000-0000-00006A010000}"/>
    <cellStyle name="20% - Accent1 13 2 2 2 4 2" xfId="34714" xr:uid="{3F4CE73C-3140-4849-AF5A-AF3953E68FA1}"/>
    <cellStyle name="20% - Accent1 13 2 2 2 5" xfId="18820" xr:uid="{00000000-0005-0000-0000-00006B010000}"/>
    <cellStyle name="20% - Accent1 13 2 2 2 5 2" xfId="42652" xr:uid="{CF006494-278F-4F3A-81E4-20B61F364D86}"/>
    <cellStyle name="20% - Accent1 13 2 2 2 6" xfId="26772" xr:uid="{CB1495B3-F30E-4A99-94C9-1F0030A05A6B}"/>
    <cellStyle name="20% - Accent1 13 2 2 2_Exh G" xfId="1968" xr:uid="{00000000-0005-0000-0000-00006C010000}"/>
    <cellStyle name="20% - Accent1 13 2 2 3" xfId="3718" xr:uid="{00000000-0005-0000-0000-00006D010000}"/>
    <cellStyle name="20% - Accent1 13 2 2 3 2" xfId="7310" xr:uid="{00000000-0005-0000-0000-00006E010000}"/>
    <cellStyle name="20% - Accent1 13 2 2 3 2 2" xfId="15281" xr:uid="{00000000-0005-0000-0000-00006F010000}"/>
    <cellStyle name="20% - Accent1 13 2 2 3 2 2 2" xfId="39123" xr:uid="{7363EB53-7AF6-4090-946D-345D6AED05FC}"/>
    <cellStyle name="20% - Accent1 13 2 2 3 2 3" xfId="23227" xr:uid="{00000000-0005-0000-0000-000070010000}"/>
    <cellStyle name="20% - Accent1 13 2 2 3 2 3 2" xfId="47059" xr:uid="{FDD6D5E3-2762-4F6A-AA16-6F8DD5D4F7EB}"/>
    <cellStyle name="20% - Accent1 13 2 2 3 2 4" xfId="31182" xr:uid="{43E86B35-0A4F-41D2-B789-085EBF005B30}"/>
    <cellStyle name="20% - Accent1 13 2 2 3 3" xfId="11743" xr:uid="{00000000-0005-0000-0000-000071010000}"/>
    <cellStyle name="20% - Accent1 13 2 2 3 3 2" xfId="35592" xr:uid="{29DA947B-16CB-45AC-A7FD-525B76401039}"/>
    <cellStyle name="20% - Accent1 13 2 2 3 4" xfId="19698" xr:uid="{00000000-0005-0000-0000-000072010000}"/>
    <cellStyle name="20% - Accent1 13 2 2 3 4 2" xfId="43530" xr:uid="{ABE16199-B17C-48A0-AD0E-60440D84C05A}"/>
    <cellStyle name="20% - Accent1 13 2 2 3 5" xfId="27651" xr:uid="{557E9375-77D7-4801-A4D3-E87C64593DB8}"/>
    <cellStyle name="20% - Accent1 13 2 2 4" xfId="5538" xr:uid="{00000000-0005-0000-0000-000073010000}"/>
    <cellStyle name="20% - Accent1 13 2 2 4 2" xfId="13522" xr:uid="{00000000-0005-0000-0000-000074010000}"/>
    <cellStyle name="20% - Accent1 13 2 2 4 2 2" xfId="37365" xr:uid="{9DC20833-76F6-49DB-967A-25B2D58218BF}"/>
    <cellStyle name="20% - Accent1 13 2 2 4 3" xfId="21470" xr:uid="{00000000-0005-0000-0000-000075010000}"/>
    <cellStyle name="20% - Accent1 13 2 2 4 3 2" xfId="45302" xr:uid="{CE1D1943-8F21-4146-8FB5-0C59674E0D3E}"/>
    <cellStyle name="20% - Accent1 13 2 2 4 4" xfId="29424" xr:uid="{1E6F8470-14E8-4F7C-9858-D8A07F9EE28A}"/>
    <cellStyle name="20% - Accent1 13 2 2 5" xfId="9091" xr:uid="{00000000-0005-0000-0000-000076010000}"/>
    <cellStyle name="20% - Accent1 13 2 2 5 2" xfId="17049" xr:uid="{00000000-0005-0000-0000-000077010000}"/>
    <cellStyle name="20% - Accent1 13 2 2 5 2 2" xfId="40889" xr:uid="{9C99ADE1-4857-4AAF-8481-2B7D51CDA792}"/>
    <cellStyle name="20% - Accent1 13 2 2 5 3" xfId="24993" xr:uid="{00000000-0005-0000-0000-000078010000}"/>
    <cellStyle name="20% - Accent1 13 2 2 5 3 2" xfId="48825" xr:uid="{FA27A7CA-92E3-4E0B-8EC8-DF5E22DC546F}"/>
    <cellStyle name="20% - Accent1 13 2 2 5 4" xfId="32948" xr:uid="{B2FCB5B7-E842-4AB4-BBDA-381C9DD001E2}"/>
    <cellStyle name="20% - Accent1 13 2 2 6" xfId="9987" xr:uid="{00000000-0005-0000-0000-000079010000}"/>
    <cellStyle name="20% - Accent1 13 2 2 6 2" xfId="33836" xr:uid="{23539F14-2E30-4509-AAFD-D0831FA82C6B}"/>
    <cellStyle name="20% - Accent1 13 2 2 7" xfId="17942" xr:uid="{00000000-0005-0000-0000-00007A010000}"/>
    <cellStyle name="20% - Accent1 13 2 2 7 2" xfId="41774" xr:uid="{499AE355-32F9-4893-ADAA-D33D41E21C7B}"/>
    <cellStyle name="20% - Accent1 13 2 2 8" xfId="25894" xr:uid="{68A0990B-056D-4EFB-9989-AEEBE44BB978}"/>
    <cellStyle name="20% - Accent1 13 2 2_Exh G" xfId="1967" xr:uid="{00000000-0005-0000-0000-00007B010000}"/>
    <cellStyle name="20% - Accent1 13 2 3" xfId="1066" xr:uid="{00000000-0005-0000-0000-00007C010000}"/>
    <cellStyle name="20% - Accent1 13 2 3 2" xfId="4596" xr:uid="{00000000-0005-0000-0000-00007D010000}"/>
    <cellStyle name="20% - Accent1 13 2 3 2 2" xfId="8187" xr:uid="{00000000-0005-0000-0000-00007E010000}"/>
    <cellStyle name="20% - Accent1 13 2 3 2 2 2" xfId="16158" xr:uid="{00000000-0005-0000-0000-00007F010000}"/>
    <cellStyle name="20% - Accent1 13 2 3 2 2 2 2" xfId="40000" xr:uid="{7746E5E7-E2AD-4CF3-AB49-3C4442C78C5D}"/>
    <cellStyle name="20% - Accent1 13 2 3 2 2 3" xfId="24104" xr:uid="{00000000-0005-0000-0000-000080010000}"/>
    <cellStyle name="20% - Accent1 13 2 3 2 2 3 2" xfId="47936" xr:uid="{5C04F6D4-6C25-44B5-8B01-D1DAA2F99E87}"/>
    <cellStyle name="20% - Accent1 13 2 3 2 2 4" xfId="32059" xr:uid="{22DBDFDD-3BFB-4BB4-8952-B65ADAD9E2AD}"/>
    <cellStyle name="20% - Accent1 13 2 3 2 3" xfId="12620" xr:uid="{00000000-0005-0000-0000-000081010000}"/>
    <cellStyle name="20% - Accent1 13 2 3 2 3 2" xfId="36469" xr:uid="{9BB72BAE-4823-4A73-9A16-1D7A5BF178C6}"/>
    <cellStyle name="20% - Accent1 13 2 3 2 4" xfId="20575" xr:uid="{00000000-0005-0000-0000-000082010000}"/>
    <cellStyle name="20% - Accent1 13 2 3 2 4 2" xfId="44407" xr:uid="{0AFFE4FC-4BB7-48AD-ABE8-47131ECEFA55}"/>
    <cellStyle name="20% - Accent1 13 2 3 2 5" xfId="28528" xr:uid="{8C231EB8-2BFD-4373-916B-3685A52DE30A}"/>
    <cellStyle name="20% - Accent1 13 2 3 3" xfId="6428" xr:uid="{00000000-0005-0000-0000-000083010000}"/>
    <cellStyle name="20% - Accent1 13 2 3 3 2" xfId="14400" xr:uid="{00000000-0005-0000-0000-000084010000}"/>
    <cellStyle name="20% - Accent1 13 2 3 3 2 2" xfId="38242" xr:uid="{4E50564C-F899-445C-B254-9B082D8DAA5E}"/>
    <cellStyle name="20% - Accent1 13 2 3 3 3" xfId="22347" xr:uid="{00000000-0005-0000-0000-000085010000}"/>
    <cellStyle name="20% - Accent1 13 2 3 3 3 2" xfId="46179" xr:uid="{63CB794A-B8C0-40CD-83AB-A9BE134D8310}"/>
    <cellStyle name="20% - Accent1 13 2 3 3 4" xfId="30301" xr:uid="{405BD2E1-E81C-459D-833C-1570CB1CAEC1}"/>
    <cellStyle name="20% - Accent1 13 2 3 4" xfId="10864" xr:uid="{00000000-0005-0000-0000-000086010000}"/>
    <cellStyle name="20% - Accent1 13 2 3 4 2" xfId="34713" xr:uid="{E613DABE-52A5-4817-AE38-86305FC72A16}"/>
    <cellStyle name="20% - Accent1 13 2 3 5" xfId="18819" xr:uid="{00000000-0005-0000-0000-000087010000}"/>
    <cellStyle name="20% - Accent1 13 2 3 5 2" xfId="42651" xr:uid="{0E7B0762-0773-4F8C-8C2D-F25FCF1064C2}"/>
    <cellStyle name="20% - Accent1 13 2 3 6" xfId="26771" xr:uid="{1CE8E5AB-B69A-4298-AAFE-69BDCF1CBD45}"/>
    <cellStyle name="20% - Accent1 13 2 3_Exh G" xfId="1969" xr:uid="{00000000-0005-0000-0000-000088010000}"/>
    <cellStyle name="20% - Accent1 13 2 4" xfId="3717" xr:uid="{00000000-0005-0000-0000-000089010000}"/>
    <cellStyle name="20% - Accent1 13 2 4 2" xfId="7309" xr:uid="{00000000-0005-0000-0000-00008A010000}"/>
    <cellStyle name="20% - Accent1 13 2 4 2 2" xfId="15280" xr:uid="{00000000-0005-0000-0000-00008B010000}"/>
    <cellStyle name="20% - Accent1 13 2 4 2 2 2" xfId="39122" xr:uid="{6B51D5AF-B0ED-4120-8070-4C1EBC89F747}"/>
    <cellStyle name="20% - Accent1 13 2 4 2 3" xfId="23226" xr:uid="{00000000-0005-0000-0000-00008C010000}"/>
    <cellStyle name="20% - Accent1 13 2 4 2 3 2" xfId="47058" xr:uid="{3E58E005-AD57-4F79-8EC0-2CFF73B0FBD5}"/>
    <cellStyle name="20% - Accent1 13 2 4 2 4" xfId="31181" xr:uid="{7A4E93DE-AAA1-40F6-9195-48A61D025FF2}"/>
    <cellStyle name="20% - Accent1 13 2 4 3" xfId="11742" xr:uid="{00000000-0005-0000-0000-00008D010000}"/>
    <cellStyle name="20% - Accent1 13 2 4 3 2" xfId="35591" xr:uid="{3D3E55C7-E5B9-4A17-ADA7-5B208E00F0E8}"/>
    <cellStyle name="20% - Accent1 13 2 4 4" xfId="19697" xr:uid="{00000000-0005-0000-0000-00008E010000}"/>
    <cellStyle name="20% - Accent1 13 2 4 4 2" xfId="43529" xr:uid="{1BCD6507-F750-490F-B350-7E9D5295747C}"/>
    <cellStyle name="20% - Accent1 13 2 4 5" xfId="27650" xr:uid="{36FCFB87-3341-4BBF-A220-65B6659F6DA9}"/>
    <cellStyle name="20% - Accent1 13 2 5" xfId="5537" xr:uid="{00000000-0005-0000-0000-00008F010000}"/>
    <cellStyle name="20% - Accent1 13 2 5 2" xfId="13521" xr:uid="{00000000-0005-0000-0000-000090010000}"/>
    <cellStyle name="20% - Accent1 13 2 5 2 2" xfId="37364" xr:uid="{F386D87D-3C26-447B-8860-DB091C7555B7}"/>
    <cellStyle name="20% - Accent1 13 2 5 3" xfId="21469" xr:uid="{00000000-0005-0000-0000-000091010000}"/>
    <cellStyle name="20% - Accent1 13 2 5 3 2" xfId="45301" xr:uid="{C21621DF-5EAA-40E8-9C46-446226B2331A}"/>
    <cellStyle name="20% - Accent1 13 2 5 4" xfId="29423" xr:uid="{32E5758E-143C-4E43-8C1C-98D133A38730}"/>
    <cellStyle name="20% - Accent1 13 2 6" xfId="9090" xr:uid="{00000000-0005-0000-0000-000092010000}"/>
    <cellStyle name="20% - Accent1 13 2 6 2" xfId="17048" xr:uid="{00000000-0005-0000-0000-000093010000}"/>
    <cellStyle name="20% - Accent1 13 2 6 2 2" xfId="40888" xr:uid="{1D6420DF-6959-4CB6-ACAE-E84D13D28489}"/>
    <cellStyle name="20% - Accent1 13 2 6 3" xfId="24992" xr:uid="{00000000-0005-0000-0000-000094010000}"/>
    <cellStyle name="20% - Accent1 13 2 6 3 2" xfId="48824" xr:uid="{FAF8B2FD-7F00-454D-87CA-EFEF0CE2FE1B}"/>
    <cellStyle name="20% - Accent1 13 2 6 4" xfId="32947" xr:uid="{7DE8F789-14CC-4987-A9E5-3C1960B6D56F}"/>
    <cellStyle name="20% - Accent1 13 2 7" xfId="9986" xr:uid="{00000000-0005-0000-0000-000095010000}"/>
    <cellStyle name="20% - Accent1 13 2 7 2" xfId="33835" xr:uid="{1B9E417D-0AF7-459A-88E1-C845024A9A93}"/>
    <cellStyle name="20% - Accent1 13 2 8" xfId="17941" xr:uid="{00000000-0005-0000-0000-000096010000}"/>
    <cellStyle name="20% - Accent1 13 2 8 2" xfId="41773" xr:uid="{2A9BA080-E4D6-4823-B94A-9748194D203A}"/>
    <cellStyle name="20% - Accent1 13 2 9" xfId="25893" xr:uid="{AC6ED6C5-D1A2-4C75-905A-549E1072DC2A}"/>
    <cellStyle name="20% - Accent1 13 2_Exh G" xfId="1966" xr:uid="{00000000-0005-0000-0000-000097010000}"/>
    <cellStyle name="20% - Accent1 13 3" xfId="40" xr:uid="{00000000-0005-0000-0000-000098010000}"/>
    <cellStyle name="20% - Accent1 13 3 2" xfId="1068" xr:uid="{00000000-0005-0000-0000-000099010000}"/>
    <cellStyle name="20% - Accent1 13 3 2 2" xfId="4598" xr:uid="{00000000-0005-0000-0000-00009A010000}"/>
    <cellStyle name="20% - Accent1 13 3 2 2 2" xfId="8189" xr:uid="{00000000-0005-0000-0000-00009B010000}"/>
    <cellStyle name="20% - Accent1 13 3 2 2 2 2" xfId="16160" xr:uid="{00000000-0005-0000-0000-00009C010000}"/>
    <cellStyle name="20% - Accent1 13 3 2 2 2 2 2" xfId="40002" xr:uid="{EBAA0A34-0263-457F-AAED-7C6E5F4A1D26}"/>
    <cellStyle name="20% - Accent1 13 3 2 2 2 3" xfId="24106" xr:uid="{00000000-0005-0000-0000-00009D010000}"/>
    <cellStyle name="20% - Accent1 13 3 2 2 2 3 2" xfId="47938" xr:uid="{D2925B94-FA4A-4D64-8162-ED22AAC0B282}"/>
    <cellStyle name="20% - Accent1 13 3 2 2 2 4" xfId="32061" xr:uid="{93A93578-E5AE-48DC-BD9D-B71A6CD22491}"/>
    <cellStyle name="20% - Accent1 13 3 2 2 3" xfId="12622" xr:uid="{00000000-0005-0000-0000-00009E010000}"/>
    <cellStyle name="20% - Accent1 13 3 2 2 3 2" xfId="36471" xr:uid="{A688E4B3-5B31-4193-8821-62ED6C41B95C}"/>
    <cellStyle name="20% - Accent1 13 3 2 2 4" xfId="20577" xr:uid="{00000000-0005-0000-0000-00009F010000}"/>
    <cellStyle name="20% - Accent1 13 3 2 2 4 2" xfId="44409" xr:uid="{E46C636D-1F87-456F-89D2-0B0D46BBC53A}"/>
    <cellStyle name="20% - Accent1 13 3 2 2 5" xfId="28530" xr:uid="{491AA467-787B-4D3C-8EC7-090E16A6E117}"/>
    <cellStyle name="20% - Accent1 13 3 2 3" xfId="6430" xr:uid="{00000000-0005-0000-0000-0000A0010000}"/>
    <cellStyle name="20% - Accent1 13 3 2 3 2" xfId="14402" xr:uid="{00000000-0005-0000-0000-0000A1010000}"/>
    <cellStyle name="20% - Accent1 13 3 2 3 2 2" xfId="38244" xr:uid="{5990E574-7346-4D5E-83BC-90854E3DDB23}"/>
    <cellStyle name="20% - Accent1 13 3 2 3 3" xfId="22349" xr:uid="{00000000-0005-0000-0000-0000A2010000}"/>
    <cellStyle name="20% - Accent1 13 3 2 3 3 2" xfId="46181" xr:uid="{DC574399-E08E-4B14-A17D-B593519451D6}"/>
    <cellStyle name="20% - Accent1 13 3 2 3 4" xfId="30303" xr:uid="{83C5C023-FD5F-46AA-80AF-3D1BB3C86095}"/>
    <cellStyle name="20% - Accent1 13 3 2 4" xfId="10866" xr:uid="{00000000-0005-0000-0000-0000A3010000}"/>
    <cellStyle name="20% - Accent1 13 3 2 4 2" xfId="34715" xr:uid="{1DB05A62-AE7A-4E55-A7BD-14D6BB0FA3B0}"/>
    <cellStyle name="20% - Accent1 13 3 2 5" xfId="18821" xr:uid="{00000000-0005-0000-0000-0000A4010000}"/>
    <cellStyle name="20% - Accent1 13 3 2 5 2" xfId="42653" xr:uid="{19DE39F8-01BC-4A8F-97F6-B33A48EAD085}"/>
    <cellStyle name="20% - Accent1 13 3 2 6" xfId="26773" xr:uid="{0DC53AA5-7D8F-435C-9FD8-8FE473FABC91}"/>
    <cellStyle name="20% - Accent1 13 3 2_Exh G" xfId="1971" xr:uid="{00000000-0005-0000-0000-0000A5010000}"/>
    <cellStyle name="20% - Accent1 13 3 3" xfId="3719" xr:uid="{00000000-0005-0000-0000-0000A6010000}"/>
    <cellStyle name="20% - Accent1 13 3 3 2" xfId="7311" xr:uid="{00000000-0005-0000-0000-0000A7010000}"/>
    <cellStyle name="20% - Accent1 13 3 3 2 2" xfId="15282" xr:uid="{00000000-0005-0000-0000-0000A8010000}"/>
    <cellStyle name="20% - Accent1 13 3 3 2 2 2" xfId="39124" xr:uid="{90BBBB3F-A506-41C2-9641-16B06A8B35AB}"/>
    <cellStyle name="20% - Accent1 13 3 3 2 3" xfId="23228" xr:uid="{00000000-0005-0000-0000-0000A9010000}"/>
    <cellStyle name="20% - Accent1 13 3 3 2 3 2" xfId="47060" xr:uid="{7E69005F-F9CD-4ED7-8D77-1D47E3BB5AC1}"/>
    <cellStyle name="20% - Accent1 13 3 3 2 4" xfId="31183" xr:uid="{B60428E5-476A-494B-8487-B4F653FF2650}"/>
    <cellStyle name="20% - Accent1 13 3 3 3" xfId="11744" xr:uid="{00000000-0005-0000-0000-0000AA010000}"/>
    <cellStyle name="20% - Accent1 13 3 3 3 2" xfId="35593" xr:uid="{4BDBB6C1-CF17-433D-8DAB-95CD5FBAB4EF}"/>
    <cellStyle name="20% - Accent1 13 3 3 4" xfId="19699" xr:uid="{00000000-0005-0000-0000-0000AB010000}"/>
    <cellStyle name="20% - Accent1 13 3 3 4 2" xfId="43531" xr:uid="{D2F46593-6026-4074-BAD5-A846E26EE1B8}"/>
    <cellStyle name="20% - Accent1 13 3 3 5" xfId="27652" xr:uid="{514C602F-3D74-4F6B-88C0-C0019CA31D1E}"/>
    <cellStyle name="20% - Accent1 13 3 4" xfId="5539" xr:uid="{00000000-0005-0000-0000-0000AC010000}"/>
    <cellStyle name="20% - Accent1 13 3 4 2" xfId="13523" xr:uid="{00000000-0005-0000-0000-0000AD010000}"/>
    <cellStyle name="20% - Accent1 13 3 4 2 2" xfId="37366" xr:uid="{3FA68A77-8C46-444A-9AA4-4DF960E71475}"/>
    <cellStyle name="20% - Accent1 13 3 4 3" xfId="21471" xr:uid="{00000000-0005-0000-0000-0000AE010000}"/>
    <cellStyle name="20% - Accent1 13 3 4 3 2" xfId="45303" xr:uid="{54432BBE-63E5-4E59-BEC3-0CB72BA724A1}"/>
    <cellStyle name="20% - Accent1 13 3 4 4" xfId="29425" xr:uid="{3547C216-E137-46A8-8F74-E80E0EADE9CD}"/>
    <cellStyle name="20% - Accent1 13 3 5" xfId="9092" xr:uid="{00000000-0005-0000-0000-0000AF010000}"/>
    <cellStyle name="20% - Accent1 13 3 5 2" xfId="17050" xr:uid="{00000000-0005-0000-0000-0000B0010000}"/>
    <cellStyle name="20% - Accent1 13 3 5 2 2" xfId="40890" xr:uid="{4202470E-85E6-48C4-B21B-6B6FC8CA87C3}"/>
    <cellStyle name="20% - Accent1 13 3 5 3" xfId="24994" xr:uid="{00000000-0005-0000-0000-0000B1010000}"/>
    <cellStyle name="20% - Accent1 13 3 5 3 2" xfId="48826" xr:uid="{40BF776C-5CF5-4573-9851-7ADCB7AE0FC0}"/>
    <cellStyle name="20% - Accent1 13 3 5 4" xfId="32949" xr:uid="{4EC6EB8C-D618-4B9C-AF5E-18D7F640FC4C}"/>
    <cellStyle name="20% - Accent1 13 3 6" xfId="9988" xr:uid="{00000000-0005-0000-0000-0000B2010000}"/>
    <cellStyle name="20% - Accent1 13 3 6 2" xfId="33837" xr:uid="{77A58743-D5FF-4149-9D35-2E8C5FEC3E55}"/>
    <cellStyle name="20% - Accent1 13 3 7" xfId="17943" xr:uid="{00000000-0005-0000-0000-0000B3010000}"/>
    <cellStyle name="20% - Accent1 13 3 7 2" xfId="41775" xr:uid="{00183E70-82EA-46AD-92DF-75F50372FBDD}"/>
    <cellStyle name="20% - Accent1 13 3 8" xfId="25895" xr:uid="{EC0A9E63-6EE1-4967-8621-5833BDAE2D1E}"/>
    <cellStyle name="20% - Accent1 13 3_Exh G" xfId="1970" xr:uid="{00000000-0005-0000-0000-0000B4010000}"/>
    <cellStyle name="20% - Accent1 13 4" xfId="1065" xr:uid="{00000000-0005-0000-0000-0000B5010000}"/>
    <cellStyle name="20% - Accent1 13 4 2" xfId="4595" xr:uid="{00000000-0005-0000-0000-0000B6010000}"/>
    <cellStyle name="20% - Accent1 13 4 2 2" xfId="8186" xr:uid="{00000000-0005-0000-0000-0000B7010000}"/>
    <cellStyle name="20% - Accent1 13 4 2 2 2" xfId="16157" xr:uid="{00000000-0005-0000-0000-0000B8010000}"/>
    <cellStyle name="20% - Accent1 13 4 2 2 2 2" xfId="39999" xr:uid="{C78289B8-C98D-476E-878C-5F59354C72B4}"/>
    <cellStyle name="20% - Accent1 13 4 2 2 3" xfId="24103" xr:uid="{00000000-0005-0000-0000-0000B9010000}"/>
    <cellStyle name="20% - Accent1 13 4 2 2 3 2" xfId="47935" xr:uid="{0B6DF766-E531-40B9-AC66-3009605E6780}"/>
    <cellStyle name="20% - Accent1 13 4 2 2 4" xfId="32058" xr:uid="{4979CEF8-6E95-4128-BDE5-4D5D814A9453}"/>
    <cellStyle name="20% - Accent1 13 4 2 3" xfId="12619" xr:uid="{00000000-0005-0000-0000-0000BA010000}"/>
    <cellStyle name="20% - Accent1 13 4 2 3 2" xfId="36468" xr:uid="{F622EE86-F8FC-4848-849D-E30741CC4573}"/>
    <cellStyle name="20% - Accent1 13 4 2 4" xfId="20574" xr:uid="{00000000-0005-0000-0000-0000BB010000}"/>
    <cellStyle name="20% - Accent1 13 4 2 4 2" xfId="44406" xr:uid="{2E65534D-D691-4F1B-8D3F-3F0BD4617DF6}"/>
    <cellStyle name="20% - Accent1 13 4 2 5" xfId="28527" xr:uid="{47C13EF2-CB97-42E9-BDA8-7BCE154F2AC0}"/>
    <cellStyle name="20% - Accent1 13 4 3" xfId="6427" xr:uid="{00000000-0005-0000-0000-0000BC010000}"/>
    <cellStyle name="20% - Accent1 13 4 3 2" xfId="14399" xr:uid="{00000000-0005-0000-0000-0000BD010000}"/>
    <cellStyle name="20% - Accent1 13 4 3 2 2" xfId="38241" xr:uid="{8DEEFBDF-F6A2-4C4B-BAE2-4F063EFA51C8}"/>
    <cellStyle name="20% - Accent1 13 4 3 3" xfId="22346" xr:uid="{00000000-0005-0000-0000-0000BE010000}"/>
    <cellStyle name="20% - Accent1 13 4 3 3 2" xfId="46178" xr:uid="{E94D9754-6AF4-4F91-A616-40562F11D7B7}"/>
    <cellStyle name="20% - Accent1 13 4 3 4" xfId="30300" xr:uid="{2F92AFF6-D088-4C77-A71D-6B63E95780A1}"/>
    <cellStyle name="20% - Accent1 13 4 4" xfId="10863" xr:uid="{00000000-0005-0000-0000-0000BF010000}"/>
    <cellStyle name="20% - Accent1 13 4 4 2" xfId="34712" xr:uid="{3EF90D1A-80DD-4096-897B-D240DEFCD486}"/>
    <cellStyle name="20% - Accent1 13 4 5" xfId="18818" xr:uid="{00000000-0005-0000-0000-0000C0010000}"/>
    <cellStyle name="20% - Accent1 13 4 5 2" xfId="42650" xr:uid="{4356AE0F-F274-476D-903B-124BA0A5673F}"/>
    <cellStyle name="20% - Accent1 13 4 6" xfId="26770" xr:uid="{0569028D-CA25-479D-857B-FFE7C95E9F54}"/>
    <cellStyle name="20% - Accent1 13 4_Exh G" xfId="1972" xr:uid="{00000000-0005-0000-0000-0000C1010000}"/>
    <cellStyle name="20% - Accent1 13 5" xfId="3716" xr:uid="{00000000-0005-0000-0000-0000C2010000}"/>
    <cellStyle name="20% - Accent1 13 5 2" xfId="7308" xr:uid="{00000000-0005-0000-0000-0000C3010000}"/>
    <cellStyle name="20% - Accent1 13 5 2 2" xfId="15279" xr:uid="{00000000-0005-0000-0000-0000C4010000}"/>
    <cellStyle name="20% - Accent1 13 5 2 2 2" xfId="39121" xr:uid="{9DA6A25A-7CFF-4760-B3FD-DE8AA5229A7C}"/>
    <cellStyle name="20% - Accent1 13 5 2 3" xfId="23225" xr:uid="{00000000-0005-0000-0000-0000C5010000}"/>
    <cellStyle name="20% - Accent1 13 5 2 3 2" xfId="47057" xr:uid="{53EC5BFB-CBB2-462A-BC29-4CEF20C63B9F}"/>
    <cellStyle name="20% - Accent1 13 5 2 4" xfId="31180" xr:uid="{170CD6BA-01C9-418B-BE02-09095D4FCBFF}"/>
    <cellStyle name="20% - Accent1 13 5 3" xfId="11741" xr:uid="{00000000-0005-0000-0000-0000C6010000}"/>
    <cellStyle name="20% - Accent1 13 5 3 2" xfId="35590" xr:uid="{9E98916F-C9E4-43BD-827F-9E9E831AD395}"/>
    <cellStyle name="20% - Accent1 13 5 4" xfId="19696" xr:uid="{00000000-0005-0000-0000-0000C7010000}"/>
    <cellStyle name="20% - Accent1 13 5 4 2" xfId="43528" xr:uid="{394BA643-A49A-4777-B05F-C3F338927304}"/>
    <cellStyle name="20% - Accent1 13 5 5" xfId="27649" xr:uid="{6DC7C211-3ABC-40AE-A9CD-CFB216817ECB}"/>
    <cellStyle name="20% - Accent1 13 6" xfId="5536" xr:uid="{00000000-0005-0000-0000-0000C8010000}"/>
    <cellStyle name="20% - Accent1 13 6 2" xfId="13520" xr:uid="{00000000-0005-0000-0000-0000C9010000}"/>
    <cellStyle name="20% - Accent1 13 6 2 2" xfId="37363" xr:uid="{0E65C98C-6C53-47D8-8F29-4C4A012331A8}"/>
    <cellStyle name="20% - Accent1 13 6 3" xfId="21468" xr:uid="{00000000-0005-0000-0000-0000CA010000}"/>
    <cellStyle name="20% - Accent1 13 6 3 2" xfId="45300" xr:uid="{10828D90-3260-4C1B-8261-AF8FA602D6EC}"/>
    <cellStyle name="20% - Accent1 13 6 4" xfId="29422" xr:uid="{0279C8A8-139F-4973-8D7D-11C94CBFCAF2}"/>
    <cellStyle name="20% - Accent1 13 7" xfId="9089" xr:uid="{00000000-0005-0000-0000-0000CB010000}"/>
    <cellStyle name="20% - Accent1 13 7 2" xfId="17047" xr:uid="{00000000-0005-0000-0000-0000CC010000}"/>
    <cellStyle name="20% - Accent1 13 7 2 2" xfId="40887" xr:uid="{FA2E3936-5E0B-410E-8EAE-87909148B08E}"/>
    <cellStyle name="20% - Accent1 13 7 3" xfId="24991" xr:uid="{00000000-0005-0000-0000-0000CD010000}"/>
    <cellStyle name="20% - Accent1 13 7 3 2" xfId="48823" xr:uid="{C8793F1F-F448-45BF-95D1-BD64C9BF4219}"/>
    <cellStyle name="20% - Accent1 13 7 4" xfId="32946" xr:uid="{BBD64D8F-EDE5-4D6B-BD52-7574C3916F27}"/>
    <cellStyle name="20% - Accent1 13 8" xfId="9985" xr:uid="{00000000-0005-0000-0000-0000CE010000}"/>
    <cellStyle name="20% - Accent1 13 8 2" xfId="33834" xr:uid="{0EEA1665-2A20-4B70-BAF0-39E350F7FBB0}"/>
    <cellStyle name="20% - Accent1 13 9" xfId="17940" xr:uid="{00000000-0005-0000-0000-0000CF010000}"/>
    <cellStyle name="20% - Accent1 13 9 2" xfId="41772" xr:uid="{9F86B958-A49E-4B5F-A258-D9419F6A38E1}"/>
    <cellStyle name="20% - Accent1 13_Exh G" xfId="1965" xr:uid="{00000000-0005-0000-0000-0000D0010000}"/>
    <cellStyle name="20% - Accent1 14" xfId="41" xr:uid="{00000000-0005-0000-0000-0000D1010000}"/>
    <cellStyle name="20% - Accent1 14 2" xfId="42" xr:uid="{00000000-0005-0000-0000-0000D2010000}"/>
    <cellStyle name="20% - Accent1 14 2 2" xfId="1070" xr:uid="{00000000-0005-0000-0000-0000D3010000}"/>
    <cellStyle name="20% - Accent1 14 2 2 2" xfId="4600" xr:uid="{00000000-0005-0000-0000-0000D4010000}"/>
    <cellStyle name="20% - Accent1 14 2 2 2 2" xfId="8191" xr:uid="{00000000-0005-0000-0000-0000D5010000}"/>
    <cellStyle name="20% - Accent1 14 2 2 2 2 2" xfId="16162" xr:uid="{00000000-0005-0000-0000-0000D6010000}"/>
    <cellStyle name="20% - Accent1 14 2 2 2 2 2 2" xfId="40004" xr:uid="{63B258E7-6F39-4FA4-AD25-90B686855153}"/>
    <cellStyle name="20% - Accent1 14 2 2 2 2 3" xfId="24108" xr:uid="{00000000-0005-0000-0000-0000D7010000}"/>
    <cellStyle name="20% - Accent1 14 2 2 2 2 3 2" xfId="47940" xr:uid="{D35EE1E9-6F8F-4967-9B00-F7283E099DE6}"/>
    <cellStyle name="20% - Accent1 14 2 2 2 2 4" xfId="32063" xr:uid="{0477E2D5-844F-4267-8791-66C1BA500CEB}"/>
    <cellStyle name="20% - Accent1 14 2 2 2 3" xfId="12624" xr:uid="{00000000-0005-0000-0000-0000D8010000}"/>
    <cellStyle name="20% - Accent1 14 2 2 2 3 2" xfId="36473" xr:uid="{2D421301-B3CE-46AE-984A-8E6D6BF3BE42}"/>
    <cellStyle name="20% - Accent1 14 2 2 2 4" xfId="20579" xr:uid="{00000000-0005-0000-0000-0000D9010000}"/>
    <cellStyle name="20% - Accent1 14 2 2 2 4 2" xfId="44411" xr:uid="{3E552679-9142-4CD1-B67C-C3377A39CEF0}"/>
    <cellStyle name="20% - Accent1 14 2 2 2 5" xfId="28532" xr:uid="{F5536A3B-49CA-4806-AD3D-8378A35D7773}"/>
    <cellStyle name="20% - Accent1 14 2 2 3" xfId="6432" xr:uid="{00000000-0005-0000-0000-0000DA010000}"/>
    <cellStyle name="20% - Accent1 14 2 2 3 2" xfId="14404" xr:uid="{00000000-0005-0000-0000-0000DB010000}"/>
    <cellStyle name="20% - Accent1 14 2 2 3 2 2" xfId="38246" xr:uid="{CA6CB94C-1ACD-4779-8A9E-6AD5E3F9F5AB}"/>
    <cellStyle name="20% - Accent1 14 2 2 3 3" xfId="22351" xr:uid="{00000000-0005-0000-0000-0000DC010000}"/>
    <cellStyle name="20% - Accent1 14 2 2 3 3 2" xfId="46183" xr:uid="{24E2CF0C-00DF-4A72-B162-9F0C83F96204}"/>
    <cellStyle name="20% - Accent1 14 2 2 3 4" xfId="30305" xr:uid="{F5789270-1558-4BF5-8EEF-8EC81F931E5E}"/>
    <cellStyle name="20% - Accent1 14 2 2 4" xfId="10868" xr:uid="{00000000-0005-0000-0000-0000DD010000}"/>
    <cellStyle name="20% - Accent1 14 2 2 4 2" xfId="34717" xr:uid="{B53EECAD-2827-4C72-82C9-D12F5A55474A}"/>
    <cellStyle name="20% - Accent1 14 2 2 5" xfId="18823" xr:uid="{00000000-0005-0000-0000-0000DE010000}"/>
    <cellStyle name="20% - Accent1 14 2 2 5 2" xfId="42655" xr:uid="{ABDBB9ED-1D57-426B-BFC5-E6712DA829EA}"/>
    <cellStyle name="20% - Accent1 14 2 2 6" xfId="26775" xr:uid="{A9D59E41-2C21-4413-A3A9-EC520FAC7F47}"/>
    <cellStyle name="20% - Accent1 14 2 2_Exh G" xfId="1975" xr:uid="{00000000-0005-0000-0000-0000DF010000}"/>
    <cellStyle name="20% - Accent1 14 2 3" xfId="3721" xr:uid="{00000000-0005-0000-0000-0000E0010000}"/>
    <cellStyle name="20% - Accent1 14 2 3 2" xfId="7313" xr:uid="{00000000-0005-0000-0000-0000E1010000}"/>
    <cellStyle name="20% - Accent1 14 2 3 2 2" xfId="15284" xr:uid="{00000000-0005-0000-0000-0000E2010000}"/>
    <cellStyle name="20% - Accent1 14 2 3 2 2 2" xfId="39126" xr:uid="{4844AF5A-DBE1-404A-A189-82E09F7CAD14}"/>
    <cellStyle name="20% - Accent1 14 2 3 2 3" xfId="23230" xr:uid="{00000000-0005-0000-0000-0000E3010000}"/>
    <cellStyle name="20% - Accent1 14 2 3 2 3 2" xfId="47062" xr:uid="{6332D047-EE3D-4022-A651-17DA7C53BBAF}"/>
    <cellStyle name="20% - Accent1 14 2 3 2 4" xfId="31185" xr:uid="{6F854068-810D-4F6C-8D59-B66BAF0D8841}"/>
    <cellStyle name="20% - Accent1 14 2 3 3" xfId="11746" xr:uid="{00000000-0005-0000-0000-0000E4010000}"/>
    <cellStyle name="20% - Accent1 14 2 3 3 2" xfId="35595" xr:uid="{1760DB6B-262C-4859-9680-3BCE13020C1D}"/>
    <cellStyle name="20% - Accent1 14 2 3 4" xfId="19701" xr:uid="{00000000-0005-0000-0000-0000E5010000}"/>
    <cellStyle name="20% - Accent1 14 2 3 4 2" xfId="43533" xr:uid="{8BB25AD0-A007-4ED7-B6C2-7E1C89B12A32}"/>
    <cellStyle name="20% - Accent1 14 2 3 5" xfId="27654" xr:uid="{6E8A35CD-42EF-476B-B510-7E21C66CF189}"/>
    <cellStyle name="20% - Accent1 14 2 4" xfId="5541" xr:uid="{00000000-0005-0000-0000-0000E6010000}"/>
    <cellStyle name="20% - Accent1 14 2 4 2" xfId="13525" xr:uid="{00000000-0005-0000-0000-0000E7010000}"/>
    <cellStyle name="20% - Accent1 14 2 4 2 2" xfId="37368" xr:uid="{3C2C70CA-9721-4893-ADEF-8794D7760C27}"/>
    <cellStyle name="20% - Accent1 14 2 4 3" xfId="21473" xr:uid="{00000000-0005-0000-0000-0000E8010000}"/>
    <cellStyle name="20% - Accent1 14 2 4 3 2" xfId="45305" xr:uid="{0A25BFEE-A7AF-4A8D-BF27-3E0B0AD260E2}"/>
    <cellStyle name="20% - Accent1 14 2 4 4" xfId="29427" xr:uid="{112E17B8-C5E5-4EE5-999D-A06AD7B77BDE}"/>
    <cellStyle name="20% - Accent1 14 2 5" xfId="9094" xr:uid="{00000000-0005-0000-0000-0000E9010000}"/>
    <cellStyle name="20% - Accent1 14 2 5 2" xfId="17052" xr:uid="{00000000-0005-0000-0000-0000EA010000}"/>
    <cellStyle name="20% - Accent1 14 2 5 2 2" xfId="40892" xr:uid="{22AA91E6-E1D7-4FE0-B601-7FD2D9633DD6}"/>
    <cellStyle name="20% - Accent1 14 2 5 3" xfId="24996" xr:uid="{00000000-0005-0000-0000-0000EB010000}"/>
    <cellStyle name="20% - Accent1 14 2 5 3 2" xfId="48828" xr:uid="{2B101F2A-B984-4D45-8E74-1BAC4FF36B73}"/>
    <cellStyle name="20% - Accent1 14 2 5 4" xfId="32951" xr:uid="{A4C85890-9480-4078-956D-DCC70BE39ABB}"/>
    <cellStyle name="20% - Accent1 14 2 6" xfId="9990" xr:uid="{00000000-0005-0000-0000-0000EC010000}"/>
    <cellStyle name="20% - Accent1 14 2 6 2" xfId="33839" xr:uid="{F821BD4A-C0AC-4428-8CA8-7E9E7F046641}"/>
    <cellStyle name="20% - Accent1 14 2 7" xfId="17945" xr:uid="{00000000-0005-0000-0000-0000ED010000}"/>
    <cellStyle name="20% - Accent1 14 2 7 2" xfId="41777" xr:uid="{64F7BE11-8A45-48CA-9940-2116EE6D3C5C}"/>
    <cellStyle name="20% - Accent1 14 2 8" xfId="25897" xr:uid="{69AB07B9-E916-4E29-ABB9-5BF4E1A4B159}"/>
    <cellStyle name="20% - Accent1 14 2_Exh G" xfId="1974" xr:uid="{00000000-0005-0000-0000-0000EE010000}"/>
    <cellStyle name="20% - Accent1 14 3" xfId="1069" xr:uid="{00000000-0005-0000-0000-0000EF010000}"/>
    <cellStyle name="20% - Accent1 14 3 2" xfId="4599" xr:uid="{00000000-0005-0000-0000-0000F0010000}"/>
    <cellStyle name="20% - Accent1 14 3 2 2" xfId="8190" xr:uid="{00000000-0005-0000-0000-0000F1010000}"/>
    <cellStyle name="20% - Accent1 14 3 2 2 2" xfId="16161" xr:uid="{00000000-0005-0000-0000-0000F2010000}"/>
    <cellStyle name="20% - Accent1 14 3 2 2 2 2" xfId="40003" xr:uid="{408829C6-FBB0-44B5-8675-A1A029B5636E}"/>
    <cellStyle name="20% - Accent1 14 3 2 2 3" xfId="24107" xr:uid="{00000000-0005-0000-0000-0000F3010000}"/>
    <cellStyle name="20% - Accent1 14 3 2 2 3 2" xfId="47939" xr:uid="{A602C72B-E222-4B6C-8186-31277F9CF5FB}"/>
    <cellStyle name="20% - Accent1 14 3 2 2 4" xfId="32062" xr:uid="{BD25E93A-D639-48AB-AE50-93A79877F151}"/>
    <cellStyle name="20% - Accent1 14 3 2 3" xfId="12623" xr:uid="{00000000-0005-0000-0000-0000F4010000}"/>
    <cellStyle name="20% - Accent1 14 3 2 3 2" xfId="36472" xr:uid="{C260A66D-870A-44FD-B1BC-BA0275058785}"/>
    <cellStyle name="20% - Accent1 14 3 2 4" xfId="20578" xr:uid="{00000000-0005-0000-0000-0000F5010000}"/>
    <cellStyle name="20% - Accent1 14 3 2 4 2" xfId="44410" xr:uid="{3DAABF01-3CE7-4ADA-9ADD-49831BA5AC87}"/>
    <cellStyle name="20% - Accent1 14 3 2 5" xfId="28531" xr:uid="{9D5F00ED-23FB-4539-A0FF-D4F816BAE497}"/>
    <cellStyle name="20% - Accent1 14 3 3" xfId="6431" xr:uid="{00000000-0005-0000-0000-0000F6010000}"/>
    <cellStyle name="20% - Accent1 14 3 3 2" xfId="14403" xr:uid="{00000000-0005-0000-0000-0000F7010000}"/>
    <cellStyle name="20% - Accent1 14 3 3 2 2" xfId="38245" xr:uid="{E723D2B8-6348-400B-A9AC-83E3E83F9616}"/>
    <cellStyle name="20% - Accent1 14 3 3 3" xfId="22350" xr:uid="{00000000-0005-0000-0000-0000F8010000}"/>
    <cellStyle name="20% - Accent1 14 3 3 3 2" xfId="46182" xr:uid="{A7F7A1B2-EC32-4DCB-BEB0-5A656321AC45}"/>
    <cellStyle name="20% - Accent1 14 3 3 4" xfId="30304" xr:uid="{91D6BD68-A059-4245-A929-BCCF876DD61E}"/>
    <cellStyle name="20% - Accent1 14 3 4" xfId="10867" xr:uid="{00000000-0005-0000-0000-0000F9010000}"/>
    <cellStyle name="20% - Accent1 14 3 4 2" xfId="34716" xr:uid="{A93C9EA2-BAA3-476D-B412-721F27581B24}"/>
    <cellStyle name="20% - Accent1 14 3 5" xfId="18822" xr:uid="{00000000-0005-0000-0000-0000FA010000}"/>
    <cellStyle name="20% - Accent1 14 3 5 2" xfId="42654" xr:uid="{C9EA86E1-8487-469B-9481-B7DAA2DE0313}"/>
    <cellStyle name="20% - Accent1 14 3 6" xfId="26774" xr:uid="{B2727EBB-D8DC-4E9D-A9A8-3AC330508C09}"/>
    <cellStyle name="20% - Accent1 14 3_Exh G" xfId="1976" xr:uid="{00000000-0005-0000-0000-0000FB010000}"/>
    <cellStyle name="20% - Accent1 14 4" xfId="3720" xr:uid="{00000000-0005-0000-0000-0000FC010000}"/>
    <cellStyle name="20% - Accent1 14 4 2" xfId="7312" xr:uid="{00000000-0005-0000-0000-0000FD010000}"/>
    <cellStyle name="20% - Accent1 14 4 2 2" xfId="15283" xr:uid="{00000000-0005-0000-0000-0000FE010000}"/>
    <cellStyle name="20% - Accent1 14 4 2 2 2" xfId="39125" xr:uid="{0EF33A17-386E-47AB-A742-A643F53382CF}"/>
    <cellStyle name="20% - Accent1 14 4 2 3" xfId="23229" xr:uid="{00000000-0005-0000-0000-0000FF010000}"/>
    <cellStyle name="20% - Accent1 14 4 2 3 2" xfId="47061" xr:uid="{F53DC9FB-D6CB-4C59-B062-E5DDA8F1E5E0}"/>
    <cellStyle name="20% - Accent1 14 4 2 4" xfId="31184" xr:uid="{5DEBC7C7-26BD-4B63-84CC-D49565CE726B}"/>
    <cellStyle name="20% - Accent1 14 4 3" xfId="11745" xr:uid="{00000000-0005-0000-0000-000000020000}"/>
    <cellStyle name="20% - Accent1 14 4 3 2" xfId="35594" xr:uid="{7CD6043D-2004-4FD0-817B-2242E8085F48}"/>
    <cellStyle name="20% - Accent1 14 4 4" xfId="19700" xr:uid="{00000000-0005-0000-0000-000001020000}"/>
    <cellStyle name="20% - Accent1 14 4 4 2" xfId="43532" xr:uid="{8D03BDC6-C2C2-412E-9F12-F7AACB161CFC}"/>
    <cellStyle name="20% - Accent1 14 4 5" xfId="27653" xr:uid="{FD1B4D06-FEB5-4A52-8E11-C439B7AEB38A}"/>
    <cellStyle name="20% - Accent1 14 5" xfId="5540" xr:uid="{00000000-0005-0000-0000-000002020000}"/>
    <cellStyle name="20% - Accent1 14 5 2" xfId="13524" xr:uid="{00000000-0005-0000-0000-000003020000}"/>
    <cellStyle name="20% - Accent1 14 5 2 2" xfId="37367" xr:uid="{FEE371DA-30EF-4D88-A157-0054B54A2E5A}"/>
    <cellStyle name="20% - Accent1 14 5 3" xfId="21472" xr:uid="{00000000-0005-0000-0000-000004020000}"/>
    <cellStyle name="20% - Accent1 14 5 3 2" xfId="45304" xr:uid="{FEE3F496-71ED-4131-BA6C-957F217AD0F9}"/>
    <cellStyle name="20% - Accent1 14 5 4" xfId="29426" xr:uid="{7D0EB860-02FC-463C-B170-8EA6CF50F8C4}"/>
    <cellStyle name="20% - Accent1 14 6" xfId="9093" xr:uid="{00000000-0005-0000-0000-000005020000}"/>
    <cellStyle name="20% - Accent1 14 6 2" xfId="17051" xr:uid="{00000000-0005-0000-0000-000006020000}"/>
    <cellStyle name="20% - Accent1 14 6 2 2" xfId="40891" xr:uid="{FF659603-B499-4089-91B7-B32306282EE4}"/>
    <cellStyle name="20% - Accent1 14 6 3" xfId="24995" xr:uid="{00000000-0005-0000-0000-000007020000}"/>
    <cellStyle name="20% - Accent1 14 6 3 2" xfId="48827" xr:uid="{09A7B603-FDD4-4EF2-AB93-5C25FCDC9D99}"/>
    <cellStyle name="20% - Accent1 14 6 4" xfId="32950" xr:uid="{C5C06AFA-9002-4058-B2BD-0B718FCD8F6D}"/>
    <cellStyle name="20% - Accent1 14 7" xfId="9989" xr:uid="{00000000-0005-0000-0000-000008020000}"/>
    <cellStyle name="20% - Accent1 14 7 2" xfId="33838" xr:uid="{7889AE9C-344B-47CB-8741-4B17CEEA9105}"/>
    <cellStyle name="20% - Accent1 14 8" xfId="17944" xr:uid="{00000000-0005-0000-0000-000009020000}"/>
    <cellStyle name="20% - Accent1 14 8 2" xfId="41776" xr:uid="{CB36C1E1-175E-4DBB-AD76-BDD57D526F3B}"/>
    <cellStyle name="20% - Accent1 14 9" xfId="25896" xr:uid="{E4D5918E-50A9-4A05-AACD-99B96491250C}"/>
    <cellStyle name="20% - Accent1 14_Exh G" xfId="1973" xr:uid="{00000000-0005-0000-0000-00000A020000}"/>
    <cellStyle name="20% - Accent1 15" xfId="43" xr:uid="{00000000-0005-0000-0000-00000B020000}"/>
    <cellStyle name="20% - Accent1 15 2" xfId="1071" xr:uid="{00000000-0005-0000-0000-00000C020000}"/>
    <cellStyle name="20% - Accent1 15 2 2" xfId="4601" xr:uid="{00000000-0005-0000-0000-00000D020000}"/>
    <cellStyle name="20% - Accent1 15 2 2 2" xfId="8192" xr:uid="{00000000-0005-0000-0000-00000E020000}"/>
    <cellStyle name="20% - Accent1 15 2 2 2 2" xfId="16163" xr:uid="{00000000-0005-0000-0000-00000F020000}"/>
    <cellStyle name="20% - Accent1 15 2 2 2 2 2" xfId="40005" xr:uid="{0561352F-E290-4CB0-BA44-BF28C8458662}"/>
    <cellStyle name="20% - Accent1 15 2 2 2 3" xfId="24109" xr:uid="{00000000-0005-0000-0000-000010020000}"/>
    <cellStyle name="20% - Accent1 15 2 2 2 3 2" xfId="47941" xr:uid="{1C9FB73F-69AA-45F3-920B-327AE293E6CC}"/>
    <cellStyle name="20% - Accent1 15 2 2 2 4" xfId="32064" xr:uid="{BCA751F8-5725-498F-9F2C-0573A9DF75D2}"/>
    <cellStyle name="20% - Accent1 15 2 2 3" xfId="12625" xr:uid="{00000000-0005-0000-0000-000011020000}"/>
    <cellStyle name="20% - Accent1 15 2 2 3 2" xfId="36474" xr:uid="{DD5306E8-1C5D-4A25-8AA0-914BDF61F19E}"/>
    <cellStyle name="20% - Accent1 15 2 2 4" xfId="20580" xr:uid="{00000000-0005-0000-0000-000012020000}"/>
    <cellStyle name="20% - Accent1 15 2 2 4 2" xfId="44412" xr:uid="{4C079228-E043-4493-A406-659175988E4D}"/>
    <cellStyle name="20% - Accent1 15 2 2 5" xfId="28533" xr:uid="{9A85D0F4-3A7E-4793-84C5-29B96B5CCBE3}"/>
    <cellStyle name="20% - Accent1 15 2 3" xfId="6433" xr:uid="{00000000-0005-0000-0000-000013020000}"/>
    <cellStyle name="20% - Accent1 15 2 3 2" xfId="14405" xr:uid="{00000000-0005-0000-0000-000014020000}"/>
    <cellStyle name="20% - Accent1 15 2 3 2 2" xfId="38247" xr:uid="{E9607425-B7DB-4064-A9F9-FA127FDB0213}"/>
    <cellStyle name="20% - Accent1 15 2 3 3" xfId="22352" xr:uid="{00000000-0005-0000-0000-000015020000}"/>
    <cellStyle name="20% - Accent1 15 2 3 3 2" xfId="46184" xr:uid="{D593C313-F4C8-4B3A-8751-95201F5B2F99}"/>
    <cellStyle name="20% - Accent1 15 2 3 4" xfId="30306" xr:uid="{D8254234-93E7-4E90-9DEC-E9B85259878E}"/>
    <cellStyle name="20% - Accent1 15 2 4" xfId="10869" xr:uid="{00000000-0005-0000-0000-000016020000}"/>
    <cellStyle name="20% - Accent1 15 2 4 2" xfId="34718" xr:uid="{D5970926-36B3-4CBF-8DAF-8B8332C0CB2B}"/>
    <cellStyle name="20% - Accent1 15 2 5" xfId="18824" xr:uid="{00000000-0005-0000-0000-000017020000}"/>
    <cellStyle name="20% - Accent1 15 2 5 2" xfId="42656" xr:uid="{D9E9A004-CB97-4EA1-B848-1260087932D0}"/>
    <cellStyle name="20% - Accent1 15 2 6" xfId="26776" xr:uid="{5BF124DE-C72C-431F-8F6F-CB5061BAC6D0}"/>
    <cellStyle name="20% - Accent1 15 2_Exh G" xfId="1978" xr:uid="{00000000-0005-0000-0000-000018020000}"/>
    <cellStyle name="20% - Accent1 15 3" xfId="3722" xr:uid="{00000000-0005-0000-0000-000019020000}"/>
    <cellStyle name="20% - Accent1 15 3 2" xfId="7314" xr:uid="{00000000-0005-0000-0000-00001A020000}"/>
    <cellStyle name="20% - Accent1 15 3 2 2" xfId="15285" xr:uid="{00000000-0005-0000-0000-00001B020000}"/>
    <cellStyle name="20% - Accent1 15 3 2 2 2" xfId="39127" xr:uid="{F9D2AF6A-A7A8-480C-BB91-107C9696E041}"/>
    <cellStyle name="20% - Accent1 15 3 2 3" xfId="23231" xr:uid="{00000000-0005-0000-0000-00001C020000}"/>
    <cellStyle name="20% - Accent1 15 3 2 3 2" xfId="47063" xr:uid="{BCE2385B-7578-4986-8FB8-1AA6F9286626}"/>
    <cellStyle name="20% - Accent1 15 3 2 4" xfId="31186" xr:uid="{0B286D65-B251-46A7-9E0A-069CD10CAEBD}"/>
    <cellStyle name="20% - Accent1 15 3 3" xfId="11747" xr:uid="{00000000-0005-0000-0000-00001D020000}"/>
    <cellStyle name="20% - Accent1 15 3 3 2" xfId="35596" xr:uid="{7317CB9D-2F63-4749-AD83-D9E37A9C54E0}"/>
    <cellStyle name="20% - Accent1 15 3 4" xfId="19702" xr:uid="{00000000-0005-0000-0000-00001E020000}"/>
    <cellStyle name="20% - Accent1 15 3 4 2" xfId="43534" xr:uid="{A4AAFC53-6CBB-4E80-88F2-11245A3320D9}"/>
    <cellStyle name="20% - Accent1 15 3 5" xfId="27655" xr:uid="{1990E0BA-60D7-404E-BD0A-7982DE44C3AB}"/>
    <cellStyle name="20% - Accent1 15 4" xfId="5542" xr:uid="{00000000-0005-0000-0000-00001F020000}"/>
    <cellStyle name="20% - Accent1 15 4 2" xfId="13526" xr:uid="{00000000-0005-0000-0000-000020020000}"/>
    <cellStyle name="20% - Accent1 15 4 2 2" xfId="37369" xr:uid="{547F32F6-52DD-4CC5-90E8-D21CC3D025BD}"/>
    <cellStyle name="20% - Accent1 15 4 3" xfId="21474" xr:uid="{00000000-0005-0000-0000-000021020000}"/>
    <cellStyle name="20% - Accent1 15 4 3 2" xfId="45306" xr:uid="{C95C60D7-04DA-4B05-8E90-55E18FD87E81}"/>
    <cellStyle name="20% - Accent1 15 4 4" xfId="29428" xr:uid="{4F2990A2-E7E8-45E0-A888-EC88E32E92F5}"/>
    <cellStyle name="20% - Accent1 15 5" xfId="9095" xr:uid="{00000000-0005-0000-0000-000022020000}"/>
    <cellStyle name="20% - Accent1 15 5 2" xfId="17053" xr:uid="{00000000-0005-0000-0000-000023020000}"/>
    <cellStyle name="20% - Accent1 15 5 2 2" xfId="40893" xr:uid="{9FFDA235-3617-4A00-8FD6-05C1BEF9B5BE}"/>
    <cellStyle name="20% - Accent1 15 5 3" xfId="24997" xr:uid="{00000000-0005-0000-0000-000024020000}"/>
    <cellStyle name="20% - Accent1 15 5 3 2" xfId="48829" xr:uid="{852E31FE-79B0-4BBC-856C-DF3C99C4DEFD}"/>
    <cellStyle name="20% - Accent1 15 5 4" xfId="32952" xr:uid="{3F395735-724B-4D34-BAC5-B332E988C3EA}"/>
    <cellStyle name="20% - Accent1 15 6" xfId="9991" xr:uid="{00000000-0005-0000-0000-000025020000}"/>
    <cellStyle name="20% - Accent1 15 6 2" xfId="33840" xr:uid="{244B4B84-F820-44FC-BA7A-51FA36F36682}"/>
    <cellStyle name="20% - Accent1 15 7" xfId="17946" xr:uid="{00000000-0005-0000-0000-000026020000}"/>
    <cellStyle name="20% - Accent1 15 7 2" xfId="41778" xr:uid="{1C275393-9992-4A6E-A9B5-5C7592CB35B8}"/>
    <cellStyle name="20% - Accent1 15 8" xfId="25898" xr:uid="{7D041892-DF89-431A-952F-D1DC8E4E9CA7}"/>
    <cellStyle name="20% - Accent1 15_Exh G" xfId="1977" xr:uid="{00000000-0005-0000-0000-000027020000}"/>
    <cellStyle name="20% - Accent1 16" xfId="843" xr:uid="{00000000-0005-0000-0000-000028020000}"/>
    <cellStyle name="20% - Accent1 16 2" xfId="1782" xr:uid="{00000000-0005-0000-0000-000029020000}"/>
    <cellStyle name="20% - Accent1 16 2 2" xfId="5303" xr:uid="{00000000-0005-0000-0000-00002A020000}"/>
    <cellStyle name="20% - Accent1 16 2 2 2" xfId="8894" xr:uid="{00000000-0005-0000-0000-00002B020000}"/>
    <cellStyle name="20% - Accent1 16 2 2 2 2" xfId="16865" xr:uid="{00000000-0005-0000-0000-00002C020000}"/>
    <cellStyle name="20% - Accent1 16 2 2 2 2 2" xfId="40707" xr:uid="{CAF2F8D2-D213-4019-9924-FD750F45A61D}"/>
    <cellStyle name="20% - Accent1 16 2 2 2 3" xfId="24811" xr:uid="{00000000-0005-0000-0000-00002D020000}"/>
    <cellStyle name="20% - Accent1 16 2 2 2 3 2" xfId="48643" xr:uid="{11B4CB97-FAC7-4A03-AFED-22ECEA78EEEC}"/>
    <cellStyle name="20% - Accent1 16 2 2 2 4" xfId="32766" xr:uid="{3A7F9975-285C-4AF0-BD15-DF24CE592B67}"/>
    <cellStyle name="20% - Accent1 16 2 2 3" xfId="13327" xr:uid="{00000000-0005-0000-0000-00002E020000}"/>
    <cellStyle name="20% - Accent1 16 2 2 3 2" xfId="37176" xr:uid="{AB691D16-71D5-4FA0-9FAF-070E1443ACDA}"/>
    <cellStyle name="20% - Accent1 16 2 2 4" xfId="21282" xr:uid="{00000000-0005-0000-0000-00002F020000}"/>
    <cellStyle name="20% - Accent1 16 2 2 4 2" xfId="45114" xr:uid="{AA355DE6-7E0A-419F-8683-53F5F81601CD}"/>
    <cellStyle name="20% - Accent1 16 2 2 5" xfId="29235" xr:uid="{2F0E8F0B-9439-41E1-A0EE-C18621DC6448}"/>
    <cellStyle name="20% - Accent1 16 2 3" xfId="7135" xr:uid="{00000000-0005-0000-0000-000030020000}"/>
    <cellStyle name="20% - Accent1 16 2 3 2" xfId="15107" xr:uid="{00000000-0005-0000-0000-000031020000}"/>
    <cellStyle name="20% - Accent1 16 2 3 2 2" xfId="38949" xr:uid="{C9BBE60D-7306-4847-B267-5AB7EC703CE5}"/>
    <cellStyle name="20% - Accent1 16 2 3 3" xfId="23054" xr:uid="{00000000-0005-0000-0000-000032020000}"/>
    <cellStyle name="20% - Accent1 16 2 3 3 2" xfId="46886" xr:uid="{57470277-A1CD-4512-8AEF-C2859FE0DC54}"/>
    <cellStyle name="20% - Accent1 16 2 3 4" xfId="31008" xr:uid="{8349CF95-5066-4207-884C-C92C67994A16}"/>
    <cellStyle name="20% - Accent1 16 2 4" xfId="11571" xr:uid="{00000000-0005-0000-0000-000033020000}"/>
    <cellStyle name="20% - Accent1 16 2 4 2" xfId="35420" xr:uid="{1E1A1AFC-48DF-435D-A0C3-6C53D6A0E23D}"/>
    <cellStyle name="20% - Accent1 16 2 5" xfId="19526" xr:uid="{00000000-0005-0000-0000-000034020000}"/>
    <cellStyle name="20% - Accent1 16 2 5 2" xfId="43358" xr:uid="{10482308-1DCA-46E7-BAE6-4288F144C8A1}"/>
    <cellStyle name="20% - Accent1 16 2 6" xfId="27478" xr:uid="{42B76362-6A24-4912-ACA6-F880EA98E925}"/>
    <cellStyle name="20% - Accent1 16 2_Exh G" xfId="1980" xr:uid="{00000000-0005-0000-0000-000035020000}"/>
    <cellStyle name="20% - Accent1 16 3" xfId="4424" xr:uid="{00000000-0005-0000-0000-000036020000}"/>
    <cellStyle name="20% - Accent1 16 3 2" xfId="8016" xr:uid="{00000000-0005-0000-0000-000037020000}"/>
    <cellStyle name="20% - Accent1 16 3 2 2" xfId="15987" xr:uid="{00000000-0005-0000-0000-000038020000}"/>
    <cellStyle name="20% - Accent1 16 3 2 2 2" xfId="39829" xr:uid="{42CBE11A-98C4-43FC-BD36-41AD15B798CA}"/>
    <cellStyle name="20% - Accent1 16 3 2 3" xfId="23933" xr:uid="{00000000-0005-0000-0000-000039020000}"/>
    <cellStyle name="20% - Accent1 16 3 2 3 2" xfId="47765" xr:uid="{EB05A8CD-F87C-41FB-AC6E-5CAAAF861AF7}"/>
    <cellStyle name="20% - Accent1 16 3 2 4" xfId="31888" xr:uid="{8B365CB7-46EB-4B48-933F-4DF6FFF58D9A}"/>
    <cellStyle name="20% - Accent1 16 3 3" xfId="12449" xr:uid="{00000000-0005-0000-0000-00003A020000}"/>
    <cellStyle name="20% - Accent1 16 3 3 2" xfId="36298" xr:uid="{CAEFDB1F-4F4C-44D2-8402-519F6483885D}"/>
    <cellStyle name="20% - Accent1 16 3 4" xfId="20404" xr:uid="{00000000-0005-0000-0000-00003B020000}"/>
    <cellStyle name="20% - Accent1 16 3 4 2" xfId="44236" xr:uid="{5D34ABEB-C6A1-451F-8CC0-311862C30B86}"/>
    <cellStyle name="20% - Accent1 16 3 5" xfId="28357" xr:uid="{53A43361-7098-424A-A7BE-5FEC8C3A00EA}"/>
    <cellStyle name="20% - Accent1 16 4" xfId="6254" xr:uid="{00000000-0005-0000-0000-00003C020000}"/>
    <cellStyle name="20% - Accent1 16 4 2" xfId="14229" xr:uid="{00000000-0005-0000-0000-00003D020000}"/>
    <cellStyle name="20% - Accent1 16 4 2 2" xfId="38071" xr:uid="{CA3958F5-0950-4A29-B649-8CB6E8646107}"/>
    <cellStyle name="20% - Accent1 16 4 3" xfId="22176" xr:uid="{00000000-0005-0000-0000-00003E020000}"/>
    <cellStyle name="20% - Accent1 16 4 3 2" xfId="46008" xr:uid="{AC56C4AE-42E9-4ABD-9418-C12DE2C462A6}"/>
    <cellStyle name="20% - Accent1 16 4 4" xfId="30130" xr:uid="{1396EA3C-B19D-4B04-88BA-8A308474D049}"/>
    <cellStyle name="20% - Accent1 16 5" xfId="9797" xr:uid="{00000000-0005-0000-0000-00003F020000}"/>
    <cellStyle name="20% - Accent1 16 5 2" xfId="17755" xr:uid="{00000000-0005-0000-0000-000040020000}"/>
    <cellStyle name="20% - Accent1 16 5 2 2" xfId="41595" xr:uid="{C96B9731-2BF5-4E36-A30E-952D02DC8EF9}"/>
    <cellStyle name="20% - Accent1 16 5 3" xfId="25699" xr:uid="{00000000-0005-0000-0000-000041020000}"/>
    <cellStyle name="20% - Accent1 16 5 3 2" xfId="49531" xr:uid="{4BCEC7F5-7602-4691-A5FD-8A06CD0385BA}"/>
    <cellStyle name="20% - Accent1 16 5 4" xfId="33654" xr:uid="{5DC57A4D-F942-4B38-A08B-78AA3F40460A}"/>
    <cellStyle name="20% - Accent1 16 6" xfId="10693" xr:uid="{00000000-0005-0000-0000-000042020000}"/>
    <cellStyle name="20% - Accent1 16 6 2" xfId="34542" xr:uid="{8F612CC6-4EFC-4297-A9B7-706E8713764E}"/>
    <cellStyle name="20% - Accent1 16 7" xfId="18648" xr:uid="{00000000-0005-0000-0000-000043020000}"/>
    <cellStyle name="20% - Accent1 16 7 2" xfId="42480" xr:uid="{A0C107D2-300A-4C48-8C9C-192A1A0B746A}"/>
    <cellStyle name="20% - Accent1 16 8" xfId="26600" xr:uid="{3CCACD8C-3A87-4679-BA36-6A31F4879085}"/>
    <cellStyle name="20% - Accent1 16_Exh G" xfId="1979" xr:uid="{00000000-0005-0000-0000-000044020000}"/>
    <cellStyle name="20% - Accent1 17" xfId="49794" xr:uid="{AE8DAC52-152C-4F1E-939B-2959056DA31D}"/>
    <cellStyle name="20% - Accent1 2" xfId="44" xr:uid="{00000000-0005-0000-0000-000045020000}"/>
    <cellStyle name="20% - Accent1 2 10" xfId="17947" xr:uid="{00000000-0005-0000-0000-000046020000}"/>
    <cellStyle name="20% - Accent1 2 10 2" xfId="41779" xr:uid="{56729B5E-3D99-4928-8313-3D835C228C00}"/>
    <cellStyle name="20% - Accent1 2 11" xfId="25899" xr:uid="{07D51114-C68C-4528-9023-40D7EFF626FC}"/>
    <cellStyle name="20% - Accent1 2 12" xfId="49779" xr:uid="{FF70C2F3-BDC1-47F6-A1AA-6640D5C4D4FD}"/>
    <cellStyle name="20% - Accent1 2 13" xfId="49807" xr:uid="{39772119-6921-4D37-AAA4-8EDDC133DFDA}"/>
    <cellStyle name="20% - Accent1 2 2" xfId="45" xr:uid="{00000000-0005-0000-0000-000047020000}"/>
    <cellStyle name="20% - Accent1 2 2 10" xfId="25900" xr:uid="{8E42666B-8CEB-4195-843F-3E3843721258}"/>
    <cellStyle name="20% - Accent1 2 2 2" xfId="46" xr:uid="{00000000-0005-0000-0000-000048020000}"/>
    <cellStyle name="20% - Accent1 2 2 2 2" xfId="1074" xr:uid="{00000000-0005-0000-0000-000049020000}"/>
    <cellStyle name="20% - Accent1 2 2 2 2 2" xfId="4604" xr:uid="{00000000-0005-0000-0000-00004A020000}"/>
    <cellStyle name="20% - Accent1 2 2 2 2 2 2" xfId="8195" xr:uid="{00000000-0005-0000-0000-00004B020000}"/>
    <cellStyle name="20% - Accent1 2 2 2 2 2 2 2" xfId="16166" xr:uid="{00000000-0005-0000-0000-00004C020000}"/>
    <cellStyle name="20% - Accent1 2 2 2 2 2 2 2 2" xfId="40008" xr:uid="{2443AF04-8F65-466C-863F-03DE652D96D1}"/>
    <cellStyle name="20% - Accent1 2 2 2 2 2 2 3" xfId="24112" xr:uid="{00000000-0005-0000-0000-00004D020000}"/>
    <cellStyle name="20% - Accent1 2 2 2 2 2 2 3 2" xfId="47944" xr:uid="{8A496EFE-71FC-4403-917A-2CC8216502BD}"/>
    <cellStyle name="20% - Accent1 2 2 2 2 2 2 4" xfId="32067" xr:uid="{3E051609-DB7C-4DA2-97E1-6C4846D52A6E}"/>
    <cellStyle name="20% - Accent1 2 2 2 2 2 3" xfId="12628" xr:uid="{00000000-0005-0000-0000-00004E020000}"/>
    <cellStyle name="20% - Accent1 2 2 2 2 2 3 2" xfId="36477" xr:uid="{46A3CBFB-5395-40F8-9BF0-419A8ECC5A62}"/>
    <cellStyle name="20% - Accent1 2 2 2 2 2 4" xfId="20583" xr:uid="{00000000-0005-0000-0000-00004F020000}"/>
    <cellStyle name="20% - Accent1 2 2 2 2 2 4 2" xfId="44415" xr:uid="{A8DA49F4-5C15-4214-BC80-40C6CD3C63BC}"/>
    <cellStyle name="20% - Accent1 2 2 2 2 2 5" xfId="28536" xr:uid="{39C39F65-D574-41A8-808F-C082E3394EC1}"/>
    <cellStyle name="20% - Accent1 2 2 2 2 3" xfId="6436" xr:uid="{00000000-0005-0000-0000-000050020000}"/>
    <cellStyle name="20% - Accent1 2 2 2 2 3 2" xfId="14408" xr:uid="{00000000-0005-0000-0000-000051020000}"/>
    <cellStyle name="20% - Accent1 2 2 2 2 3 2 2" xfId="38250" xr:uid="{C7EEDE9E-6B4D-47D2-B816-5A0F0B2B8AAC}"/>
    <cellStyle name="20% - Accent1 2 2 2 2 3 3" xfId="22355" xr:uid="{00000000-0005-0000-0000-000052020000}"/>
    <cellStyle name="20% - Accent1 2 2 2 2 3 3 2" xfId="46187" xr:uid="{53A0793A-04CD-4291-9C26-82113D47436A}"/>
    <cellStyle name="20% - Accent1 2 2 2 2 3 4" xfId="30309" xr:uid="{38AD3B92-4BBE-43B0-967C-9C19E34D310C}"/>
    <cellStyle name="20% - Accent1 2 2 2 2 4" xfId="10872" xr:uid="{00000000-0005-0000-0000-000053020000}"/>
    <cellStyle name="20% - Accent1 2 2 2 2 4 2" xfId="34721" xr:uid="{0CED5B32-304A-4D8C-9B0B-766AE8C31918}"/>
    <cellStyle name="20% - Accent1 2 2 2 2 5" xfId="18827" xr:uid="{00000000-0005-0000-0000-000054020000}"/>
    <cellStyle name="20% - Accent1 2 2 2 2 5 2" xfId="42659" xr:uid="{1705D161-0F13-446F-A40F-5FE494CFF470}"/>
    <cellStyle name="20% - Accent1 2 2 2 2 6" xfId="26779" xr:uid="{71E04CAF-8DBE-4C3E-8300-C7C42C66952F}"/>
    <cellStyle name="20% - Accent1 2 2 2 2_Exh G" xfId="1984" xr:uid="{00000000-0005-0000-0000-000055020000}"/>
    <cellStyle name="20% - Accent1 2 2 2 3" xfId="3725" xr:uid="{00000000-0005-0000-0000-000056020000}"/>
    <cellStyle name="20% - Accent1 2 2 2 3 2" xfId="7317" xr:uid="{00000000-0005-0000-0000-000057020000}"/>
    <cellStyle name="20% - Accent1 2 2 2 3 2 2" xfId="15288" xr:uid="{00000000-0005-0000-0000-000058020000}"/>
    <cellStyle name="20% - Accent1 2 2 2 3 2 2 2" xfId="39130" xr:uid="{640469E1-E3D8-4F8E-9226-DE771FCFA93C}"/>
    <cellStyle name="20% - Accent1 2 2 2 3 2 3" xfId="23234" xr:uid="{00000000-0005-0000-0000-000059020000}"/>
    <cellStyle name="20% - Accent1 2 2 2 3 2 3 2" xfId="47066" xr:uid="{778474DE-33D5-4BF5-9B03-26E0C0DF299A}"/>
    <cellStyle name="20% - Accent1 2 2 2 3 2 4" xfId="31189" xr:uid="{ACB6F1FD-A07C-40E8-830B-39EC8C65D92A}"/>
    <cellStyle name="20% - Accent1 2 2 2 3 3" xfId="11750" xr:uid="{00000000-0005-0000-0000-00005A020000}"/>
    <cellStyle name="20% - Accent1 2 2 2 3 3 2" xfId="35599" xr:uid="{9A11EDCA-09A9-4F15-B571-93827C14B9A3}"/>
    <cellStyle name="20% - Accent1 2 2 2 3 4" xfId="19705" xr:uid="{00000000-0005-0000-0000-00005B020000}"/>
    <cellStyle name="20% - Accent1 2 2 2 3 4 2" xfId="43537" xr:uid="{9873450A-74E6-4EA0-A417-592CD13F78D8}"/>
    <cellStyle name="20% - Accent1 2 2 2 3 5" xfId="27658" xr:uid="{81AB8952-BF4E-49F4-B5EB-6B82A4BD4FA6}"/>
    <cellStyle name="20% - Accent1 2 2 2 4" xfId="5545" xr:uid="{00000000-0005-0000-0000-00005C020000}"/>
    <cellStyle name="20% - Accent1 2 2 2 4 2" xfId="13529" xr:uid="{00000000-0005-0000-0000-00005D020000}"/>
    <cellStyle name="20% - Accent1 2 2 2 4 2 2" xfId="37372" xr:uid="{92C61999-4654-41B9-8C38-58B66D4622E2}"/>
    <cellStyle name="20% - Accent1 2 2 2 4 3" xfId="21477" xr:uid="{00000000-0005-0000-0000-00005E020000}"/>
    <cellStyle name="20% - Accent1 2 2 2 4 3 2" xfId="45309" xr:uid="{AB26DDA3-BCA7-4C44-8A3E-A0A42117A04C}"/>
    <cellStyle name="20% - Accent1 2 2 2 4 4" xfId="29431" xr:uid="{E22098B4-1BF1-47F8-8B50-647FBF65D647}"/>
    <cellStyle name="20% - Accent1 2 2 2 5" xfId="9098" xr:uid="{00000000-0005-0000-0000-00005F020000}"/>
    <cellStyle name="20% - Accent1 2 2 2 5 2" xfId="17056" xr:uid="{00000000-0005-0000-0000-000060020000}"/>
    <cellStyle name="20% - Accent1 2 2 2 5 2 2" xfId="40896" xr:uid="{B3FAADC5-14B4-40D5-B532-E4ECF22872A7}"/>
    <cellStyle name="20% - Accent1 2 2 2 5 3" xfId="25000" xr:uid="{00000000-0005-0000-0000-000061020000}"/>
    <cellStyle name="20% - Accent1 2 2 2 5 3 2" xfId="48832" xr:uid="{EB87E675-6E6A-4211-85CC-077CDE8A7466}"/>
    <cellStyle name="20% - Accent1 2 2 2 5 4" xfId="32955" xr:uid="{810CDA2B-CD33-4890-95E4-DA86F1A58E89}"/>
    <cellStyle name="20% - Accent1 2 2 2 6" xfId="9994" xr:uid="{00000000-0005-0000-0000-000062020000}"/>
    <cellStyle name="20% - Accent1 2 2 2 6 2" xfId="33843" xr:uid="{CB900341-D4A9-49FB-900E-2BB35F73C5AB}"/>
    <cellStyle name="20% - Accent1 2 2 2 7" xfId="17949" xr:uid="{00000000-0005-0000-0000-000063020000}"/>
    <cellStyle name="20% - Accent1 2 2 2 7 2" xfId="41781" xr:uid="{5BB59EDA-ABDB-430A-A57F-AD380684EE85}"/>
    <cellStyle name="20% - Accent1 2 2 2 8" xfId="25901" xr:uid="{471FB39E-7136-4C6D-B311-9FACA6AC9C9C}"/>
    <cellStyle name="20% - Accent1 2 2 2_Exh G" xfId="1983" xr:uid="{00000000-0005-0000-0000-000064020000}"/>
    <cellStyle name="20% - Accent1 2 2 3" xfId="864" xr:uid="{00000000-0005-0000-0000-000065020000}"/>
    <cellStyle name="20% - Accent1 2 2 3 2" xfId="1800" xr:uid="{00000000-0005-0000-0000-000066020000}"/>
    <cellStyle name="20% - Accent1 2 2 3 2 2" xfId="5318" xr:uid="{00000000-0005-0000-0000-000067020000}"/>
    <cellStyle name="20% - Accent1 2 2 3 2 2 2" xfId="8909" xr:uid="{00000000-0005-0000-0000-000068020000}"/>
    <cellStyle name="20% - Accent1 2 2 3 2 2 2 2" xfId="16880" xr:uid="{00000000-0005-0000-0000-000069020000}"/>
    <cellStyle name="20% - Accent1 2 2 3 2 2 2 2 2" xfId="40722" xr:uid="{F4C9C23A-1A5B-4229-9AEA-70F4F6AE046E}"/>
    <cellStyle name="20% - Accent1 2 2 3 2 2 2 3" xfId="24826" xr:uid="{00000000-0005-0000-0000-00006A020000}"/>
    <cellStyle name="20% - Accent1 2 2 3 2 2 2 3 2" xfId="48658" xr:uid="{5C83A77D-49F3-47C6-8E92-12428105BE59}"/>
    <cellStyle name="20% - Accent1 2 2 3 2 2 2 4" xfId="32781" xr:uid="{1DF26FE2-326C-4219-B617-3ADC9D2CFA9F}"/>
    <cellStyle name="20% - Accent1 2 2 3 2 2 3" xfId="13342" xr:uid="{00000000-0005-0000-0000-00006B020000}"/>
    <cellStyle name="20% - Accent1 2 2 3 2 2 3 2" xfId="37191" xr:uid="{87F09399-C860-4A41-B0C4-8E1674BE9B57}"/>
    <cellStyle name="20% - Accent1 2 2 3 2 2 4" xfId="21297" xr:uid="{00000000-0005-0000-0000-00006C020000}"/>
    <cellStyle name="20% - Accent1 2 2 3 2 2 4 2" xfId="45129" xr:uid="{916C2E8F-2C0C-4E80-8AD1-BF020572A66B}"/>
    <cellStyle name="20% - Accent1 2 2 3 2 2 5" xfId="29250" xr:uid="{3B31136F-CFB0-475C-8EEC-8620203E9CFE}"/>
    <cellStyle name="20% - Accent1 2 2 3 2 3" xfId="7150" xr:uid="{00000000-0005-0000-0000-00006D020000}"/>
    <cellStyle name="20% - Accent1 2 2 3 2 3 2" xfId="15122" xr:uid="{00000000-0005-0000-0000-00006E020000}"/>
    <cellStyle name="20% - Accent1 2 2 3 2 3 2 2" xfId="38964" xr:uid="{CEDFFB8F-46C6-4EC4-B6B2-A5DA8A01682F}"/>
    <cellStyle name="20% - Accent1 2 2 3 2 3 3" xfId="23069" xr:uid="{00000000-0005-0000-0000-00006F020000}"/>
    <cellStyle name="20% - Accent1 2 2 3 2 3 3 2" xfId="46901" xr:uid="{F52CB931-F58E-4982-9131-FEC500F9A340}"/>
    <cellStyle name="20% - Accent1 2 2 3 2 3 4" xfId="31023" xr:uid="{C3421BAF-AEEB-4EF8-9E28-3E24A2E4BB07}"/>
    <cellStyle name="20% - Accent1 2 2 3 2 4" xfId="11586" xr:uid="{00000000-0005-0000-0000-000070020000}"/>
    <cellStyle name="20% - Accent1 2 2 3 2 4 2" xfId="35435" xr:uid="{C996AEA1-D842-44AB-9FE6-A8BF02E55C1A}"/>
    <cellStyle name="20% - Accent1 2 2 3 2 5" xfId="19541" xr:uid="{00000000-0005-0000-0000-000071020000}"/>
    <cellStyle name="20% - Accent1 2 2 3 2 5 2" xfId="43373" xr:uid="{F06514B5-1013-4B3B-A7BA-5CE5D916579F}"/>
    <cellStyle name="20% - Accent1 2 2 3 2 6" xfId="27493" xr:uid="{B9A73804-45E3-46FB-8376-2DA91ECD5437}"/>
    <cellStyle name="20% - Accent1 2 2 3 2_Exh G" xfId="1986" xr:uid="{00000000-0005-0000-0000-000072020000}"/>
    <cellStyle name="20% - Accent1 2 2 3 3" xfId="4439" xr:uid="{00000000-0005-0000-0000-000073020000}"/>
    <cellStyle name="20% - Accent1 2 2 3 3 2" xfId="8031" xr:uid="{00000000-0005-0000-0000-000074020000}"/>
    <cellStyle name="20% - Accent1 2 2 3 3 2 2" xfId="16002" xr:uid="{00000000-0005-0000-0000-000075020000}"/>
    <cellStyle name="20% - Accent1 2 2 3 3 2 2 2" xfId="39844" xr:uid="{0615C7D8-C6E8-4C7C-9C7C-2D8A67FC6E72}"/>
    <cellStyle name="20% - Accent1 2 2 3 3 2 3" xfId="23948" xr:uid="{00000000-0005-0000-0000-000076020000}"/>
    <cellStyle name="20% - Accent1 2 2 3 3 2 3 2" xfId="47780" xr:uid="{BDFFAF9D-DA86-43DD-8371-8C33D1769AC0}"/>
    <cellStyle name="20% - Accent1 2 2 3 3 2 4" xfId="31903" xr:uid="{C55BB0E8-75D5-4A3C-BD5E-1A2C5E393AF0}"/>
    <cellStyle name="20% - Accent1 2 2 3 3 3" xfId="12464" xr:uid="{00000000-0005-0000-0000-000077020000}"/>
    <cellStyle name="20% - Accent1 2 2 3 3 3 2" xfId="36313" xr:uid="{6FB0B7CF-72B1-4210-893F-C2F0814F1830}"/>
    <cellStyle name="20% - Accent1 2 2 3 3 4" xfId="20419" xr:uid="{00000000-0005-0000-0000-000078020000}"/>
    <cellStyle name="20% - Accent1 2 2 3 3 4 2" xfId="44251" xr:uid="{55A23472-A1F2-4A99-AE97-DA5142E3C55D}"/>
    <cellStyle name="20% - Accent1 2 2 3 3 5" xfId="28372" xr:uid="{7BF4E506-24BD-4CE4-A3B4-0AF733951881}"/>
    <cellStyle name="20% - Accent1 2 2 3 4" xfId="6269" xr:uid="{00000000-0005-0000-0000-000079020000}"/>
    <cellStyle name="20% - Accent1 2 2 3 4 2" xfId="14244" xr:uid="{00000000-0005-0000-0000-00007A020000}"/>
    <cellStyle name="20% - Accent1 2 2 3 4 2 2" xfId="38086" xr:uid="{94B03627-6184-46C1-8D3F-79E039230C68}"/>
    <cellStyle name="20% - Accent1 2 2 3 4 3" xfId="22191" xr:uid="{00000000-0005-0000-0000-00007B020000}"/>
    <cellStyle name="20% - Accent1 2 2 3 4 3 2" xfId="46023" xr:uid="{9CC9A2A4-3D31-4F79-AD44-BDA0F25A0323}"/>
    <cellStyle name="20% - Accent1 2 2 3 4 4" xfId="30145" xr:uid="{4198BAD2-9A02-40D3-8BD6-261878E135DA}"/>
    <cellStyle name="20% - Accent1 2 2 3 5" xfId="9812" xr:uid="{00000000-0005-0000-0000-00007C020000}"/>
    <cellStyle name="20% - Accent1 2 2 3 5 2" xfId="17770" xr:uid="{00000000-0005-0000-0000-00007D020000}"/>
    <cellStyle name="20% - Accent1 2 2 3 5 2 2" xfId="41610" xr:uid="{D052C9B7-D65F-4730-B295-20DF08E277A2}"/>
    <cellStyle name="20% - Accent1 2 2 3 5 3" xfId="25714" xr:uid="{00000000-0005-0000-0000-00007E020000}"/>
    <cellStyle name="20% - Accent1 2 2 3 5 3 2" xfId="49546" xr:uid="{0595CB6B-63DF-4EB3-ABA0-34EE40813F2A}"/>
    <cellStyle name="20% - Accent1 2 2 3 5 4" xfId="33669" xr:uid="{2EAFAEAF-5DF3-4DDC-AA16-21AF10D97BBD}"/>
    <cellStyle name="20% - Accent1 2 2 3 6" xfId="10708" xr:uid="{00000000-0005-0000-0000-00007F020000}"/>
    <cellStyle name="20% - Accent1 2 2 3 6 2" xfId="34557" xr:uid="{35845E77-6A64-4BED-BAA7-B666634A3AE2}"/>
    <cellStyle name="20% - Accent1 2 2 3 7" xfId="18663" xr:uid="{00000000-0005-0000-0000-000080020000}"/>
    <cellStyle name="20% - Accent1 2 2 3 7 2" xfId="42495" xr:uid="{92AAA4D1-EB2B-45F7-8A72-9B253B12EACC}"/>
    <cellStyle name="20% - Accent1 2 2 3 8" xfId="26615" xr:uid="{E405425B-C469-4253-BA52-24466E0F8912}"/>
    <cellStyle name="20% - Accent1 2 2 3_Exh G" xfId="1985" xr:uid="{00000000-0005-0000-0000-000081020000}"/>
    <cellStyle name="20% - Accent1 2 2 4" xfId="1073" xr:uid="{00000000-0005-0000-0000-000082020000}"/>
    <cellStyle name="20% - Accent1 2 2 4 2" xfId="4603" xr:uid="{00000000-0005-0000-0000-000083020000}"/>
    <cellStyle name="20% - Accent1 2 2 4 2 2" xfId="8194" xr:uid="{00000000-0005-0000-0000-000084020000}"/>
    <cellStyle name="20% - Accent1 2 2 4 2 2 2" xfId="16165" xr:uid="{00000000-0005-0000-0000-000085020000}"/>
    <cellStyle name="20% - Accent1 2 2 4 2 2 2 2" xfId="40007" xr:uid="{22C69A89-0DC3-4603-9773-F2F9A973DBF0}"/>
    <cellStyle name="20% - Accent1 2 2 4 2 2 3" xfId="24111" xr:uid="{00000000-0005-0000-0000-000086020000}"/>
    <cellStyle name="20% - Accent1 2 2 4 2 2 3 2" xfId="47943" xr:uid="{2C2B932B-8A06-462D-A138-72640E22AD2D}"/>
    <cellStyle name="20% - Accent1 2 2 4 2 2 4" xfId="32066" xr:uid="{E3FA3D25-FDDF-4452-A46A-71F55D88AEA0}"/>
    <cellStyle name="20% - Accent1 2 2 4 2 3" xfId="12627" xr:uid="{00000000-0005-0000-0000-000087020000}"/>
    <cellStyle name="20% - Accent1 2 2 4 2 3 2" xfId="36476" xr:uid="{2D80276F-9810-406C-82B8-76EA017F62F9}"/>
    <cellStyle name="20% - Accent1 2 2 4 2 4" xfId="20582" xr:uid="{00000000-0005-0000-0000-000088020000}"/>
    <cellStyle name="20% - Accent1 2 2 4 2 4 2" xfId="44414" xr:uid="{69E7CEAE-AF2B-4A93-A7B4-60809DD97F34}"/>
    <cellStyle name="20% - Accent1 2 2 4 2 5" xfId="28535" xr:uid="{33F12CE8-FAF6-47C7-B47A-CB3340D071F5}"/>
    <cellStyle name="20% - Accent1 2 2 4 3" xfId="6435" xr:uid="{00000000-0005-0000-0000-000089020000}"/>
    <cellStyle name="20% - Accent1 2 2 4 3 2" xfId="14407" xr:uid="{00000000-0005-0000-0000-00008A020000}"/>
    <cellStyle name="20% - Accent1 2 2 4 3 2 2" xfId="38249" xr:uid="{E6D25903-EA6E-4F4C-92A6-34B8DE6ED900}"/>
    <cellStyle name="20% - Accent1 2 2 4 3 3" xfId="22354" xr:uid="{00000000-0005-0000-0000-00008B020000}"/>
    <cellStyle name="20% - Accent1 2 2 4 3 3 2" xfId="46186" xr:uid="{EDEBD2DA-6F5F-4AAC-872F-BF9EC92E1892}"/>
    <cellStyle name="20% - Accent1 2 2 4 3 4" xfId="30308" xr:uid="{42BBE778-2D67-43F0-BF07-1B9932CE5C69}"/>
    <cellStyle name="20% - Accent1 2 2 4 4" xfId="10871" xr:uid="{00000000-0005-0000-0000-00008C020000}"/>
    <cellStyle name="20% - Accent1 2 2 4 4 2" xfId="34720" xr:uid="{A376D356-80A5-4466-A279-F1B46B03D336}"/>
    <cellStyle name="20% - Accent1 2 2 4 5" xfId="18826" xr:uid="{00000000-0005-0000-0000-00008D020000}"/>
    <cellStyle name="20% - Accent1 2 2 4 5 2" xfId="42658" xr:uid="{2F2DB540-62DF-4537-B060-062971D7AD2E}"/>
    <cellStyle name="20% - Accent1 2 2 4 6" xfId="26778" xr:uid="{818C7D91-F61A-424A-AEDD-D5A7C5D44DB4}"/>
    <cellStyle name="20% - Accent1 2 2 4_Exh G" xfId="1987" xr:uid="{00000000-0005-0000-0000-00008E020000}"/>
    <cellStyle name="20% - Accent1 2 2 5" xfId="3724" xr:uid="{00000000-0005-0000-0000-00008F020000}"/>
    <cellStyle name="20% - Accent1 2 2 5 2" xfId="7316" xr:uid="{00000000-0005-0000-0000-000090020000}"/>
    <cellStyle name="20% - Accent1 2 2 5 2 2" xfId="15287" xr:uid="{00000000-0005-0000-0000-000091020000}"/>
    <cellStyle name="20% - Accent1 2 2 5 2 2 2" xfId="39129" xr:uid="{15B4D57B-9C4A-4CAF-9E6A-1B5025D678C9}"/>
    <cellStyle name="20% - Accent1 2 2 5 2 3" xfId="23233" xr:uid="{00000000-0005-0000-0000-000092020000}"/>
    <cellStyle name="20% - Accent1 2 2 5 2 3 2" xfId="47065" xr:uid="{20450E56-E7DD-451D-A0B0-EA07DC99567D}"/>
    <cellStyle name="20% - Accent1 2 2 5 2 4" xfId="31188" xr:uid="{4A261871-B02F-4D7F-99D6-5711A621020C}"/>
    <cellStyle name="20% - Accent1 2 2 5 3" xfId="11749" xr:uid="{00000000-0005-0000-0000-000093020000}"/>
    <cellStyle name="20% - Accent1 2 2 5 3 2" xfId="35598" xr:uid="{7037EBB8-8AE7-441A-B844-3B558FD73017}"/>
    <cellStyle name="20% - Accent1 2 2 5 4" xfId="19704" xr:uid="{00000000-0005-0000-0000-000094020000}"/>
    <cellStyle name="20% - Accent1 2 2 5 4 2" xfId="43536" xr:uid="{F7E608CD-09B1-46E1-8E99-A5A8BF58AD79}"/>
    <cellStyle name="20% - Accent1 2 2 5 5" xfId="27657" xr:uid="{B84E62D3-D50C-4C74-BB25-58D9A00DD9F7}"/>
    <cellStyle name="20% - Accent1 2 2 6" xfId="5544" xr:uid="{00000000-0005-0000-0000-000095020000}"/>
    <cellStyle name="20% - Accent1 2 2 6 2" xfId="13528" xr:uid="{00000000-0005-0000-0000-000096020000}"/>
    <cellStyle name="20% - Accent1 2 2 6 2 2" xfId="37371" xr:uid="{7F0EA88D-84EC-41E4-90A4-C6E5989D069C}"/>
    <cellStyle name="20% - Accent1 2 2 6 3" xfId="21476" xr:uid="{00000000-0005-0000-0000-000097020000}"/>
    <cellStyle name="20% - Accent1 2 2 6 3 2" xfId="45308" xr:uid="{8EDE4D3D-3C9A-440E-9901-0A6C3091879F}"/>
    <cellStyle name="20% - Accent1 2 2 6 4" xfId="29430" xr:uid="{481077E8-6F2E-48EF-B127-8F819A96A065}"/>
    <cellStyle name="20% - Accent1 2 2 7" xfId="9097" xr:uid="{00000000-0005-0000-0000-000098020000}"/>
    <cellStyle name="20% - Accent1 2 2 7 2" xfId="17055" xr:uid="{00000000-0005-0000-0000-000099020000}"/>
    <cellStyle name="20% - Accent1 2 2 7 2 2" xfId="40895" xr:uid="{A6FDD678-6B19-40AA-84E1-A22A45CF0FC5}"/>
    <cellStyle name="20% - Accent1 2 2 7 3" xfId="24999" xr:uid="{00000000-0005-0000-0000-00009A020000}"/>
    <cellStyle name="20% - Accent1 2 2 7 3 2" xfId="48831" xr:uid="{631052CF-E2E7-499A-A58D-81BF4A3D4A5E}"/>
    <cellStyle name="20% - Accent1 2 2 7 4" xfId="32954" xr:uid="{4A48308B-BA87-4BB2-A5F1-EDA488140093}"/>
    <cellStyle name="20% - Accent1 2 2 8" xfId="9993" xr:uid="{00000000-0005-0000-0000-00009B020000}"/>
    <cellStyle name="20% - Accent1 2 2 8 2" xfId="33842" xr:uid="{5892DE27-472D-4EC2-94AF-4ECEA0046D4B}"/>
    <cellStyle name="20% - Accent1 2 2 9" xfId="17948" xr:uid="{00000000-0005-0000-0000-00009C020000}"/>
    <cellStyle name="20% - Accent1 2 2 9 2" xfId="41780" xr:uid="{2782596F-474F-45F2-BACF-4239183FB443}"/>
    <cellStyle name="20% - Accent1 2 2_Exh G" xfId="1982" xr:uid="{00000000-0005-0000-0000-00009D020000}"/>
    <cellStyle name="20% - Accent1 2 3" xfId="47" xr:uid="{00000000-0005-0000-0000-00009E020000}"/>
    <cellStyle name="20% - Accent1 2 3 2" xfId="1075" xr:uid="{00000000-0005-0000-0000-00009F020000}"/>
    <cellStyle name="20% - Accent1 2 3 2 2" xfId="4605" xr:uid="{00000000-0005-0000-0000-0000A0020000}"/>
    <cellStyle name="20% - Accent1 2 3 2 2 2" xfId="8196" xr:uid="{00000000-0005-0000-0000-0000A1020000}"/>
    <cellStyle name="20% - Accent1 2 3 2 2 2 2" xfId="16167" xr:uid="{00000000-0005-0000-0000-0000A2020000}"/>
    <cellStyle name="20% - Accent1 2 3 2 2 2 2 2" xfId="40009" xr:uid="{BA245A86-4AC0-46CC-A7CD-3A1C477D0F5A}"/>
    <cellStyle name="20% - Accent1 2 3 2 2 2 3" xfId="24113" xr:uid="{00000000-0005-0000-0000-0000A3020000}"/>
    <cellStyle name="20% - Accent1 2 3 2 2 2 3 2" xfId="47945" xr:uid="{A3B37C28-0EAD-4CFF-9C80-25F3B7C6C862}"/>
    <cellStyle name="20% - Accent1 2 3 2 2 2 4" xfId="32068" xr:uid="{2D262A3A-466A-4A0A-8625-A8306736105D}"/>
    <cellStyle name="20% - Accent1 2 3 2 2 3" xfId="12629" xr:uid="{00000000-0005-0000-0000-0000A4020000}"/>
    <cellStyle name="20% - Accent1 2 3 2 2 3 2" xfId="36478" xr:uid="{0026FE54-D2BE-4FFB-802A-4D1F0DC07E65}"/>
    <cellStyle name="20% - Accent1 2 3 2 2 4" xfId="20584" xr:uid="{00000000-0005-0000-0000-0000A5020000}"/>
    <cellStyle name="20% - Accent1 2 3 2 2 4 2" xfId="44416" xr:uid="{2549491A-09F0-47E8-B2AE-A862243B18C3}"/>
    <cellStyle name="20% - Accent1 2 3 2 2 5" xfId="28537" xr:uid="{95895334-E061-44A8-8F7C-9D68D5DBAF10}"/>
    <cellStyle name="20% - Accent1 2 3 2 3" xfId="6437" xr:uid="{00000000-0005-0000-0000-0000A6020000}"/>
    <cellStyle name="20% - Accent1 2 3 2 3 2" xfId="14409" xr:uid="{00000000-0005-0000-0000-0000A7020000}"/>
    <cellStyle name="20% - Accent1 2 3 2 3 2 2" xfId="38251" xr:uid="{9EADF9EE-EF9A-4E49-9B0A-A3C4F78528E6}"/>
    <cellStyle name="20% - Accent1 2 3 2 3 3" xfId="22356" xr:uid="{00000000-0005-0000-0000-0000A8020000}"/>
    <cellStyle name="20% - Accent1 2 3 2 3 3 2" xfId="46188" xr:uid="{1A56D0B0-2E9C-41B6-853F-BD9AF9503711}"/>
    <cellStyle name="20% - Accent1 2 3 2 3 4" xfId="30310" xr:uid="{D2B762C2-F8EB-4CA0-BEF5-1719373AFC12}"/>
    <cellStyle name="20% - Accent1 2 3 2 4" xfId="10873" xr:uid="{00000000-0005-0000-0000-0000A9020000}"/>
    <cellStyle name="20% - Accent1 2 3 2 4 2" xfId="34722" xr:uid="{999DA8ED-8EA4-4E83-ADAD-EA53C47E27DA}"/>
    <cellStyle name="20% - Accent1 2 3 2 5" xfId="18828" xr:uid="{00000000-0005-0000-0000-0000AA020000}"/>
    <cellStyle name="20% - Accent1 2 3 2 5 2" xfId="42660" xr:uid="{B7DC34B2-83C9-4C77-95C4-E23713407B66}"/>
    <cellStyle name="20% - Accent1 2 3 2 6" xfId="26780" xr:uid="{44EF94E2-3AF6-4662-BD47-5E70C9423917}"/>
    <cellStyle name="20% - Accent1 2 3 2_Exh G" xfId="1989" xr:uid="{00000000-0005-0000-0000-0000AB020000}"/>
    <cellStyle name="20% - Accent1 2 3 3" xfId="3726" xr:uid="{00000000-0005-0000-0000-0000AC020000}"/>
    <cellStyle name="20% - Accent1 2 3 3 2" xfId="7318" xr:uid="{00000000-0005-0000-0000-0000AD020000}"/>
    <cellStyle name="20% - Accent1 2 3 3 2 2" xfId="15289" xr:uid="{00000000-0005-0000-0000-0000AE020000}"/>
    <cellStyle name="20% - Accent1 2 3 3 2 2 2" xfId="39131" xr:uid="{3DE7C923-2D58-4950-A072-7B7822C06699}"/>
    <cellStyle name="20% - Accent1 2 3 3 2 3" xfId="23235" xr:uid="{00000000-0005-0000-0000-0000AF020000}"/>
    <cellStyle name="20% - Accent1 2 3 3 2 3 2" xfId="47067" xr:uid="{7AB07568-D398-48FE-B5F3-E5BD7387F369}"/>
    <cellStyle name="20% - Accent1 2 3 3 2 4" xfId="31190" xr:uid="{B5FAC521-EF8B-41F9-8B16-F73EA227D7B7}"/>
    <cellStyle name="20% - Accent1 2 3 3 3" xfId="11751" xr:uid="{00000000-0005-0000-0000-0000B0020000}"/>
    <cellStyle name="20% - Accent1 2 3 3 3 2" xfId="35600" xr:uid="{E610BCC7-14F7-4CB6-9D56-586F7B7DEA48}"/>
    <cellStyle name="20% - Accent1 2 3 3 4" xfId="19706" xr:uid="{00000000-0005-0000-0000-0000B1020000}"/>
    <cellStyle name="20% - Accent1 2 3 3 4 2" xfId="43538" xr:uid="{18D3281A-D0B6-47FD-884E-A489A2FEB265}"/>
    <cellStyle name="20% - Accent1 2 3 3 5" xfId="27659" xr:uid="{8B05ECA6-81CD-468F-8629-EE5CBD2B89AA}"/>
    <cellStyle name="20% - Accent1 2 3 4" xfId="5546" xr:uid="{00000000-0005-0000-0000-0000B2020000}"/>
    <cellStyle name="20% - Accent1 2 3 4 2" xfId="13530" xr:uid="{00000000-0005-0000-0000-0000B3020000}"/>
    <cellStyle name="20% - Accent1 2 3 4 2 2" xfId="37373" xr:uid="{CB8CCD43-EEFD-431A-993F-6EB593EF6A77}"/>
    <cellStyle name="20% - Accent1 2 3 4 3" xfId="21478" xr:uid="{00000000-0005-0000-0000-0000B4020000}"/>
    <cellStyle name="20% - Accent1 2 3 4 3 2" xfId="45310" xr:uid="{4A178F7D-186D-491B-9D39-0ABBD8124DDC}"/>
    <cellStyle name="20% - Accent1 2 3 4 4" xfId="29432" xr:uid="{C8735762-FC33-4E5B-BB9E-E6A106C9F28B}"/>
    <cellStyle name="20% - Accent1 2 3 5" xfId="9099" xr:uid="{00000000-0005-0000-0000-0000B5020000}"/>
    <cellStyle name="20% - Accent1 2 3 5 2" xfId="17057" xr:uid="{00000000-0005-0000-0000-0000B6020000}"/>
    <cellStyle name="20% - Accent1 2 3 5 2 2" xfId="40897" xr:uid="{03108B5C-A292-435E-BA33-7E7E148DC0C6}"/>
    <cellStyle name="20% - Accent1 2 3 5 3" xfId="25001" xr:uid="{00000000-0005-0000-0000-0000B7020000}"/>
    <cellStyle name="20% - Accent1 2 3 5 3 2" xfId="48833" xr:uid="{26C773B8-BBA1-48A2-9935-7E654779554D}"/>
    <cellStyle name="20% - Accent1 2 3 5 4" xfId="32956" xr:uid="{3D819E9E-00AC-4B00-A348-DCFE0B5F3F33}"/>
    <cellStyle name="20% - Accent1 2 3 6" xfId="9995" xr:uid="{00000000-0005-0000-0000-0000B8020000}"/>
    <cellStyle name="20% - Accent1 2 3 6 2" xfId="33844" xr:uid="{14CAF471-A079-4C26-84DD-AFD6969EF922}"/>
    <cellStyle name="20% - Accent1 2 3 7" xfId="17950" xr:uid="{00000000-0005-0000-0000-0000B9020000}"/>
    <cellStyle name="20% - Accent1 2 3 7 2" xfId="41782" xr:uid="{CF14FDE7-28A9-4314-96EF-A64FB78B6078}"/>
    <cellStyle name="20% - Accent1 2 3 8" xfId="25902" xr:uid="{6E002C5F-3EF9-4D4E-A6F2-F5700F4F1CDC}"/>
    <cellStyle name="20% - Accent1 2 3_Exh G" xfId="1988" xr:uid="{00000000-0005-0000-0000-0000BA020000}"/>
    <cellStyle name="20% - Accent1 2 4" xfId="863" xr:uid="{00000000-0005-0000-0000-0000BB020000}"/>
    <cellStyle name="20% - Accent1 2 4 2" xfId="1799" xr:uid="{00000000-0005-0000-0000-0000BC020000}"/>
    <cellStyle name="20% - Accent1 2 4 2 2" xfId="5317" xr:uid="{00000000-0005-0000-0000-0000BD020000}"/>
    <cellStyle name="20% - Accent1 2 4 2 2 2" xfId="8908" xr:uid="{00000000-0005-0000-0000-0000BE020000}"/>
    <cellStyle name="20% - Accent1 2 4 2 2 2 2" xfId="16879" xr:uid="{00000000-0005-0000-0000-0000BF020000}"/>
    <cellStyle name="20% - Accent1 2 4 2 2 2 2 2" xfId="40721" xr:uid="{33C3AB96-3509-40FF-BEB9-A19A1C433C27}"/>
    <cellStyle name="20% - Accent1 2 4 2 2 2 3" xfId="24825" xr:uid="{00000000-0005-0000-0000-0000C0020000}"/>
    <cellStyle name="20% - Accent1 2 4 2 2 2 3 2" xfId="48657" xr:uid="{778B0082-770B-4E0F-8A9E-6BB66BB06BE6}"/>
    <cellStyle name="20% - Accent1 2 4 2 2 2 4" xfId="32780" xr:uid="{20D6BDA8-74B3-4601-82F3-FB974ECC36C9}"/>
    <cellStyle name="20% - Accent1 2 4 2 2 3" xfId="13341" xr:uid="{00000000-0005-0000-0000-0000C1020000}"/>
    <cellStyle name="20% - Accent1 2 4 2 2 3 2" xfId="37190" xr:uid="{C0CD4829-CED1-4E2C-910F-EF85BDBB3DC9}"/>
    <cellStyle name="20% - Accent1 2 4 2 2 4" xfId="21296" xr:uid="{00000000-0005-0000-0000-0000C2020000}"/>
    <cellStyle name="20% - Accent1 2 4 2 2 4 2" xfId="45128" xr:uid="{EEB8D2A6-F1EF-49D5-A4AD-271E2A8FA451}"/>
    <cellStyle name="20% - Accent1 2 4 2 2 5" xfId="29249" xr:uid="{17CA2D3C-5F65-4957-9E1C-2D732172DDD3}"/>
    <cellStyle name="20% - Accent1 2 4 2 3" xfId="7149" xr:uid="{00000000-0005-0000-0000-0000C3020000}"/>
    <cellStyle name="20% - Accent1 2 4 2 3 2" xfId="15121" xr:uid="{00000000-0005-0000-0000-0000C4020000}"/>
    <cellStyle name="20% - Accent1 2 4 2 3 2 2" xfId="38963" xr:uid="{11BF2B0D-FDF5-49B5-9480-1968CF54EF4C}"/>
    <cellStyle name="20% - Accent1 2 4 2 3 3" xfId="23068" xr:uid="{00000000-0005-0000-0000-0000C5020000}"/>
    <cellStyle name="20% - Accent1 2 4 2 3 3 2" xfId="46900" xr:uid="{5F7AFB7E-9778-4076-BFF1-8D7B359B8D10}"/>
    <cellStyle name="20% - Accent1 2 4 2 3 4" xfId="31022" xr:uid="{BC0E4EE4-DF61-4265-BFF9-922A8C4217F5}"/>
    <cellStyle name="20% - Accent1 2 4 2 4" xfId="11585" xr:uid="{00000000-0005-0000-0000-0000C6020000}"/>
    <cellStyle name="20% - Accent1 2 4 2 4 2" xfId="35434" xr:uid="{8729A58D-AC98-4CF4-AE6D-96749EB904BF}"/>
    <cellStyle name="20% - Accent1 2 4 2 5" xfId="19540" xr:uid="{00000000-0005-0000-0000-0000C7020000}"/>
    <cellStyle name="20% - Accent1 2 4 2 5 2" xfId="43372" xr:uid="{E75214FF-91C6-4D2B-B7DF-E7343DACAE65}"/>
    <cellStyle name="20% - Accent1 2 4 2 6" xfId="27492" xr:uid="{FBD33532-6DCC-4EFC-BBCC-AAFDB25A7C06}"/>
    <cellStyle name="20% - Accent1 2 4 2_Exh G" xfId="1991" xr:uid="{00000000-0005-0000-0000-0000C8020000}"/>
    <cellStyle name="20% - Accent1 2 4 3" xfId="4438" xr:uid="{00000000-0005-0000-0000-0000C9020000}"/>
    <cellStyle name="20% - Accent1 2 4 3 2" xfId="8030" xr:uid="{00000000-0005-0000-0000-0000CA020000}"/>
    <cellStyle name="20% - Accent1 2 4 3 2 2" xfId="16001" xr:uid="{00000000-0005-0000-0000-0000CB020000}"/>
    <cellStyle name="20% - Accent1 2 4 3 2 2 2" xfId="39843" xr:uid="{278DDA07-6B16-420B-A1B3-67CC7D76C4E0}"/>
    <cellStyle name="20% - Accent1 2 4 3 2 3" xfId="23947" xr:uid="{00000000-0005-0000-0000-0000CC020000}"/>
    <cellStyle name="20% - Accent1 2 4 3 2 3 2" xfId="47779" xr:uid="{85A9A1E6-745C-4DA8-A97B-0B59C38D0F77}"/>
    <cellStyle name="20% - Accent1 2 4 3 2 4" xfId="31902" xr:uid="{E42BDF17-866E-4243-916B-D73C20A89EF2}"/>
    <cellStyle name="20% - Accent1 2 4 3 3" xfId="12463" xr:uid="{00000000-0005-0000-0000-0000CD020000}"/>
    <cellStyle name="20% - Accent1 2 4 3 3 2" xfId="36312" xr:uid="{5C931B25-3D80-48FB-A2DA-73825717362A}"/>
    <cellStyle name="20% - Accent1 2 4 3 4" xfId="20418" xr:uid="{00000000-0005-0000-0000-0000CE020000}"/>
    <cellStyle name="20% - Accent1 2 4 3 4 2" xfId="44250" xr:uid="{D0E51DDC-365B-4E8E-9D22-835E47270867}"/>
    <cellStyle name="20% - Accent1 2 4 3 5" xfId="28371" xr:uid="{A3FA1D4B-1E4F-42F2-95E6-9B81F163964E}"/>
    <cellStyle name="20% - Accent1 2 4 4" xfId="6268" xr:uid="{00000000-0005-0000-0000-0000CF020000}"/>
    <cellStyle name="20% - Accent1 2 4 4 2" xfId="14243" xr:uid="{00000000-0005-0000-0000-0000D0020000}"/>
    <cellStyle name="20% - Accent1 2 4 4 2 2" xfId="38085" xr:uid="{F29C027F-6F39-4B97-A6D7-D7CB9C349B3D}"/>
    <cellStyle name="20% - Accent1 2 4 4 3" xfId="22190" xr:uid="{00000000-0005-0000-0000-0000D1020000}"/>
    <cellStyle name="20% - Accent1 2 4 4 3 2" xfId="46022" xr:uid="{D7F3C2CF-53DA-497F-9497-9D05312FF6A9}"/>
    <cellStyle name="20% - Accent1 2 4 4 4" xfId="30144" xr:uid="{A2A50F1A-C270-4628-8B60-09C57CDA8E7B}"/>
    <cellStyle name="20% - Accent1 2 4 5" xfId="9811" xr:uid="{00000000-0005-0000-0000-0000D2020000}"/>
    <cellStyle name="20% - Accent1 2 4 5 2" xfId="17769" xr:uid="{00000000-0005-0000-0000-0000D3020000}"/>
    <cellStyle name="20% - Accent1 2 4 5 2 2" xfId="41609" xr:uid="{C445DF1E-670B-4933-9204-930D9D961DEC}"/>
    <cellStyle name="20% - Accent1 2 4 5 3" xfId="25713" xr:uid="{00000000-0005-0000-0000-0000D4020000}"/>
    <cellStyle name="20% - Accent1 2 4 5 3 2" xfId="49545" xr:uid="{53745085-0FCB-45A7-90C2-0D6EB7B17769}"/>
    <cellStyle name="20% - Accent1 2 4 5 4" xfId="33668" xr:uid="{2C5022A3-E2F9-4036-B7E2-4E82153D827C}"/>
    <cellStyle name="20% - Accent1 2 4 6" xfId="10707" xr:uid="{00000000-0005-0000-0000-0000D5020000}"/>
    <cellStyle name="20% - Accent1 2 4 6 2" xfId="34556" xr:uid="{8126EFF5-84A9-40D8-8084-E8A98A1B28E1}"/>
    <cellStyle name="20% - Accent1 2 4 7" xfId="18662" xr:uid="{00000000-0005-0000-0000-0000D6020000}"/>
    <cellStyle name="20% - Accent1 2 4 7 2" xfId="42494" xr:uid="{5BBBF56D-8BAC-4656-8D16-435EEC29BA5A}"/>
    <cellStyle name="20% - Accent1 2 4 8" xfId="26614" xr:uid="{5EEBB7FD-ABC9-467D-82A3-DD8452764A57}"/>
    <cellStyle name="20% - Accent1 2 4_Exh G" xfId="1990" xr:uid="{00000000-0005-0000-0000-0000D7020000}"/>
    <cellStyle name="20% - Accent1 2 5" xfId="1072" xr:uid="{00000000-0005-0000-0000-0000D8020000}"/>
    <cellStyle name="20% - Accent1 2 5 2" xfId="4602" xr:uid="{00000000-0005-0000-0000-0000D9020000}"/>
    <cellStyle name="20% - Accent1 2 5 2 2" xfId="8193" xr:uid="{00000000-0005-0000-0000-0000DA020000}"/>
    <cellStyle name="20% - Accent1 2 5 2 2 2" xfId="16164" xr:uid="{00000000-0005-0000-0000-0000DB020000}"/>
    <cellStyle name="20% - Accent1 2 5 2 2 2 2" xfId="40006" xr:uid="{39B74557-77FB-410C-84FE-0E3D50DBF8BD}"/>
    <cellStyle name="20% - Accent1 2 5 2 2 3" xfId="24110" xr:uid="{00000000-0005-0000-0000-0000DC020000}"/>
    <cellStyle name="20% - Accent1 2 5 2 2 3 2" xfId="47942" xr:uid="{DCAD052C-1481-4739-B70D-B2F54E110AEE}"/>
    <cellStyle name="20% - Accent1 2 5 2 2 4" xfId="32065" xr:uid="{0030D369-0B42-4C01-99FD-86F65961362D}"/>
    <cellStyle name="20% - Accent1 2 5 2 3" xfId="12626" xr:uid="{00000000-0005-0000-0000-0000DD020000}"/>
    <cellStyle name="20% - Accent1 2 5 2 3 2" xfId="36475" xr:uid="{1217F21F-C231-4B4F-9722-B3C0E2BB1484}"/>
    <cellStyle name="20% - Accent1 2 5 2 4" xfId="20581" xr:uid="{00000000-0005-0000-0000-0000DE020000}"/>
    <cellStyle name="20% - Accent1 2 5 2 4 2" xfId="44413" xr:uid="{7A04B83C-8C7C-48A1-84FC-92185428FF1B}"/>
    <cellStyle name="20% - Accent1 2 5 2 5" xfId="28534" xr:uid="{FD304F4B-74DD-4410-99EA-02D288976B33}"/>
    <cellStyle name="20% - Accent1 2 5 3" xfId="6434" xr:uid="{00000000-0005-0000-0000-0000DF020000}"/>
    <cellStyle name="20% - Accent1 2 5 3 2" xfId="14406" xr:uid="{00000000-0005-0000-0000-0000E0020000}"/>
    <cellStyle name="20% - Accent1 2 5 3 2 2" xfId="38248" xr:uid="{E6C23100-2B35-4D35-9040-5D91A2C787C3}"/>
    <cellStyle name="20% - Accent1 2 5 3 3" xfId="22353" xr:uid="{00000000-0005-0000-0000-0000E1020000}"/>
    <cellStyle name="20% - Accent1 2 5 3 3 2" xfId="46185" xr:uid="{5488F361-2421-407F-BE9A-9ECF8DDA8653}"/>
    <cellStyle name="20% - Accent1 2 5 3 4" xfId="30307" xr:uid="{6FC88290-1917-43EB-84C4-3985D7A307D4}"/>
    <cellStyle name="20% - Accent1 2 5 4" xfId="10870" xr:uid="{00000000-0005-0000-0000-0000E2020000}"/>
    <cellStyle name="20% - Accent1 2 5 4 2" xfId="34719" xr:uid="{505C7FA4-B8FA-432F-B45D-131B41BAE01C}"/>
    <cellStyle name="20% - Accent1 2 5 5" xfId="18825" xr:uid="{00000000-0005-0000-0000-0000E3020000}"/>
    <cellStyle name="20% - Accent1 2 5 5 2" xfId="42657" xr:uid="{A26401AE-36F9-4FD8-8157-F8CA0AD02053}"/>
    <cellStyle name="20% - Accent1 2 5 6" xfId="26777" xr:uid="{7B45C0F9-8BD5-424E-8FA3-58084867BCF1}"/>
    <cellStyle name="20% - Accent1 2 5_Exh G" xfId="1992" xr:uid="{00000000-0005-0000-0000-0000E4020000}"/>
    <cellStyle name="20% - Accent1 2 6" xfId="3723" xr:uid="{00000000-0005-0000-0000-0000E5020000}"/>
    <cellStyle name="20% - Accent1 2 6 2" xfId="7315" xr:uid="{00000000-0005-0000-0000-0000E6020000}"/>
    <cellStyle name="20% - Accent1 2 6 2 2" xfId="15286" xr:uid="{00000000-0005-0000-0000-0000E7020000}"/>
    <cellStyle name="20% - Accent1 2 6 2 2 2" xfId="39128" xr:uid="{9C201D7A-2C97-44C6-BF01-509AC654C8E6}"/>
    <cellStyle name="20% - Accent1 2 6 2 3" xfId="23232" xr:uid="{00000000-0005-0000-0000-0000E8020000}"/>
    <cellStyle name="20% - Accent1 2 6 2 3 2" xfId="47064" xr:uid="{1E68B599-8F0C-49D7-A958-36903E9B66A3}"/>
    <cellStyle name="20% - Accent1 2 6 2 4" xfId="31187" xr:uid="{6A45200E-813A-425B-8F8C-2B789A3AC849}"/>
    <cellStyle name="20% - Accent1 2 6 3" xfId="11748" xr:uid="{00000000-0005-0000-0000-0000E9020000}"/>
    <cellStyle name="20% - Accent1 2 6 3 2" xfId="35597" xr:uid="{E51E56B7-2A98-4C8E-92D5-8B1F8EA4B63E}"/>
    <cellStyle name="20% - Accent1 2 6 4" xfId="19703" xr:uid="{00000000-0005-0000-0000-0000EA020000}"/>
    <cellStyle name="20% - Accent1 2 6 4 2" xfId="43535" xr:uid="{27D4FF7A-E122-4DAC-B04D-8A2D740212F3}"/>
    <cellStyle name="20% - Accent1 2 6 5" xfId="27656" xr:uid="{1EBD0B7B-F1A2-482E-BB4B-796221A56C47}"/>
    <cellStyle name="20% - Accent1 2 7" xfId="5543" xr:uid="{00000000-0005-0000-0000-0000EB020000}"/>
    <cellStyle name="20% - Accent1 2 7 2" xfId="13527" xr:uid="{00000000-0005-0000-0000-0000EC020000}"/>
    <cellStyle name="20% - Accent1 2 7 2 2" xfId="37370" xr:uid="{5EC949F4-D716-442F-BE08-C2A61275D5D6}"/>
    <cellStyle name="20% - Accent1 2 7 3" xfId="21475" xr:uid="{00000000-0005-0000-0000-0000ED020000}"/>
    <cellStyle name="20% - Accent1 2 7 3 2" xfId="45307" xr:uid="{9D9C2156-B166-475D-AA86-54D0315AD337}"/>
    <cellStyle name="20% - Accent1 2 7 4" xfId="29429" xr:uid="{C3DBCD18-0D08-4175-9612-5F463E5F6F4C}"/>
    <cellStyle name="20% - Accent1 2 8" xfId="9096" xr:uid="{00000000-0005-0000-0000-0000EE020000}"/>
    <cellStyle name="20% - Accent1 2 8 2" xfId="17054" xr:uid="{00000000-0005-0000-0000-0000EF020000}"/>
    <cellStyle name="20% - Accent1 2 8 2 2" xfId="40894" xr:uid="{3C45378C-72A5-4056-AA9F-BEB633D5E816}"/>
    <cellStyle name="20% - Accent1 2 8 3" xfId="24998" xr:uid="{00000000-0005-0000-0000-0000F0020000}"/>
    <cellStyle name="20% - Accent1 2 8 3 2" xfId="48830" xr:uid="{D4EC156A-78EC-49CB-A3BC-2BCDC0C5CA5F}"/>
    <cellStyle name="20% - Accent1 2 8 4" xfId="32953" xr:uid="{CEEE65CC-02E3-4794-B251-5DFAF51BB848}"/>
    <cellStyle name="20% - Accent1 2 9" xfId="9992" xr:uid="{00000000-0005-0000-0000-0000F1020000}"/>
    <cellStyle name="20% - Accent1 2 9 2" xfId="33841" xr:uid="{9F195934-0532-4543-AB69-F08A109FD910}"/>
    <cellStyle name="20% - Accent1 2_Exh G" xfId="1981" xr:uid="{00000000-0005-0000-0000-0000F2020000}"/>
    <cellStyle name="20% - Accent1 3" xfId="48" xr:uid="{00000000-0005-0000-0000-0000F3020000}"/>
    <cellStyle name="20% - Accent1 3 10" xfId="17951" xr:uid="{00000000-0005-0000-0000-0000F4020000}"/>
    <cellStyle name="20% - Accent1 3 10 2" xfId="41783" xr:uid="{A056336D-DEAE-43E7-9C75-461FDDA21EBD}"/>
    <cellStyle name="20% - Accent1 3 11" xfId="25903" xr:uid="{6B4DABFA-604E-43F2-9801-294D85B086B5}"/>
    <cellStyle name="20% - Accent1 3 12" xfId="49765" xr:uid="{FB93CA43-A575-46C0-86E2-2B60FD799D0C}"/>
    <cellStyle name="20% - Accent1 3 13" xfId="49819" xr:uid="{F8B71A7A-8B90-450A-A611-30C9E3FA662B}"/>
    <cellStyle name="20% - Accent1 3 2" xfId="49" xr:uid="{00000000-0005-0000-0000-0000F5020000}"/>
    <cellStyle name="20% - Accent1 3 2 10" xfId="25904" xr:uid="{2CC8ABA4-2F93-44DF-B2CB-19723CBAF2A4}"/>
    <cellStyle name="20% - Accent1 3 2 2" xfId="50" xr:uid="{00000000-0005-0000-0000-0000F6020000}"/>
    <cellStyle name="20% - Accent1 3 2 2 2" xfId="1078" xr:uid="{00000000-0005-0000-0000-0000F7020000}"/>
    <cellStyle name="20% - Accent1 3 2 2 2 2" xfId="4608" xr:uid="{00000000-0005-0000-0000-0000F8020000}"/>
    <cellStyle name="20% - Accent1 3 2 2 2 2 2" xfId="8199" xr:uid="{00000000-0005-0000-0000-0000F9020000}"/>
    <cellStyle name="20% - Accent1 3 2 2 2 2 2 2" xfId="16170" xr:uid="{00000000-0005-0000-0000-0000FA020000}"/>
    <cellStyle name="20% - Accent1 3 2 2 2 2 2 2 2" xfId="40012" xr:uid="{DDF0B7EC-4FE2-4457-AB1C-A4E795AD744E}"/>
    <cellStyle name="20% - Accent1 3 2 2 2 2 2 3" xfId="24116" xr:uid="{00000000-0005-0000-0000-0000FB020000}"/>
    <cellStyle name="20% - Accent1 3 2 2 2 2 2 3 2" xfId="47948" xr:uid="{B39D1A32-EB31-4818-89BF-372A9F63F7C6}"/>
    <cellStyle name="20% - Accent1 3 2 2 2 2 2 4" xfId="32071" xr:uid="{736F6BD6-197D-43C0-9D5B-ED1AEFD17426}"/>
    <cellStyle name="20% - Accent1 3 2 2 2 2 3" xfId="12632" xr:uid="{00000000-0005-0000-0000-0000FC020000}"/>
    <cellStyle name="20% - Accent1 3 2 2 2 2 3 2" xfId="36481" xr:uid="{73E32DF7-B159-4395-955B-6B7E6DB51935}"/>
    <cellStyle name="20% - Accent1 3 2 2 2 2 4" xfId="20587" xr:uid="{00000000-0005-0000-0000-0000FD020000}"/>
    <cellStyle name="20% - Accent1 3 2 2 2 2 4 2" xfId="44419" xr:uid="{5CAF81A9-033B-48C2-BAC4-0C9CCA05E6D3}"/>
    <cellStyle name="20% - Accent1 3 2 2 2 2 5" xfId="28540" xr:uid="{B1D0646D-E4F9-4360-BEB3-EDD7E5F5888E}"/>
    <cellStyle name="20% - Accent1 3 2 2 2 3" xfId="6440" xr:uid="{00000000-0005-0000-0000-0000FE020000}"/>
    <cellStyle name="20% - Accent1 3 2 2 2 3 2" xfId="14412" xr:uid="{00000000-0005-0000-0000-0000FF020000}"/>
    <cellStyle name="20% - Accent1 3 2 2 2 3 2 2" xfId="38254" xr:uid="{7E754C21-95F8-4A03-8BEB-C2DCB1714E1C}"/>
    <cellStyle name="20% - Accent1 3 2 2 2 3 3" xfId="22359" xr:uid="{00000000-0005-0000-0000-000000030000}"/>
    <cellStyle name="20% - Accent1 3 2 2 2 3 3 2" xfId="46191" xr:uid="{4EEE3774-5653-4342-A93C-34686EAA43B6}"/>
    <cellStyle name="20% - Accent1 3 2 2 2 3 4" xfId="30313" xr:uid="{3837BECC-E830-4610-927C-DE9226F66027}"/>
    <cellStyle name="20% - Accent1 3 2 2 2 4" xfId="10876" xr:uid="{00000000-0005-0000-0000-000001030000}"/>
    <cellStyle name="20% - Accent1 3 2 2 2 4 2" xfId="34725" xr:uid="{1FE569FB-493B-4DFD-B920-801E7DE3D8D1}"/>
    <cellStyle name="20% - Accent1 3 2 2 2 5" xfId="18831" xr:uid="{00000000-0005-0000-0000-000002030000}"/>
    <cellStyle name="20% - Accent1 3 2 2 2 5 2" xfId="42663" xr:uid="{BA2E93B4-14E7-47CA-B46B-D76A3FBFA882}"/>
    <cellStyle name="20% - Accent1 3 2 2 2 6" xfId="26783" xr:uid="{6D131696-DA7F-43B9-BD05-9CF1CC6A3D8B}"/>
    <cellStyle name="20% - Accent1 3 2 2 2_Exh G" xfId="1996" xr:uid="{00000000-0005-0000-0000-000003030000}"/>
    <cellStyle name="20% - Accent1 3 2 2 3" xfId="3729" xr:uid="{00000000-0005-0000-0000-000004030000}"/>
    <cellStyle name="20% - Accent1 3 2 2 3 2" xfId="7321" xr:uid="{00000000-0005-0000-0000-000005030000}"/>
    <cellStyle name="20% - Accent1 3 2 2 3 2 2" xfId="15292" xr:uid="{00000000-0005-0000-0000-000006030000}"/>
    <cellStyle name="20% - Accent1 3 2 2 3 2 2 2" xfId="39134" xr:uid="{E72B5854-6866-4E65-89FC-664708ED5029}"/>
    <cellStyle name="20% - Accent1 3 2 2 3 2 3" xfId="23238" xr:uid="{00000000-0005-0000-0000-000007030000}"/>
    <cellStyle name="20% - Accent1 3 2 2 3 2 3 2" xfId="47070" xr:uid="{1C759FBC-32DC-4176-8CB4-6CBFC6587D64}"/>
    <cellStyle name="20% - Accent1 3 2 2 3 2 4" xfId="31193" xr:uid="{B50B04A8-0177-417E-93EC-DB8D692D3EA1}"/>
    <cellStyle name="20% - Accent1 3 2 2 3 3" xfId="11754" xr:uid="{00000000-0005-0000-0000-000008030000}"/>
    <cellStyle name="20% - Accent1 3 2 2 3 3 2" xfId="35603" xr:uid="{95ACA89E-753C-4536-8B9B-CD0E0A204AFA}"/>
    <cellStyle name="20% - Accent1 3 2 2 3 4" xfId="19709" xr:uid="{00000000-0005-0000-0000-000009030000}"/>
    <cellStyle name="20% - Accent1 3 2 2 3 4 2" xfId="43541" xr:uid="{6802160A-2E3E-4207-9CDA-5D71485B0317}"/>
    <cellStyle name="20% - Accent1 3 2 2 3 5" xfId="27662" xr:uid="{43D382DC-4FB5-4C6A-9814-4F16008CFCEA}"/>
    <cellStyle name="20% - Accent1 3 2 2 4" xfId="5549" xr:uid="{00000000-0005-0000-0000-00000A030000}"/>
    <cellStyle name="20% - Accent1 3 2 2 4 2" xfId="13533" xr:uid="{00000000-0005-0000-0000-00000B030000}"/>
    <cellStyle name="20% - Accent1 3 2 2 4 2 2" xfId="37376" xr:uid="{AFB332D3-C571-4A4E-B960-58E668215B8B}"/>
    <cellStyle name="20% - Accent1 3 2 2 4 3" xfId="21481" xr:uid="{00000000-0005-0000-0000-00000C030000}"/>
    <cellStyle name="20% - Accent1 3 2 2 4 3 2" xfId="45313" xr:uid="{F764FBE7-129E-4119-94FC-6ADB195FA2F3}"/>
    <cellStyle name="20% - Accent1 3 2 2 4 4" xfId="29435" xr:uid="{EF4CD56C-5440-4A8E-B1DE-DE4B4FC84E85}"/>
    <cellStyle name="20% - Accent1 3 2 2 5" xfId="9102" xr:uid="{00000000-0005-0000-0000-00000D030000}"/>
    <cellStyle name="20% - Accent1 3 2 2 5 2" xfId="17060" xr:uid="{00000000-0005-0000-0000-00000E030000}"/>
    <cellStyle name="20% - Accent1 3 2 2 5 2 2" xfId="40900" xr:uid="{0FB1C3BB-E1A9-463E-9D49-975787E17FB8}"/>
    <cellStyle name="20% - Accent1 3 2 2 5 3" xfId="25004" xr:uid="{00000000-0005-0000-0000-00000F030000}"/>
    <cellStyle name="20% - Accent1 3 2 2 5 3 2" xfId="48836" xr:uid="{DA2E88E2-8E2F-41BF-807C-D6B1D309F8B3}"/>
    <cellStyle name="20% - Accent1 3 2 2 5 4" xfId="32959" xr:uid="{7E8A5F91-0552-45CE-8175-1C1E27DF243E}"/>
    <cellStyle name="20% - Accent1 3 2 2 6" xfId="9998" xr:uid="{00000000-0005-0000-0000-000010030000}"/>
    <cellStyle name="20% - Accent1 3 2 2 6 2" xfId="33847" xr:uid="{F031D342-768B-49B8-8CC8-77D9316F9D4C}"/>
    <cellStyle name="20% - Accent1 3 2 2 7" xfId="17953" xr:uid="{00000000-0005-0000-0000-000011030000}"/>
    <cellStyle name="20% - Accent1 3 2 2 7 2" xfId="41785" xr:uid="{B9EE3C47-3B83-45D8-8A48-F86762E488F6}"/>
    <cellStyle name="20% - Accent1 3 2 2 8" xfId="25905" xr:uid="{40FF164E-749C-4C94-9EBA-C0E55A40346E}"/>
    <cellStyle name="20% - Accent1 3 2 2_Exh G" xfId="1995" xr:uid="{00000000-0005-0000-0000-000012030000}"/>
    <cellStyle name="20% - Accent1 3 2 3" xfId="866" xr:uid="{00000000-0005-0000-0000-000013030000}"/>
    <cellStyle name="20% - Accent1 3 2 3 2" xfId="1802" xr:uid="{00000000-0005-0000-0000-000014030000}"/>
    <cellStyle name="20% - Accent1 3 2 3 2 2" xfId="5320" xr:uid="{00000000-0005-0000-0000-000015030000}"/>
    <cellStyle name="20% - Accent1 3 2 3 2 2 2" xfId="8911" xr:uid="{00000000-0005-0000-0000-000016030000}"/>
    <cellStyle name="20% - Accent1 3 2 3 2 2 2 2" xfId="16882" xr:uid="{00000000-0005-0000-0000-000017030000}"/>
    <cellStyle name="20% - Accent1 3 2 3 2 2 2 2 2" xfId="40724" xr:uid="{67B1E185-5460-459D-86DF-62883779DD23}"/>
    <cellStyle name="20% - Accent1 3 2 3 2 2 2 3" xfId="24828" xr:uid="{00000000-0005-0000-0000-000018030000}"/>
    <cellStyle name="20% - Accent1 3 2 3 2 2 2 3 2" xfId="48660" xr:uid="{D8B2A5DC-D219-4B05-BD4E-8DA5A8622DED}"/>
    <cellStyle name="20% - Accent1 3 2 3 2 2 2 4" xfId="32783" xr:uid="{BDFF8876-DD1A-415D-8B2B-69DC6F6C5D2D}"/>
    <cellStyle name="20% - Accent1 3 2 3 2 2 3" xfId="13344" xr:uid="{00000000-0005-0000-0000-000019030000}"/>
    <cellStyle name="20% - Accent1 3 2 3 2 2 3 2" xfId="37193" xr:uid="{DCDE4EDE-64C2-4094-B2B9-DC72F05A718E}"/>
    <cellStyle name="20% - Accent1 3 2 3 2 2 4" xfId="21299" xr:uid="{00000000-0005-0000-0000-00001A030000}"/>
    <cellStyle name="20% - Accent1 3 2 3 2 2 4 2" xfId="45131" xr:uid="{03BF04AC-26D5-4299-8B59-040B5CC890A3}"/>
    <cellStyle name="20% - Accent1 3 2 3 2 2 5" xfId="29252" xr:uid="{F44CF2D9-260A-4D29-A670-05B8D3169DBB}"/>
    <cellStyle name="20% - Accent1 3 2 3 2 3" xfId="7152" xr:uid="{00000000-0005-0000-0000-00001B030000}"/>
    <cellStyle name="20% - Accent1 3 2 3 2 3 2" xfId="15124" xr:uid="{00000000-0005-0000-0000-00001C030000}"/>
    <cellStyle name="20% - Accent1 3 2 3 2 3 2 2" xfId="38966" xr:uid="{822EE2E8-4AEB-4AFE-8948-513DE7BAFA18}"/>
    <cellStyle name="20% - Accent1 3 2 3 2 3 3" xfId="23071" xr:uid="{00000000-0005-0000-0000-00001D030000}"/>
    <cellStyle name="20% - Accent1 3 2 3 2 3 3 2" xfId="46903" xr:uid="{626687C3-1394-4D5F-81FA-4B1E2D9D8FB6}"/>
    <cellStyle name="20% - Accent1 3 2 3 2 3 4" xfId="31025" xr:uid="{C1054553-15A1-4143-8549-890329A8AF9B}"/>
    <cellStyle name="20% - Accent1 3 2 3 2 4" xfId="11588" xr:uid="{00000000-0005-0000-0000-00001E030000}"/>
    <cellStyle name="20% - Accent1 3 2 3 2 4 2" xfId="35437" xr:uid="{2C3E7A88-BB3B-4244-A154-F1938AAEA76B}"/>
    <cellStyle name="20% - Accent1 3 2 3 2 5" xfId="19543" xr:uid="{00000000-0005-0000-0000-00001F030000}"/>
    <cellStyle name="20% - Accent1 3 2 3 2 5 2" xfId="43375" xr:uid="{D35F715B-E661-4F59-827A-BF321ED18A9B}"/>
    <cellStyle name="20% - Accent1 3 2 3 2 6" xfId="27495" xr:uid="{BD8E14C9-0996-4CD1-87EC-9BD7CBE11DE6}"/>
    <cellStyle name="20% - Accent1 3 2 3 2_Exh G" xfId="1998" xr:uid="{00000000-0005-0000-0000-000020030000}"/>
    <cellStyle name="20% - Accent1 3 2 3 3" xfId="4441" xr:uid="{00000000-0005-0000-0000-000021030000}"/>
    <cellStyle name="20% - Accent1 3 2 3 3 2" xfId="8033" xr:uid="{00000000-0005-0000-0000-000022030000}"/>
    <cellStyle name="20% - Accent1 3 2 3 3 2 2" xfId="16004" xr:uid="{00000000-0005-0000-0000-000023030000}"/>
    <cellStyle name="20% - Accent1 3 2 3 3 2 2 2" xfId="39846" xr:uid="{E21EAC8B-201F-4977-B9A4-CC9800AF4C48}"/>
    <cellStyle name="20% - Accent1 3 2 3 3 2 3" xfId="23950" xr:uid="{00000000-0005-0000-0000-000024030000}"/>
    <cellStyle name="20% - Accent1 3 2 3 3 2 3 2" xfId="47782" xr:uid="{9FAE633A-B04E-41E1-9604-A3A3AF0B7E16}"/>
    <cellStyle name="20% - Accent1 3 2 3 3 2 4" xfId="31905" xr:uid="{48CEEA84-5049-4E22-9457-81A91795970E}"/>
    <cellStyle name="20% - Accent1 3 2 3 3 3" xfId="12466" xr:uid="{00000000-0005-0000-0000-000025030000}"/>
    <cellStyle name="20% - Accent1 3 2 3 3 3 2" xfId="36315" xr:uid="{13A5C4A6-DF66-4C28-8E10-26CECC0C93F9}"/>
    <cellStyle name="20% - Accent1 3 2 3 3 4" xfId="20421" xr:uid="{00000000-0005-0000-0000-000026030000}"/>
    <cellStyle name="20% - Accent1 3 2 3 3 4 2" xfId="44253" xr:uid="{BC54DB91-1627-4EC6-B465-668FF69BAF27}"/>
    <cellStyle name="20% - Accent1 3 2 3 3 5" xfId="28374" xr:uid="{5D9A4122-FC6E-4ECC-9C33-7B00295B6350}"/>
    <cellStyle name="20% - Accent1 3 2 3 4" xfId="6271" xr:uid="{00000000-0005-0000-0000-000027030000}"/>
    <cellStyle name="20% - Accent1 3 2 3 4 2" xfId="14246" xr:uid="{00000000-0005-0000-0000-000028030000}"/>
    <cellStyle name="20% - Accent1 3 2 3 4 2 2" xfId="38088" xr:uid="{2E87B51F-15C1-4976-93CB-173D814DAC68}"/>
    <cellStyle name="20% - Accent1 3 2 3 4 3" xfId="22193" xr:uid="{00000000-0005-0000-0000-000029030000}"/>
    <cellStyle name="20% - Accent1 3 2 3 4 3 2" xfId="46025" xr:uid="{25CD438D-284D-46B1-AF7A-0E2A2641AF3B}"/>
    <cellStyle name="20% - Accent1 3 2 3 4 4" xfId="30147" xr:uid="{8C99B714-849B-4E85-BC70-717C0C67856C}"/>
    <cellStyle name="20% - Accent1 3 2 3 5" xfId="9814" xr:uid="{00000000-0005-0000-0000-00002A030000}"/>
    <cellStyle name="20% - Accent1 3 2 3 5 2" xfId="17772" xr:uid="{00000000-0005-0000-0000-00002B030000}"/>
    <cellStyle name="20% - Accent1 3 2 3 5 2 2" xfId="41612" xr:uid="{F17511E5-14EA-4BB3-BFB6-0244B104DAFD}"/>
    <cellStyle name="20% - Accent1 3 2 3 5 3" xfId="25716" xr:uid="{00000000-0005-0000-0000-00002C030000}"/>
    <cellStyle name="20% - Accent1 3 2 3 5 3 2" xfId="49548" xr:uid="{83F65EF5-BB24-4F26-89E9-36BAD404F0A1}"/>
    <cellStyle name="20% - Accent1 3 2 3 5 4" xfId="33671" xr:uid="{AFAD3F78-89E3-4E54-975E-FA988A76A392}"/>
    <cellStyle name="20% - Accent1 3 2 3 6" xfId="10710" xr:uid="{00000000-0005-0000-0000-00002D030000}"/>
    <cellStyle name="20% - Accent1 3 2 3 6 2" xfId="34559" xr:uid="{3BE68DEC-CEDF-4D07-95BB-6D5E564583B8}"/>
    <cellStyle name="20% - Accent1 3 2 3 7" xfId="18665" xr:uid="{00000000-0005-0000-0000-00002E030000}"/>
    <cellStyle name="20% - Accent1 3 2 3 7 2" xfId="42497" xr:uid="{331B546B-92EF-4503-832C-74CD8EF56C51}"/>
    <cellStyle name="20% - Accent1 3 2 3 8" xfId="26617" xr:uid="{8603772E-384B-430D-9FFE-84259A8EFE35}"/>
    <cellStyle name="20% - Accent1 3 2 3_Exh G" xfId="1997" xr:uid="{00000000-0005-0000-0000-00002F030000}"/>
    <cellStyle name="20% - Accent1 3 2 4" xfId="1077" xr:uid="{00000000-0005-0000-0000-000030030000}"/>
    <cellStyle name="20% - Accent1 3 2 4 2" xfId="4607" xr:uid="{00000000-0005-0000-0000-000031030000}"/>
    <cellStyle name="20% - Accent1 3 2 4 2 2" xfId="8198" xr:uid="{00000000-0005-0000-0000-000032030000}"/>
    <cellStyle name="20% - Accent1 3 2 4 2 2 2" xfId="16169" xr:uid="{00000000-0005-0000-0000-000033030000}"/>
    <cellStyle name="20% - Accent1 3 2 4 2 2 2 2" xfId="40011" xr:uid="{633803C5-A110-4435-9861-F2C974937B4D}"/>
    <cellStyle name="20% - Accent1 3 2 4 2 2 3" xfId="24115" xr:uid="{00000000-0005-0000-0000-000034030000}"/>
    <cellStyle name="20% - Accent1 3 2 4 2 2 3 2" xfId="47947" xr:uid="{12EB254B-F478-4CCA-9E5C-26EE055E4CB3}"/>
    <cellStyle name="20% - Accent1 3 2 4 2 2 4" xfId="32070" xr:uid="{E582E74D-DA99-4D86-833F-9E649384CC50}"/>
    <cellStyle name="20% - Accent1 3 2 4 2 3" xfId="12631" xr:uid="{00000000-0005-0000-0000-000035030000}"/>
    <cellStyle name="20% - Accent1 3 2 4 2 3 2" xfId="36480" xr:uid="{9E2D6CE8-6B8B-4A62-BB96-27039226267A}"/>
    <cellStyle name="20% - Accent1 3 2 4 2 4" xfId="20586" xr:uid="{00000000-0005-0000-0000-000036030000}"/>
    <cellStyle name="20% - Accent1 3 2 4 2 4 2" xfId="44418" xr:uid="{02FB2866-F218-43BE-BB9C-CF90F28E1C2B}"/>
    <cellStyle name="20% - Accent1 3 2 4 2 5" xfId="28539" xr:uid="{12204707-0A4B-4625-913E-AF59BD0E68D1}"/>
    <cellStyle name="20% - Accent1 3 2 4 3" xfId="6439" xr:uid="{00000000-0005-0000-0000-000037030000}"/>
    <cellStyle name="20% - Accent1 3 2 4 3 2" xfId="14411" xr:uid="{00000000-0005-0000-0000-000038030000}"/>
    <cellStyle name="20% - Accent1 3 2 4 3 2 2" xfId="38253" xr:uid="{D6E1490C-755B-4911-A3F1-61BF21E74D00}"/>
    <cellStyle name="20% - Accent1 3 2 4 3 3" xfId="22358" xr:uid="{00000000-0005-0000-0000-000039030000}"/>
    <cellStyle name="20% - Accent1 3 2 4 3 3 2" xfId="46190" xr:uid="{6457D5A3-85F0-4541-9B6E-86DC7DB500D7}"/>
    <cellStyle name="20% - Accent1 3 2 4 3 4" xfId="30312" xr:uid="{E3F3017B-870A-4A20-B478-3DECD9D86D6B}"/>
    <cellStyle name="20% - Accent1 3 2 4 4" xfId="10875" xr:uid="{00000000-0005-0000-0000-00003A030000}"/>
    <cellStyle name="20% - Accent1 3 2 4 4 2" xfId="34724" xr:uid="{95BAFC76-D16A-4489-A00C-A157A752197E}"/>
    <cellStyle name="20% - Accent1 3 2 4 5" xfId="18830" xr:uid="{00000000-0005-0000-0000-00003B030000}"/>
    <cellStyle name="20% - Accent1 3 2 4 5 2" xfId="42662" xr:uid="{10ABF765-1363-477F-B124-51D1E310DAB1}"/>
    <cellStyle name="20% - Accent1 3 2 4 6" xfId="26782" xr:uid="{6BC5B850-2EF6-4426-B295-5AE78416162E}"/>
    <cellStyle name="20% - Accent1 3 2 4_Exh G" xfId="1999" xr:uid="{00000000-0005-0000-0000-00003C030000}"/>
    <cellStyle name="20% - Accent1 3 2 5" xfId="3728" xr:uid="{00000000-0005-0000-0000-00003D030000}"/>
    <cellStyle name="20% - Accent1 3 2 5 2" xfId="7320" xr:uid="{00000000-0005-0000-0000-00003E030000}"/>
    <cellStyle name="20% - Accent1 3 2 5 2 2" xfId="15291" xr:uid="{00000000-0005-0000-0000-00003F030000}"/>
    <cellStyle name="20% - Accent1 3 2 5 2 2 2" xfId="39133" xr:uid="{496298E5-02E4-45F0-92C0-D07B3F47933A}"/>
    <cellStyle name="20% - Accent1 3 2 5 2 3" xfId="23237" xr:uid="{00000000-0005-0000-0000-000040030000}"/>
    <cellStyle name="20% - Accent1 3 2 5 2 3 2" xfId="47069" xr:uid="{B446F124-6369-4EE0-ABCF-F85E56E31D19}"/>
    <cellStyle name="20% - Accent1 3 2 5 2 4" xfId="31192" xr:uid="{B9736FBF-3E1B-46FB-94A5-0FA651193A24}"/>
    <cellStyle name="20% - Accent1 3 2 5 3" xfId="11753" xr:uid="{00000000-0005-0000-0000-000041030000}"/>
    <cellStyle name="20% - Accent1 3 2 5 3 2" xfId="35602" xr:uid="{0B6693F7-3BE6-4F03-A87A-29ED2DAFDC92}"/>
    <cellStyle name="20% - Accent1 3 2 5 4" xfId="19708" xr:uid="{00000000-0005-0000-0000-000042030000}"/>
    <cellStyle name="20% - Accent1 3 2 5 4 2" xfId="43540" xr:uid="{F81795ED-41D8-4163-B882-5E44A888E95B}"/>
    <cellStyle name="20% - Accent1 3 2 5 5" xfId="27661" xr:uid="{C3CB35A4-4246-4242-BC8C-3EBE7C2A7BCC}"/>
    <cellStyle name="20% - Accent1 3 2 6" xfId="5548" xr:uid="{00000000-0005-0000-0000-000043030000}"/>
    <cellStyle name="20% - Accent1 3 2 6 2" xfId="13532" xr:uid="{00000000-0005-0000-0000-000044030000}"/>
    <cellStyle name="20% - Accent1 3 2 6 2 2" xfId="37375" xr:uid="{CBD0B8A5-4DFB-4DAD-A1D2-5587919E7EDC}"/>
    <cellStyle name="20% - Accent1 3 2 6 3" xfId="21480" xr:uid="{00000000-0005-0000-0000-000045030000}"/>
    <cellStyle name="20% - Accent1 3 2 6 3 2" xfId="45312" xr:uid="{E637523B-9B23-4227-9586-640E9E5E20BF}"/>
    <cellStyle name="20% - Accent1 3 2 6 4" xfId="29434" xr:uid="{344814D3-D6EC-472A-9A99-7B74BD443BDA}"/>
    <cellStyle name="20% - Accent1 3 2 7" xfId="9101" xr:uid="{00000000-0005-0000-0000-000046030000}"/>
    <cellStyle name="20% - Accent1 3 2 7 2" xfId="17059" xr:uid="{00000000-0005-0000-0000-000047030000}"/>
    <cellStyle name="20% - Accent1 3 2 7 2 2" xfId="40899" xr:uid="{5F39B459-44D8-4743-B15E-0D9D14EC2DBF}"/>
    <cellStyle name="20% - Accent1 3 2 7 3" xfId="25003" xr:uid="{00000000-0005-0000-0000-000048030000}"/>
    <cellStyle name="20% - Accent1 3 2 7 3 2" xfId="48835" xr:uid="{813516E8-5808-41C4-B85C-F4AF4B5EF30E}"/>
    <cellStyle name="20% - Accent1 3 2 7 4" xfId="32958" xr:uid="{9798C23F-AC05-4BF7-B098-897B21D75005}"/>
    <cellStyle name="20% - Accent1 3 2 8" xfId="9997" xr:uid="{00000000-0005-0000-0000-000049030000}"/>
    <cellStyle name="20% - Accent1 3 2 8 2" xfId="33846" xr:uid="{1640A51F-7E0F-443B-92A8-140F12658ADA}"/>
    <cellStyle name="20% - Accent1 3 2 9" xfId="17952" xr:uid="{00000000-0005-0000-0000-00004A030000}"/>
    <cellStyle name="20% - Accent1 3 2 9 2" xfId="41784" xr:uid="{05962407-27B6-4971-B0E3-878DF7D5C379}"/>
    <cellStyle name="20% - Accent1 3 2_Exh G" xfId="1994" xr:uid="{00000000-0005-0000-0000-00004B030000}"/>
    <cellStyle name="20% - Accent1 3 3" xfId="51" xr:uid="{00000000-0005-0000-0000-00004C030000}"/>
    <cellStyle name="20% - Accent1 3 3 2" xfId="1079" xr:uid="{00000000-0005-0000-0000-00004D030000}"/>
    <cellStyle name="20% - Accent1 3 3 2 2" xfId="4609" xr:uid="{00000000-0005-0000-0000-00004E030000}"/>
    <cellStyle name="20% - Accent1 3 3 2 2 2" xfId="8200" xr:uid="{00000000-0005-0000-0000-00004F030000}"/>
    <cellStyle name="20% - Accent1 3 3 2 2 2 2" xfId="16171" xr:uid="{00000000-0005-0000-0000-000050030000}"/>
    <cellStyle name="20% - Accent1 3 3 2 2 2 2 2" xfId="40013" xr:uid="{FE6F678C-1B37-4C84-9E25-F484F06FF2F6}"/>
    <cellStyle name="20% - Accent1 3 3 2 2 2 3" xfId="24117" xr:uid="{00000000-0005-0000-0000-000051030000}"/>
    <cellStyle name="20% - Accent1 3 3 2 2 2 3 2" xfId="47949" xr:uid="{123D0EEC-6D3F-4D56-8CFD-113965130263}"/>
    <cellStyle name="20% - Accent1 3 3 2 2 2 4" xfId="32072" xr:uid="{920938C5-B870-46EA-A314-66363BDEBEF8}"/>
    <cellStyle name="20% - Accent1 3 3 2 2 3" xfId="12633" xr:uid="{00000000-0005-0000-0000-000052030000}"/>
    <cellStyle name="20% - Accent1 3 3 2 2 3 2" xfId="36482" xr:uid="{575B56E6-94AD-4E79-9B4F-F7E7A758CA6A}"/>
    <cellStyle name="20% - Accent1 3 3 2 2 4" xfId="20588" xr:uid="{00000000-0005-0000-0000-000053030000}"/>
    <cellStyle name="20% - Accent1 3 3 2 2 4 2" xfId="44420" xr:uid="{6C2767DD-3C0E-46CE-8347-23F34F4F987F}"/>
    <cellStyle name="20% - Accent1 3 3 2 2 5" xfId="28541" xr:uid="{5630F704-A09A-49E4-BDAF-5B9BFB35E8A2}"/>
    <cellStyle name="20% - Accent1 3 3 2 3" xfId="6441" xr:uid="{00000000-0005-0000-0000-000054030000}"/>
    <cellStyle name="20% - Accent1 3 3 2 3 2" xfId="14413" xr:uid="{00000000-0005-0000-0000-000055030000}"/>
    <cellStyle name="20% - Accent1 3 3 2 3 2 2" xfId="38255" xr:uid="{E7BFAE93-5C09-438D-A118-897926B9636F}"/>
    <cellStyle name="20% - Accent1 3 3 2 3 3" xfId="22360" xr:uid="{00000000-0005-0000-0000-000056030000}"/>
    <cellStyle name="20% - Accent1 3 3 2 3 3 2" xfId="46192" xr:uid="{4A4AD866-57FB-4E03-BE74-3699982B3927}"/>
    <cellStyle name="20% - Accent1 3 3 2 3 4" xfId="30314" xr:uid="{3C1B6161-8B21-49A4-A179-3DF901C0D51F}"/>
    <cellStyle name="20% - Accent1 3 3 2 4" xfId="10877" xr:uid="{00000000-0005-0000-0000-000057030000}"/>
    <cellStyle name="20% - Accent1 3 3 2 4 2" xfId="34726" xr:uid="{A604D1A5-0823-40CC-B4C1-11AF50BDD0A8}"/>
    <cellStyle name="20% - Accent1 3 3 2 5" xfId="18832" xr:uid="{00000000-0005-0000-0000-000058030000}"/>
    <cellStyle name="20% - Accent1 3 3 2 5 2" xfId="42664" xr:uid="{59FB7DE5-AAE9-48FD-8A58-AFFCBD8602BA}"/>
    <cellStyle name="20% - Accent1 3 3 2 6" xfId="26784" xr:uid="{47922B23-8E51-4EBA-9F4C-D88A8D35978A}"/>
    <cellStyle name="20% - Accent1 3 3 2_Exh G" xfId="2001" xr:uid="{00000000-0005-0000-0000-000059030000}"/>
    <cellStyle name="20% - Accent1 3 3 3" xfId="3730" xr:uid="{00000000-0005-0000-0000-00005A030000}"/>
    <cellStyle name="20% - Accent1 3 3 3 2" xfId="7322" xr:uid="{00000000-0005-0000-0000-00005B030000}"/>
    <cellStyle name="20% - Accent1 3 3 3 2 2" xfId="15293" xr:uid="{00000000-0005-0000-0000-00005C030000}"/>
    <cellStyle name="20% - Accent1 3 3 3 2 2 2" xfId="39135" xr:uid="{42A9873E-6151-4A12-B7D1-A9EB66DCF49F}"/>
    <cellStyle name="20% - Accent1 3 3 3 2 3" xfId="23239" xr:uid="{00000000-0005-0000-0000-00005D030000}"/>
    <cellStyle name="20% - Accent1 3 3 3 2 3 2" xfId="47071" xr:uid="{352A87FC-8821-4A79-9877-C4C95878E973}"/>
    <cellStyle name="20% - Accent1 3 3 3 2 4" xfId="31194" xr:uid="{FE7B89F1-35B3-44A3-9171-70DA7D7B385A}"/>
    <cellStyle name="20% - Accent1 3 3 3 3" xfId="11755" xr:uid="{00000000-0005-0000-0000-00005E030000}"/>
    <cellStyle name="20% - Accent1 3 3 3 3 2" xfId="35604" xr:uid="{4DB9AC98-E67D-401D-B4D8-EB2324AF2280}"/>
    <cellStyle name="20% - Accent1 3 3 3 4" xfId="19710" xr:uid="{00000000-0005-0000-0000-00005F030000}"/>
    <cellStyle name="20% - Accent1 3 3 3 4 2" xfId="43542" xr:uid="{2564F5D2-5AEF-44DB-B33F-BC61C91A782E}"/>
    <cellStyle name="20% - Accent1 3 3 3 5" xfId="27663" xr:uid="{F2D0163F-2D88-412C-80F4-25F5006641F7}"/>
    <cellStyle name="20% - Accent1 3 3 4" xfId="5550" xr:uid="{00000000-0005-0000-0000-000060030000}"/>
    <cellStyle name="20% - Accent1 3 3 4 2" xfId="13534" xr:uid="{00000000-0005-0000-0000-000061030000}"/>
    <cellStyle name="20% - Accent1 3 3 4 2 2" xfId="37377" xr:uid="{6C849FF0-6D5A-47BA-8F05-5590AF9EFFB3}"/>
    <cellStyle name="20% - Accent1 3 3 4 3" xfId="21482" xr:uid="{00000000-0005-0000-0000-000062030000}"/>
    <cellStyle name="20% - Accent1 3 3 4 3 2" xfId="45314" xr:uid="{369E3A3A-AE9B-4478-BACC-F77C38033C5B}"/>
    <cellStyle name="20% - Accent1 3 3 4 4" xfId="29436" xr:uid="{51264BFC-B93E-4874-AA52-B1AB27DB6287}"/>
    <cellStyle name="20% - Accent1 3 3 5" xfId="9103" xr:uid="{00000000-0005-0000-0000-000063030000}"/>
    <cellStyle name="20% - Accent1 3 3 5 2" xfId="17061" xr:uid="{00000000-0005-0000-0000-000064030000}"/>
    <cellStyle name="20% - Accent1 3 3 5 2 2" xfId="40901" xr:uid="{C1AE7132-6636-4106-A0E1-023167E538C4}"/>
    <cellStyle name="20% - Accent1 3 3 5 3" xfId="25005" xr:uid="{00000000-0005-0000-0000-000065030000}"/>
    <cellStyle name="20% - Accent1 3 3 5 3 2" xfId="48837" xr:uid="{FB6A2B99-E51F-4FC9-B72B-3B9B85CBBF77}"/>
    <cellStyle name="20% - Accent1 3 3 5 4" xfId="32960" xr:uid="{E823B44B-C436-40E7-BABF-42C2677A8DCB}"/>
    <cellStyle name="20% - Accent1 3 3 6" xfId="9999" xr:uid="{00000000-0005-0000-0000-000066030000}"/>
    <cellStyle name="20% - Accent1 3 3 6 2" xfId="33848" xr:uid="{34C6A005-368A-4427-8E15-309143AEFA9C}"/>
    <cellStyle name="20% - Accent1 3 3 7" xfId="17954" xr:uid="{00000000-0005-0000-0000-000067030000}"/>
    <cellStyle name="20% - Accent1 3 3 7 2" xfId="41786" xr:uid="{9F2DE6F1-DFA6-49B7-A31F-AD26D4B30F69}"/>
    <cellStyle name="20% - Accent1 3 3 8" xfId="25906" xr:uid="{4F521252-EAE8-415F-AEB5-DCE6521748AD}"/>
    <cellStyle name="20% - Accent1 3 3_Exh G" xfId="2000" xr:uid="{00000000-0005-0000-0000-000068030000}"/>
    <cellStyle name="20% - Accent1 3 4" xfId="865" xr:uid="{00000000-0005-0000-0000-000069030000}"/>
    <cellStyle name="20% - Accent1 3 4 2" xfId="1801" xr:uid="{00000000-0005-0000-0000-00006A030000}"/>
    <cellStyle name="20% - Accent1 3 4 2 2" xfId="5319" xr:uid="{00000000-0005-0000-0000-00006B030000}"/>
    <cellStyle name="20% - Accent1 3 4 2 2 2" xfId="8910" xr:uid="{00000000-0005-0000-0000-00006C030000}"/>
    <cellStyle name="20% - Accent1 3 4 2 2 2 2" xfId="16881" xr:uid="{00000000-0005-0000-0000-00006D030000}"/>
    <cellStyle name="20% - Accent1 3 4 2 2 2 2 2" xfId="40723" xr:uid="{82568373-FD4D-40E4-8287-BECC31F7F4AD}"/>
    <cellStyle name="20% - Accent1 3 4 2 2 2 3" xfId="24827" xr:uid="{00000000-0005-0000-0000-00006E030000}"/>
    <cellStyle name="20% - Accent1 3 4 2 2 2 3 2" xfId="48659" xr:uid="{936ED19B-CD0D-4509-9509-E635E58AB2F7}"/>
    <cellStyle name="20% - Accent1 3 4 2 2 2 4" xfId="32782" xr:uid="{2CF3650F-AACA-4795-B851-D618A881C930}"/>
    <cellStyle name="20% - Accent1 3 4 2 2 3" xfId="13343" xr:uid="{00000000-0005-0000-0000-00006F030000}"/>
    <cellStyle name="20% - Accent1 3 4 2 2 3 2" xfId="37192" xr:uid="{1A029131-B7C5-4AB1-A2A8-323778768D37}"/>
    <cellStyle name="20% - Accent1 3 4 2 2 4" xfId="21298" xr:uid="{00000000-0005-0000-0000-000070030000}"/>
    <cellStyle name="20% - Accent1 3 4 2 2 4 2" xfId="45130" xr:uid="{9C996FF3-F7A7-4158-9F73-7FF93BC5C5C9}"/>
    <cellStyle name="20% - Accent1 3 4 2 2 5" xfId="29251" xr:uid="{3C1AE5C2-8C7C-4D92-BB0C-DFFB7D62A0B1}"/>
    <cellStyle name="20% - Accent1 3 4 2 3" xfId="7151" xr:uid="{00000000-0005-0000-0000-000071030000}"/>
    <cellStyle name="20% - Accent1 3 4 2 3 2" xfId="15123" xr:uid="{00000000-0005-0000-0000-000072030000}"/>
    <cellStyle name="20% - Accent1 3 4 2 3 2 2" xfId="38965" xr:uid="{94BC1028-94FF-4C31-97D4-3E5FFE475D2F}"/>
    <cellStyle name="20% - Accent1 3 4 2 3 3" xfId="23070" xr:uid="{00000000-0005-0000-0000-000073030000}"/>
    <cellStyle name="20% - Accent1 3 4 2 3 3 2" xfId="46902" xr:uid="{E4C133D9-C0E7-4B4F-837C-361CF3DB2140}"/>
    <cellStyle name="20% - Accent1 3 4 2 3 4" xfId="31024" xr:uid="{370B7866-A4BE-44A1-8C10-7F9052AF0D4E}"/>
    <cellStyle name="20% - Accent1 3 4 2 4" xfId="11587" xr:uid="{00000000-0005-0000-0000-000074030000}"/>
    <cellStyle name="20% - Accent1 3 4 2 4 2" xfId="35436" xr:uid="{C107BA50-FA8A-43E3-9A79-8FD240ABFF62}"/>
    <cellStyle name="20% - Accent1 3 4 2 5" xfId="19542" xr:uid="{00000000-0005-0000-0000-000075030000}"/>
    <cellStyle name="20% - Accent1 3 4 2 5 2" xfId="43374" xr:uid="{EDE4A9F5-82D0-4628-BAF0-1A4CF6CE7157}"/>
    <cellStyle name="20% - Accent1 3 4 2 6" xfId="27494" xr:uid="{5AD7E9DC-C614-4C45-BFE5-2BFA683FF96A}"/>
    <cellStyle name="20% - Accent1 3 4 2_Exh G" xfId="2003" xr:uid="{00000000-0005-0000-0000-000076030000}"/>
    <cellStyle name="20% - Accent1 3 4 3" xfId="4440" xr:uid="{00000000-0005-0000-0000-000077030000}"/>
    <cellStyle name="20% - Accent1 3 4 3 2" xfId="8032" xr:uid="{00000000-0005-0000-0000-000078030000}"/>
    <cellStyle name="20% - Accent1 3 4 3 2 2" xfId="16003" xr:uid="{00000000-0005-0000-0000-000079030000}"/>
    <cellStyle name="20% - Accent1 3 4 3 2 2 2" xfId="39845" xr:uid="{A7D10070-2F67-4FE9-B59D-BF070A25E871}"/>
    <cellStyle name="20% - Accent1 3 4 3 2 3" xfId="23949" xr:uid="{00000000-0005-0000-0000-00007A030000}"/>
    <cellStyle name="20% - Accent1 3 4 3 2 3 2" xfId="47781" xr:uid="{90B73580-1642-426C-934C-D7B07C13B7C9}"/>
    <cellStyle name="20% - Accent1 3 4 3 2 4" xfId="31904" xr:uid="{EA2E5E2E-1458-4CC4-B644-06A0D7357ADA}"/>
    <cellStyle name="20% - Accent1 3 4 3 3" xfId="12465" xr:uid="{00000000-0005-0000-0000-00007B030000}"/>
    <cellStyle name="20% - Accent1 3 4 3 3 2" xfId="36314" xr:uid="{C44E4FA9-59A6-4887-8313-4D6E18FD893A}"/>
    <cellStyle name="20% - Accent1 3 4 3 4" xfId="20420" xr:uid="{00000000-0005-0000-0000-00007C030000}"/>
    <cellStyle name="20% - Accent1 3 4 3 4 2" xfId="44252" xr:uid="{87E99DA0-1713-4E19-B0F2-CBF4A4D87AB8}"/>
    <cellStyle name="20% - Accent1 3 4 3 5" xfId="28373" xr:uid="{9F1845D7-B851-4DFF-AD3B-39FC7E101451}"/>
    <cellStyle name="20% - Accent1 3 4 4" xfId="6270" xr:uid="{00000000-0005-0000-0000-00007D030000}"/>
    <cellStyle name="20% - Accent1 3 4 4 2" xfId="14245" xr:uid="{00000000-0005-0000-0000-00007E030000}"/>
    <cellStyle name="20% - Accent1 3 4 4 2 2" xfId="38087" xr:uid="{4C87F9BA-058B-4AF7-9F36-E0E2E381EFD6}"/>
    <cellStyle name="20% - Accent1 3 4 4 3" xfId="22192" xr:uid="{00000000-0005-0000-0000-00007F030000}"/>
    <cellStyle name="20% - Accent1 3 4 4 3 2" xfId="46024" xr:uid="{8CF89948-87B5-4196-99C8-B92538A445C7}"/>
    <cellStyle name="20% - Accent1 3 4 4 4" xfId="30146" xr:uid="{058CD8D6-3FB2-427C-A787-893DA130168E}"/>
    <cellStyle name="20% - Accent1 3 4 5" xfId="9813" xr:uid="{00000000-0005-0000-0000-000080030000}"/>
    <cellStyle name="20% - Accent1 3 4 5 2" xfId="17771" xr:uid="{00000000-0005-0000-0000-000081030000}"/>
    <cellStyle name="20% - Accent1 3 4 5 2 2" xfId="41611" xr:uid="{1B137F58-687A-4F01-9FC4-4BE9035FFF58}"/>
    <cellStyle name="20% - Accent1 3 4 5 3" xfId="25715" xr:uid="{00000000-0005-0000-0000-000082030000}"/>
    <cellStyle name="20% - Accent1 3 4 5 3 2" xfId="49547" xr:uid="{8082B193-A201-4A42-9237-4828BB49A153}"/>
    <cellStyle name="20% - Accent1 3 4 5 4" xfId="33670" xr:uid="{F527021F-48A7-417E-882D-2389894EFC6D}"/>
    <cellStyle name="20% - Accent1 3 4 6" xfId="10709" xr:uid="{00000000-0005-0000-0000-000083030000}"/>
    <cellStyle name="20% - Accent1 3 4 6 2" xfId="34558" xr:uid="{57990274-EFC2-48F2-8AA1-D83457CAA165}"/>
    <cellStyle name="20% - Accent1 3 4 7" xfId="18664" xr:uid="{00000000-0005-0000-0000-000084030000}"/>
    <cellStyle name="20% - Accent1 3 4 7 2" xfId="42496" xr:uid="{4560CE5B-3002-4E49-9108-AC2851612EB8}"/>
    <cellStyle name="20% - Accent1 3 4 8" xfId="26616" xr:uid="{CA8A3890-557F-4CB7-9EB6-39620EB10EA5}"/>
    <cellStyle name="20% - Accent1 3 4_Exh G" xfId="2002" xr:uid="{00000000-0005-0000-0000-000085030000}"/>
    <cellStyle name="20% - Accent1 3 5" xfId="1076" xr:uid="{00000000-0005-0000-0000-000086030000}"/>
    <cellStyle name="20% - Accent1 3 5 2" xfId="4606" xr:uid="{00000000-0005-0000-0000-000087030000}"/>
    <cellStyle name="20% - Accent1 3 5 2 2" xfId="8197" xr:uid="{00000000-0005-0000-0000-000088030000}"/>
    <cellStyle name="20% - Accent1 3 5 2 2 2" xfId="16168" xr:uid="{00000000-0005-0000-0000-000089030000}"/>
    <cellStyle name="20% - Accent1 3 5 2 2 2 2" xfId="40010" xr:uid="{C4A3DD61-8A47-4DDF-9A30-5F26C0D6BB2E}"/>
    <cellStyle name="20% - Accent1 3 5 2 2 3" xfId="24114" xr:uid="{00000000-0005-0000-0000-00008A030000}"/>
    <cellStyle name="20% - Accent1 3 5 2 2 3 2" xfId="47946" xr:uid="{240A5A90-EECD-42E2-AF6A-259D10ABB822}"/>
    <cellStyle name="20% - Accent1 3 5 2 2 4" xfId="32069" xr:uid="{F9C29D44-C6AC-45ED-91DC-D47577060D4C}"/>
    <cellStyle name="20% - Accent1 3 5 2 3" xfId="12630" xr:uid="{00000000-0005-0000-0000-00008B030000}"/>
    <cellStyle name="20% - Accent1 3 5 2 3 2" xfId="36479" xr:uid="{A55847CC-805E-4C8C-8CBD-35D5ACF98414}"/>
    <cellStyle name="20% - Accent1 3 5 2 4" xfId="20585" xr:uid="{00000000-0005-0000-0000-00008C030000}"/>
    <cellStyle name="20% - Accent1 3 5 2 4 2" xfId="44417" xr:uid="{7B4BB26D-21B3-4B19-AB90-EEB35529DA22}"/>
    <cellStyle name="20% - Accent1 3 5 2 5" xfId="28538" xr:uid="{36A49B07-3AC3-45AC-8A26-682E36CD95B3}"/>
    <cellStyle name="20% - Accent1 3 5 3" xfId="6438" xr:uid="{00000000-0005-0000-0000-00008D030000}"/>
    <cellStyle name="20% - Accent1 3 5 3 2" xfId="14410" xr:uid="{00000000-0005-0000-0000-00008E030000}"/>
    <cellStyle name="20% - Accent1 3 5 3 2 2" xfId="38252" xr:uid="{96000349-024A-40BA-916D-891C63280F7F}"/>
    <cellStyle name="20% - Accent1 3 5 3 3" xfId="22357" xr:uid="{00000000-0005-0000-0000-00008F030000}"/>
    <cellStyle name="20% - Accent1 3 5 3 3 2" xfId="46189" xr:uid="{BF24D46B-30B2-4896-B37A-3DA11823FB6E}"/>
    <cellStyle name="20% - Accent1 3 5 3 4" xfId="30311" xr:uid="{FB6AE52E-5EBF-4E8A-83C8-8E86F2897E6B}"/>
    <cellStyle name="20% - Accent1 3 5 4" xfId="10874" xr:uid="{00000000-0005-0000-0000-000090030000}"/>
    <cellStyle name="20% - Accent1 3 5 4 2" xfId="34723" xr:uid="{89B0F98F-0733-4134-B791-B3E8B3AB8039}"/>
    <cellStyle name="20% - Accent1 3 5 5" xfId="18829" xr:uid="{00000000-0005-0000-0000-000091030000}"/>
    <cellStyle name="20% - Accent1 3 5 5 2" xfId="42661" xr:uid="{0CD7BCE3-6A30-4503-8951-EE026D2F9168}"/>
    <cellStyle name="20% - Accent1 3 5 6" xfId="26781" xr:uid="{41AEBF55-621C-42A1-99D0-BFA2CD999ED0}"/>
    <cellStyle name="20% - Accent1 3 5_Exh G" xfId="2004" xr:uid="{00000000-0005-0000-0000-000092030000}"/>
    <cellStyle name="20% - Accent1 3 6" xfId="3727" xr:uid="{00000000-0005-0000-0000-000093030000}"/>
    <cellStyle name="20% - Accent1 3 6 2" xfId="7319" xr:uid="{00000000-0005-0000-0000-000094030000}"/>
    <cellStyle name="20% - Accent1 3 6 2 2" xfId="15290" xr:uid="{00000000-0005-0000-0000-000095030000}"/>
    <cellStyle name="20% - Accent1 3 6 2 2 2" xfId="39132" xr:uid="{43BE012F-9D47-4067-AAC4-BF9DEBDD4EB9}"/>
    <cellStyle name="20% - Accent1 3 6 2 3" xfId="23236" xr:uid="{00000000-0005-0000-0000-000096030000}"/>
    <cellStyle name="20% - Accent1 3 6 2 3 2" xfId="47068" xr:uid="{65716E94-4048-4C62-A29A-6D6E9442AE6A}"/>
    <cellStyle name="20% - Accent1 3 6 2 4" xfId="31191" xr:uid="{8043F50C-C9EF-4B7D-9C31-31C1A21D910A}"/>
    <cellStyle name="20% - Accent1 3 6 3" xfId="11752" xr:uid="{00000000-0005-0000-0000-000097030000}"/>
    <cellStyle name="20% - Accent1 3 6 3 2" xfId="35601" xr:uid="{0336CB12-A169-402E-AD59-19DF495C50B2}"/>
    <cellStyle name="20% - Accent1 3 6 4" xfId="19707" xr:uid="{00000000-0005-0000-0000-000098030000}"/>
    <cellStyle name="20% - Accent1 3 6 4 2" xfId="43539" xr:uid="{5339C064-48CB-48FC-ACF1-CF18A6729E0B}"/>
    <cellStyle name="20% - Accent1 3 6 5" xfId="27660" xr:uid="{9E5FF1E5-4E66-41CF-96EE-882B99DF70B2}"/>
    <cellStyle name="20% - Accent1 3 7" xfId="5547" xr:uid="{00000000-0005-0000-0000-000099030000}"/>
    <cellStyle name="20% - Accent1 3 7 2" xfId="13531" xr:uid="{00000000-0005-0000-0000-00009A030000}"/>
    <cellStyle name="20% - Accent1 3 7 2 2" xfId="37374" xr:uid="{AB5ECCD7-D020-4935-A4E1-CD19B355CA8C}"/>
    <cellStyle name="20% - Accent1 3 7 3" xfId="21479" xr:uid="{00000000-0005-0000-0000-00009B030000}"/>
    <cellStyle name="20% - Accent1 3 7 3 2" xfId="45311" xr:uid="{71164AB0-2BC7-4CEC-A445-64B2931850F9}"/>
    <cellStyle name="20% - Accent1 3 7 4" xfId="29433" xr:uid="{70ED2111-C423-43ED-967C-4A106C55886B}"/>
    <cellStyle name="20% - Accent1 3 8" xfId="9100" xr:uid="{00000000-0005-0000-0000-00009C030000}"/>
    <cellStyle name="20% - Accent1 3 8 2" xfId="17058" xr:uid="{00000000-0005-0000-0000-00009D030000}"/>
    <cellStyle name="20% - Accent1 3 8 2 2" xfId="40898" xr:uid="{A1E52D98-DAD0-4BB9-91B7-3BE85016004E}"/>
    <cellStyle name="20% - Accent1 3 8 3" xfId="25002" xr:uid="{00000000-0005-0000-0000-00009E030000}"/>
    <cellStyle name="20% - Accent1 3 8 3 2" xfId="48834" xr:uid="{B784C314-F880-487E-A062-79232B052F9C}"/>
    <cellStyle name="20% - Accent1 3 8 4" xfId="32957" xr:uid="{154302D5-6512-43A9-B997-6F7EE9D965E9}"/>
    <cellStyle name="20% - Accent1 3 9" xfId="9996" xr:uid="{00000000-0005-0000-0000-00009F030000}"/>
    <cellStyle name="20% - Accent1 3 9 2" xfId="33845" xr:uid="{D25C04AA-E2A9-4220-8523-8380E905D897}"/>
    <cellStyle name="20% - Accent1 3_Exh G" xfId="1993" xr:uid="{00000000-0005-0000-0000-0000A0030000}"/>
    <cellStyle name="20% - Accent1 4" xfId="52" xr:uid="{00000000-0005-0000-0000-0000A1030000}"/>
    <cellStyle name="20% - Accent1 4 10" xfId="17955" xr:uid="{00000000-0005-0000-0000-0000A2030000}"/>
    <cellStyle name="20% - Accent1 4 10 2" xfId="41787" xr:uid="{6474D9C7-A57B-4DBB-807F-D3D80F064553}"/>
    <cellStyle name="20% - Accent1 4 11" xfId="25907" xr:uid="{6505CDA7-8076-493B-AEAA-6BBB17C582B3}"/>
    <cellStyle name="20% - Accent1 4 2" xfId="53" xr:uid="{00000000-0005-0000-0000-0000A3030000}"/>
    <cellStyle name="20% - Accent1 4 2 10" xfId="25908" xr:uid="{03B5FE28-20CF-492B-A896-AF4DD4996885}"/>
    <cellStyle name="20% - Accent1 4 2 2" xfId="54" xr:uid="{00000000-0005-0000-0000-0000A4030000}"/>
    <cellStyle name="20% - Accent1 4 2 2 2" xfId="1082" xr:uid="{00000000-0005-0000-0000-0000A5030000}"/>
    <cellStyle name="20% - Accent1 4 2 2 2 2" xfId="4612" xr:uid="{00000000-0005-0000-0000-0000A6030000}"/>
    <cellStyle name="20% - Accent1 4 2 2 2 2 2" xfId="8203" xr:uid="{00000000-0005-0000-0000-0000A7030000}"/>
    <cellStyle name="20% - Accent1 4 2 2 2 2 2 2" xfId="16174" xr:uid="{00000000-0005-0000-0000-0000A8030000}"/>
    <cellStyle name="20% - Accent1 4 2 2 2 2 2 2 2" xfId="40016" xr:uid="{434BB06B-155E-46D3-9015-035604A8D82A}"/>
    <cellStyle name="20% - Accent1 4 2 2 2 2 2 3" xfId="24120" xr:uid="{00000000-0005-0000-0000-0000A9030000}"/>
    <cellStyle name="20% - Accent1 4 2 2 2 2 2 3 2" xfId="47952" xr:uid="{709969E9-3CA0-4307-AA94-D15498B44F9B}"/>
    <cellStyle name="20% - Accent1 4 2 2 2 2 2 4" xfId="32075" xr:uid="{2A3DC031-7E71-411A-846A-AA542113EF52}"/>
    <cellStyle name="20% - Accent1 4 2 2 2 2 3" xfId="12636" xr:uid="{00000000-0005-0000-0000-0000AA030000}"/>
    <cellStyle name="20% - Accent1 4 2 2 2 2 3 2" xfId="36485" xr:uid="{3AD94DC9-CCE8-4E9E-9702-4B71625B4C29}"/>
    <cellStyle name="20% - Accent1 4 2 2 2 2 4" xfId="20591" xr:uid="{00000000-0005-0000-0000-0000AB030000}"/>
    <cellStyle name="20% - Accent1 4 2 2 2 2 4 2" xfId="44423" xr:uid="{F1BE4CEA-64D9-4551-A6FB-302FE70AF8F2}"/>
    <cellStyle name="20% - Accent1 4 2 2 2 2 5" xfId="28544" xr:uid="{989575C5-FF98-4DD6-AEED-1412A8A2C193}"/>
    <cellStyle name="20% - Accent1 4 2 2 2 3" xfId="6444" xr:uid="{00000000-0005-0000-0000-0000AC030000}"/>
    <cellStyle name="20% - Accent1 4 2 2 2 3 2" xfId="14416" xr:uid="{00000000-0005-0000-0000-0000AD030000}"/>
    <cellStyle name="20% - Accent1 4 2 2 2 3 2 2" xfId="38258" xr:uid="{DEF48242-607E-4F2C-864C-440CB37C8A5E}"/>
    <cellStyle name="20% - Accent1 4 2 2 2 3 3" xfId="22363" xr:uid="{00000000-0005-0000-0000-0000AE030000}"/>
    <cellStyle name="20% - Accent1 4 2 2 2 3 3 2" xfId="46195" xr:uid="{DC2D59DF-DCAC-48A7-A14A-2BD8A1D5987B}"/>
    <cellStyle name="20% - Accent1 4 2 2 2 3 4" xfId="30317" xr:uid="{5D306287-9376-4A78-B3E0-D347942EB46C}"/>
    <cellStyle name="20% - Accent1 4 2 2 2 4" xfId="10880" xr:uid="{00000000-0005-0000-0000-0000AF030000}"/>
    <cellStyle name="20% - Accent1 4 2 2 2 4 2" xfId="34729" xr:uid="{B35E978C-19A6-49F0-8C38-6042356D3332}"/>
    <cellStyle name="20% - Accent1 4 2 2 2 5" xfId="18835" xr:uid="{00000000-0005-0000-0000-0000B0030000}"/>
    <cellStyle name="20% - Accent1 4 2 2 2 5 2" xfId="42667" xr:uid="{9511EF87-9127-4CEA-AA9E-5764BF85DC68}"/>
    <cellStyle name="20% - Accent1 4 2 2 2 6" xfId="26787" xr:uid="{836D1EC6-012E-4164-89BE-733A8172572C}"/>
    <cellStyle name="20% - Accent1 4 2 2 2_Exh G" xfId="2008" xr:uid="{00000000-0005-0000-0000-0000B1030000}"/>
    <cellStyle name="20% - Accent1 4 2 2 3" xfId="3733" xr:uid="{00000000-0005-0000-0000-0000B2030000}"/>
    <cellStyle name="20% - Accent1 4 2 2 3 2" xfId="7325" xr:uid="{00000000-0005-0000-0000-0000B3030000}"/>
    <cellStyle name="20% - Accent1 4 2 2 3 2 2" xfId="15296" xr:uid="{00000000-0005-0000-0000-0000B4030000}"/>
    <cellStyle name="20% - Accent1 4 2 2 3 2 2 2" xfId="39138" xr:uid="{4E375514-7858-47EB-BD38-62268F95F480}"/>
    <cellStyle name="20% - Accent1 4 2 2 3 2 3" xfId="23242" xr:uid="{00000000-0005-0000-0000-0000B5030000}"/>
    <cellStyle name="20% - Accent1 4 2 2 3 2 3 2" xfId="47074" xr:uid="{110C621D-A965-4196-8D93-26993072A081}"/>
    <cellStyle name="20% - Accent1 4 2 2 3 2 4" xfId="31197" xr:uid="{C5FAD9D7-58BD-47FF-9858-492745777D3A}"/>
    <cellStyle name="20% - Accent1 4 2 2 3 3" xfId="11758" xr:uid="{00000000-0005-0000-0000-0000B6030000}"/>
    <cellStyle name="20% - Accent1 4 2 2 3 3 2" xfId="35607" xr:uid="{5290E820-DF0E-4472-B666-FA283E557D6A}"/>
    <cellStyle name="20% - Accent1 4 2 2 3 4" xfId="19713" xr:uid="{00000000-0005-0000-0000-0000B7030000}"/>
    <cellStyle name="20% - Accent1 4 2 2 3 4 2" xfId="43545" xr:uid="{AF91B6D1-BF9D-4717-A8D5-1EC850B1AD75}"/>
    <cellStyle name="20% - Accent1 4 2 2 3 5" xfId="27666" xr:uid="{FF9BEA9E-9200-4D8C-A9FE-4905326B63E5}"/>
    <cellStyle name="20% - Accent1 4 2 2 4" xfId="5553" xr:uid="{00000000-0005-0000-0000-0000B8030000}"/>
    <cellStyle name="20% - Accent1 4 2 2 4 2" xfId="13537" xr:uid="{00000000-0005-0000-0000-0000B9030000}"/>
    <cellStyle name="20% - Accent1 4 2 2 4 2 2" xfId="37380" xr:uid="{B9902AA7-1E11-4FBC-9F1C-5EB4A356BB55}"/>
    <cellStyle name="20% - Accent1 4 2 2 4 3" xfId="21485" xr:uid="{00000000-0005-0000-0000-0000BA030000}"/>
    <cellStyle name="20% - Accent1 4 2 2 4 3 2" xfId="45317" xr:uid="{1086C3C2-43E8-436F-BA5D-4C1166ADF0DF}"/>
    <cellStyle name="20% - Accent1 4 2 2 4 4" xfId="29439" xr:uid="{7515FD4C-99FE-431E-B93F-368465638750}"/>
    <cellStyle name="20% - Accent1 4 2 2 5" xfId="9106" xr:uid="{00000000-0005-0000-0000-0000BB030000}"/>
    <cellStyle name="20% - Accent1 4 2 2 5 2" xfId="17064" xr:uid="{00000000-0005-0000-0000-0000BC030000}"/>
    <cellStyle name="20% - Accent1 4 2 2 5 2 2" xfId="40904" xr:uid="{116A595A-D9A9-4150-9E26-98406C9D3321}"/>
    <cellStyle name="20% - Accent1 4 2 2 5 3" xfId="25008" xr:uid="{00000000-0005-0000-0000-0000BD030000}"/>
    <cellStyle name="20% - Accent1 4 2 2 5 3 2" xfId="48840" xr:uid="{E644AFF8-C00E-4287-A781-95FC4D20EFA1}"/>
    <cellStyle name="20% - Accent1 4 2 2 5 4" xfId="32963" xr:uid="{EBCB41DD-B01F-4B9C-84F6-FD69D685AEB7}"/>
    <cellStyle name="20% - Accent1 4 2 2 6" xfId="10002" xr:uid="{00000000-0005-0000-0000-0000BE030000}"/>
    <cellStyle name="20% - Accent1 4 2 2 6 2" xfId="33851" xr:uid="{4D44CD4D-2C3D-4889-A423-96638CF983A7}"/>
    <cellStyle name="20% - Accent1 4 2 2 7" xfId="17957" xr:uid="{00000000-0005-0000-0000-0000BF030000}"/>
    <cellStyle name="20% - Accent1 4 2 2 7 2" xfId="41789" xr:uid="{B4E087BD-AD59-46C9-B9CC-2413D79ED809}"/>
    <cellStyle name="20% - Accent1 4 2 2 8" xfId="25909" xr:uid="{8F632A79-B66A-4FF8-8301-4BE636A9AFEE}"/>
    <cellStyle name="20% - Accent1 4 2 2_Exh G" xfId="2007" xr:uid="{00000000-0005-0000-0000-0000C0030000}"/>
    <cellStyle name="20% - Accent1 4 2 3" xfId="868" xr:uid="{00000000-0005-0000-0000-0000C1030000}"/>
    <cellStyle name="20% - Accent1 4 2 3 2" xfId="1804" xr:uid="{00000000-0005-0000-0000-0000C2030000}"/>
    <cellStyle name="20% - Accent1 4 2 3 2 2" xfId="5322" xr:uid="{00000000-0005-0000-0000-0000C3030000}"/>
    <cellStyle name="20% - Accent1 4 2 3 2 2 2" xfId="8913" xr:uid="{00000000-0005-0000-0000-0000C4030000}"/>
    <cellStyle name="20% - Accent1 4 2 3 2 2 2 2" xfId="16884" xr:uid="{00000000-0005-0000-0000-0000C5030000}"/>
    <cellStyle name="20% - Accent1 4 2 3 2 2 2 2 2" xfId="40726" xr:uid="{5DE7EBD1-2AE7-4CDF-916A-834256ABEBB2}"/>
    <cellStyle name="20% - Accent1 4 2 3 2 2 2 3" xfId="24830" xr:uid="{00000000-0005-0000-0000-0000C6030000}"/>
    <cellStyle name="20% - Accent1 4 2 3 2 2 2 3 2" xfId="48662" xr:uid="{F0E8241A-BBD8-4CB3-AC18-CC36817E97A9}"/>
    <cellStyle name="20% - Accent1 4 2 3 2 2 2 4" xfId="32785" xr:uid="{57BFB0A4-C31C-42FC-9746-25BBB8D30B2E}"/>
    <cellStyle name="20% - Accent1 4 2 3 2 2 3" xfId="13346" xr:uid="{00000000-0005-0000-0000-0000C7030000}"/>
    <cellStyle name="20% - Accent1 4 2 3 2 2 3 2" xfId="37195" xr:uid="{6FFD4340-6352-4305-8DED-26DC4768D71C}"/>
    <cellStyle name="20% - Accent1 4 2 3 2 2 4" xfId="21301" xr:uid="{00000000-0005-0000-0000-0000C8030000}"/>
    <cellStyle name="20% - Accent1 4 2 3 2 2 4 2" xfId="45133" xr:uid="{56F6F6D8-3527-46E1-874A-9BBCE140CF23}"/>
    <cellStyle name="20% - Accent1 4 2 3 2 2 5" xfId="29254" xr:uid="{A47957DE-AAD2-474D-8AEA-E5D40FCCF915}"/>
    <cellStyle name="20% - Accent1 4 2 3 2 3" xfId="7154" xr:uid="{00000000-0005-0000-0000-0000C9030000}"/>
    <cellStyle name="20% - Accent1 4 2 3 2 3 2" xfId="15126" xr:uid="{00000000-0005-0000-0000-0000CA030000}"/>
    <cellStyle name="20% - Accent1 4 2 3 2 3 2 2" xfId="38968" xr:uid="{83AF8898-7CFC-4C5F-98FF-9914D4588920}"/>
    <cellStyle name="20% - Accent1 4 2 3 2 3 3" xfId="23073" xr:uid="{00000000-0005-0000-0000-0000CB030000}"/>
    <cellStyle name="20% - Accent1 4 2 3 2 3 3 2" xfId="46905" xr:uid="{DB95B0FE-6D66-467F-A0D5-B55B4F4492A4}"/>
    <cellStyle name="20% - Accent1 4 2 3 2 3 4" xfId="31027" xr:uid="{4EBCE8D7-D24E-485D-843C-2BC7C72452E8}"/>
    <cellStyle name="20% - Accent1 4 2 3 2 4" xfId="11590" xr:uid="{00000000-0005-0000-0000-0000CC030000}"/>
    <cellStyle name="20% - Accent1 4 2 3 2 4 2" xfId="35439" xr:uid="{068BEE01-713B-45A2-92FA-60D1D1D45B6F}"/>
    <cellStyle name="20% - Accent1 4 2 3 2 5" xfId="19545" xr:uid="{00000000-0005-0000-0000-0000CD030000}"/>
    <cellStyle name="20% - Accent1 4 2 3 2 5 2" xfId="43377" xr:uid="{4003E3DC-E1EF-4CE0-A5F4-F611F86F211E}"/>
    <cellStyle name="20% - Accent1 4 2 3 2 6" xfId="27497" xr:uid="{F8338F6E-60CB-489B-AFA0-76FF97892083}"/>
    <cellStyle name="20% - Accent1 4 2 3 2_Exh G" xfId="2010" xr:uid="{00000000-0005-0000-0000-0000CE030000}"/>
    <cellStyle name="20% - Accent1 4 2 3 3" xfId="4443" xr:uid="{00000000-0005-0000-0000-0000CF030000}"/>
    <cellStyle name="20% - Accent1 4 2 3 3 2" xfId="8035" xr:uid="{00000000-0005-0000-0000-0000D0030000}"/>
    <cellStyle name="20% - Accent1 4 2 3 3 2 2" xfId="16006" xr:uid="{00000000-0005-0000-0000-0000D1030000}"/>
    <cellStyle name="20% - Accent1 4 2 3 3 2 2 2" xfId="39848" xr:uid="{F21CBCA6-B622-4F9E-8992-2E17DF01A579}"/>
    <cellStyle name="20% - Accent1 4 2 3 3 2 3" xfId="23952" xr:uid="{00000000-0005-0000-0000-0000D2030000}"/>
    <cellStyle name="20% - Accent1 4 2 3 3 2 3 2" xfId="47784" xr:uid="{6D45D4FA-F619-4BD3-9406-AC7F1B47CA57}"/>
    <cellStyle name="20% - Accent1 4 2 3 3 2 4" xfId="31907" xr:uid="{A48A2EFC-9CB5-4E63-A896-49C3441C1535}"/>
    <cellStyle name="20% - Accent1 4 2 3 3 3" xfId="12468" xr:uid="{00000000-0005-0000-0000-0000D3030000}"/>
    <cellStyle name="20% - Accent1 4 2 3 3 3 2" xfId="36317" xr:uid="{7E73E070-E62A-466D-9283-14E70149DB57}"/>
    <cellStyle name="20% - Accent1 4 2 3 3 4" xfId="20423" xr:uid="{00000000-0005-0000-0000-0000D4030000}"/>
    <cellStyle name="20% - Accent1 4 2 3 3 4 2" xfId="44255" xr:uid="{8C8EF353-0901-4E04-A73E-D18DCA196736}"/>
    <cellStyle name="20% - Accent1 4 2 3 3 5" xfId="28376" xr:uid="{B519550D-2B38-47CF-A1DF-80013510DF10}"/>
    <cellStyle name="20% - Accent1 4 2 3 4" xfId="6273" xr:uid="{00000000-0005-0000-0000-0000D5030000}"/>
    <cellStyle name="20% - Accent1 4 2 3 4 2" xfId="14248" xr:uid="{00000000-0005-0000-0000-0000D6030000}"/>
    <cellStyle name="20% - Accent1 4 2 3 4 2 2" xfId="38090" xr:uid="{67B4CCDB-410C-446A-AC47-7D9C035A0457}"/>
    <cellStyle name="20% - Accent1 4 2 3 4 3" xfId="22195" xr:uid="{00000000-0005-0000-0000-0000D7030000}"/>
    <cellStyle name="20% - Accent1 4 2 3 4 3 2" xfId="46027" xr:uid="{1523FF43-7719-4892-9869-DC24E156F345}"/>
    <cellStyle name="20% - Accent1 4 2 3 4 4" xfId="30149" xr:uid="{578CB307-35DF-4A5B-9A87-270B6128A203}"/>
    <cellStyle name="20% - Accent1 4 2 3 5" xfId="9816" xr:uid="{00000000-0005-0000-0000-0000D8030000}"/>
    <cellStyle name="20% - Accent1 4 2 3 5 2" xfId="17774" xr:uid="{00000000-0005-0000-0000-0000D9030000}"/>
    <cellStyle name="20% - Accent1 4 2 3 5 2 2" xfId="41614" xr:uid="{43378DD5-697B-43A3-B939-0F5EAD439649}"/>
    <cellStyle name="20% - Accent1 4 2 3 5 3" xfId="25718" xr:uid="{00000000-0005-0000-0000-0000DA030000}"/>
    <cellStyle name="20% - Accent1 4 2 3 5 3 2" xfId="49550" xr:uid="{DCD32F15-1520-4471-A6C0-EE93ED5F8574}"/>
    <cellStyle name="20% - Accent1 4 2 3 5 4" xfId="33673" xr:uid="{6FB684EA-9ECE-42ED-8A75-69ADC57625A7}"/>
    <cellStyle name="20% - Accent1 4 2 3 6" xfId="10712" xr:uid="{00000000-0005-0000-0000-0000DB030000}"/>
    <cellStyle name="20% - Accent1 4 2 3 6 2" xfId="34561" xr:uid="{DAE6ED8E-CCA8-444A-8D76-DF70A3E8B0D8}"/>
    <cellStyle name="20% - Accent1 4 2 3 7" xfId="18667" xr:uid="{00000000-0005-0000-0000-0000DC030000}"/>
    <cellStyle name="20% - Accent1 4 2 3 7 2" xfId="42499" xr:uid="{FA121EF6-A47A-4E1A-9025-375BC38BF689}"/>
    <cellStyle name="20% - Accent1 4 2 3 8" xfId="26619" xr:uid="{7572C061-BB22-4105-807E-D4771002F20E}"/>
    <cellStyle name="20% - Accent1 4 2 3_Exh G" xfId="2009" xr:uid="{00000000-0005-0000-0000-0000DD030000}"/>
    <cellStyle name="20% - Accent1 4 2 4" xfId="1081" xr:uid="{00000000-0005-0000-0000-0000DE030000}"/>
    <cellStyle name="20% - Accent1 4 2 4 2" xfId="4611" xr:uid="{00000000-0005-0000-0000-0000DF030000}"/>
    <cellStyle name="20% - Accent1 4 2 4 2 2" xfId="8202" xr:uid="{00000000-0005-0000-0000-0000E0030000}"/>
    <cellStyle name="20% - Accent1 4 2 4 2 2 2" xfId="16173" xr:uid="{00000000-0005-0000-0000-0000E1030000}"/>
    <cellStyle name="20% - Accent1 4 2 4 2 2 2 2" xfId="40015" xr:uid="{0DD6E7A0-29EA-4696-A66A-9A79C58D526D}"/>
    <cellStyle name="20% - Accent1 4 2 4 2 2 3" xfId="24119" xr:uid="{00000000-0005-0000-0000-0000E2030000}"/>
    <cellStyle name="20% - Accent1 4 2 4 2 2 3 2" xfId="47951" xr:uid="{BA6817B0-F2AF-4C1B-BEB1-5FA0A7045C90}"/>
    <cellStyle name="20% - Accent1 4 2 4 2 2 4" xfId="32074" xr:uid="{7EB90C30-60DD-456B-AB84-3F8457B27041}"/>
    <cellStyle name="20% - Accent1 4 2 4 2 3" xfId="12635" xr:uid="{00000000-0005-0000-0000-0000E3030000}"/>
    <cellStyle name="20% - Accent1 4 2 4 2 3 2" xfId="36484" xr:uid="{42B3F5B0-10B9-4D9A-97A9-D79E40D96735}"/>
    <cellStyle name="20% - Accent1 4 2 4 2 4" xfId="20590" xr:uid="{00000000-0005-0000-0000-0000E4030000}"/>
    <cellStyle name="20% - Accent1 4 2 4 2 4 2" xfId="44422" xr:uid="{558E351C-7FE2-4C29-B727-68A0535B2120}"/>
    <cellStyle name="20% - Accent1 4 2 4 2 5" xfId="28543" xr:uid="{9AA03507-9CFD-4B95-BAD4-A2D71268334A}"/>
    <cellStyle name="20% - Accent1 4 2 4 3" xfId="6443" xr:uid="{00000000-0005-0000-0000-0000E5030000}"/>
    <cellStyle name="20% - Accent1 4 2 4 3 2" xfId="14415" xr:uid="{00000000-0005-0000-0000-0000E6030000}"/>
    <cellStyle name="20% - Accent1 4 2 4 3 2 2" xfId="38257" xr:uid="{B8282176-DA0B-484E-8F20-FD67A8750795}"/>
    <cellStyle name="20% - Accent1 4 2 4 3 3" xfId="22362" xr:uid="{00000000-0005-0000-0000-0000E7030000}"/>
    <cellStyle name="20% - Accent1 4 2 4 3 3 2" xfId="46194" xr:uid="{1DCD6FA9-5C17-4CA4-ACAE-AF09FAA2D8D6}"/>
    <cellStyle name="20% - Accent1 4 2 4 3 4" xfId="30316" xr:uid="{47D7D536-65F7-46E8-B3FD-3EF823F66010}"/>
    <cellStyle name="20% - Accent1 4 2 4 4" xfId="10879" xr:uid="{00000000-0005-0000-0000-0000E8030000}"/>
    <cellStyle name="20% - Accent1 4 2 4 4 2" xfId="34728" xr:uid="{D22ED052-8AD5-412F-96B1-9A7188F48510}"/>
    <cellStyle name="20% - Accent1 4 2 4 5" xfId="18834" xr:uid="{00000000-0005-0000-0000-0000E9030000}"/>
    <cellStyle name="20% - Accent1 4 2 4 5 2" xfId="42666" xr:uid="{75DF9A58-927D-4964-BB26-76A98D4322DF}"/>
    <cellStyle name="20% - Accent1 4 2 4 6" xfId="26786" xr:uid="{08B123D4-C346-4235-8FC2-09B5132479EA}"/>
    <cellStyle name="20% - Accent1 4 2 4_Exh G" xfId="2011" xr:uid="{00000000-0005-0000-0000-0000EA030000}"/>
    <cellStyle name="20% - Accent1 4 2 5" xfId="3732" xr:uid="{00000000-0005-0000-0000-0000EB030000}"/>
    <cellStyle name="20% - Accent1 4 2 5 2" xfId="7324" xr:uid="{00000000-0005-0000-0000-0000EC030000}"/>
    <cellStyle name="20% - Accent1 4 2 5 2 2" xfId="15295" xr:uid="{00000000-0005-0000-0000-0000ED030000}"/>
    <cellStyle name="20% - Accent1 4 2 5 2 2 2" xfId="39137" xr:uid="{66F82BF7-3980-44E2-9DDD-1D69B8FBF8D0}"/>
    <cellStyle name="20% - Accent1 4 2 5 2 3" xfId="23241" xr:uid="{00000000-0005-0000-0000-0000EE030000}"/>
    <cellStyle name="20% - Accent1 4 2 5 2 3 2" xfId="47073" xr:uid="{DC24C7F2-7727-41F3-B86D-DD9FA0F919ED}"/>
    <cellStyle name="20% - Accent1 4 2 5 2 4" xfId="31196" xr:uid="{7E3B676E-712E-4AC9-9107-C53BB8380238}"/>
    <cellStyle name="20% - Accent1 4 2 5 3" xfId="11757" xr:uid="{00000000-0005-0000-0000-0000EF030000}"/>
    <cellStyle name="20% - Accent1 4 2 5 3 2" xfId="35606" xr:uid="{21847302-C405-4684-B133-B3F02D2AE54D}"/>
    <cellStyle name="20% - Accent1 4 2 5 4" xfId="19712" xr:uid="{00000000-0005-0000-0000-0000F0030000}"/>
    <cellStyle name="20% - Accent1 4 2 5 4 2" xfId="43544" xr:uid="{7C048FEC-8DF1-4DC9-BE78-81C523FB85F0}"/>
    <cellStyle name="20% - Accent1 4 2 5 5" xfId="27665" xr:uid="{5E43CC61-2271-4CB9-9005-18FD54A625A9}"/>
    <cellStyle name="20% - Accent1 4 2 6" xfId="5552" xr:uid="{00000000-0005-0000-0000-0000F1030000}"/>
    <cellStyle name="20% - Accent1 4 2 6 2" xfId="13536" xr:uid="{00000000-0005-0000-0000-0000F2030000}"/>
    <cellStyle name="20% - Accent1 4 2 6 2 2" xfId="37379" xr:uid="{ACA0B41F-0B1F-4265-B3C3-58C0711EEF4A}"/>
    <cellStyle name="20% - Accent1 4 2 6 3" xfId="21484" xr:uid="{00000000-0005-0000-0000-0000F3030000}"/>
    <cellStyle name="20% - Accent1 4 2 6 3 2" xfId="45316" xr:uid="{BD842D7A-2E2E-40DC-824A-75463B25F1E3}"/>
    <cellStyle name="20% - Accent1 4 2 6 4" xfId="29438" xr:uid="{0222D965-44BC-491B-AF10-8A56718B4BF4}"/>
    <cellStyle name="20% - Accent1 4 2 7" xfId="9105" xr:uid="{00000000-0005-0000-0000-0000F4030000}"/>
    <cellStyle name="20% - Accent1 4 2 7 2" xfId="17063" xr:uid="{00000000-0005-0000-0000-0000F5030000}"/>
    <cellStyle name="20% - Accent1 4 2 7 2 2" xfId="40903" xr:uid="{BEC9A633-1C6F-458A-9382-AA2DD861798C}"/>
    <cellStyle name="20% - Accent1 4 2 7 3" xfId="25007" xr:uid="{00000000-0005-0000-0000-0000F6030000}"/>
    <cellStyle name="20% - Accent1 4 2 7 3 2" xfId="48839" xr:uid="{74C00115-41FE-4AA5-8C0A-9AD8CCF192F7}"/>
    <cellStyle name="20% - Accent1 4 2 7 4" xfId="32962" xr:uid="{1D311224-7DAE-4656-B917-4934E6A00C61}"/>
    <cellStyle name="20% - Accent1 4 2 8" xfId="10001" xr:uid="{00000000-0005-0000-0000-0000F7030000}"/>
    <cellStyle name="20% - Accent1 4 2 8 2" xfId="33850" xr:uid="{0F8F12E4-BDB7-4038-AD1C-F71222E06839}"/>
    <cellStyle name="20% - Accent1 4 2 9" xfId="17956" xr:uid="{00000000-0005-0000-0000-0000F8030000}"/>
    <cellStyle name="20% - Accent1 4 2 9 2" xfId="41788" xr:uid="{4F03407B-C9BE-4D73-A01E-62E802F75AE0}"/>
    <cellStyle name="20% - Accent1 4 2_Exh G" xfId="2006" xr:uid="{00000000-0005-0000-0000-0000F9030000}"/>
    <cellStyle name="20% - Accent1 4 3" xfId="55" xr:uid="{00000000-0005-0000-0000-0000FA030000}"/>
    <cellStyle name="20% - Accent1 4 3 2" xfId="1083" xr:uid="{00000000-0005-0000-0000-0000FB030000}"/>
    <cellStyle name="20% - Accent1 4 3 2 2" xfId="4613" xr:uid="{00000000-0005-0000-0000-0000FC030000}"/>
    <cellStyle name="20% - Accent1 4 3 2 2 2" xfId="8204" xr:uid="{00000000-0005-0000-0000-0000FD030000}"/>
    <cellStyle name="20% - Accent1 4 3 2 2 2 2" xfId="16175" xr:uid="{00000000-0005-0000-0000-0000FE030000}"/>
    <cellStyle name="20% - Accent1 4 3 2 2 2 2 2" xfId="40017" xr:uid="{4B35221E-18FF-48C9-A356-72821DDE7E11}"/>
    <cellStyle name="20% - Accent1 4 3 2 2 2 3" xfId="24121" xr:uid="{00000000-0005-0000-0000-0000FF030000}"/>
    <cellStyle name="20% - Accent1 4 3 2 2 2 3 2" xfId="47953" xr:uid="{4B9F2669-A985-4055-B91C-B44BA48EFB68}"/>
    <cellStyle name="20% - Accent1 4 3 2 2 2 4" xfId="32076" xr:uid="{751FB8FB-5C45-4459-9DB4-57E001210681}"/>
    <cellStyle name="20% - Accent1 4 3 2 2 3" xfId="12637" xr:uid="{00000000-0005-0000-0000-000000040000}"/>
    <cellStyle name="20% - Accent1 4 3 2 2 3 2" xfId="36486" xr:uid="{D344EA7F-2561-42FE-B7BF-DE14E546A3C7}"/>
    <cellStyle name="20% - Accent1 4 3 2 2 4" xfId="20592" xr:uid="{00000000-0005-0000-0000-000001040000}"/>
    <cellStyle name="20% - Accent1 4 3 2 2 4 2" xfId="44424" xr:uid="{6968D1A0-9747-43C7-B7F5-92D6C6756EFE}"/>
    <cellStyle name="20% - Accent1 4 3 2 2 5" xfId="28545" xr:uid="{D238D41C-3C64-4026-8FC3-7A37018194E3}"/>
    <cellStyle name="20% - Accent1 4 3 2 3" xfId="6445" xr:uid="{00000000-0005-0000-0000-000002040000}"/>
    <cellStyle name="20% - Accent1 4 3 2 3 2" xfId="14417" xr:uid="{00000000-0005-0000-0000-000003040000}"/>
    <cellStyle name="20% - Accent1 4 3 2 3 2 2" xfId="38259" xr:uid="{C0BEB7A6-8255-4F6E-9624-127057087968}"/>
    <cellStyle name="20% - Accent1 4 3 2 3 3" xfId="22364" xr:uid="{00000000-0005-0000-0000-000004040000}"/>
    <cellStyle name="20% - Accent1 4 3 2 3 3 2" xfId="46196" xr:uid="{2652E3C1-ABA8-4DA2-957F-11AAA47C0D10}"/>
    <cellStyle name="20% - Accent1 4 3 2 3 4" xfId="30318" xr:uid="{CC4854DD-DF1E-4167-B8BA-A86BECD75146}"/>
    <cellStyle name="20% - Accent1 4 3 2 4" xfId="10881" xr:uid="{00000000-0005-0000-0000-000005040000}"/>
    <cellStyle name="20% - Accent1 4 3 2 4 2" xfId="34730" xr:uid="{8C5EDF61-EF4C-48FE-9EE9-5148798CFE89}"/>
    <cellStyle name="20% - Accent1 4 3 2 5" xfId="18836" xr:uid="{00000000-0005-0000-0000-000006040000}"/>
    <cellStyle name="20% - Accent1 4 3 2 5 2" xfId="42668" xr:uid="{F9FD81D9-243E-4985-A0D1-58BC7B1F4608}"/>
    <cellStyle name="20% - Accent1 4 3 2 6" xfId="26788" xr:uid="{7184779F-37A0-4C01-873D-661BCA92BC1E}"/>
    <cellStyle name="20% - Accent1 4 3 2_Exh G" xfId="2013" xr:uid="{00000000-0005-0000-0000-000007040000}"/>
    <cellStyle name="20% - Accent1 4 3 3" xfId="3734" xr:uid="{00000000-0005-0000-0000-000008040000}"/>
    <cellStyle name="20% - Accent1 4 3 3 2" xfId="7326" xr:uid="{00000000-0005-0000-0000-000009040000}"/>
    <cellStyle name="20% - Accent1 4 3 3 2 2" xfId="15297" xr:uid="{00000000-0005-0000-0000-00000A040000}"/>
    <cellStyle name="20% - Accent1 4 3 3 2 2 2" xfId="39139" xr:uid="{DD57C441-0D21-47EE-93AC-852B29E6DD4F}"/>
    <cellStyle name="20% - Accent1 4 3 3 2 3" xfId="23243" xr:uid="{00000000-0005-0000-0000-00000B040000}"/>
    <cellStyle name="20% - Accent1 4 3 3 2 3 2" xfId="47075" xr:uid="{7EA61BA7-BF23-490C-ACCA-31501932CDF9}"/>
    <cellStyle name="20% - Accent1 4 3 3 2 4" xfId="31198" xr:uid="{BA5DC846-33C3-4ADB-8B14-28187B2F9442}"/>
    <cellStyle name="20% - Accent1 4 3 3 3" xfId="11759" xr:uid="{00000000-0005-0000-0000-00000C040000}"/>
    <cellStyle name="20% - Accent1 4 3 3 3 2" xfId="35608" xr:uid="{9A1FBE60-C93C-4E3D-89C0-A746626CA683}"/>
    <cellStyle name="20% - Accent1 4 3 3 4" xfId="19714" xr:uid="{00000000-0005-0000-0000-00000D040000}"/>
    <cellStyle name="20% - Accent1 4 3 3 4 2" xfId="43546" xr:uid="{3A15A7FB-4FB8-44B3-8582-F666E2F46FCE}"/>
    <cellStyle name="20% - Accent1 4 3 3 5" xfId="27667" xr:uid="{7B94CC94-B40C-49DA-970A-551840235A4A}"/>
    <cellStyle name="20% - Accent1 4 3 4" xfId="5554" xr:uid="{00000000-0005-0000-0000-00000E040000}"/>
    <cellStyle name="20% - Accent1 4 3 4 2" xfId="13538" xr:uid="{00000000-0005-0000-0000-00000F040000}"/>
    <cellStyle name="20% - Accent1 4 3 4 2 2" xfId="37381" xr:uid="{6C77DA09-3ABF-4914-B8D1-EC91D53D65DD}"/>
    <cellStyle name="20% - Accent1 4 3 4 3" xfId="21486" xr:uid="{00000000-0005-0000-0000-000010040000}"/>
    <cellStyle name="20% - Accent1 4 3 4 3 2" xfId="45318" xr:uid="{2C8EE6F1-C93A-465D-AAF7-485C36CE0492}"/>
    <cellStyle name="20% - Accent1 4 3 4 4" xfId="29440" xr:uid="{FEC49EAD-2DC4-4B79-94E0-79DD5D664403}"/>
    <cellStyle name="20% - Accent1 4 3 5" xfId="9107" xr:uid="{00000000-0005-0000-0000-000011040000}"/>
    <cellStyle name="20% - Accent1 4 3 5 2" xfId="17065" xr:uid="{00000000-0005-0000-0000-000012040000}"/>
    <cellStyle name="20% - Accent1 4 3 5 2 2" xfId="40905" xr:uid="{E85541FB-483F-47E6-A755-C430FB755A2E}"/>
    <cellStyle name="20% - Accent1 4 3 5 3" xfId="25009" xr:uid="{00000000-0005-0000-0000-000013040000}"/>
    <cellStyle name="20% - Accent1 4 3 5 3 2" xfId="48841" xr:uid="{C2F8B4FE-A4C3-46A9-8D95-F10857D126B9}"/>
    <cellStyle name="20% - Accent1 4 3 5 4" xfId="32964" xr:uid="{788052F5-4F8E-4969-818C-5F57E32C5592}"/>
    <cellStyle name="20% - Accent1 4 3 6" xfId="10003" xr:uid="{00000000-0005-0000-0000-000014040000}"/>
    <cellStyle name="20% - Accent1 4 3 6 2" xfId="33852" xr:uid="{1BE74164-E081-4E6A-B3E6-57BCF3C14B07}"/>
    <cellStyle name="20% - Accent1 4 3 7" xfId="17958" xr:uid="{00000000-0005-0000-0000-000015040000}"/>
    <cellStyle name="20% - Accent1 4 3 7 2" xfId="41790" xr:uid="{0F57D90F-1ED8-4FA9-BB4F-D06440EE7E0C}"/>
    <cellStyle name="20% - Accent1 4 3 8" xfId="25910" xr:uid="{0A740EE4-3BBB-45EA-937D-19928EA17374}"/>
    <cellStyle name="20% - Accent1 4 3_Exh G" xfId="2012" xr:uid="{00000000-0005-0000-0000-000016040000}"/>
    <cellStyle name="20% - Accent1 4 4" xfId="867" xr:uid="{00000000-0005-0000-0000-000017040000}"/>
    <cellStyle name="20% - Accent1 4 4 2" xfId="1803" xr:uid="{00000000-0005-0000-0000-000018040000}"/>
    <cellStyle name="20% - Accent1 4 4 2 2" xfId="5321" xr:uid="{00000000-0005-0000-0000-000019040000}"/>
    <cellStyle name="20% - Accent1 4 4 2 2 2" xfId="8912" xr:uid="{00000000-0005-0000-0000-00001A040000}"/>
    <cellStyle name="20% - Accent1 4 4 2 2 2 2" xfId="16883" xr:uid="{00000000-0005-0000-0000-00001B040000}"/>
    <cellStyle name="20% - Accent1 4 4 2 2 2 2 2" xfId="40725" xr:uid="{A4EA2F53-CB07-4257-AB7E-8C9E793B4B92}"/>
    <cellStyle name="20% - Accent1 4 4 2 2 2 3" xfId="24829" xr:uid="{00000000-0005-0000-0000-00001C040000}"/>
    <cellStyle name="20% - Accent1 4 4 2 2 2 3 2" xfId="48661" xr:uid="{ACD7910A-5E97-4653-8407-9731304196DC}"/>
    <cellStyle name="20% - Accent1 4 4 2 2 2 4" xfId="32784" xr:uid="{FF7D5ED6-2F93-4C85-883E-42D19BDDD9CC}"/>
    <cellStyle name="20% - Accent1 4 4 2 2 3" xfId="13345" xr:uid="{00000000-0005-0000-0000-00001D040000}"/>
    <cellStyle name="20% - Accent1 4 4 2 2 3 2" xfId="37194" xr:uid="{F82781A6-475E-4A65-B037-53D7E9270657}"/>
    <cellStyle name="20% - Accent1 4 4 2 2 4" xfId="21300" xr:uid="{00000000-0005-0000-0000-00001E040000}"/>
    <cellStyle name="20% - Accent1 4 4 2 2 4 2" xfId="45132" xr:uid="{C95A775E-B376-4F44-A1A6-3BAAC0FFB31D}"/>
    <cellStyle name="20% - Accent1 4 4 2 2 5" xfId="29253" xr:uid="{92FE9F6A-AF2E-4948-B69D-7C3D3C501A1B}"/>
    <cellStyle name="20% - Accent1 4 4 2 3" xfId="7153" xr:uid="{00000000-0005-0000-0000-00001F040000}"/>
    <cellStyle name="20% - Accent1 4 4 2 3 2" xfId="15125" xr:uid="{00000000-0005-0000-0000-000020040000}"/>
    <cellStyle name="20% - Accent1 4 4 2 3 2 2" xfId="38967" xr:uid="{8FB92D08-8529-48A4-94A0-63BCC4EBE9EA}"/>
    <cellStyle name="20% - Accent1 4 4 2 3 3" xfId="23072" xr:uid="{00000000-0005-0000-0000-000021040000}"/>
    <cellStyle name="20% - Accent1 4 4 2 3 3 2" xfId="46904" xr:uid="{2A2E222B-0F3A-419B-A4E6-40BB92D72C05}"/>
    <cellStyle name="20% - Accent1 4 4 2 3 4" xfId="31026" xr:uid="{164C706C-83E4-4A64-A8CB-46CBA3B356A7}"/>
    <cellStyle name="20% - Accent1 4 4 2 4" xfId="11589" xr:uid="{00000000-0005-0000-0000-000022040000}"/>
    <cellStyle name="20% - Accent1 4 4 2 4 2" xfId="35438" xr:uid="{4C7D6264-DAD6-4806-BFC7-09AA5B109A9F}"/>
    <cellStyle name="20% - Accent1 4 4 2 5" xfId="19544" xr:uid="{00000000-0005-0000-0000-000023040000}"/>
    <cellStyle name="20% - Accent1 4 4 2 5 2" xfId="43376" xr:uid="{17F1A6E6-03BF-474B-BCA3-9504E8150F59}"/>
    <cellStyle name="20% - Accent1 4 4 2 6" xfId="27496" xr:uid="{C6FB96C4-FB43-45EA-B4BD-5DA82F1DCA25}"/>
    <cellStyle name="20% - Accent1 4 4 2_Exh G" xfId="2015" xr:uid="{00000000-0005-0000-0000-000024040000}"/>
    <cellStyle name="20% - Accent1 4 4 3" xfId="4442" xr:uid="{00000000-0005-0000-0000-000025040000}"/>
    <cellStyle name="20% - Accent1 4 4 3 2" xfId="8034" xr:uid="{00000000-0005-0000-0000-000026040000}"/>
    <cellStyle name="20% - Accent1 4 4 3 2 2" xfId="16005" xr:uid="{00000000-0005-0000-0000-000027040000}"/>
    <cellStyle name="20% - Accent1 4 4 3 2 2 2" xfId="39847" xr:uid="{C686B233-6AFA-498F-B7FC-AB778C956C63}"/>
    <cellStyle name="20% - Accent1 4 4 3 2 3" xfId="23951" xr:uid="{00000000-0005-0000-0000-000028040000}"/>
    <cellStyle name="20% - Accent1 4 4 3 2 3 2" xfId="47783" xr:uid="{7F1374F2-1547-4A52-B15B-E3C1B2E29177}"/>
    <cellStyle name="20% - Accent1 4 4 3 2 4" xfId="31906" xr:uid="{8BBB225E-6D9A-41E9-B163-830A2CC00924}"/>
    <cellStyle name="20% - Accent1 4 4 3 3" xfId="12467" xr:uid="{00000000-0005-0000-0000-000029040000}"/>
    <cellStyle name="20% - Accent1 4 4 3 3 2" xfId="36316" xr:uid="{74ABB6C5-E49E-4DDF-B8F5-B12B4CDD8A0B}"/>
    <cellStyle name="20% - Accent1 4 4 3 4" xfId="20422" xr:uid="{00000000-0005-0000-0000-00002A040000}"/>
    <cellStyle name="20% - Accent1 4 4 3 4 2" xfId="44254" xr:uid="{E3C8C4E0-7756-47ED-B8C7-290D79E53B1C}"/>
    <cellStyle name="20% - Accent1 4 4 3 5" xfId="28375" xr:uid="{8A59B48F-630B-4141-849B-ABB13CE7D271}"/>
    <cellStyle name="20% - Accent1 4 4 4" xfId="6272" xr:uid="{00000000-0005-0000-0000-00002B040000}"/>
    <cellStyle name="20% - Accent1 4 4 4 2" xfId="14247" xr:uid="{00000000-0005-0000-0000-00002C040000}"/>
    <cellStyle name="20% - Accent1 4 4 4 2 2" xfId="38089" xr:uid="{C63D9412-6B60-403F-B906-281DB053BDAE}"/>
    <cellStyle name="20% - Accent1 4 4 4 3" xfId="22194" xr:uid="{00000000-0005-0000-0000-00002D040000}"/>
    <cellStyle name="20% - Accent1 4 4 4 3 2" xfId="46026" xr:uid="{557E8482-4643-4339-8C1F-7802E62D11E3}"/>
    <cellStyle name="20% - Accent1 4 4 4 4" xfId="30148" xr:uid="{75BF4FB5-4DD1-4241-95E7-03D76DFB4B4F}"/>
    <cellStyle name="20% - Accent1 4 4 5" xfId="9815" xr:uid="{00000000-0005-0000-0000-00002E040000}"/>
    <cellStyle name="20% - Accent1 4 4 5 2" xfId="17773" xr:uid="{00000000-0005-0000-0000-00002F040000}"/>
    <cellStyle name="20% - Accent1 4 4 5 2 2" xfId="41613" xr:uid="{4A3B72E9-63C0-4B27-BB6D-D3594FD24ACB}"/>
    <cellStyle name="20% - Accent1 4 4 5 3" xfId="25717" xr:uid="{00000000-0005-0000-0000-000030040000}"/>
    <cellStyle name="20% - Accent1 4 4 5 3 2" xfId="49549" xr:uid="{D590A902-E8DF-4EA2-9AF5-9C69469AB362}"/>
    <cellStyle name="20% - Accent1 4 4 5 4" xfId="33672" xr:uid="{0A7C5558-4DA6-4570-B662-D669E8C29708}"/>
    <cellStyle name="20% - Accent1 4 4 6" xfId="10711" xr:uid="{00000000-0005-0000-0000-000031040000}"/>
    <cellStyle name="20% - Accent1 4 4 6 2" xfId="34560" xr:uid="{D6FE8200-5AE9-47F5-A8EF-D2B269C6F3F4}"/>
    <cellStyle name="20% - Accent1 4 4 7" xfId="18666" xr:uid="{00000000-0005-0000-0000-000032040000}"/>
    <cellStyle name="20% - Accent1 4 4 7 2" xfId="42498" xr:uid="{0E8ADED1-77C5-4F14-9747-EADA5C7E92C7}"/>
    <cellStyle name="20% - Accent1 4 4 8" xfId="26618" xr:uid="{8BB50315-1772-4D5C-A624-C07CB520282B}"/>
    <cellStyle name="20% - Accent1 4 4_Exh G" xfId="2014" xr:uid="{00000000-0005-0000-0000-000033040000}"/>
    <cellStyle name="20% - Accent1 4 5" xfId="1080" xr:uid="{00000000-0005-0000-0000-000034040000}"/>
    <cellStyle name="20% - Accent1 4 5 2" xfId="4610" xr:uid="{00000000-0005-0000-0000-000035040000}"/>
    <cellStyle name="20% - Accent1 4 5 2 2" xfId="8201" xr:uid="{00000000-0005-0000-0000-000036040000}"/>
    <cellStyle name="20% - Accent1 4 5 2 2 2" xfId="16172" xr:uid="{00000000-0005-0000-0000-000037040000}"/>
    <cellStyle name="20% - Accent1 4 5 2 2 2 2" xfId="40014" xr:uid="{EF797894-35EF-4CB4-9752-ECD673772F25}"/>
    <cellStyle name="20% - Accent1 4 5 2 2 3" xfId="24118" xr:uid="{00000000-0005-0000-0000-000038040000}"/>
    <cellStyle name="20% - Accent1 4 5 2 2 3 2" xfId="47950" xr:uid="{A9A41AD2-F2CB-4593-A51C-E8A6CB3ECDB8}"/>
    <cellStyle name="20% - Accent1 4 5 2 2 4" xfId="32073" xr:uid="{43A2305E-C7EE-4FF7-81F1-351FAA39104E}"/>
    <cellStyle name="20% - Accent1 4 5 2 3" xfId="12634" xr:uid="{00000000-0005-0000-0000-000039040000}"/>
    <cellStyle name="20% - Accent1 4 5 2 3 2" xfId="36483" xr:uid="{EE5BE65E-9AEB-4455-A26D-5B31B72DB7C5}"/>
    <cellStyle name="20% - Accent1 4 5 2 4" xfId="20589" xr:uid="{00000000-0005-0000-0000-00003A040000}"/>
    <cellStyle name="20% - Accent1 4 5 2 4 2" xfId="44421" xr:uid="{5FBBA7AD-D715-4DBA-B926-71DD30BA26F2}"/>
    <cellStyle name="20% - Accent1 4 5 2 5" xfId="28542" xr:uid="{2F81118D-6E8A-4221-9FBB-64F4B9503E5E}"/>
    <cellStyle name="20% - Accent1 4 5 3" xfId="6442" xr:uid="{00000000-0005-0000-0000-00003B040000}"/>
    <cellStyle name="20% - Accent1 4 5 3 2" xfId="14414" xr:uid="{00000000-0005-0000-0000-00003C040000}"/>
    <cellStyle name="20% - Accent1 4 5 3 2 2" xfId="38256" xr:uid="{FE8A58FF-5D16-44B7-825D-4434D8826D39}"/>
    <cellStyle name="20% - Accent1 4 5 3 3" xfId="22361" xr:uid="{00000000-0005-0000-0000-00003D040000}"/>
    <cellStyle name="20% - Accent1 4 5 3 3 2" xfId="46193" xr:uid="{14B9AB73-55B7-4200-A986-26ABA898CAAC}"/>
    <cellStyle name="20% - Accent1 4 5 3 4" xfId="30315" xr:uid="{A532B539-7475-44CF-985C-BF4A844A7485}"/>
    <cellStyle name="20% - Accent1 4 5 4" xfId="10878" xr:uid="{00000000-0005-0000-0000-00003E040000}"/>
    <cellStyle name="20% - Accent1 4 5 4 2" xfId="34727" xr:uid="{EE0CB0CB-4927-420A-BDBA-6E8C0F87D508}"/>
    <cellStyle name="20% - Accent1 4 5 5" xfId="18833" xr:uid="{00000000-0005-0000-0000-00003F040000}"/>
    <cellStyle name="20% - Accent1 4 5 5 2" xfId="42665" xr:uid="{AFBBFA4F-A579-46A7-A4F9-E049B462BC5F}"/>
    <cellStyle name="20% - Accent1 4 5 6" xfId="26785" xr:uid="{76DAB1AD-91C6-4DD5-AA9D-43E08F2E6848}"/>
    <cellStyle name="20% - Accent1 4 5_Exh G" xfId="2016" xr:uid="{00000000-0005-0000-0000-000040040000}"/>
    <cellStyle name="20% - Accent1 4 6" xfId="3731" xr:uid="{00000000-0005-0000-0000-000041040000}"/>
    <cellStyle name="20% - Accent1 4 6 2" xfId="7323" xr:uid="{00000000-0005-0000-0000-000042040000}"/>
    <cellStyle name="20% - Accent1 4 6 2 2" xfId="15294" xr:uid="{00000000-0005-0000-0000-000043040000}"/>
    <cellStyle name="20% - Accent1 4 6 2 2 2" xfId="39136" xr:uid="{A98B7972-EB65-4BA5-83E8-A54786183883}"/>
    <cellStyle name="20% - Accent1 4 6 2 3" xfId="23240" xr:uid="{00000000-0005-0000-0000-000044040000}"/>
    <cellStyle name="20% - Accent1 4 6 2 3 2" xfId="47072" xr:uid="{6AB90CB8-1FC2-4F03-AA70-901FF503B8EB}"/>
    <cellStyle name="20% - Accent1 4 6 2 4" xfId="31195" xr:uid="{C677D359-EA44-4DDC-88B6-12D5233EF3F7}"/>
    <cellStyle name="20% - Accent1 4 6 3" xfId="11756" xr:uid="{00000000-0005-0000-0000-000045040000}"/>
    <cellStyle name="20% - Accent1 4 6 3 2" xfId="35605" xr:uid="{E6147067-EBC3-4F82-B5F1-28EBE49649C7}"/>
    <cellStyle name="20% - Accent1 4 6 4" xfId="19711" xr:uid="{00000000-0005-0000-0000-000046040000}"/>
    <cellStyle name="20% - Accent1 4 6 4 2" xfId="43543" xr:uid="{631A4D3B-C008-4B41-A86F-10D10E5E27E8}"/>
    <cellStyle name="20% - Accent1 4 6 5" xfId="27664" xr:uid="{44E11D0D-7C43-4231-9FE8-8EFBE8855C22}"/>
    <cellStyle name="20% - Accent1 4 7" xfId="5551" xr:uid="{00000000-0005-0000-0000-000047040000}"/>
    <cellStyle name="20% - Accent1 4 7 2" xfId="13535" xr:uid="{00000000-0005-0000-0000-000048040000}"/>
    <cellStyle name="20% - Accent1 4 7 2 2" xfId="37378" xr:uid="{3C48896D-6769-44F1-844B-2C0C59DDACD3}"/>
    <cellStyle name="20% - Accent1 4 7 3" xfId="21483" xr:uid="{00000000-0005-0000-0000-000049040000}"/>
    <cellStyle name="20% - Accent1 4 7 3 2" xfId="45315" xr:uid="{87D9B8A1-D41C-4CCD-B87A-ED7772C67576}"/>
    <cellStyle name="20% - Accent1 4 7 4" xfId="29437" xr:uid="{D36DFFAE-04EA-4675-9831-34BD46488403}"/>
    <cellStyle name="20% - Accent1 4 8" xfId="9104" xr:uid="{00000000-0005-0000-0000-00004A040000}"/>
    <cellStyle name="20% - Accent1 4 8 2" xfId="17062" xr:uid="{00000000-0005-0000-0000-00004B040000}"/>
    <cellStyle name="20% - Accent1 4 8 2 2" xfId="40902" xr:uid="{92B7D993-03D9-4162-B7DB-7F2A5AA3A2CA}"/>
    <cellStyle name="20% - Accent1 4 8 3" xfId="25006" xr:uid="{00000000-0005-0000-0000-00004C040000}"/>
    <cellStyle name="20% - Accent1 4 8 3 2" xfId="48838" xr:uid="{476F9066-AB1B-49E2-BABD-1C02954C0966}"/>
    <cellStyle name="20% - Accent1 4 8 4" xfId="32961" xr:uid="{3E603D4C-63DE-4C67-9DC8-1FE090B64EB6}"/>
    <cellStyle name="20% - Accent1 4 9" xfId="10000" xr:uid="{00000000-0005-0000-0000-00004D040000}"/>
    <cellStyle name="20% - Accent1 4 9 2" xfId="33849" xr:uid="{0043F419-0471-4E1F-8E0C-828DECF4F1C5}"/>
    <cellStyle name="20% - Accent1 4_Exh G" xfId="2005" xr:uid="{00000000-0005-0000-0000-00004E040000}"/>
    <cellStyle name="20% - Accent1 5" xfId="56" xr:uid="{00000000-0005-0000-0000-00004F040000}"/>
    <cellStyle name="20% - Accent1 5 10" xfId="17959" xr:uid="{00000000-0005-0000-0000-000050040000}"/>
    <cellStyle name="20% - Accent1 5 10 2" xfId="41791" xr:uid="{482C0A4E-2DD6-40D1-9CA8-A7356F021B69}"/>
    <cellStyle name="20% - Accent1 5 11" xfId="25911" xr:uid="{3210EE92-A1F8-4DE1-8060-34C3AC16DF62}"/>
    <cellStyle name="20% - Accent1 5 2" xfId="57" xr:uid="{00000000-0005-0000-0000-000051040000}"/>
    <cellStyle name="20% - Accent1 5 2 2" xfId="58" xr:uid="{00000000-0005-0000-0000-000052040000}"/>
    <cellStyle name="20% - Accent1 5 2 2 2" xfId="1086" xr:uid="{00000000-0005-0000-0000-000053040000}"/>
    <cellStyle name="20% - Accent1 5 2 2 2 2" xfId="4616" xr:uid="{00000000-0005-0000-0000-000054040000}"/>
    <cellStyle name="20% - Accent1 5 2 2 2 2 2" xfId="8207" xr:uid="{00000000-0005-0000-0000-000055040000}"/>
    <cellStyle name="20% - Accent1 5 2 2 2 2 2 2" xfId="16178" xr:uid="{00000000-0005-0000-0000-000056040000}"/>
    <cellStyle name="20% - Accent1 5 2 2 2 2 2 2 2" xfId="40020" xr:uid="{1FB30947-ACCD-4B0B-A5B4-D23017804AC3}"/>
    <cellStyle name="20% - Accent1 5 2 2 2 2 2 3" xfId="24124" xr:uid="{00000000-0005-0000-0000-000057040000}"/>
    <cellStyle name="20% - Accent1 5 2 2 2 2 2 3 2" xfId="47956" xr:uid="{E0086609-7F53-49F3-95A7-A8C83BAEDA40}"/>
    <cellStyle name="20% - Accent1 5 2 2 2 2 2 4" xfId="32079" xr:uid="{2A361906-8B62-4902-9130-E55FEFEF6CA0}"/>
    <cellStyle name="20% - Accent1 5 2 2 2 2 3" xfId="12640" xr:uid="{00000000-0005-0000-0000-000058040000}"/>
    <cellStyle name="20% - Accent1 5 2 2 2 2 3 2" xfId="36489" xr:uid="{ACC01F26-04E8-48CF-81A2-EC1D48CA2074}"/>
    <cellStyle name="20% - Accent1 5 2 2 2 2 4" xfId="20595" xr:uid="{00000000-0005-0000-0000-000059040000}"/>
    <cellStyle name="20% - Accent1 5 2 2 2 2 4 2" xfId="44427" xr:uid="{58221819-88ED-4F66-BCB1-0DD7BB3C2541}"/>
    <cellStyle name="20% - Accent1 5 2 2 2 2 5" xfId="28548" xr:uid="{4F6F1C1E-E350-4864-8F03-12D0342DDE12}"/>
    <cellStyle name="20% - Accent1 5 2 2 2 3" xfId="6448" xr:uid="{00000000-0005-0000-0000-00005A040000}"/>
    <cellStyle name="20% - Accent1 5 2 2 2 3 2" xfId="14420" xr:uid="{00000000-0005-0000-0000-00005B040000}"/>
    <cellStyle name="20% - Accent1 5 2 2 2 3 2 2" xfId="38262" xr:uid="{77A8F44A-38B6-45D5-9203-49BC830997B6}"/>
    <cellStyle name="20% - Accent1 5 2 2 2 3 3" xfId="22367" xr:uid="{00000000-0005-0000-0000-00005C040000}"/>
    <cellStyle name="20% - Accent1 5 2 2 2 3 3 2" xfId="46199" xr:uid="{C2597512-B8D7-4DA7-AC00-58344ED85D3E}"/>
    <cellStyle name="20% - Accent1 5 2 2 2 3 4" xfId="30321" xr:uid="{A895C421-9E6D-4A67-AFEC-F4F8063D6584}"/>
    <cellStyle name="20% - Accent1 5 2 2 2 4" xfId="10884" xr:uid="{00000000-0005-0000-0000-00005D040000}"/>
    <cellStyle name="20% - Accent1 5 2 2 2 4 2" xfId="34733" xr:uid="{46915221-AD7C-4383-81A8-7A3DDA374B7D}"/>
    <cellStyle name="20% - Accent1 5 2 2 2 5" xfId="18839" xr:uid="{00000000-0005-0000-0000-00005E040000}"/>
    <cellStyle name="20% - Accent1 5 2 2 2 5 2" xfId="42671" xr:uid="{058634F8-F554-4ADF-BA24-4445BBC5F6F0}"/>
    <cellStyle name="20% - Accent1 5 2 2 2 6" xfId="26791" xr:uid="{3CACD9F9-7933-4BD0-ACAE-B448E89AB0BF}"/>
    <cellStyle name="20% - Accent1 5 2 2 2_Exh G" xfId="2020" xr:uid="{00000000-0005-0000-0000-00005F040000}"/>
    <cellStyle name="20% - Accent1 5 2 2 3" xfId="3737" xr:uid="{00000000-0005-0000-0000-000060040000}"/>
    <cellStyle name="20% - Accent1 5 2 2 3 2" xfId="7329" xr:uid="{00000000-0005-0000-0000-000061040000}"/>
    <cellStyle name="20% - Accent1 5 2 2 3 2 2" xfId="15300" xr:uid="{00000000-0005-0000-0000-000062040000}"/>
    <cellStyle name="20% - Accent1 5 2 2 3 2 2 2" xfId="39142" xr:uid="{1EC2EA25-17FE-42AE-A6BD-71AE4710A111}"/>
    <cellStyle name="20% - Accent1 5 2 2 3 2 3" xfId="23246" xr:uid="{00000000-0005-0000-0000-000063040000}"/>
    <cellStyle name="20% - Accent1 5 2 2 3 2 3 2" xfId="47078" xr:uid="{488C076A-82F4-4DE6-B32E-6BEA4C19EF5E}"/>
    <cellStyle name="20% - Accent1 5 2 2 3 2 4" xfId="31201" xr:uid="{93860A2C-B692-4D67-9EA2-98663B6D2DD7}"/>
    <cellStyle name="20% - Accent1 5 2 2 3 3" xfId="11762" xr:uid="{00000000-0005-0000-0000-000064040000}"/>
    <cellStyle name="20% - Accent1 5 2 2 3 3 2" xfId="35611" xr:uid="{584D8AB0-0D87-4F64-B124-0D3271776C99}"/>
    <cellStyle name="20% - Accent1 5 2 2 3 4" xfId="19717" xr:uid="{00000000-0005-0000-0000-000065040000}"/>
    <cellStyle name="20% - Accent1 5 2 2 3 4 2" xfId="43549" xr:uid="{8F420DC6-F8DF-4A1C-A732-818539A97966}"/>
    <cellStyle name="20% - Accent1 5 2 2 3 5" xfId="27670" xr:uid="{DFFD3B46-A1A1-4655-A0B7-819AAA89AFCA}"/>
    <cellStyle name="20% - Accent1 5 2 2 4" xfId="5557" xr:uid="{00000000-0005-0000-0000-000066040000}"/>
    <cellStyle name="20% - Accent1 5 2 2 4 2" xfId="13541" xr:uid="{00000000-0005-0000-0000-000067040000}"/>
    <cellStyle name="20% - Accent1 5 2 2 4 2 2" xfId="37384" xr:uid="{8C502D8A-1C46-4579-A11A-9DB87AD8EF3C}"/>
    <cellStyle name="20% - Accent1 5 2 2 4 3" xfId="21489" xr:uid="{00000000-0005-0000-0000-000068040000}"/>
    <cellStyle name="20% - Accent1 5 2 2 4 3 2" xfId="45321" xr:uid="{CFE0F8B5-9194-40F8-BF33-FEB7AD1CA08E}"/>
    <cellStyle name="20% - Accent1 5 2 2 4 4" xfId="29443" xr:uid="{717F3129-A991-4A4A-ABAE-730DC6F68BFB}"/>
    <cellStyle name="20% - Accent1 5 2 2 5" xfId="9110" xr:uid="{00000000-0005-0000-0000-000069040000}"/>
    <cellStyle name="20% - Accent1 5 2 2 5 2" xfId="17068" xr:uid="{00000000-0005-0000-0000-00006A040000}"/>
    <cellStyle name="20% - Accent1 5 2 2 5 2 2" xfId="40908" xr:uid="{69F0E454-ECF3-4893-9554-BD3D2B6CB9EF}"/>
    <cellStyle name="20% - Accent1 5 2 2 5 3" xfId="25012" xr:uid="{00000000-0005-0000-0000-00006B040000}"/>
    <cellStyle name="20% - Accent1 5 2 2 5 3 2" xfId="48844" xr:uid="{D79431BB-F9B8-4A65-8C2A-CE3EDC777008}"/>
    <cellStyle name="20% - Accent1 5 2 2 5 4" xfId="32967" xr:uid="{0CE1D041-1E4F-49C8-8C9C-79AB698D22AA}"/>
    <cellStyle name="20% - Accent1 5 2 2 6" xfId="10006" xr:uid="{00000000-0005-0000-0000-00006C040000}"/>
    <cellStyle name="20% - Accent1 5 2 2 6 2" xfId="33855" xr:uid="{08D86ED4-D693-4951-B40C-90D8D2AD0D9E}"/>
    <cellStyle name="20% - Accent1 5 2 2 7" xfId="17961" xr:uid="{00000000-0005-0000-0000-00006D040000}"/>
    <cellStyle name="20% - Accent1 5 2 2 7 2" xfId="41793" xr:uid="{DA54AF9E-D116-4CEC-9F24-1AB6564235B1}"/>
    <cellStyle name="20% - Accent1 5 2 2 8" xfId="25913" xr:uid="{85E892EC-259A-4254-89C0-CDF845046C95}"/>
    <cellStyle name="20% - Accent1 5 2 2_Exh G" xfId="2019" xr:uid="{00000000-0005-0000-0000-00006E040000}"/>
    <cellStyle name="20% - Accent1 5 2 3" xfId="1085" xr:uid="{00000000-0005-0000-0000-00006F040000}"/>
    <cellStyle name="20% - Accent1 5 2 3 2" xfId="4615" xr:uid="{00000000-0005-0000-0000-000070040000}"/>
    <cellStyle name="20% - Accent1 5 2 3 2 2" xfId="8206" xr:uid="{00000000-0005-0000-0000-000071040000}"/>
    <cellStyle name="20% - Accent1 5 2 3 2 2 2" xfId="16177" xr:uid="{00000000-0005-0000-0000-000072040000}"/>
    <cellStyle name="20% - Accent1 5 2 3 2 2 2 2" xfId="40019" xr:uid="{5011183F-A816-4673-AC9A-27E57665D756}"/>
    <cellStyle name="20% - Accent1 5 2 3 2 2 3" xfId="24123" xr:uid="{00000000-0005-0000-0000-000073040000}"/>
    <cellStyle name="20% - Accent1 5 2 3 2 2 3 2" xfId="47955" xr:uid="{19944F0D-DEE3-461F-A77D-FBF0E7BDE5CD}"/>
    <cellStyle name="20% - Accent1 5 2 3 2 2 4" xfId="32078" xr:uid="{75588D5B-B339-4804-9169-C6BE9405FFAF}"/>
    <cellStyle name="20% - Accent1 5 2 3 2 3" xfId="12639" xr:uid="{00000000-0005-0000-0000-000074040000}"/>
    <cellStyle name="20% - Accent1 5 2 3 2 3 2" xfId="36488" xr:uid="{FE301CAB-C2B0-49B2-8DC0-E0ADBD569008}"/>
    <cellStyle name="20% - Accent1 5 2 3 2 4" xfId="20594" xr:uid="{00000000-0005-0000-0000-000075040000}"/>
    <cellStyle name="20% - Accent1 5 2 3 2 4 2" xfId="44426" xr:uid="{239E496B-B782-40F3-AB21-AF3C00629864}"/>
    <cellStyle name="20% - Accent1 5 2 3 2 5" xfId="28547" xr:uid="{FF1DA90B-0F77-4824-A426-7B97A774D578}"/>
    <cellStyle name="20% - Accent1 5 2 3 3" xfId="6447" xr:uid="{00000000-0005-0000-0000-000076040000}"/>
    <cellStyle name="20% - Accent1 5 2 3 3 2" xfId="14419" xr:uid="{00000000-0005-0000-0000-000077040000}"/>
    <cellStyle name="20% - Accent1 5 2 3 3 2 2" xfId="38261" xr:uid="{3D4F392D-E9AA-4589-B66F-5AE7C7AD1F92}"/>
    <cellStyle name="20% - Accent1 5 2 3 3 3" xfId="22366" xr:uid="{00000000-0005-0000-0000-000078040000}"/>
    <cellStyle name="20% - Accent1 5 2 3 3 3 2" xfId="46198" xr:uid="{FFC8F70F-B89E-4C45-92A4-0DAA92D88E4A}"/>
    <cellStyle name="20% - Accent1 5 2 3 3 4" xfId="30320" xr:uid="{DFAE93FE-986A-48DD-83EC-DC80AB79A5D1}"/>
    <cellStyle name="20% - Accent1 5 2 3 4" xfId="10883" xr:uid="{00000000-0005-0000-0000-000079040000}"/>
    <cellStyle name="20% - Accent1 5 2 3 4 2" xfId="34732" xr:uid="{75F2A41F-F511-4831-9077-3117CFBCEBF7}"/>
    <cellStyle name="20% - Accent1 5 2 3 5" xfId="18838" xr:uid="{00000000-0005-0000-0000-00007A040000}"/>
    <cellStyle name="20% - Accent1 5 2 3 5 2" xfId="42670" xr:uid="{FAB342FF-FD40-4930-9177-165F64F5C2AC}"/>
    <cellStyle name="20% - Accent1 5 2 3 6" xfId="26790" xr:uid="{B7DA0558-04F5-4605-8D4C-80454413585F}"/>
    <cellStyle name="20% - Accent1 5 2 3_Exh G" xfId="2021" xr:uid="{00000000-0005-0000-0000-00007B040000}"/>
    <cellStyle name="20% - Accent1 5 2 4" xfId="3736" xr:uid="{00000000-0005-0000-0000-00007C040000}"/>
    <cellStyle name="20% - Accent1 5 2 4 2" xfId="7328" xr:uid="{00000000-0005-0000-0000-00007D040000}"/>
    <cellStyle name="20% - Accent1 5 2 4 2 2" xfId="15299" xr:uid="{00000000-0005-0000-0000-00007E040000}"/>
    <cellStyle name="20% - Accent1 5 2 4 2 2 2" xfId="39141" xr:uid="{9E867F34-8816-496E-A47B-6CB6F27AC0CB}"/>
    <cellStyle name="20% - Accent1 5 2 4 2 3" xfId="23245" xr:uid="{00000000-0005-0000-0000-00007F040000}"/>
    <cellStyle name="20% - Accent1 5 2 4 2 3 2" xfId="47077" xr:uid="{7FC43C44-F82C-4400-BE97-3632D26B2179}"/>
    <cellStyle name="20% - Accent1 5 2 4 2 4" xfId="31200" xr:uid="{9B7CA664-25FA-4FE8-B572-2748D066C207}"/>
    <cellStyle name="20% - Accent1 5 2 4 3" xfId="11761" xr:uid="{00000000-0005-0000-0000-000080040000}"/>
    <cellStyle name="20% - Accent1 5 2 4 3 2" xfId="35610" xr:uid="{3EA91033-21A2-43A6-93E4-F1BFF12909D4}"/>
    <cellStyle name="20% - Accent1 5 2 4 4" xfId="19716" xr:uid="{00000000-0005-0000-0000-000081040000}"/>
    <cellStyle name="20% - Accent1 5 2 4 4 2" xfId="43548" xr:uid="{AD15A1B1-5445-43BE-B237-C3E34C29BF47}"/>
    <cellStyle name="20% - Accent1 5 2 4 5" xfId="27669" xr:uid="{BB5CE6EE-FB98-462B-8BEF-E61FEC3D8649}"/>
    <cellStyle name="20% - Accent1 5 2 5" xfId="5556" xr:uid="{00000000-0005-0000-0000-000082040000}"/>
    <cellStyle name="20% - Accent1 5 2 5 2" xfId="13540" xr:uid="{00000000-0005-0000-0000-000083040000}"/>
    <cellStyle name="20% - Accent1 5 2 5 2 2" xfId="37383" xr:uid="{8E58A7AE-04A0-4A04-B6D4-5AE999C3534F}"/>
    <cellStyle name="20% - Accent1 5 2 5 3" xfId="21488" xr:uid="{00000000-0005-0000-0000-000084040000}"/>
    <cellStyle name="20% - Accent1 5 2 5 3 2" xfId="45320" xr:uid="{288E22A7-B26C-4939-A9BD-C4F7D1ABD3BA}"/>
    <cellStyle name="20% - Accent1 5 2 5 4" xfId="29442" xr:uid="{206D1D88-05D3-4FE4-9FFC-2787DA8F0A88}"/>
    <cellStyle name="20% - Accent1 5 2 6" xfId="9109" xr:uid="{00000000-0005-0000-0000-000085040000}"/>
    <cellStyle name="20% - Accent1 5 2 6 2" xfId="17067" xr:uid="{00000000-0005-0000-0000-000086040000}"/>
    <cellStyle name="20% - Accent1 5 2 6 2 2" xfId="40907" xr:uid="{67473E6E-C9FA-4DC8-98FD-1002F29A9075}"/>
    <cellStyle name="20% - Accent1 5 2 6 3" xfId="25011" xr:uid="{00000000-0005-0000-0000-000087040000}"/>
    <cellStyle name="20% - Accent1 5 2 6 3 2" xfId="48843" xr:uid="{9480A8E2-C409-4333-91F3-9D6292929C0C}"/>
    <cellStyle name="20% - Accent1 5 2 6 4" xfId="32966" xr:uid="{F85D86F2-E1AD-4446-835D-4DF3BE9F1E6F}"/>
    <cellStyle name="20% - Accent1 5 2 7" xfId="10005" xr:uid="{00000000-0005-0000-0000-000088040000}"/>
    <cellStyle name="20% - Accent1 5 2 7 2" xfId="33854" xr:uid="{8135C8D2-C9C9-4287-999B-5019851DDB5D}"/>
    <cellStyle name="20% - Accent1 5 2 8" xfId="17960" xr:uid="{00000000-0005-0000-0000-000089040000}"/>
    <cellStyle name="20% - Accent1 5 2 8 2" xfId="41792" xr:uid="{CC3E2841-2C6C-4800-8D91-432021ED1EDD}"/>
    <cellStyle name="20% - Accent1 5 2 9" xfId="25912" xr:uid="{4B0E7E89-D3E8-4BA4-870F-74B69C25783E}"/>
    <cellStyle name="20% - Accent1 5 2_Exh G" xfId="2018" xr:uid="{00000000-0005-0000-0000-00008A040000}"/>
    <cellStyle name="20% - Accent1 5 3" xfId="59" xr:uid="{00000000-0005-0000-0000-00008B040000}"/>
    <cellStyle name="20% - Accent1 5 3 2" xfId="1087" xr:uid="{00000000-0005-0000-0000-00008C040000}"/>
    <cellStyle name="20% - Accent1 5 3 2 2" xfId="4617" xr:uid="{00000000-0005-0000-0000-00008D040000}"/>
    <cellStyle name="20% - Accent1 5 3 2 2 2" xfId="8208" xr:uid="{00000000-0005-0000-0000-00008E040000}"/>
    <cellStyle name="20% - Accent1 5 3 2 2 2 2" xfId="16179" xr:uid="{00000000-0005-0000-0000-00008F040000}"/>
    <cellStyle name="20% - Accent1 5 3 2 2 2 2 2" xfId="40021" xr:uid="{F08CCDD5-56A5-4549-ABAE-2689106B4792}"/>
    <cellStyle name="20% - Accent1 5 3 2 2 2 3" xfId="24125" xr:uid="{00000000-0005-0000-0000-000090040000}"/>
    <cellStyle name="20% - Accent1 5 3 2 2 2 3 2" xfId="47957" xr:uid="{4BDB2B27-536E-48E2-B528-A5A3F180330E}"/>
    <cellStyle name="20% - Accent1 5 3 2 2 2 4" xfId="32080" xr:uid="{E55E2DAC-9E7D-4D81-9692-BAE59E933B9C}"/>
    <cellStyle name="20% - Accent1 5 3 2 2 3" xfId="12641" xr:uid="{00000000-0005-0000-0000-000091040000}"/>
    <cellStyle name="20% - Accent1 5 3 2 2 3 2" xfId="36490" xr:uid="{A7D6E4F3-E84E-4955-80D8-FC1BE5ED56EF}"/>
    <cellStyle name="20% - Accent1 5 3 2 2 4" xfId="20596" xr:uid="{00000000-0005-0000-0000-000092040000}"/>
    <cellStyle name="20% - Accent1 5 3 2 2 4 2" xfId="44428" xr:uid="{0AFF52CD-95A7-4204-957E-F4E29242505F}"/>
    <cellStyle name="20% - Accent1 5 3 2 2 5" xfId="28549" xr:uid="{82C759B6-640B-4A58-B2E8-55265F7ED425}"/>
    <cellStyle name="20% - Accent1 5 3 2 3" xfId="6449" xr:uid="{00000000-0005-0000-0000-000093040000}"/>
    <cellStyle name="20% - Accent1 5 3 2 3 2" xfId="14421" xr:uid="{00000000-0005-0000-0000-000094040000}"/>
    <cellStyle name="20% - Accent1 5 3 2 3 2 2" xfId="38263" xr:uid="{2B024D11-BFDE-490E-9197-C2357B1E3E26}"/>
    <cellStyle name="20% - Accent1 5 3 2 3 3" xfId="22368" xr:uid="{00000000-0005-0000-0000-000095040000}"/>
    <cellStyle name="20% - Accent1 5 3 2 3 3 2" xfId="46200" xr:uid="{75A8A483-AEE9-4F57-ABDD-C2CC3CB059CA}"/>
    <cellStyle name="20% - Accent1 5 3 2 3 4" xfId="30322" xr:uid="{3CD74A07-5348-40F9-8EEF-D1945CDBF7CC}"/>
    <cellStyle name="20% - Accent1 5 3 2 4" xfId="10885" xr:uid="{00000000-0005-0000-0000-000096040000}"/>
    <cellStyle name="20% - Accent1 5 3 2 4 2" xfId="34734" xr:uid="{956C571B-60BF-43B2-8523-F2B310D50109}"/>
    <cellStyle name="20% - Accent1 5 3 2 5" xfId="18840" xr:uid="{00000000-0005-0000-0000-000097040000}"/>
    <cellStyle name="20% - Accent1 5 3 2 5 2" xfId="42672" xr:uid="{A2644565-72A5-4D16-A69B-96255433DE42}"/>
    <cellStyle name="20% - Accent1 5 3 2 6" xfId="26792" xr:uid="{7DB88823-2DAF-4F7E-ADBC-50C9B9415FE1}"/>
    <cellStyle name="20% - Accent1 5 3 2_Exh G" xfId="2023" xr:uid="{00000000-0005-0000-0000-000098040000}"/>
    <cellStyle name="20% - Accent1 5 3 3" xfId="3738" xr:uid="{00000000-0005-0000-0000-000099040000}"/>
    <cellStyle name="20% - Accent1 5 3 3 2" xfId="7330" xr:uid="{00000000-0005-0000-0000-00009A040000}"/>
    <cellStyle name="20% - Accent1 5 3 3 2 2" xfId="15301" xr:uid="{00000000-0005-0000-0000-00009B040000}"/>
    <cellStyle name="20% - Accent1 5 3 3 2 2 2" xfId="39143" xr:uid="{03734250-CBBB-4604-9E21-CAD8BF7056DF}"/>
    <cellStyle name="20% - Accent1 5 3 3 2 3" xfId="23247" xr:uid="{00000000-0005-0000-0000-00009C040000}"/>
    <cellStyle name="20% - Accent1 5 3 3 2 3 2" xfId="47079" xr:uid="{2EA64550-E2EB-4C3E-96F6-B33E03C0ED12}"/>
    <cellStyle name="20% - Accent1 5 3 3 2 4" xfId="31202" xr:uid="{10CD8100-4EDD-4259-BDF0-6007697005EB}"/>
    <cellStyle name="20% - Accent1 5 3 3 3" xfId="11763" xr:uid="{00000000-0005-0000-0000-00009D040000}"/>
    <cellStyle name="20% - Accent1 5 3 3 3 2" xfId="35612" xr:uid="{73D6A267-2D09-4E05-9975-9A018E1FAD28}"/>
    <cellStyle name="20% - Accent1 5 3 3 4" xfId="19718" xr:uid="{00000000-0005-0000-0000-00009E040000}"/>
    <cellStyle name="20% - Accent1 5 3 3 4 2" xfId="43550" xr:uid="{918432DC-B5E9-40FD-81F2-8427C2E8CF06}"/>
    <cellStyle name="20% - Accent1 5 3 3 5" xfId="27671" xr:uid="{A998D3DD-1899-4FC3-B986-10E6D3074E90}"/>
    <cellStyle name="20% - Accent1 5 3 4" xfId="5558" xr:uid="{00000000-0005-0000-0000-00009F040000}"/>
    <cellStyle name="20% - Accent1 5 3 4 2" xfId="13542" xr:uid="{00000000-0005-0000-0000-0000A0040000}"/>
    <cellStyle name="20% - Accent1 5 3 4 2 2" xfId="37385" xr:uid="{E8650D23-5028-47CB-92ED-7B5EEDDB901E}"/>
    <cellStyle name="20% - Accent1 5 3 4 3" xfId="21490" xr:uid="{00000000-0005-0000-0000-0000A1040000}"/>
    <cellStyle name="20% - Accent1 5 3 4 3 2" xfId="45322" xr:uid="{62FBE206-AE10-4F9E-A9B4-59E77B16BC04}"/>
    <cellStyle name="20% - Accent1 5 3 4 4" xfId="29444" xr:uid="{E0AAA59C-AA63-482B-9943-0298067BF962}"/>
    <cellStyle name="20% - Accent1 5 3 5" xfId="9111" xr:uid="{00000000-0005-0000-0000-0000A2040000}"/>
    <cellStyle name="20% - Accent1 5 3 5 2" xfId="17069" xr:uid="{00000000-0005-0000-0000-0000A3040000}"/>
    <cellStyle name="20% - Accent1 5 3 5 2 2" xfId="40909" xr:uid="{5697EBBF-5A1B-41AC-BC2B-60F6902ADFB0}"/>
    <cellStyle name="20% - Accent1 5 3 5 3" xfId="25013" xr:uid="{00000000-0005-0000-0000-0000A4040000}"/>
    <cellStyle name="20% - Accent1 5 3 5 3 2" xfId="48845" xr:uid="{E37CF504-B411-4157-B373-B407452A1766}"/>
    <cellStyle name="20% - Accent1 5 3 5 4" xfId="32968" xr:uid="{66AD854B-AC97-4202-B590-0B92CB3C88C6}"/>
    <cellStyle name="20% - Accent1 5 3 6" xfId="10007" xr:uid="{00000000-0005-0000-0000-0000A5040000}"/>
    <cellStyle name="20% - Accent1 5 3 6 2" xfId="33856" xr:uid="{E38EEC08-5277-4226-B309-4DB19452B87B}"/>
    <cellStyle name="20% - Accent1 5 3 7" xfId="17962" xr:uid="{00000000-0005-0000-0000-0000A6040000}"/>
    <cellStyle name="20% - Accent1 5 3 7 2" xfId="41794" xr:uid="{27CD00E9-7743-4CF9-B5C0-A7593A641A83}"/>
    <cellStyle name="20% - Accent1 5 3 8" xfId="25914" xr:uid="{1460AFB6-17C5-41D0-AB69-AB79F6CA6627}"/>
    <cellStyle name="20% - Accent1 5 3_Exh G" xfId="2022" xr:uid="{00000000-0005-0000-0000-0000A7040000}"/>
    <cellStyle name="20% - Accent1 5 4" xfId="869" xr:uid="{00000000-0005-0000-0000-0000A8040000}"/>
    <cellStyle name="20% - Accent1 5 5" xfId="1084" xr:uid="{00000000-0005-0000-0000-0000A9040000}"/>
    <cellStyle name="20% - Accent1 5 5 2" xfId="4614" xr:uid="{00000000-0005-0000-0000-0000AA040000}"/>
    <cellStyle name="20% - Accent1 5 5 2 2" xfId="8205" xr:uid="{00000000-0005-0000-0000-0000AB040000}"/>
    <cellStyle name="20% - Accent1 5 5 2 2 2" xfId="16176" xr:uid="{00000000-0005-0000-0000-0000AC040000}"/>
    <cellStyle name="20% - Accent1 5 5 2 2 2 2" xfId="40018" xr:uid="{DD27EDC3-40C3-4211-B519-05060A803642}"/>
    <cellStyle name="20% - Accent1 5 5 2 2 3" xfId="24122" xr:uid="{00000000-0005-0000-0000-0000AD040000}"/>
    <cellStyle name="20% - Accent1 5 5 2 2 3 2" xfId="47954" xr:uid="{0F00C9B9-8CDE-4DF6-A2F6-FC6C599075A2}"/>
    <cellStyle name="20% - Accent1 5 5 2 2 4" xfId="32077" xr:uid="{A7A03810-24AE-4E88-BBED-F3F0B5B508A6}"/>
    <cellStyle name="20% - Accent1 5 5 2 3" xfId="12638" xr:uid="{00000000-0005-0000-0000-0000AE040000}"/>
    <cellStyle name="20% - Accent1 5 5 2 3 2" xfId="36487" xr:uid="{3A36FF4B-8693-477C-911C-33A98476D6FC}"/>
    <cellStyle name="20% - Accent1 5 5 2 4" xfId="20593" xr:uid="{00000000-0005-0000-0000-0000AF040000}"/>
    <cellStyle name="20% - Accent1 5 5 2 4 2" xfId="44425" xr:uid="{80F90C2E-CD85-4426-A0BA-EB9F5BB4D43E}"/>
    <cellStyle name="20% - Accent1 5 5 2 5" xfId="28546" xr:uid="{091CE833-E238-4323-B167-5A0CCC8723B4}"/>
    <cellStyle name="20% - Accent1 5 5 3" xfId="6446" xr:uid="{00000000-0005-0000-0000-0000B0040000}"/>
    <cellStyle name="20% - Accent1 5 5 3 2" xfId="14418" xr:uid="{00000000-0005-0000-0000-0000B1040000}"/>
    <cellStyle name="20% - Accent1 5 5 3 2 2" xfId="38260" xr:uid="{76742A1B-46E9-4C14-8867-1330364C1340}"/>
    <cellStyle name="20% - Accent1 5 5 3 3" xfId="22365" xr:uid="{00000000-0005-0000-0000-0000B2040000}"/>
    <cellStyle name="20% - Accent1 5 5 3 3 2" xfId="46197" xr:uid="{C9E8A2F5-E05B-4BBF-A66A-5D0405593A2D}"/>
    <cellStyle name="20% - Accent1 5 5 3 4" xfId="30319" xr:uid="{F670458A-3F29-4663-AFDF-F8EB1FF38527}"/>
    <cellStyle name="20% - Accent1 5 5 4" xfId="10882" xr:uid="{00000000-0005-0000-0000-0000B3040000}"/>
    <cellStyle name="20% - Accent1 5 5 4 2" xfId="34731" xr:uid="{6E54E53D-2459-4515-B787-F94CF090A1DC}"/>
    <cellStyle name="20% - Accent1 5 5 5" xfId="18837" xr:uid="{00000000-0005-0000-0000-0000B4040000}"/>
    <cellStyle name="20% - Accent1 5 5 5 2" xfId="42669" xr:uid="{2BD097C4-70E5-45F6-A3A6-E3E685EE828D}"/>
    <cellStyle name="20% - Accent1 5 5 6" xfId="26789" xr:uid="{8D6BBB48-9105-4AEC-A425-20EA2BE08562}"/>
    <cellStyle name="20% - Accent1 5 5_Exh G" xfId="2024" xr:uid="{00000000-0005-0000-0000-0000B5040000}"/>
    <cellStyle name="20% - Accent1 5 6" xfId="3735" xr:uid="{00000000-0005-0000-0000-0000B6040000}"/>
    <cellStyle name="20% - Accent1 5 6 2" xfId="7327" xr:uid="{00000000-0005-0000-0000-0000B7040000}"/>
    <cellStyle name="20% - Accent1 5 6 2 2" xfId="15298" xr:uid="{00000000-0005-0000-0000-0000B8040000}"/>
    <cellStyle name="20% - Accent1 5 6 2 2 2" xfId="39140" xr:uid="{3C51F6F4-EA54-4EDD-BAB0-09CA5C897592}"/>
    <cellStyle name="20% - Accent1 5 6 2 3" xfId="23244" xr:uid="{00000000-0005-0000-0000-0000B9040000}"/>
    <cellStyle name="20% - Accent1 5 6 2 3 2" xfId="47076" xr:uid="{67AB152F-7A9E-4A73-B940-77DB9C8E2DF0}"/>
    <cellStyle name="20% - Accent1 5 6 2 4" xfId="31199" xr:uid="{C112B511-90AB-4C1C-AE57-C2C0F640119E}"/>
    <cellStyle name="20% - Accent1 5 6 3" xfId="11760" xr:uid="{00000000-0005-0000-0000-0000BA040000}"/>
    <cellStyle name="20% - Accent1 5 6 3 2" xfId="35609" xr:uid="{49153733-0DF4-41EA-AC15-A8D113467B2C}"/>
    <cellStyle name="20% - Accent1 5 6 4" xfId="19715" xr:uid="{00000000-0005-0000-0000-0000BB040000}"/>
    <cellStyle name="20% - Accent1 5 6 4 2" xfId="43547" xr:uid="{815EA913-D242-475F-9A2F-3C51BE3F0E91}"/>
    <cellStyle name="20% - Accent1 5 6 5" xfId="27668" xr:uid="{D029DFAA-FC46-4C21-9F3A-6D662C6D2BE2}"/>
    <cellStyle name="20% - Accent1 5 7" xfId="5555" xr:uid="{00000000-0005-0000-0000-0000BC040000}"/>
    <cellStyle name="20% - Accent1 5 7 2" xfId="13539" xr:uid="{00000000-0005-0000-0000-0000BD040000}"/>
    <cellStyle name="20% - Accent1 5 7 2 2" xfId="37382" xr:uid="{4163B7B0-C1B4-42DF-AED3-39CCC9E63EDF}"/>
    <cellStyle name="20% - Accent1 5 7 3" xfId="21487" xr:uid="{00000000-0005-0000-0000-0000BE040000}"/>
    <cellStyle name="20% - Accent1 5 7 3 2" xfId="45319" xr:uid="{3AE469ED-282C-43E6-8F0F-18B5C45528EF}"/>
    <cellStyle name="20% - Accent1 5 7 4" xfId="29441" xr:uid="{B6008E50-8C4C-4618-8EFF-0B7B0CB11DBC}"/>
    <cellStyle name="20% - Accent1 5 8" xfId="9108" xr:uid="{00000000-0005-0000-0000-0000BF040000}"/>
    <cellStyle name="20% - Accent1 5 8 2" xfId="17066" xr:uid="{00000000-0005-0000-0000-0000C0040000}"/>
    <cellStyle name="20% - Accent1 5 8 2 2" xfId="40906" xr:uid="{D7941557-1DD9-4E71-9A75-12E9EA3CBD55}"/>
    <cellStyle name="20% - Accent1 5 8 3" xfId="25010" xr:uid="{00000000-0005-0000-0000-0000C1040000}"/>
    <cellStyle name="20% - Accent1 5 8 3 2" xfId="48842" xr:uid="{5EF407CF-D2C8-406D-8421-AA54ACB30534}"/>
    <cellStyle name="20% - Accent1 5 8 4" xfId="32965" xr:uid="{F94C5EF2-4B03-45F0-A3FD-E5D7398B6E87}"/>
    <cellStyle name="20% - Accent1 5 9" xfId="10004" xr:uid="{00000000-0005-0000-0000-0000C2040000}"/>
    <cellStyle name="20% - Accent1 5 9 2" xfId="33853" xr:uid="{E87D3A85-3E22-4777-BA02-E0AA446E845F}"/>
    <cellStyle name="20% - Accent1 5_Exh G" xfId="2017" xr:uid="{00000000-0005-0000-0000-0000C3040000}"/>
    <cellStyle name="20% - Accent1 6" xfId="60" xr:uid="{00000000-0005-0000-0000-0000C4040000}"/>
    <cellStyle name="20% - Accent1 6 10" xfId="17963" xr:uid="{00000000-0005-0000-0000-0000C5040000}"/>
    <cellStyle name="20% - Accent1 6 10 2" xfId="41795" xr:uid="{4788B29F-2148-4B5C-8610-A58EBEACE047}"/>
    <cellStyle name="20% - Accent1 6 11" xfId="25915" xr:uid="{CA3A8E8E-7E08-40A3-859B-8D39757C5A1F}"/>
    <cellStyle name="20% - Accent1 6 2" xfId="61" xr:uid="{00000000-0005-0000-0000-0000C6040000}"/>
    <cellStyle name="20% - Accent1 6 2 2" xfId="62" xr:uid="{00000000-0005-0000-0000-0000C7040000}"/>
    <cellStyle name="20% - Accent1 6 2 2 2" xfId="1090" xr:uid="{00000000-0005-0000-0000-0000C8040000}"/>
    <cellStyle name="20% - Accent1 6 2 2 2 2" xfId="4620" xr:uid="{00000000-0005-0000-0000-0000C9040000}"/>
    <cellStyle name="20% - Accent1 6 2 2 2 2 2" xfId="8211" xr:uid="{00000000-0005-0000-0000-0000CA040000}"/>
    <cellStyle name="20% - Accent1 6 2 2 2 2 2 2" xfId="16182" xr:uid="{00000000-0005-0000-0000-0000CB040000}"/>
    <cellStyle name="20% - Accent1 6 2 2 2 2 2 2 2" xfId="40024" xr:uid="{121106BE-DE92-4573-A410-13A542BBAD8D}"/>
    <cellStyle name="20% - Accent1 6 2 2 2 2 2 3" xfId="24128" xr:uid="{00000000-0005-0000-0000-0000CC040000}"/>
    <cellStyle name="20% - Accent1 6 2 2 2 2 2 3 2" xfId="47960" xr:uid="{413DC427-828C-4EB9-896B-0699FFE29010}"/>
    <cellStyle name="20% - Accent1 6 2 2 2 2 2 4" xfId="32083" xr:uid="{F59AE39F-421A-4CC9-8BF4-E75914FBC5A7}"/>
    <cellStyle name="20% - Accent1 6 2 2 2 2 3" xfId="12644" xr:uid="{00000000-0005-0000-0000-0000CD040000}"/>
    <cellStyle name="20% - Accent1 6 2 2 2 2 3 2" xfId="36493" xr:uid="{FA058BF7-06A3-45A0-8DF3-C6442E0A7B18}"/>
    <cellStyle name="20% - Accent1 6 2 2 2 2 4" xfId="20599" xr:uid="{00000000-0005-0000-0000-0000CE040000}"/>
    <cellStyle name="20% - Accent1 6 2 2 2 2 4 2" xfId="44431" xr:uid="{D94CF75B-0A4C-4208-9FEE-AD1FFC90176D}"/>
    <cellStyle name="20% - Accent1 6 2 2 2 2 5" xfId="28552" xr:uid="{F285F552-721F-4D19-B616-F184F4CF46A0}"/>
    <cellStyle name="20% - Accent1 6 2 2 2 3" xfId="6452" xr:uid="{00000000-0005-0000-0000-0000CF040000}"/>
    <cellStyle name="20% - Accent1 6 2 2 2 3 2" xfId="14424" xr:uid="{00000000-0005-0000-0000-0000D0040000}"/>
    <cellStyle name="20% - Accent1 6 2 2 2 3 2 2" xfId="38266" xr:uid="{9C758B0B-08D7-4FF1-B199-0E18876325A4}"/>
    <cellStyle name="20% - Accent1 6 2 2 2 3 3" xfId="22371" xr:uid="{00000000-0005-0000-0000-0000D1040000}"/>
    <cellStyle name="20% - Accent1 6 2 2 2 3 3 2" xfId="46203" xr:uid="{657A81DF-5493-4BC1-8225-20CC68E17C60}"/>
    <cellStyle name="20% - Accent1 6 2 2 2 3 4" xfId="30325" xr:uid="{A5FD32C3-AD3F-4AA5-BCA6-A5E97A3514E6}"/>
    <cellStyle name="20% - Accent1 6 2 2 2 4" xfId="10888" xr:uid="{00000000-0005-0000-0000-0000D2040000}"/>
    <cellStyle name="20% - Accent1 6 2 2 2 4 2" xfId="34737" xr:uid="{8A631525-34AA-450A-B50E-F7D38E0FFCFF}"/>
    <cellStyle name="20% - Accent1 6 2 2 2 5" xfId="18843" xr:uid="{00000000-0005-0000-0000-0000D3040000}"/>
    <cellStyle name="20% - Accent1 6 2 2 2 5 2" xfId="42675" xr:uid="{68C400D8-3627-413D-88E3-F99764FAD90A}"/>
    <cellStyle name="20% - Accent1 6 2 2 2 6" xfId="26795" xr:uid="{BEE8B1BE-5903-4CA5-933D-BB8AC8888037}"/>
    <cellStyle name="20% - Accent1 6 2 2 2_Exh G" xfId="2028" xr:uid="{00000000-0005-0000-0000-0000D4040000}"/>
    <cellStyle name="20% - Accent1 6 2 2 3" xfId="3741" xr:uid="{00000000-0005-0000-0000-0000D5040000}"/>
    <cellStyle name="20% - Accent1 6 2 2 3 2" xfId="7333" xr:uid="{00000000-0005-0000-0000-0000D6040000}"/>
    <cellStyle name="20% - Accent1 6 2 2 3 2 2" xfId="15304" xr:uid="{00000000-0005-0000-0000-0000D7040000}"/>
    <cellStyle name="20% - Accent1 6 2 2 3 2 2 2" xfId="39146" xr:uid="{ADD4C3E5-8087-422E-901C-F119E355A251}"/>
    <cellStyle name="20% - Accent1 6 2 2 3 2 3" xfId="23250" xr:uid="{00000000-0005-0000-0000-0000D8040000}"/>
    <cellStyle name="20% - Accent1 6 2 2 3 2 3 2" xfId="47082" xr:uid="{EB343287-C415-4D64-9D0B-497C21FF4324}"/>
    <cellStyle name="20% - Accent1 6 2 2 3 2 4" xfId="31205" xr:uid="{F4BB7852-05A5-4308-8675-7FC5E17C95D4}"/>
    <cellStyle name="20% - Accent1 6 2 2 3 3" xfId="11766" xr:uid="{00000000-0005-0000-0000-0000D9040000}"/>
    <cellStyle name="20% - Accent1 6 2 2 3 3 2" xfId="35615" xr:uid="{FAAE959F-D840-43FE-B7B7-6B6D7954F6BD}"/>
    <cellStyle name="20% - Accent1 6 2 2 3 4" xfId="19721" xr:uid="{00000000-0005-0000-0000-0000DA040000}"/>
    <cellStyle name="20% - Accent1 6 2 2 3 4 2" xfId="43553" xr:uid="{D2B322CD-7597-4C89-8773-EE0E387E69F8}"/>
    <cellStyle name="20% - Accent1 6 2 2 3 5" xfId="27674" xr:uid="{B91D6249-A05C-4268-91E0-244903546460}"/>
    <cellStyle name="20% - Accent1 6 2 2 4" xfId="5561" xr:uid="{00000000-0005-0000-0000-0000DB040000}"/>
    <cellStyle name="20% - Accent1 6 2 2 4 2" xfId="13545" xr:uid="{00000000-0005-0000-0000-0000DC040000}"/>
    <cellStyle name="20% - Accent1 6 2 2 4 2 2" xfId="37388" xr:uid="{6B523D39-76A4-490F-AB4F-E0FF920E2A11}"/>
    <cellStyle name="20% - Accent1 6 2 2 4 3" xfId="21493" xr:uid="{00000000-0005-0000-0000-0000DD040000}"/>
    <cellStyle name="20% - Accent1 6 2 2 4 3 2" xfId="45325" xr:uid="{C4C85B04-2B2A-4D1D-B504-8B15FA5E3F09}"/>
    <cellStyle name="20% - Accent1 6 2 2 4 4" xfId="29447" xr:uid="{B871CF50-2D81-4484-8685-8708101952BE}"/>
    <cellStyle name="20% - Accent1 6 2 2 5" xfId="9114" xr:uid="{00000000-0005-0000-0000-0000DE040000}"/>
    <cellStyle name="20% - Accent1 6 2 2 5 2" xfId="17072" xr:uid="{00000000-0005-0000-0000-0000DF040000}"/>
    <cellStyle name="20% - Accent1 6 2 2 5 2 2" xfId="40912" xr:uid="{2F6ED56F-9F7C-484C-9940-313249C912E5}"/>
    <cellStyle name="20% - Accent1 6 2 2 5 3" xfId="25016" xr:uid="{00000000-0005-0000-0000-0000E0040000}"/>
    <cellStyle name="20% - Accent1 6 2 2 5 3 2" xfId="48848" xr:uid="{17460A9A-9719-4F8D-9791-E3FE2561C958}"/>
    <cellStyle name="20% - Accent1 6 2 2 5 4" xfId="32971" xr:uid="{DB3623F1-C57C-4985-8212-6B0BE18D54F9}"/>
    <cellStyle name="20% - Accent1 6 2 2 6" xfId="10010" xr:uid="{00000000-0005-0000-0000-0000E1040000}"/>
    <cellStyle name="20% - Accent1 6 2 2 6 2" xfId="33859" xr:uid="{11B41BD2-DC65-43AE-872D-9C627F87310E}"/>
    <cellStyle name="20% - Accent1 6 2 2 7" xfId="17965" xr:uid="{00000000-0005-0000-0000-0000E2040000}"/>
    <cellStyle name="20% - Accent1 6 2 2 7 2" xfId="41797" xr:uid="{E995E6F3-C299-4199-A143-C69319013789}"/>
    <cellStyle name="20% - Accent1 6 2 2 8" xfId="25917" xr:uid="{B73358EC-0763-4A3D-A4DE-4E00D4DD3608}"/>
    <cellStyle name="20% - Accent1 6 2 2_Exh G" xfId="2027" xr:uid="{00000000-0005-0000-0000-0000E3040000}"/>
    <cellStyle name="20% - Accent1 6 2 3" xfId="1089" xr:uid="{00000000-0005-0000-0000-0000E4040000}"/>
    <cellStyle name="20% - Accent1 6 2 3 2" xfId="4619" xr:uid="{00000000-0005-0000-0000-0000E5040000}"/>
    <cellStyle name="20% - Accent1 6 2 3 2 2" xfId="8210" xr:uid="{00000000-0005-0000-0000-0000E6040000}"/>
    <cellStyle name="20% - Accent1 6 2 3 2 2 2" xfId="16181" xr:uid="{00000000-0005-0000-0000-0000E7040000}"/>
    <cellStyle name="20% - Accent1 6 2 3 2 2 2 2" xfId="40023" xr:uid="{DB1B6CF0-A4CA-48E3-AABA-EDBECD12E17B}"/>
    <cellStyle name="20% - Accent1 6 2 3 2 2 3" xfId="24127" xr:uid="{00000000-0005-0000-0000-0000E8040000}"/>
    <cellStyle name="20% - Accent1 6 2 3 2 2 3 2" xfId="47959" xr:uid="{E9762E69-7DDD-45C2-9EAE-3FBF242BC93C}"/>
    <cellStyle name="20% - Accent1 6 2 3 2 2 4" xfId="32082" xr:uid="{B15C6747-9FDE-4BFF-A74E-F25E6DC2BF1C}"/>
    <cellStyle name="20% - Accent1 6 2 3 2 3" xfId="12643" xr:uid="{00000000-0005-0000-0000-0000E9040000}"/>
    <cellStyle name="20% - Accent1 6 2 3 2 3 2" xfId="36492" xr:uid="{2CB51025-F38D-4592-8DAE-0DCBF8EC6677}"/>
    <cellStyle name="20% - Accent1 6 2 3 2 4" xfId="20598" xr:uid="{00000000-0005-0000-0000-0000EA040000}"/>
    <cellStyle name="20% - Accent1 6 2 3 2 4 2" xfId="44430" xr:uid="{AD6A1B52-5277-42F3-9C19-21F3DBF6FFC0}"/>
    <cellStyle name="20% - Accent1 6 2 3 2 5" xfId="28551" xr:uid="{FF4643AE-FAF5-424F-88EB-9F2E37B3F6E2}"/>
    <cellStyle name="20% - Accent1 6 2 3 3" xfId="6451" xr:uid="{00000000-0005-0000-0000-0000EB040000}"/>
    <cellStyle name="20% - Accent1 6 2 3 3 2" xfId="14423" xr:uid="{00000000-0005-0000-0000-0000EC040000}"/>
    <cellStyle name="20% - Accent1 6 2 3 3 2 2" xfId="38265" xr:uid="{9312977E-33B8-4F8F-B228-5E419B4FA39D}"/>
    <cellStyle name="20% - Accent1 6 2 3 3 3" xfId="22370" xr:uid="{00000000-0005-0000-0000-0000ED040000}"/>
    <cellStyle name="20% - Accent1 6 2 3 3 3 2" xfId="46202" xr:uid="{3CC51FDC-4B31-46CF-BA70-76A590B7CCA4}"/>
    <cellStyle name="20% - Accent1 6 2 3 3 4" xfId="30324" xr:uid="{5EB38D3D-C200-4B2B-88D3-E970544083A1}"/>
    <cellStyle name="20% - Accent1 6 2 3 4" xfId="10887" xr:uid="{00000000-0005-0000-0000-0000EE040000}"/>
    <cellStyle name="20% - Accent1 6 2 3 4 2" xfId="34736" xr:uid="{131929CD-9E35-448F-AB02-5E7314982F98}"/>
    <cellStyle name="20% - Accent1 6 2 3 5" xfId="18842" xr:uid="{00000000-0005-0000-0000-0000EF040000}"/>
    <cellStyle name="20% - Accent1 6 2 3 5 2" xfId="42674" xr:uid="{FF9A087C-CE7A-4BD3-920A-000C30E64CD5}"/>
    <cellStyle name="20% - Accent1 6 2 3 6" xfId="26794" xr:uid="{E0DC989B-D067-4B8A-8A6C-85AA02029417}"/>
    <cellStyle name="20% - Accent1 6 2 3_Exh G" xfId="2029" xr:uid="{00000000-0005-0000-0000-0000F0040000}"/>
    <cellStyle name="20% - Accent1 6 2 4" xfId="3740" xr:uid="{00000000-0005-0000-0000-0000F1040000}"/>
    <cellStyle name="20% - Accent1 6 2 4 2" xfId="7332" xr:uid="{00000000-0005-0000-0000-0000F2040000}"/>
    <cellStyle name="20% - Accent1 6 2 4 2 2" xfId="15303" xr:uid="{00000000-0005-0000-0000-0000F3040000}"/>
    <cellStyle name="20% - Accent1 6 2 4 2 2 2" xfId="39145" xr:uid="{14005DC6-89FB-4B96-9726-AFE05811C892}"/>
    <cellStyle name="20% - Accent1 6 2 4 2 3" xfId="23249" xr:uid="{00000000-0005-0000-0000-0000F4040000}"/>
    <cellStyle name="20% - Accent1 6 2 4 2 3 2" xfId="47081" xr:uid="{5CD85B39-9614-475C-B26E-D3D29ED6B739}"/>
    <cellStyle name="20% - Accent1 6 2 4 2 4" xfId="31204" xr:uid="{A1B2AE71-7382-4192-9F25-9D8C178C6AD2}"/>
    <cellStyle name="20% - Accent1 6 2 4 3" xfId="11765" xr:uid="{00000000-0005-0000-0000-0000F5040000}"/>
    <cellStyle name="20% - Accent1 6 2 4 3 2" xfId="35614" xr:uid="{FD0B58C0-5B35-4859-809B-CF3F3E644DDD}"/>
    <cellStyle name="20% - Accent1 6 2 4 4" xfId="19720" xr:uid="{00000000-0005-0000-0000-0000F6040000}"/>
    <cellStyle name="20% - Accent1 6 2 4 4 2" xfId="43552" xr:uid="{BD854898-A0FC-4681-8C1D-78A12B25EEA5}"/>
    <cellStyle name="20% - Accent1 6 2 4 5" xfId="27673" xr:uid="{C52DA349-80B1-460E-80E2-2935B1CF31BC}"/>
    <cellStyle name="20% - Accent1 6 2 5" xfId="5560" xr:uid="{00000000-0005-0000-0000-0000F7040000}"/>
    <cellStyle name="20% - Accent1 6 2 5 2" xfId="13544" xr:uid="{00000000-0005-0000-0000-0000F8040000}"/>
    <cellStyle name="20% - Accent1 6 2 5 2 2" xfId="37387" xr:uid="{D906DE04-6586-4237-BD3F-35DEB3F459BF}"/>
    <cellStyle name="20% - Accent1 6 2 5 3" xfId="21492" xr:uid="{00000000-0005-0000-0000-0000F9040000}"/>
    <cellStyle name="20% - Accent1 6 2 5 3 2" xfId="45324" xr:uid="{1B6FE87D-A195-4323-A269-25F7F8745CF0}"/>
    <cellStyle name="20% - Accent1 6 2 5 4" xfId="29446" xr:uid="{7DED9949-1CEF-463E-B2CE-24D9EA5D40AF}"/>
    <cellStyle name="20% - Accent1 6 2 6" xfId="9113" xr:uid="{00000000-0005-0000-0000-0000FA040000}"/>
    <cellStyle name="20% - Accent1 6 2 6 2" xfId="17071" xr:uid="{00000000-0005-0000-0000-0000FB040000}"/>
    <cellStyle name="20% - Accent1 6 2 6 2 2" xfId="40911" xr:uid="{727C94C4-8AD0-4BD4-B706-2AC7BF509174}"/>
    <cellStyle name="20% - Accent1 6 2 6 3" xfId="25015" xr:uid="{00000000-0005-0000-0000-0000FC040000}"/>
    <cellStyle name="20% - Accent1 6 2 6 3 2" xfId="48847" xr:uid="{97670F16-103F-48A0-8EB1-E80F39A7A4ED}"/>
    <cellStyle name="20% - Accent1 6 2 6 4" xfId="32970" xr:uid="{4198A4EB-F320-4BD4-86E6-13FC7202FE3F}"/>
    <cellStyle name="20% - Accent1 6 2 7" xfId="10009" xr:uid="{00000000-0005-0000-0000-0000FD040000}"/>
    <cellStyle name="20% - Accent1 6 2 7 2" xfId="33858" xr:uid="{19F13A6B-B2DC-4764-A45E-0152B0E4F35C}"/>
    <cellStyle name="20% - Accent1 6 2 8" xfId="17964" xr:uid="{00000000-0005-0000-0000-0000FE040000}"/>
    <cellStyle name="20% - Accent1 6 2 8 2" xfId="41796" xr:uid="{3B974FDD-90C9-409A-876A-91D0575E89BA}"/>
    <cellStyle name="20% - Accent1 6 2 9" xfId="25916" xr:uid="{BDAA64EE-5BC7-4FE0-8E3C-272E02CC7E94}"/>
    <cellStyle name="20% - Accent1 6 2_Exh G" xfId="2026" xr:uid="{00000000-0005-0000-0000-0000FF040000}"/>
    <cellStyle name="20% - Accent1 6 3" xfId="63" xr:uid="{00000000-0005-0000-0000-000000050000}"/>
    <cellStyle name="20% - Accent1 6 3 2" xfId="1091" xr:uid="{00000000-0005-0000-0000-000001050000}"/>
    <cellStyle name="20% - Accent1 6 3 2 2" xfId="4621" xr:uid="{00000000-0005-0000-0000-000002050000}"/>
    <cellStyle name="20% - Accent1 6 3 2 2 2" xfId="8212" xr:uid="{00000000-0005-0000-0000-000003050000}"/>
    <cellStyle name="20% - Accent1 6 3 2 2 2 2" xfId="16183" xr:uid="{00000000-0005-0000-0000-000004050000}"/>
    <cellStyle name="20% - Accent1 6 3 2 2 2 2 2" xfId="40025" xr:uid="{74E93227-C828-4A22-8F3A-96C9896BF28A}"/>
    <cellStyle name="20% - Accent1 6 3 2 2 2 3" xfId="24129" xr:uid="{00000000-0005-0000-0000-000005050000}"/>
    <cellStyle name="20% - Accent1 6 3 2 2 2 3 2" xfId="47961" xr:uid="{D6F9C19E-4A77-4726-9AA7-FE4097C15658}"/>
    <cellStyle name="20% - Accent1 6 3 2 2 2 4" xfId="32084" xr:uid="{E805C6D7-990B-48E7-BEF8-D7F751DA5225}"/>
    <cellStyle name="20% - Accent1 6 3 2 2 3" xfId="12645" xr:uid="{00000000-0005-0000-0000-000006050000}"/>
    <cellStyle name="20% - Accent1 6 3 2 2 3 2" xfId="36494" xr:uid="{A0E538E8-94D2-4BF0-BDD1-D3113D639E74}"/>
    <cellStyle name="20% - Accent1 6 3 2 2 4" xfId="20600" xr:uid="{00000000-0005-0000-0000-000007050000}"/>
    <cellStyle name="20% - Accent1 6 3 2 2 4 2" xfId="44432" xr:uid="{F68913E0-4DA1-40C4-AE61-16FBEB882C21}"/>
    <cellStyle name="20% - Accent1 6 3 2 2 5" xfId="28553" xr:uid="{DB168239-88CF-47EF-934D-0F0EC52365D1}"/>
    <cellStyle name="20% - Accent1 6 3 2 3" xfId="6453" xr:uid="{00000000-0005-0000-0000-000008050000}"/>
    <cellStyle name="20% - Accent1 6 3 2 3 2" xfId="14425" xr:uid="{00000000-0005-0000-0000-000009050000}"/>
    <cellStyle name="20% - Accent1 6 3 2 3 2 2" xfId="38267" xr:uid="{D29549F4-8A38-4F2E-9A96-C8E9C298A5FC}"/>
    <cellStyle name="20% - Accent1 6 3 2 3 3" xfId="22372" xr:uid="{00000000-0005-0000-0000-00000A050000}"/>
    <cellStyle name="20% - Accent1 6 3 2 3 3 2" xfId="46204" xr:uid="{A8BC24A7-41E5-4B2C-8C8A-27955CBC97EF}"/>
    <cellStyle name="20% - Accent1 6 3 2 3 4" xfId="30326" xr:uid="{6DB68CFC-4C26-41E3-81FB-63701C86DEF2}"/>
    <cellStyle name="20% - Accent1 6 3 2 4" xfId="10889" xr:uid="{00000000-0005-0000-0000-00000B050000}"/>
    <cellStyle name="20% - Accent1 6 3 2 4 2" xfId="34738" xr:uid="{DC5BB02A-629A-446C-9CCA-F4BC14722AAB}"/>
    <cellStyle name="20% - Accent1 6 3 2 5" xfId="18844" xr:uid="{00000000-0005-0000-0000-00000C050000}"/>
    <cellStyle name="20% - Accent1 6 3 2 5 2" xfId="42676" xr:uid="{F732EE61-708F-4109-A4DB-2E1E0D77F05B}"/>
    <cellStyle name="20% - Accent1 6 3 2 6" xfId="26796" xr:uid="{62FC7374-C269-4508-BB66-7A3D3BF6EEB8}"/>
    <cellStyle name="20% - Accent1 6 3 2_Exh G" xfId="2031" xr:uid="{00000000-0005-0000-0000-00000D050000}"/>
    <cellStyle name="20% - Accent1 6 3 3" xfId="3742" xr:uid="{00000000-0005-0000-0000-00000E050000}"/>
    <cellStyle name="20% - Accent1 6 3 3 2" xfId="7334" xr:uid="{00000000-0005-0000-0000-00000F050000}"/>
    <cellStyle name="20% - Accent1 6 3 3 2 2" xfId="15305" xr:uid="{00000000-0005-0000-0000-000010050000}"/>
    <cellStyle name="20% - Accent1 6 3 3 2 2 2" xfId="39147" xr:uid="{D8D692A4-15B7-4A70-9542-71FF2DD1BD1A}"/>
    <cellStyle name="20% - Accent1 6 3 3 2 3" xfId="23251" xr:uid="{00000000-0005-0000-0000-000011050000}"/>
    <cellStyle name="20% - Accent1 6 3 3 2 3 2" xfId="47083" xr:uid="{DB1A561A-89C9-41C0-96A8-64455DF550F0}"/>
    <cellStyle name="20% - Accent1 6 3 3 2 4" xfId="31206" xr:uid="{E46658A3-BB1B-4811-B424-57F6CD73409A}"/>
    <cellStyle name="20% - Accent1 6 3 3 3" xfId="11767" xr:uid="{00000000-0005-0000-0000-000012050000}"/>
    <cellStyle name="20% - Accent1 6 3 3 3 2" xfId="35616" xr:uid="{C80471A4-9825-4BAC-A7D9-9225C462D7E2}"/>
    <cellStyle name="20% - Accent1 6 3 3 4" xfId="19722" xr:uid="{00000000-0005-0000-0000-000013050000}"/>
    <cellStyle name="20% - Accent1 6 3 3 4 2" xfId="43554" xr:uid="{6DB0D1D4-4159-4307-BC91-CDBC06FC7F0D}"/>
    <cellStyle name="20% - Accent1 6 3 3 5" xfId="27675" xr:uid="{98D00B67-D960-483C-877C-60EAE4AF89DC}"/>
    <cellStyle name="20% - Accent1 6 3 4" xfId="5562" xr:uid="{00000000-0005-0000-0000-000014050000}"/>
    <cellStyle name="20% - Accent1 6 3 4 2" xfId="13546" xr:uid="{00000000-0005-0000-0000-000015050000}"/>
    <cellStyle name="20% - Accent1 6 3 4 2 2" xfId="37389" xr:uid="{03F8197D-E460-4E17-B65F-756CA0B0F642}"/>
    <cellStyle name="20% - Accent1 6 3 4 3" xfId="21494" xr:uid="{00000000-0005-0000-0000-000016050000}"/>
    <cellStyle name="20% - Accent1 6 3 4 3 2" xfId="45326" xr:uid="{E73A6EA0-5F5C-4F63-82DD-E6F6CE17DD92}"/>
    <cellStyle name="20% - Accent1 6 3 4 4" xfId="29448" xr:uid="{A317D0AE-3395-4404-8103-DBE90CDC1AAC}"/>
    <cellStyle name="20% - Accent1 6 3 5" xfId="9115" xr:uid="{00000000-0005-0000-0000-000017050000}"/>
    <cellStyle name="20% - Accent1 6 3 5 2" xfId="17073" xr:uid="{00000000-0005-0000-0000-000018050000}"/>
    <cellStyle name="20% - Accent1 6 3 5 2 2" xfId="40913" xr:uid="{B6774F5E-8299-4606-AA15-474A78AAD7B5}"/>
    <cellStyle name="20% - Accent1 6 3 5 3" xfId="25017" xr:uid="{00000000-0005-0000-0000-000019050000}"/>
    <cellStyle name="20% - Accent1 6 3 5 3 2" xfId="48849" xr:uid="{E15220E7-201B-4483-8A87-B673507D6E80}"/>
    <cellStyle name="20% - Accent1 6 3 5 4" xfId="32972" xr:uid="{1DC1ED29-A483-4837-B79B-61840F80A707}"/>
    <cellStyle name="20% - Accent1 6 3 6" xfId="10011" xr:uid="{00000000-0005-0000-0000-00001A050000}"/>
    <cellStyle name="20% - Accent1 6 3 6 2" xfId="33860" xr:uid="{A2286E3C-9CB5-48DB-B48E-F27E6C2E895E}"/>
    <cellStyle name="20% - Accent1 6 3 7" xfId="17966" xr:uid="{00000000-0005-0000-0000-00001B050000}"/>
    <cellStyle name="20% - Accent1 6 3 7 2" xfId="41798" xr:uid="{2CC59398-86A1-4EBC-B5A7-7CBE04876E3A}"/>
    <cellStyle name="20% - Accent1 6 3 8" xfId="25918" xr:uid="{673B31FF-3094-40AF-9823-F08F01F4F32A}"/>
    <cellStyle name="20% - Accent1 6 3_Exh G" xfId="2030" xr:uid="{00000000-0005-0000-0000-00001C050000}"/>
    <cellStyle name="20% - Accent1 6 4" xfId="870" xr:uid="{00000000-0005-0000-0000-00001D050000}"/>
    <cellStyle name="20% - Accent1 6 4 2" xfId="1805" xr:uid="{00000000-0005-0000-0000-00001E050000}"/>
    <cellStyle name="20% - Accent1 6 4 2 2" xfId="5323" xr:uid="{00000000-0005-0000-0000-00001F050000}"/>
    <cellStyle name="20% - Accent1 6 4 2 2 2" xfId="8914" xr:uid="{00000000-0005-0000-0000-000020050000}"/>
    <cellStyle name="20% - Accent1 6 4 2 2 2 2" xfId="16885" xr:uid="{00000000-0005-0000-0000-000021050000}"/>
    <cellStyle name="20% - Accent1 6 4 2 2 2 2 2" xfId="40727" xr:uid="{C9F02C90-DD3A-43FB-9D3E-B889E6D234D4}"/>
    <cellStyle name="20% - Accent1 6 4 2 2 2 3" xfId="24831" xr:uid="{00000000-0005-0000-0000-000022050000}"/>
    <cellStyle name="20% - Accent1 6 4 2 2 2 3 2" xfId="48663" xr:uid="{974B600A-C743-49A8-BD8A-BA5C9A9BA51F}"/>
    <cellStyle name="20% - Accent1 6 4 2 2 2 4" xfId="32786" xr:uid="{FE60570C-2CD0-44D9-A45C-49C3AA91770F}"/>
    <cellStyle name="20% - Accent1 6 4 2 2 3" xfId="13347" xr:uid="{00000000-0005-0000-0000-000023050000}"/>
    <cellStyle name="20% - Accent1 6 4 2 2 3 2" xfId="37196" xr:uid="{FFC01E1B-EB33-4BF1-B64F-4D9CECAC671D}"/>
    <cellStyle name="20% - Accent1 6 4 2 2 4" xfId="21302" xr:uid="{00000000-0005-0000-0000-000024050000}"/>
    <cellStyle name="20% - Accent1 6 4 2 2 4 2" xfId="45134" xr:uid="{D615F874-674C-4C28-A765-E3D2FBA1050B}"/>
    <cellStyle name="20% - Accent1 6 4 2 2 5" xfId="29255" xr:uid="{943F36FF-7769-49E6-9508-0B1B176952D8}"/>
    <cellStyle name="20% - Accent1 6 4 2 3" xfId="7155" xr:uid="{00000000-0005-0000-0000-000025050000}"/>
    <cellStyle name="20% - Accent1 6 4 2 3 2" xfId="15127" xr:uid="{00000000-0005-0000-0000-000026050000}"/>
    <cellStyle name="20% - Accent1 6 4 2 3 2 2" xfId="38969" xr:uid="{8D1B8EF8-9B72-48D2-BF47-FB72AED7A93B}"/>
    <cellStyle name="20% - Accent1 6 4 2 3 3" xfId="23074" xr:uid="{00000000-0005-0000-0000-000027050000}"/>
    <cellStyle name="20% - Accent1 6 4 2 3 3 2" xfId="46906" xr:uid="{B5C0C674-E1FE-49AF-AB83-D15F36C8EB47}"/>
    <cellStyle name="20% - Accent1 6 4 2 3 4" xfId="31028" xr:uid="{681E79C7-6E31-43CB-9F69-5CB008BE7129}"/>
    <cellStyle name="20% - Accent1 6 4 2 4" xfId="11591" xr:uid="{00000000-0005-0000-0000-000028050000}"/>
    <cellStyle name="20% - Accent1 6 4 2 4 2" xfId="35440" xr:uid="{48FD0F83-9C2A-469F-A19B-0D5855CD5D9B}"/>
    <cellStyle name="20% - Accent1 6 4 2 5" xfId="19546" xr:uid="{00000000-0005-0000-0000-000029050000}"/>
    <cellStyle name="20% - Accent1 6 4 2 5 2" xfId="43378" xr:uid="{CFE1D558-8014-452D-A389-6A52D853B9E0}"/>
    <cellStyle name="20% - Accent1 6 4 2 6" xfId="27498" xr:uid="{20F061E6-082D-4CF0-8EF9-86680AD1487C}"/>
    <cellStyle name="20% - Accent1 6 4 2_Exh G" xfId="2033" xr:uid="{00000000-0005-0000-0000-00002A050000}"/>
    <cellStyle name="20% - Accent1 6 4 3" xfId="4444" xr:uid="{00000000-0005-0000-0000-00002B050000}"/>
    <cellStyle name="20% - Accent1 6 4 3 2" xfId="8036" xr:uid="{00000000-0005-0000-0000-00002C050000}"/>
    <cellStyle name="20% - Accent1 6 4 3 2 2" xfId="16007" xr:uid="{00000000-0005-0000-0000-00002D050000}"/>
    <cellStyle name="20% - Accent1 6 4 3 2 2 2" xfId="39849" xr:uid="{FF727CCB-6BFB-4F16-8425-4620C3155516}"/>
    <cellStyle name="20% - Accent1 6 4 3 2 3" xfId="23953" xr:uid="{00000000-0005-0000-0000-00002E050000}"/>
    <cellStyle name="20% - Accent1 6 4 3 2 3 2" xfId="47785" xr:uid="{27B9F405-A520-484C-B7BE-AF15A2677ED5}"/>
    <cellStyle name="20% - Accent1 6 4 3 2 4" xfId="31908" xr:uid="{0F864DA6-107C-420E-A8CD-C857EC561EB8}"/>
    <cellStyle name="20% - Accent1 6 4 3 3" xfId="12469" xr:uid="{00000000-0005-0000-0000-00002F050000}"/>
    <cellStyle name="20% - Accent1 6 4 3 3 2" xfId="36318" xr:uid="{8D4C52B2-A51A-43E4-A5A1-C0F296066E6A}"/>
    <cellStyle name="20% - Accent1 6 4 3 4" xfId="20424" xr:uid="{00000000-0005-0000-0000-000030050000}"/>
    <cellStyle name="20% - Accent1 6 4 3 4 2" xfId="44256" xr:uid="{AA33B711-E4BC-46FE-B741-F7FF476AB602}"/>
    <cellStyle name="20% - Accent1 6 4 3 5" xfId="28377" xr:uid="{651EE5F2-786B-400F-B3F3-0D10AC8102EB}"/>
    <cellStyle name="20% - Accent1 6 4 4" xfId="6274" xr:uid="{00000000-0005-0000-0000-000031050000}"/>
    <cellStyle name="20% - Accent1 6 4 4 2" xfId="14249" xr:uid="{00000000-0005-0000-0000-000032050000}"/>
    <cellStyle name="20% - Accent1 6 4 4 2 2" xfId="38091" xr:uid="{60072F02-C11D-4CD6-BB63-30AB6FBF3E10}"/>
    <cellStyle name="20% - Accent1 6 4 4 3" xfId="22196" xr:uid="{00000000-0005-0000-0000-000033050000}"/>
    <cellStyle name="20% - Accent1 6 4 4 3 2" xfId="46028" xr:uid="{B60C8615-20CD-4D9C-A3CF-C2D98014CB67}"/>
    <cellStyle name="20% - Accent1 6 4 4 4" xfId="30150" xr:uid="{B9F32D4D-D63D-4B64-B14E-DBC9C2934830}"/>
    <cellStyle name="20% - Accent1 6 4 5" xfId="9817" xr:uid="{00000000-0005-0000-0000-000034050000}"/>
    <cellStyle name="20% - Accent1 6 4 5 2" xfId="17775" xr:uid="{00000000-0005-0000-0000-000035050000}"/>
    <cellStyle name="20% - Accent1 6 4 5 2 2" xfId="41615" xr:uid="{D405D149-B08B-442D-B4A1-0D83024540AB}"/>
    <cellStyle name="20% - Accent1 6 4 5 3" xfId="25719" xr:uid="{00000000-0005-0000-0000-000036050000}"/>
    <cellStyle name="20% - Accent1 6 4 5 3 2" xfId="49551" xr:uid="{11AB410C-11DD-45BC-BE8A-2C64B1BC110D}"/>
    <cellStyle name="20% - Accent1 6 4 5 4" xfId="33674" xr:uid="{180D1618-46F4-43E9-87F6-2717AC411B21}"/>
    <cellStyle name="20% - Accent1 6 4 6" xfId="10713" xr:uid="{00000000-0005-0000-0000-000037050000}"/>
    <cellStyle name="20% - Accent1 6 4 6 2" xfId="34562" xr:uid="{64949127-F8A1-4E7C-A9E6-0D3B7693A34F}"/>
    <cellStyle name="20% - Accent1 6 4 7" xfId="18668" xr:uid="{00000000-0005-0000-0000-000038050000}"/>
    <cellStyle name="20% - Accent1 6 4 7 2" xfId="42500" xr:uid="{DC1AEDB9-31FE-4B56-B5E0-07D1D3B93D72}"/>
    <cellStyle name="20% - Accent1 6 4 8" xfId="26620" xr:uid="{96A451DF-8406-4FE1-82AB-137C041BA632}"/>
    <cellStyle name="20% - Accent1 6 4_Exh G" xfId="2032" xr:uid="{00000000-0005-0000-0000-000039050000}"/>
    <cellStyle name="20% - Accent1 6 5" xfId="1088" xr:uid="{00000000-0005-0000-0000-00003A050000}"/>
    <cellStyle name="20% - Accent1 6 5 2" xfId="4618" xr:uid="{00000000-0005-0000-0000-00003B050000}"/>
    <cellStyle name="20% - Accent1 6 5 2 2" xfId="8209" xr:uid="{00000000-0005-0000-0000-00003C050000}"/>
    <cellStyle name="20% - Accent1 6 5 2 2 2" xfId="16180" xr:uid="{00000000-0005-0000-0000-00003D050000}"/>
    <cellStyle name="20% - Accent1 6 5 2 2 2 2" xfId="40022" xr:uid="{60B7BF0A-C5DF-4C8C-A7D7-4CCA8886F5F0}"/>
    <cellStyle name="20% - Accent1 6 5 2 2 3" xfId="24126" xr:uid="{00000000-0005-0000-0000-00003E050000}"/>
    <cellStyle name="20% - Accent1 6 5 2 2 3 2" xfId="47958" xr:uid="{01D4C5AC-EA8E-491D-A111-72A989855C05}"/>
    <cellStyle name="20% - Accent1 6 5 2 2 4" xfId="32081" xr:uid="{F70E0A4F-27A6-439C-BA97-5391B0BA1933}"/>
    <cellStyle name="20% - Accent1 6 5 2 3" xfId="12642" xr:uid="{00000000-0005-0000-0000-00003F050000}"/>
    <cellStyle name="20% - Accent1 6 5 2 3 2" xfId="36491" xr:uid="{26FA8079-E882-40ED-A900-CAF2476DCC07}"/>
    <cellStyle name="20% - Accent1 6 5 2 4" xfId="20597" xr:uid="{00000000-0005-0000-0000-000040050000}"/>
    <cellStyle name="20% - Accent1 6 5 2 4 2" xfId="44429" xr:uid="{44BB7740-B6ED-4561-A56A-2E3F2C89BD3D}"/>
    <cellStyle name="20% - Accent1 6 5 2 5" xfId="28550" xr:uid="{5002FBAA-6704-4190-B6BE-832B9DFB53FB}"/>
    <cellStyle name="20% - Accent1 6 5 3" xfId="6450" xr:uid="{00000000-0005-0000-0000-000041050000}"/>
    <cellStyle name="20% - Accent1 6 5 3 2" xfId="14422" xr:uid="{00000000-0005-0000-0000-000042050000}"/>
    <cellStyle name="20% - Accent1 6 5 3 2 2" xfId="38264" xr:uid="{15F138D1-331D-411C-B9E8-45ED31D4D029}"/>
    <cellStyle name="20% - Accent1 6 5 3 3" xfId="22369" xr:uid="{00000000-0005-0000-0000-000043050000}"/>
    <cellStyle name="20% - Accent1 6 5 3 3 2" xfId="46201" xr:uid="{EF6E85AA-29A6-4395-A0C7-805000573696}"/>
    <cellStyle name="20% - Accent1 6 5 3 4" xfId="30323" xr:uid="{0A2555EB-3D17-4B6B-84DD-2E594C271919}"/>
    <cellStyle name="20% - Accent1 6 5 4" xfId="10886" xr:uid="{00000000-0005-0000-0000-000044050000}"/>
    <cellStyle name="20% - Accent1 6 5 4 2" xfId="34735" xr:uid="{67E5A86C-B02A-4FEB-99D0-5488E622460E}"/>
    <cellStyle name="20% - Accent1 6 5 5" xfId="18841" xr:uid="{00000000-0005-0000-0000-000045050000}"/>
    <cellStyle name="20% - Accent1 6 5 5 2" xfId="42673" xr:uid="{28CCBA72-0D39-435D-B3D7-8317E21C67EB}"/>
    <cellStyle name="20% - Accent1 6 5 6" xfId="26793" xr:uid="{35FBC418-337D-45BC-9ADF-402E6B7AB7F5}"/>
    <cellStyle name="20% - Accent1 6 5_Exh G" xfId="2034" xr:uid="{00000000-0005-0000-0000-000046050000}"/>
    <cellStyle name="20% - Accent1 6 6" xfId="3739" xr:uid="{00000000-0005-0000-0000-000047050000}"/>
    <cellStyle name="20% - Accent1 6 6 2" xfId="7331" xr:uid="{00000000-0005-0000-0000-000048050000}"/>
    <cellStyle name="20% - Accent1 6 6 2 2" xfId="15302" xr:uid="{00000000-0005-0000-0000-000049050000}"/>
    <cellStyle name="20% - Accent1 6 6 2 2 2" xfId="39144" xr:uid="{1837D8EF-87E1-4CBD-8C8E-E2B81DF678FF}"/>
    <cellStyle name="20% - Accent1 6 6 2 3" xfId="23248" xr:uid="{00000000-0005-0000-0000-00004A050000}"/>
    <cellStyle name="20% - Accent1 6 6 2 3 2" xfId="47080" xr:uid="{A24C30E7-3C9D-4EF1-8B68-954F87A8468D}"/>
    <cellStyle name="20% - Accent1 6 6 2 4" xfId="31203" xr:uid="{9D0307E9-23EA-4357-B6D6-C8253D75862F}"/>
    <cellStyle name="20% - Accent1 6 6 3" xfId="11764" xr:uid="{00000000-0005-0000-0000-00004B050000}"/>
    <cellStyle name="20% - Accent1 6 6 3 2" xfId="35613" xr:uid="{BD3E1FBE-E4E6-4B8A-85D4-8E2042870751}"/>
    <cellStyle name="20% - Accent1 6 6 4" xfId="19719" xr:uid="{00000000-0005-0000-0000-00004C050000}"/>
    <cellStyle name="20% - Accent1 6 6 4 2" xfId="43551" xr:uid="{D964ABB5-8736-499B-9738-4AC032634A8D}"/>
    <cellStyle name="20% - Accent1 6 6 5" xfId="27672" xr:uid="{7C4680C7-DFE4-47D2-A1B9-79F57358265D}"/>
    <cellStyle name="20% - Accent1 6 7" xfId="5559" xr:uid="{00000000-0005-0000-0000-00004D050000}"/>
    <cellStyle name="20% - Accent1 6 7 2" xfId="13543" xr:uid="{00000000-0005-0000-0000-00004E050000}"/>
    <cellStyle name="20% - Accent1 6 7 2 2" xfId="37386" xr:uid="{DBB53BEF-8D7E-450C-A12A-963AB78FC41F}"/>
    <cellStyle name="20% - Accent1 6 7 3" xfId="21491" xr:uid="{00000000-0005-0000-0000-00004F050000}"/>
    <cellStyle name="20% - Accent1 6 7 3 2" xfId="45323" xr:uid="{2203B1EC-F84B-401E-922D-5B46168BEEB1}"/>
    <cellStyle name="20% - Accent1 6 7 4" xfId="29445" xr:uid="{55342719-6510-41D5-A650-2337AEA00E58}"/>
    <cellStyle name="20% - Accent1 6 8" xfId="9112" xr:uid="{00000000-0005-0000-0000-000050050000}"/>
    <cellStyle name="20% - Accent1 6 8 2" xfId="17070" xr:uid="{00000000-0005-0000-0000-000051050000}"/>
    <cellStyle name="20% - Accent1 6 8 2 2" xfId="40910" xr:uid="{5CB91D21-885B-473B-99B6-27549E6C29C4}"/>
    <cellStyle name="20% - Accent1 6 8 3" xfId="25014" xr:uid="{00000000-0005-0000-0000-000052050000}"/>
    <cellStyle name="20% - Accent1 6 8 3 2" xfId="48846" xr:uid="{193CAD32-A5A1-4BEE-873E-DFCEC7D8D29D}"/>
    <cellStyle name="20% - Accent1 6 8 4" xfId="32969" xr:uid="{453D3794-DA61-4021-A2E0-B511A11B7CCB}"/>
    <cellStyle name="20% - Accent1 6 9" xfId="10008" xr:uid="{00000000-0005-0000-0000-000053050000}"/>
    <cellStyle name="20% - Accent1 6 9 2" xfId="33857" xr:uid="{DE339D2F-444F-4BEC-9D28-A467A33A89C9}"/>
    <cellStyle name="20% - Accent1 6_Exh G" xfId="2025" xr:uid="{00000000-0005-0000-0000-000054050000}"/>
    <cellStyle name="20% - Accent1 7" xfId="64" xr:uid="{00000000-0005-0000-0000-000055050000}"/>
    <cellStyle name="20% - Accent1 7 10" xfId="17967" xr:uid="{00000000-0005-0000-0000-000056050000}"/>
    <cellStyle name="20% - Accent1 7 10 2" xfId="41799" xr:uid="{3DAF4ECD-00B4-4C79-9929-6BD1071E2642}"/>
    <cellStyle name="20% - Accent1 7 11" xfId="25919" xr:uid="{B04A4F37-4E49-4E2D-AEB4-E8B68B44F479}"/>
    <cellStyle name="20% - Accent1 7 2" xfId="65" xr:uid="{00000000-0005-0000-0000-000057050000}"/>
    <cellStyle name="20% - Accent1 7 2 2" xfId="66" xr:uid="{00000000-0005-0000-0000-000058050000}"/>
    <cellStyle name="20% - Accent1 7 2 2 2" xfId="1094" xr:uid="{00000000-0005-0000-0000-000059050000}"/>
    <cellStyle name="20% - Accent1 7 2 2 2 2" xfId="4624" xr:uid="{00000000-0005-0000-0000-00005A050000}"/>
    <cellStyle name="20% - Accent1 7 2 2 2 2 2" xfId="8215" xr:uid="{00000000-0005-0000-0000-00005B050000}"/>
    <cellStyle name="20% - Accent1 7 2 2 2 2 2 2" xfId="16186" xr:uid="{00000000-0005-0000-0000-00005C050000}"/>
    <cellStyle name="20% - Accent1 7 2 2 2 2 2 2 2" xfId="40028" xr:uid="{235B89B8-AD64-43B5-8586-358A07CBB5AF}"/>
    <cellStyle name="20% - Accent1 7 2 2 2 2 2 3" xfId="24132" xr:uid="{00000000-0005-0000-0000-00005D050000}"/>
    <cellStyle name="20% - Accent1 7 2 2 2 2 2 3 2" xfId="47964" xr:uid="{83850D41-9017-4729-AD78-A552E6E948B4}"/>
    <cellStyle name="20% - Accent1 7 2 2 2 2 2 4" xfId="32087" xr:uid="{330F38C9-55B9-485A-B204-01AE6C4E4650}"/>
    <cellStyle name="20% - Accent1 7 2 2 2 2 3" xfId="12648" xr:uid="{00000000-0005-0000-0000-00005E050000}"/>
    <cellStyle name="20% - Accent1 7 2 2 2 2 3 2" xfId="36497" xr:uid="{E27974EA-08CB-4169-A225-559FCED9465E}"/>
    <cellStyle name="20% - Accent1 7 2 2 2 2 4" xfId="20603" xr:uid="{00000000-0005-0000-0000-00005F050000}"/>
    <cellStyle name="20% - Accent1 7 2 2 2 2 4 2" xfId="44435" xr:uid="{79037BA4-494C-4FB0-B047-A0D69ADD76CB}"/>
    <cellStyle name="20% - Accent1 7 2 2 2 2 5" xfId="28556" xr:uid="{BA8C5F31-9824-47E4-A46B-CC748D1F4085}"/>
    <cellStyle name="20% - Accent1 7 2 2 2 3" xfId="6456" xr:uid="{00000000-0005-0000-0000-000060050000}"/>
    <cellStyle name="20% - Accent1 7 2 2 2 3 2" xfId="14428" xr:uid="{00000000-0005-0000-0000-000061050000}"/>
    <cellStyle name="20% - Accent1 7 2 2 2 3 2 2" xfId="38270" xr:uid="{48C8820A-AF2E-441C-B892-A9BBC7B34586}"/>
    <cellStyle name="20% - Accent1 7 2 2 2 3 3" xfId="22375" xr:uid="{00000000-0005-0000-0000-000062050000}"/>
    <cellStyle name="20% - Accent1 7 2 2 2 3 3 2" xfId="46207" xr:uid="{A22DF508-728C-4856-BE1A-3CB54CBE82BB}"/>
    <cellStyle name="20% - Accent1 7 2 2 2 3 4" xfId="30329" xr:uid="{32F84566-D02A-4650-969F-583A17D4ED4A}"/>
    <cellStyle name="20% - Accent1 7 2 2 2 4" xfId="10892" xr:uid="{00000000-0005-0000-0000-000063050000}"/>
    <cellStyle name="20% - Accent1 7 2 2 2 4 2" xfId="34741" xr:uid="{2B987909-7D37-4F31-B8E5-A616CBC38605}"/>
    <cellStyle name="20% - Accent1 7 2 2 2 5" xfId="18847" xr:uid="{00000000-0005-0000-0000-000064050000}"/>
    <cellStyle name="20% - Accent1 7 2 2 2 5 2" xfId="42679" xr:uid="{AE2808F2-B135-4A93-93FC-8309588C2A43}"/>
    <cellStyle name="20% - Accent1 7 2 2 2 6" xfId="26799" xr:uid="{2CE6B1FC-DB37-4B01-BAA7-6A8C6714AA38}"/>
    <cellStyle name="20% - Accent1 7 2 2 2_Exh G" xfId="2038" xr:uid="{00000000-0005-0000-0000-000065050000}"/>
    <cellStyle name="20% - Accent1 7 2 2 3" xfId="3745" xr:uid="{00000000-0005-0000-0000-000066050000}"/>
    <cellStyle name="20% - Accent1 7 2 2 3 2" xfId="7337" xr:uid="{00000000-0005-0000-0000-000067050000}"/>
    <cellStyle name="20% - Accent1 7 2 2 3 2 2" xfId="15308" xr:uid="{00000000-0005-0000-0000-000068050000}"/>
    <cellStyle name="20% - Accent1 7 2 2 3 2 2 2" xfId="39150" xr:uid="{B3A165DF-8F3A-4D89-9559-9FB1E29022D9}"/>
    <cellStyle name="20% - Accent1 7 2 2 3 2 3" xfId="23254" xr:uid="{00000000-0005-0000-0000-000069050000}"/>
    <cellStyle name="20% - Accent1 7 2 2 3 2 3 2" xfId="47086" xr:uid="{FED8F07E-935E-426C-B9C5-73C26FF6670D}"/>
    <cellStyle name="20% - Accent1 7 2 2 3 2 4" xfId="31209" xr:uid="{B3838AC9-A274-427C-A41E-026C73AFC73D}"/>
    <cellStyle name="20% - Accent1 7 2 2 3 3" xfId="11770" xr:uid="{00000000-0005-0000-0000-00006A050000}"/>
    <cellStyle name="20% - Accent1 7 2 2 3 3 2" xfId="35619" xr:uid="{0D93EAA9-EF10-410F-A6C7-946DE7A96F50}"/>
    <cellStyle name="20% - Accent1 7 2 2 3 4" xfId="19725" xr:uid="{00000000-0005-0000-0000-00006B050000}"/>
    <cellStyle name="20% - Accent1 7 2 2 3 4 2" xfId="43557" xr:uid="{966958FC-2F30-4883-B560-7C9DB7E86B76}"/>
    <cellStyle name="20% - Accent1 7 2 2 3 5" xfId="27678" xr:uid="{3F79D44F-E33A-4DF8-B84A-376F02F458B0}"/>
    <cellStyle name="20% - Accent1 7 2 2 4" xfId="5565" xr:uid="{00000000-0005-0000-0000-00006C050000}"/>
    <cellStyle name="20% - Accent1 7 2 2 4 2" xfId="13549" xr:uid="{00000000-0005-0000-0000-00006D050000}"/>
    <cellStyle name="20% - Accent1 7 2 2 4 2 2" xfId="37392" xr:uid="{40DDD2CE-B67F-41D2-B35D-872C81DEFA43}"/>
    <cellStyle name="20% - Accent1 7 2 2 4 3" xfId="21497" xr:uid="{00000000-0005-0000-0000-00006E050000}"/>
    <cellStyle name="20% - Accent1 7 2 2 4 3 2" xfId="45329" xr:uid="{4100C6CF-8066-4FFA-8403-6B2821EB5A72}"/>
    <cellStyle name="20% - Accent1 7 2 2 4 4" xfId="29451" xr:uid="{418B7269-4687-444D-9DE8-DB8A4DCE0CB7}"/>
    <cellStyle name="20% - Accent1 7 2 2 5" xfId="9118" xr:uid="{00000000-0005-0000-0000-00006F050000}"/>
    <cellStyle name="20% - Accent1 7 2 2 5 2" xfId="17076" xr:uid="{00000000-0005-0000-0000-000070050000}"/>
    <cellStyle name="20% - Accent1 7 2 2 5 2 2" xfId="40916" xr:uid="{3CEF470C-2CB0-4C23-A000-50CB58CF4034}"/>
    <cellStyle name="20% - Accent1 7 2 2 5 3" xfId="25020" xr:uid="{00000000-0005-0000-0000-000071050000}"/>
    <cellStyle name="20% - Accent1 7 2 2 5 3 2" xfId="48852" xr:uid="{68E8F644-201D-465D-B21E-91A622A45C04}"/>
    <cellStyle name="20% - Accent1 7 2 2 5 4" xfId="32975" xr:uid="{1F64FB03-8252-4726-8D21-E0F8206429C3}"/>
    <cellStyle name="20% - Accent1 7 2 2 6" xfId="10014" xr:uid="{00000000-0005-0000-0000-000072050000}"/>
    <cellStyle name="20% - Accent1 7 2 2 6 2" xfId="33863" xr:uid="{2B79F55C-ADDC-4DF6-9A89-E93A21B52E78}"/>
    <cellStyle name="20% - Accent1 7 2 2 7" xfId="17969" xr:uid="{00000000-0005-0000-0000-000073050000}"/>
    <cellStyle name="20% - Accent1 7 2 2 7 2" xfId="41801" xr:uid="{49D79A73-C9F2-4217-8825-E86A52B5E2B9}"/>
    <cellStyle name="20% - Accent1 7 2 2 8" xfId="25921" xr:uid="{0627E2E6-B6BA-44DB-99F5-2F892AE103E2}"/>
    <cellStyle name="20% - Accent1 7 2 2_Exh G" xfId="2037" xr:uid="{00000000-0005-0000-0000-000074050000}"/>
    <cellStyle name="20% - Accent1 7 2 3" xfId="1093" xr:uid="{00000000-0005-0000-0000-000075050000}"/>
    <cellStyle name="20% - Accent1 7 2 3 2" xfId="4623" xr:uid="{00000000-0005-0000-0000-000076050000}"/>
    <cellStyle name="20% - Accent1 7 2 3 2 2" xfId="8214" xr:uid="{00000000-0005-0000-0000-000077050000}"/>
    <cellStyle name="20% - Accent1 7 2 3 2 2 2" xfId="16185" xr:uid="{00000000-0005-0000-0000-000078050000}"/>
    <cellStyle name="20% - Accent1 7 2 3 2 2 2 2" xfId="40027" xr:uid="{70208DD3-182D-4E07-9BA3-28CC3B0C22E6}"/>
    <cellStyle name="20% - Accent1 7 2 3 2 2 3" xfId="24131" xr:uid="{00000000-0005-0000-0000-000079050000}"/>
    <cellStyle name="20% - Accent1 7 2 3 2 2 3 2" xfId="47963" xr:uid="{F013BC0F-7647-4D5D-8668-DEE95364E5EF}"/>
    <cellStyle name="20% - Accent1 7 2 3 2 2 4" xfId="32086" xr:uid="{496E5154-A30F-4037-808A-CE3FA1DD9E23}"/>
    <cellStyle name="20% - Accent1 7 2 3 2 3" xfId="12647" xr:uid="{00000000-0005-0000-0000-00007A050000}"/>
    <cellStyle name="20% - Accent1 7 2 3 2 3 2" xfId="36496" xr:uid="{E1151261-BEB0-44B6-A35F-17D5241C4CDB}"/>
    <cellStyle name="20% - Accent1 7 2 3 2 4" xfId="20602" xr:uid="{00000000-0005-0000-0000-00007B050000}"/>
    <cellStyle name="20% - Accent1 7 2 3 2 4 2" xfId="44434" xr:uid="{F7611A65-FAA5-45B2-B13C-84148A31A67E}"/>
    <cellStyle name="20% - Accent1 7 2 3 2 5" xfId="28555" xr:uid="{88ADEF5E-3809-4A72-98F5-98D38A98B2B6}"/>
    <cellStyle name="20% - Accent1 7 2 3 3" xfId="6455" xr:uid="{00000000-0005-0000-0000-00007C050000}"/>
    <cellStyle name="20% - Accent1 7 2 3 3 2" xfId="14427" xr:uid="{00000000-0005-0000-0000-00007D050000}"/>
    <cellStyle name="20% - Accent1 7 2 3 3 2 2" xfId="38269" xr:uid="{B48DB7C3-C01A-4E69-9FDE-786BA8020950}"/>
    <cellStyle name="20% - Accent1 7 2 3 3 3" xfId="22374" xr:uid="{00000000-0005-0000-0000-00007E050000}"/>
    <cellStyle name="20% - Accent1 7 2 3 3 3 2" xfId="46206" xr:uid="{096B44EA-F132-47CF-BF0B-B031542FF3AB}"/>
    <cellStyle name="20% - Accent1 7 2 3 3 4" xfId="30328" xr:uid="{1A13C17B-FEAC-4B9D-9230-EC96C220B9AC}"/>
    <cellStyle name="20% - Accent1 7 2 3 4" xfId="10891" xr:uid="{00000000-0005-0000-0000-00007F050000}"/>
    <cellStyle name="20% - Accent1 7 2 3 4 2" xfId="34740" xr:uid="{A7B3E1EE-8AFD-465F-8A18-E08C89434DD0}"/>
    <cellStyle name="20% - Accent1 7 2 3 5" xfId="18846" xr:uid="{00000000-0005-0000-0000-000080050000}"/>
    <cellStyle name="20% - Accent1 7 2 3 5 2" xfId="42678" xr:uid="{23C074E5-C78C-42E1-A353-1600AE209E82}"/>
    <cellStyle name="20% - Accent1 7 2 3 6" xfId="26798" xr:uid="{0A3CDDF3-8CDD-4EC6-8EE5-96D4501BBFFA}"/>
    <cellStyle name="20% - Accent1 7 2 3_Exh G" xfId="2039" xr:uid="{00000000-0005-0000-0000-000081050000}"/>
    <cellStyle name="20% - Accent1 7 2 4" xfId="3744" xr:uid="{00000000-0005-0000-0000-000082050000}"/>
    <cellStyle name="20% - Accent1 7 2 4 2" xfId="7336" xr:uid="{00000000-0005-0000-0000-000083050000}"/>
    <cellStyle name="20% - Accent1 7 2 4 2 2" xfId="15307" xr:uid="{00000000-0005-0000-0000-000084050000}"/>
    <cellStyle name="20% - Accent1 7 2 4 2 2 2" xfId="39149" xr:uid="{3C5D9053-8CE3-4DF7-BA61-9DDB84A747CB}"/>
    <cellStyle name="20% - Accent1 7 2 4 2 3" xfId="23253" xr:uid="{00000000-0005-0000-0000-000085050000}"/>
    <cellStyle name="20% - Accent1 7 2 4 2 3 2" xfId="47085" xr:uid="{50DAB1FC-E943-4D5A-8F95-A957FC690BFA}"/>
    <cellStyle name="20% - Accent1 7 2 4 2 4" xfId="31208" xr:uid="{7D1FC7F9-FD83-44F2-9003-1FF2C86BBE27}"/>
    <cellStyle name="20% - Accent1 7 2 4 3" xfId="11769" xr:uid="{00000000-0005-0000-0000-000086050000}"/>
    <cellStyle name="20% - Accent1 7 2 4 3 2" xfId="35618" xr:uid="{7C08C354-1C45-4603-BA0B-5AE126CD5466}"/>
    <cellStyle name="20% - Accent1 7 2 4 4" xfId="19724" xr:uid="{00000000-0005-0000-0000-000087050000}"/>
    <cellStyle name="20% - Accent1 7 2 4 4 2" xfId="43556" xr:uid="{1C24B0E1-177B-47DC-B42B-D152E177AE71}"/>
    <cellStyle name="20% - Accent1 7 2 4 5" xfId="27677" xr:uid="{AB82D1B2-4FFC-40D1-9503-255FFFF28471}"/>
    <cellStyle name="20% - Accent1 7 2 5" xfId="5564" xr:uid="{00000000-0005-0000-0000-000088050000}"/>
    <cellStyle name="20% - Accent1 7 2 5 2" xfId="13548" xr:uid="{00000000-0005-0000-0000-000089050000}"/>
    <cellStyle name="20% - Accent1 7 2 5 2 2" xfId="37391" xr:uid="{929244F7-E500-44B9-8772-184830AD1AE2}"/>
    <cellStyle name="20% - Accent1 7 2 5 3" xfId="21496" xr:uid="{00000000-0005-0000-0000-00008A050000}"/>
    <cellStyle name="20% - Accent1 7 2 5 3 2" xfId="45328" xr:uid="{59E85C0A-C6B5-4F07-B6B1-DE4CB2CD5BA5}"/>
    <cellStyle name="20% - Accent1 7 2 5 4" xfId="29450" xr:uid="{9FA112D4-99EA-486D-83AA-4A1046A7C855}"/>
    <cellStyle name="20% - Accent1 7 2 6" xfId="9117" xr:uid="{00000000-0005-0000-0000-00008B050000}"/>
    <cellStyle name="20% - Accent1 7 2 6 2" xfId="17075" xr:uid="{00000000-0005-0000-0000-00008C050000}"/>
    <cellStyle name="20% - Accent1 7 2 6 2 2" xfId="40915" xr:uid="{E8A9917F-BEC9-4700-B597-9CECD6842300}"/>
    <cellStyle name="20% - Accent1 7 2 6 3" xfId="25019" xr:uid="{00000000-0005-0000-0000-00008D050000}"/>
    <cellStyle name="20% - Accent1 7 2 6 3 2" xfId="48851" xr:uid="{BCDC63D0-3BAE-4651-8B99-59156A0FDC0C}"/>
    <cellStyle name="20% - Accent1 7 2 6 4" xfId="32974" xr:uid="{184DAFC1-AA58-4B4A-8B83-CC82521DF32E}"/>
    <cellStyle name="20% - Accent1 7 2 7" xfId="10013" xr:uid="{00000000-0005-0000-0000-00008E050000}"/>
    <cellStyle name="20% - Accent1 7 2 7 2" xfId="33862" xr:uid="{318F9FD9-CF5D-4D8D-BAAE-803984F9CB3B}"/>
    <cellStyle name="20% - Accent1 7 2 8" xfId="17968" xr:uid="{00000000-0005-0000-0000-00008F050000}"/>
    <cellStyle name="20% - Accent1 7 2 8 2" xfId="41800" xr:uid="{B9554AA9-45E0-46F8-83F2-CD37EBC30D95}"/>
    <cellStyle name="20% - Accent1 7 2 9" xfId="25920" xr:uid="{2FE0E174-15B5-4655-8E2B-B0B89141EC1E}"/>
    <cellStyle name="20% - Accent1 7 2_Exh G" xfId="2036" xr:uid="{00000000-0005-0000-0000-000090050000}"/>
    <cellStyle name="20% - Accent1 7 3" xfId="67" xr:uid="{00000000-0005-0000-0000-000091050000}"/>
    <cellStyle name="20% - Accent1 7 3 2" xfId="1095" xr:uid="{00000000-0005-0000-0000-000092050000}"/>
    <cellStyle name="20% - Accent1 7 3 2 2" xfId="4625" xr:uid="{00000000-0005-0000-0000-000093050000}"/>
    <cellStyle name="20% - Accent1 7 3 2 2 2" xfId="8216" xr:uid="{00000000-0005-0000-0000-000094050000}"/>
    <cellStyle name="20% - Accent1 7 3 2 2 2 2" xfId="16187" xr:uid="{00000000-0005-0000-0000-000095050000}"/>
    <cellStyle name="20% - Accent1 7 3 2 2 2 2 2" xfId="40029" xr:uid="{5035B860-B7FA-41D9-A464-C79D88171255}"/>
    <cellStyle name="20% - Accent1 7 3 2 2 2 3" xfId="24133" xr:uid="{00000000-0005-0000-0000-000096050000}"/>
    <cellStyle name="20% - Accent1 7 3 2 2 2 3 2" xfId="47965" xr:uid="{50F87558-E1A8-43D3-A937-5539885ECC17}"/>
    <cellStyle name="20% - Accent1 7 3 2 2 2 4" xfId="32088" xr:uid="{90E89667-DD1E-47D8-AAA5-72C34B08B0B8}"/>
    <cellStyle name="20% - Accent1 7 3 2 2 3" xfId="12649" xr:uid="{00000000-0005-0000-0000-000097050000}"/>
    <cellStyle name="20% - Accent1 7 3 2 2 3 2" xfId="36498" xr:uid="{FB4BDBD9-C0A7-447A-AB56-A0BB57F9EC82}"/>
    <cellStyle name="20% - Accent1 7 3 2 2 4" xfId="20604" xr:uid="{00000000-0005-0000-0000-000098050000}"/>
    <cellStyle name="20% - Accent1 7 3 2 2 4 2" xfId="44436" xr:uid="{88CA0F0D-7934-4FDF-870E-136DBEC05A94}"/>
    <cellStyle name="20% - Accent1 7 3 2 2 5" xfId="28557" xr:uid="{4138F003-643D-4BEF-97C3-109240159DEA}"/>
    <cellStyle name="20% - Accent1 7 3 2 3" xfId="6457" xr:uid="{00000000-0005-0000-0000-000099050000}"/>
    <cellStyle name="20% - Accent1 7 3 2 3 2" xfId="14429" xr:uid="{00000000-0005-0000-0000-00009A050000}"/>
    <cellStyle name="20% - Accent1 7 3 2 3 2 2" xfId="38271" xr:uid="{746B4850-A6A9-4EC8-B5AE-1235BC554472}"/>
    <cellStyle name="20% - Accent1 7 3 2 3 3" xfId="22376" xr:uid="{00000000-0005-0000-0000-00009B050000}"/>
    <cellStyle name="20% - Accent1 7 3 2 3 3 2" xfId="46208" xr:uid="{0D8F87E3-173F-448C-BC20-122244137B24}"/>
    <cellStyle name="20% - Accent1 7 3 2 3 4" xfId="30330" xr:uid="{502AC651-1E1D-4BE4-8F3A-B83FDD3355A4}"/>
    <cellStyle name="20% - Accent1 7 3 2 4" xfId="10893" xr:uid="{00000000-0005-0000-0000-00009C050000}"/>
    <cellStyle name="20% - Accent1 7 3 2 4 2" xfId="34742" xr:uid="{8FC42DBA-DB7E-4C1A-8E0B-A0581FD022D1}"/>
    <cellStyle name="20% - Accent1 7 3 2 5" xfId="18848" xr:uid="{00000000-0005-0000-0000-00009D050000}"/>
    <cellStyle name="20% - Accent1 7 3 2 5 2" xfId="42680" xr:uid="{D74136A3-40B7-4EF3-9807-EF2D3999C427}"/>
    <cellStyle name="20% - Accent1 7 3 2 6" xfId="26800" xr:uid="{3536AB26-4ED7-4601-8A2A-23E6E0B77A90}"/>
    <cellStyle name="20% - Accent1 7 3 2_Exh G" xfId="2041" xr:uid="{00000000-0005-0000-0000-00009E050000}"/>
    <cellStyle name="20% - Accent1 7 3 3" xfId="3746" xr:uid="{00000000-0005-0000-0000-00009F050000}"/>
    <cellStyle name="20% - Accent1 7 3 3 2" xfId="7338" xr:uid="{00000000-0005-0000-0000-0000A0050000}"/>
    <cellStyle name="20% - Accent1 7 3 3 2 2" xfId="15309" xr:uid="{00000000-0005-0000-0000-0000A1050000}"/>
    <cellStyle name="20% - Accent1 7 3 3 2 2 2" xfId="39151" xr:uid="{2FBB0673-3E1D-4D29-8AD2-E307FFD9CDDD}"/>
    <cellStyle name="20% - Accent1 7 3 3 2 3" xfId="23255" xr:uid="{00000000-0005-0000-0000-0000A2050000}"/>
    <cellStyle name="20% - Accent1 7 3 3 2 3 2" xfId="47087" xr:uid="{7524B194-9A43-4DB8-9F19-BAD76F6C3F0A}"/>
    <cellStyle name="20% - Accent1 7 3 3 2 4" xfId="31210" xr:uid="{DC39E6EA-761F-4462-B26B-C3B23843F17B}"/>
    <cellStyle name="20% - Accent1 7 3 3 3" xfId="11771" xr:uid="{00000000-0005-0000-0000-0000A3050000}"/>
    <cellStyle name="20% - Accent1 7 3 3 3 2" xfId="35620" xr:uid="{61DF6CF5-FD8C-4070-96D9-6D9453F45CED}"/>
    <cellStyle name="20% - Accent1 7 3 3 4" xfId="19726" xr:uid="{00000000-0005-0000-0000-0000A4050000}"/>
    <cellStyle name="20% - Accent1 7 3 3 4 2" xfId="43558" xr:uid="{6D9D7713-D642-4CF3-BB3A-76981CC524C0}"/>
    <cellStyle name="20% - Accent1 7 3 3 5" xfId="27679" xr:uid="{64B75575-AC99-463F-81C2-A1E5179B1AD3}"/>
    <cellStyle name="20% - Accent1 7 3 4" xfId="5566" xr:uid="{00000000-0005-0000-0000-0000A5050000}"/>
    <cellStyle name="20% - Accent1 7 3 4 2" xfId="13550" xr:uid="{00000000-0005-0000-0000-0000A6050000}"/>
    <cellStyle name="20% - Accent1 7 3 4 2 2" xfId="37393" xr:uid="{44CB2B9A-9CB0-459F-B1C3-07B36E07FC58}"/>
    <cellStyle name="20% - Accent1 7 3 4 3" xfId="21498" xr:uid="{00000000-0005-0000-0000-0000A7050000}"/>
    <cellStyle name="20% - Accent1 7 3 4 3 2" xfId="45330" xr:uid="{E90650A6-C6F7-41D4-AF92-A0557C4D45E6}"/>
    <cellStyle name="20% - Accent1 7 3 4 4" xfId="29452" xr:uid="{17EAA695-2991-4E4F-83A2-D36591994AE9}"/>
    <cellStyle name="20% - Accent1 7 3 5" xfId="9119" xr:uid="{00000000-0005-0000-0000-0000A8050000}"/>
    <cellStyle name="20% - Accent1 7 3 5 2" xfId="17077" xr:uid="{00000000-0005-0000-0000-0000A9050000}"/>
    <cellStyle name="20% - Accent1 7 3 5 2 2" xfId="40917" xr:uid="{5FF4242C-2702-49BF-9958-E86C9EA671EE}"/>
    <cellStyle name="20% - Accent1 7 3 5 3" xfId="25021" xr:uid="{00000000-0005-0000-0000-0000AA050000}"/>
    <cellStyle name="20% - Accent1 7 3 5 3 2" xfId="48853" xr:uid="{F85543E7-820A-4847-B936-A3D753CE7012}"/>
    <cellStyle name="20% - Accent1 7 3 5 4" xfId="32976" xr:uid="{D7A59A2C-6A31-4D70-86CF-3C7F6F6658A9}"/>
    <cellStyle name="20% - Accent1 7 3 6" xfId="10015" xr:uid="{00000000-0005-0000-0000-0000AB050000}"/>
    <cellStyle name="20% - Accent1 7 3 6 2" xfId="33864" xr:uid="{046B05AE-FB6A-400F-9BF4-E57D71EDD764}"/>
    <cellStyle name="20% - Accent1 7 3 7" xfId="17970" xr:uid="{00000000-0005-0000-0000-0000AC050000}"/>
    <cellStyle name="20% - Accent1 7 3 7 2" xfId="41802" xr:uid="{CDB77A6B-ACF0-44DD-ACD9-BB42B2F0D267}"/>
    <cellStyle name="20% - Accent1 7 3 8" xfId="25922" xr:uid="{24585076-58F3-4C39-B7B8-16B0387AE13E}"/>
    <cellStyle name="20% - Accent1 7 3_Exh G" xfId="2040" xr:uid="{00000000-0005-0000-0000-0000AD050000}"/>
    <cellStyle name="20% - Accent1 7 4" xfId="871" xr:uid="{00000000-0005-0000-0000-0000AE050000}"/>
    <cellStyle name="20% - Accent1 7 4 2" xfId="1806" xr:uid="{00000000-0005-0000-0000-0000AF050000}"/>
    <cellStyle name="20% - Accent1 7 4 2 2" xfId="5324" xr:uid="{00000000-0005-0000-0000-0000B0050000}"/>
    <cellStyle name="20% - Accent1 7 4 2 2 2" xfId="8915" xr:uid="{00000000-0005-0000-0000-0000B1050000}"/>
    <cellStyle name="20% - Accent1 7 4 2 2 2 2" xfId="16886" xr:uid="{00000000-0005-0000-0000-0000B2050000}"/>
    <cellStyle name="20% - Accent1 7 4 2 2 2 2 2" xfId="40728" xr:uid="{C3C87369-6ABC-472E-A2E8-C247CB4F0E94}"/>
    <cellStyle name="20% - Accent1 7 4 2 2 2 3" xfId="24832" xr:uid="{00000000-0005-0000-0000-0000B3050000}"/>
    <cellStyle name="20% - Accent1 7 4 2 2 2 3 2" xfId="48664" xr:uid="{200AC4EE-2DF7-4874-B987-6B60FB0BA46A}"/>
    <cellStyle name="20% - Accent1 7 4 2 2 2 4" xfId="32787" xr:uid="{70D050C6-AA0C-4E24-AA2E-E8711AE18481}"/>
    <cellStyle name="20% - Accent1 7 4 2 2 3" xfId="13348" xr:uid="{00000000-0005-0000-0000-0000B4050000}"/>
    <cellStyle name="20% - Accent1 7 4 2 2 3 2" xfId="37197" xr:uid="{D5A2EF55-89FD-4953-9F38-B2D406BF5F78}"/>
    <cellStyle name="20% - Accent1 7 4 2 2 4" xfId="21303" xr:uid="{00000000-0005-0000-0000-0000B5050000}"/>
    <cellStyle name="20% - Accent1 7 4 2 2 4 2" xfId="45135" xr:uid="{AB9571CE-DD70-4D9C-AD6E-BC16563B3182}"/>
    <cellStyle name="20% - Accent1 7 4 2 2 5" xfId="29256" xr:uid="{2C03D433-9EAC-414D-8718-8664779F1DDC}"/>
    <cellStyle name="20% - Accent1 7 4 2 3" xfId="7156" xr:uid="{00000000-0005-0000-0000-0000B6050000}"/>
    <cellStyle name="20% - Accent1 7 4 2 3 2" xfId="15128" xr:uid="{00000000-0005-0000-0000-0000B7050000}"/>
    <cellStyle name="20% - Accent1 7 4 2 3 2 2" xfId="38970" xr:uid="{B992A01B-DF40-4775-A229-4B8833B0A9D8}"/>
    <cellStyle name="20% - Accent1 7 4 2 3 3" xfId="23075" xr:uid="{00000000-0005-0000-0000-0000B8050000}"/>
    <cellStyle name="20% - Accent1 7 4 2 3 3 2" xfId="46907" xr:uid="{9CAA4A18-532E-4077-8768-BDB13905E78B}"/>
    <cellStyle name="20% - Accent1 7 4 2 3 4" xfId="31029" xr:uid="{18017CC2-0BAA-45BA-ABF9-CBDE4BFC0011}"/>
    <cellStyle name="20% - Accent1 7 4 2 4" xfId="11592" xr:uid="{00000000-0005-0000-0000-0000B9050000}"/>
    <cellStyle name="20% - Accent1 7 4 2 4 2" xfId="35441" xr:uid="{455B7AB2-D006-4A7E-9458-2C10FFD3EE29}"/>
    <cellStyle name="20% - Accent1 7 4 2 5" xfId="19547" xr:uid="{00000000-0005-0000-0000-0000BA050000}"/>
    <cellStyle name="20% - Accent1 7 4 2 5 2" xfId="43379" xr:uid="{4368DA8D-2805-4A0F-8F18-64BBEAFFE706}"/>
    <cellStyle name="20% - Accent1 7 4 2 6" xfId="27499" xr:uid="{D3E4A228-1879-4FAB-B44E-09A96AFEDB68}"/>
    <cellStyle name="20% - Accent1 7 4 2_Exh G" xfId="2043" xr:uid="{00000000-0005-0000-0000-0000BB050000}"/>
    <cellStyle name="20% - Accent1 7 4 3" xfId="4445" xr:uid="{00000000-0005-0000-0000-0000BC050000}"/>
    <cellStyle name="20% - Accent1 7 4 3 2" xfId="8037" xr:uid="{00000000-0005-0000-0000-0000BD050000}"/>
    <cellStyle name="20% - Accent1 7 4 3 2 2" xfId="16008" xr:uid="{00000000-0005-0000-0000-0000BE050000}"/>
    <cellStyle name="20% - Accent1 7 4 3 2 2 2" xfId="39850" xr:uid="{37C97DE4-EDC0-445B-9C4A-234C95E1D8FC}"/>
    <cellStyle name="20% - Accent1 7 4 3 2 3" xfId="23954" xr:uid="{00000000-0005-0000-0000-0000BF050000}"/>
    <cellStyle name="20% - Accent1 7 4 3 2 3 2" xfId="47786" xr:uid="{43817613-679F-4FA9-81CB-555B432DAC30}"/>
    <cellStyle name="20% - Accent1 7 4 3 2 4" xfId="31909" xr:uid="{2BA61701-A41D-44F6-AFB5-762B07B194A4}"/>
    <cellStyle name="20% - Accent1 7 4 3 3" xfId="12470" xr:uid="{00000000-0005-0000-0000-0000C0050000}"/>
    <cellStyle name="20% - Accent1 7 4 3 3 2" xfId="36319" xr:uid="{6300B145-BBA9-4A55-83F3-75C487F9E867}"/>
    <cellStyle name="20% - Accent1 7 4 3 4" xfId="20425" xr:uid="{00000000-0005-0000-0000-0000C1050000}"/>
    <cellStyle name="20% - Accent1 7 4 3 4 2" xfId="44257" xr:uid="{832D5CB2-EEC7-4645-8539-0B728672D529}"/>
    <cellStyle name="20% - Accent1 7 4 3 5" xfId="28378" xr:uid="{39142F21-B42B-423C-99E1-BECCDFE70B60}"/>
    <cellStyle name="20% - Accent1 7 4 4" xfId="6275" xr:uid="{00000000-0005-0000-0000-0000C2050000}"/>
    <cellStyle name="20% - Accent1 7 4 4 2" xfId="14250" xr:uid="{00000000-0005-0000-0000-0000C3050000}"/>
    <cellStyle name="20% - Accent1 7 4 4 2 2" xfId="38092" xr:uid="{2502BF44-8B90-48A0-83F8-85B7D1912546}"/>
    <cellStyle name="20% - Accent1 7 4 4 3" xfId="22197" xr:uid="{00000000-0005-0000-0000-0000C4050000}"/>
    <cellStyle name="20% - Accent1 7 4 4 3 2" xfId="46029" xr:uid="{B380364C-097E-4248-9D7C-D407469AD2C0}"/>
    <cellStyle name="20% - Accent1 7 4 4 4" xfId="30151" xr:uid="{7350A542-5AEA-4909-8B4C-47238274DC89}"/>
    <cellStyle name="20% - Accent1 7 4 5" xfId="9818" xr:uid="{00000000-0005-0000-0000-0000C5050000}"/>
    <cellStyle name="20% - Accent1 7 4 5 2" xfId="17776" xr:uid="{00000000-0005-0000-0000-0000C6050000}"/>
    <cellStyle name="20% - Accent1 7 4 5 2 2" xfId="41616" xr:uid="{386D5691-E5B3-4551-9E26-0E66F3EF7C36}"/>
    <cellStyle name="20% - Accent1 7 4 5 3" xfId="25720" xr:uid="{00000000-0005-0000-0000-0000C7050000}"/>
    <cellStyle name="20% - Accent1 7 4 5 3 2" xfId="49552" xr:uid="{D3A899A3-5361-407E-BF80-AAEAA4937031}"/>
    <cellStyle name="20% - Accent1 7 4 5 4" xfId="33675" xr:uid="{119E6E6F-DBE9-47D6-9A07-9E924E57ED08}"/>
    <cellStyle name="20% - Accent1 7 4 6" xfId="10714" xr:uid="{00000000-0005-0000-0000-0000C8050000}"/>
    <cellStyle name="20% - Accent1 7 4 6 2" xfId="34563" xr:uid="{2AD0CC5E-129D-4756-AB31-D7B9F623A7C1}"/>
    <cellStyle name="20% - Accent1 7 4 7" xfId="18669" xr:uid="{00000000-0005-0000-0000-0000C9050000}"/>
    <cellStyle name="20% - Accent1 7 4 7 2" xfId="42501" xr:uid="{62576700-7ED8-4CC7-8690-AA86C0774267}"/>
    <cellStyle name="20% - Accent1 7 4 8" xfId="26621" xr:uid="{08DBA767-AD08-4879-A00D-9E797AC71549}"/>
    <cellStyle name="20% - Accent1 7 4_Exh G" xfId="2042" xr:uid="{00000000-0005-0000-0000-0000CA050000}"/>
    <cellStyle name="20% - Accent1 7 5" xfId="1092" xr:uid="{00000000-0005-0000-0000-0000CB050000}"/>
    <cellStyle name="20% - Accent1 7 5 2" xfId="4622" xr:uid="{00000000-0005-0000-0000-0000CC050000}"/>
    <cellStyle name="20% - Accent1 7 5 2 2" xfId="8213" xr:uid="{00000000-0005-0000-0000-0000CD050000}"/>
    <cellStyle name="20% - Accent1 7 5 2 2 2" xfId="16184" xr:uid="{00000000-0005-0000-0000-0000CE050000}"/>
    <cellStyle name="20% - Accent1 7 5 2 2 2 2" xfId="40026" xr:uid="{42517C97-7A72-408F-8035-0ADA5A829CB6}"/>
    <cellStyle name="20% - Accent1 7 5 2 2 3" xfId="24130" xr:uid="{00000000-0005-0000-0000-0000CF050000}"/>
    <cellStyle name="20% - Accent1 7 5 2 2 3 2" xfId="47962" xr:uid="{F654229E-FBB8-4F92-8015-3F204143A9C4}"/>
    <cellStyle name="20% - Accent1 7 5 2 2 4" xfId="32085" xr:uid="{0599B620-3297-413C-B9F2-C1360925A033}"/>
    <cellStyle name="20% - Accent1 7 5 2 3" xfId="12646" xr:uid="{00000000-0005-0000-0000-0000D0050000}"/>
    <cellStyle name="20% - Accent1 7 5 2 3 2" xfId="36495" xr:uid="{34834540-5B24-4B2D-B1F9-2B2F32BEFF29}"/>
    <cellStyle name="20% - Accent1 7 5 2 4" xfId="20601" xr:uid="{00000000-0005-0000-0000-0000D1050000}"/>
    <cellStyle name="20% - Accent1 7 5 2 4 2" xfId="44433" xr:uid="{07F1BE1C-AA29-4728-B07F-92814E5DB99F}"/>
    <cellStyle name="20% - Accent1 7 5 2 5" xfId="28554" xr:uid="{067AECF2-7CD0-457D-BB0E-C5869BFC51DA}"/>
    <cellStyle name="20% - Accent1 7 5 3" xfId="6454" xr:uid="{00000000-0005-0000-0000-0000D2050000}"/>
    <cellStyle name="20% - Accent1 7 5 3 2" xfId="14426" xr:uid="{00000000-0005-0000-0000-0000D3050000}"/>
    <cellStyle name="20% - Accent1 7 5 3 2 2" xfId="38268" xr:uid="{F8A53409-A59E-41F8-A15E-AC44229BA366}"/>
    <cellStyle name="20% - Accent1 7 5 3 3" xfId="22373" xr:uid="{00000000-0005-0000-0000-0000D4050000}"/>
    <cellStyle name="20% - Accent1 7 5 3 3 2" xfId="46205" xr:uid="{0C150667-D690-423E-B115-C1225DD67FA0}"/>
    <cellStyle name="20% - Accent1 7 5 3 4" xfId="30327" xr:uid="{5E578A47-3118-4372-A1F8-14DD644F4999}"/>
    <cellStyle name="20% - Accent1 7 5 4" xfId="10890" xr:uid="{00000000-0005-0000-0000-0000D5050000}"/>
    <cellStyle name="20% - Accent1 7 5 4 2" xfId="34739" xr:uid="{94DB0F71-54F0-4F38-B8EF-D321DF18C67F}"/>
    <cellStyle name="20% - Accent1 7 5 5" xfId="18845" xr:uid="{00000000-0005-0000-0000-0000D6050000}"/>
    <cellStyle name="20% - Accent1 7 5 5 2" xfId="42677" xr:uid="{79A52A4E-EE05-4E50-9D3C-5E9783479405}"/>
    <cellStyle name="20% - Accent1 7 5 6" xfId="26797" xr:uid="{8EFD029C-1511-4C09-A513-4AE1267BECD7}"/>
    <cellStyle name="20% - Accent1 7 5_Exh G" xfId="2044" xr:uid="{00000000-0005-0000-0000-0000D7050000}"/>
    <cellStyle name="20% - Accent1 7 6" xfId="3743" xr:uid="{00000000-0005-0000-0000-0000D8050000}"/>
    <cellStyle name="20% - Accent1 7 6 2" xfId="7335" xr:uid="{00000000-0005-0000-0000-0000D9050000}"/>
    <cellStyle name="20% - Accent1 7 6 2 2" xfId="15306" xr:uid="{00000000-0005-0000-0000-0000DA050000}"/>
    <cellStyle name="20% - Accent1 7 6 2 2 2" xfId="39148" xr:uid="{9CFD8489-D16F-4EDF-A45F-C5D72ECE9F61}"/>
    <cellStyle name="20% - Accent1 7 6 2 3" xfId="23252" xr:uid="{00000000-0005-0000-0000-0000DB050000}"/>
    <cellStyle name="20% - Accent1 7 6 2 3 2" xfId="47084" xr:uid="{F04576A7-EE1E-407F-BB40-B7AA589F0889}"/>
    <cellStyle name="20% - Accent1 7 6 2 4" xfId="31207" xr:uid="{77418B58-C7DB-4B73-AFA3-2D07DE79D984}"/>
    <cellStyle name="20% - Accent1 7 6 3" xfId="11768" xr:uid="{00000000-0005-0000-0000-0000DC050000}"/>
    <cellStyle name="20% - Accent1 7 6 3 2" xfId="35617" xr:uid="{6B9B14FB-64CA-4ACB-8EC5-72C7FB176C98}"/>
    <cellStyle name="20% - Accent1 7 6 4" xfId="19723" xr:uid="{00000000-0005-0000-0000-0000DD050000}"/>
    <cellStyle name="20% - Accent1 7 6 4 2" xfId="43555" xr:uid="{63FB8229-5DA9-45B7-B8E9-7696F66AE044}"/>
    <cellStyle name="20% - Accent1 7 6 5" xfId="27676" xr:uid="{9EF8AA9A-F72F-481B-BE3C-13280D78EDAC}"/>
    <cellStyle name="20% - Accent1 7 7" xfId="5563" xr:uid="{00000000-0005-0000-0000-0000DE050000}"/>
    <cellStyle name="20% - Accent1 7 7 2" xfId="13547" xr:uid="{00000000-0005-0000-0000-0000DF050000}"/>
    <cellStyle name="20% - Accent1 7 7 2 2" xfId="37390" xr:uid="{93D26076-E302-4C9B-99DB-F61A49A2F110}"/>
    <cellStyle name="20% - Accent1 7 7 3" xfId="21495" xr:uid="{00000000-0005-0000-0000-0000E0050000}"/>
    <cellStyle name="20% - Accent1 7 7 3 2" xfId="45327" xr:uid="{8B0F5E70-D723-4D30-9F5B-1CC1D09450B2}"/>
    <cellStyle name="20% - Accent1 7 7 4" xfId="29449" xr:uid="{FBBE3211-6B2B-4283-B276-CB170D34B5F1}"/>
    <cellStyle name="20% - Accent1 7 8" xfId="9116" xr:uid="{00000000-0005-0000-0000-0000E1050000}"/>
    <cellStyle name="20% - Accent1 7 8 2" xfId="17074" xr:uid="{00000000-0005-0000-0000-0000E2050000}"/>
    <cellStyle name="20% - Accent1 7 8 2 2" xfId="40914" xr:uid="{BD008684-5A8C-41BE-96D4-1843A5167572}"/>
    <cellStyle name="20% - Accent1 7 8 3" xfId="25018" xr:uid="{00000000-0005-0000-0000-0000E3050000}"/>
    <cellStyle name="20% - Accent1 7 8 3 2" xfId="48850" xr:uid="{E9175A57-C9AC-409B-8118-740BC25DE1AC}"/>
    <cellStyle name="20% - Accent1 7 8 4" xfId="32973" xr:uid="{B69DBA2F-447F-47A7-9B51-0FC7246A2BC0}"/>
    <cellStyle name="20% - Accent1 7 9" xfId="10012" xr:uid="{00000000-0005-0000-0000-0000E4050000}"/>
    <cellStyle name="20% - Accent1 7 9 2" xfId="33861" xr:uid="{65A0D1A8-6E30-4642-A055-0E11DA1015B9}"/>
    <cellStyle name="20% - Accent1 7_Exh G" xfId="2035" xr:uid="{00000000-0005-0000-0000-0000E5050000}"/>
    <cellStyle name="20% - Accent1 8" xfId="68" xr:uid="{00000000-0005-0000-0000-0000E6050000}"/>
    <cellStyle name="20% - Accent1 8 10" xfId="17971" xr:uid="{00000000-0005-0000-0000-0000E7050000}"/>
    <cellStyle name="20% - Accent1 8 10 2" xfId="41803" xr:uid="{5E172279-3A1F-4876-947F-21703E6F7F44}"/>
    <cellStyle name="20% - Accent1 8 11" xfId="25923" xr:uid="{983E21EF-22F7-4C7D-82B7-EB029E8A97B8}"/>
    <cellStyle name="20% - Accent1 8 2" xfId="69" xr:uid="{00000000-0005-0000-0000-0000E8050000}"/>
    <cellStyle name="20% - Accent1 8 2 2" xfId="70" xr:uid="{00000000-0005-0000-0000-0000E9050000}"/>
    <cellStyle name="20% - Accent1 8 2 2 2" xfId="1098" xr:uid="{00000000-0005-0000-0000-0000EA050000}"/>
    <cellStyle name="20% - Accent1 8 2 2 2 2" xfId="4628" xr:uid="{00000000-0005-0000-0000-0000EB050000}"/>
    <cellStyle name="20% - Accent1 8 2 2 2 2 2" xfId="8219" xr:uid="{00000000-0005-0000-0000-0000EC050000}"/>
    <cellStyle name="20% - Accent1 8 2 2 2 2 2 2" xfId="16190" xr:uid="{00000000-0005-0000-0000-0000ED050000}"/>
    <cellStyle name="20% - Accent1 8 2 2 2 2 2 2 2" xfId="40032" xr:uid="{41C7C33F-24E4-46F1-919A-76DCC1A52435}"/>
    <cellStyle name="20% - Accent1 8 2 2 2 2 2 3" xfId="24136" xr:uid="{00000000-0005-0000-0000-0000EE050000}"/>
    <cellStyle name="20% - Accent1 8 2 2 2 2 2 3 2" xfId="47968" xr:uid="{51F31017-C870-4B90-87A3-7A88E454BB5D}"/>
    <cellStyle name="20% - Accent1 8 2 2 2 2 2 4" xfId="32091" xr:uid="{06034D46-C9C7-48E7-965E-E3DBA80CC29F}"/>
    <cellStyle name="20% - Accent1 8 2 2 2 2 3" xfId="12652" xr:uid="{00000000-0005-0000-0000-0000EF050000}"/>
    <cellStyle name="20% - Accent1 8 2 2 2 2 3 2" xfId="36501" xr:uid="{DBAC2121-F206-4F1C-A3DD-56D195B61950}"/>
    <cellStyle name="20% - Accent1 8 2 2 2 2 4" xfId="20607" xr:uid="{00000000-0005-0000-0000-0000F0050000}"/>
    <cellStyle name="20% - Accent1 8 2 2 2 2 4 2" xfId="44439" xr:uid="{139A6CC9-DF47-4DAE-BA58-95B8B0BA76A8}"/>
    <cellStyle name="20% - Accent1 8 2 2 2 2 5" xfId="28560" xr:uid="{1A3455E9-0DF4-4767-A452-8CFD48B76AF2}"/>
    <cellStyle name="20% - Accent1 8 2 2 2 3" xfId="6460" xr:uid="{00000000-0005-0000-0000-0000F1050000}"/>
    <cellStyle name="20% - Accent1 8 2 2 2 3 2" xfId="14432" xr:uid="{00000000-0005-0000-0000-0000F2050000}"/>
    <cellStyle name="20% - Accent1 8 2 2 2 3 2 2" xfId="38274" xr:uid="{4163B645-2454-4375-AB73-F01DD25A0326}"/>
    <cellStyle name="20% - Accent1 8 2 2 2 3 3" xfId="22379" xr:uid="{00000000-0005-0000-0000-0000F3050000}"/>
    <cellStyle name="20% - Accent1 8 2 2 2 3 3 2" xfId="46211" xr:uid="{4203C255-54AF-4B2F-8E09-AD51CD0F2734}"/>
    <cellStyle name="20% - Accent1 8 2 2 2 3 4" xfId="30333" xr:uid="{510CBD9C-FBAE-4D0E-A4DA-8D9F860FF629}"/>
    <cellStyle name="20% - Accent1 8 2 2 2 4" xfId="10896" xr:uid="{00000000-0005-0000-0000-0000F4050000}"/>
    <cellStyle name="20% - Accent1 8 2 2 2 4 2" xfId="34745" xr:uid="{32FBF6A0-8E34-4218-B2A6-7CDDC99D780B}"/>
    <cellStyle name="20% - Accent1 8 2 2 2 5" xfId="18851" xr:uid="{00000000-0005-0000-0000-0000F5050000}"/>
    <cellStyle name="20% - Accent1 8 2 2 2 5 2" xfId="42683" xr:uid="{488A6D4B-79EE-4C28-A671-A5138D125C63}"/>
    <cellStyle name="20% - Accent1 8 2 2 2 6" xfId="26803" xr:uid="{B4C5C29E-CFE3-4EA5-B141-6AC6F0954E08}"/>
    <cellStyle name="20% - Accent1 8 2 2 2_Exh G" xfId="2048" xr:uid="{00000000-0005-0000-0000-0000F6050000}"/>
    <cellStyle name="20% - Accent1 8 2 2 3" xfId="3749" xr:uid="{00000000-0005-0000-0000-0000F7050000}"/>
    <cellStyle name="20% - Accent1 8 2 2 3 2" xfId="7341" xr:uid="{00000000-0005-0000-0000-0000F8050000}"/>
    <cellStyle name="20% - Accent1 8 2 2 3 2 2" xfId="15312" xr:uid="{00000000-0005-0000-0000-0000F9050000}"/>
    <cellStyle name="20% - Accent1 8 2 2 3 2 2 2" xfId="39154" xr:uid="{155B72C1-D0AD-4510-B382-214A6172F221}"/>
    <cellStyle name="20% - Accent1 8 2 2 3 2 3" xfId="23258" xr:uid="{00000000-0005-0000-0000-0000FA050000}"/>
    <cellStyle name="20% - Accent1 8 2 2 3 2 3 2" xfId="47090" xr:uid="{A752F173-0196-4A92-BD5B-103EA7B7951C}"/>
    <cellStyle name="20% - Accent1 8 2 2 3 2 4" xfId="31213" xr:uid="{B4FDBB69-9D8A-42A9-ADFE-660D6F3B5347}"/>
    <cellStyle name="20% - Accent1 8 2 2 3 3" xfId="11774" xr:uid="{00000000-0005-0000-0000-0000FB050000}"/>
    <cellStyle name="20% - Accent1 8 2 2 3 3 2" xfId="35623" xr:uid="{9AA4C35A-BFF0-46E3-988A-71105C01657A}"/>
    <cellStyle name="20% - Accent1 8 2 2 3 4" xfId="19729" xr:uid="{00000000-0005-0000-0000-0000FC050000}"/>
    <cellStyle name="20% - Accent1 8 2 2 3 4 2" xfId="43561" xr:uid="{2A0B3619-B59C-444F-BB5D-F26E0CB90B90}"/>
    <cellStyle name="20% - Accent1 8 2 2 3 5" xfId="27682" xr:uid="{F14696C8-0BDD-4A92-812C-AF00BA7C826B}"/>
    <cellStyle name="20% - Accent1 8 2 2 4" xfId="5569" xr:uid="{00000000-0005-0000-0000-0000FD050000}"/>
    <cellStyle name="20% - Accent1 8 2 2 4 2" xfId="13553" xr:uid="{00000000-0005-0000-0000-0000FE050000}"/>
    <cellStyle name="20% - Accent1 8 2 2 4 2 2" xfId="37396" xr:uid="{54E8D3D3-6D54-4150-8EC3-9012E2C6AD89}"/>
    <cellStyle name="20% - Accent1 8 2 2 4 3" xfId="21501" xr:uid="{00000000-0005-0000-0000-0000FF050000}"/>
    <cellStyle name="20% - Accent1 8 2 2 4 3 2" xfId="45333" xr:uid="{38280551-7A6B-4F9A-8AD6-BFDF3AED9636}"/>
    <cellStyle name="20% - Accent1 8 2 2 4 4" xfId="29455" xr:uid="{F50A6415-F321-45E7-945F-71E2C9B0ADF4}"/>
    <cellStyle name="20% - Accent1 8 2 2 5" xfId="9122" xr:uid="{00000000-0005-0000-0000-000000060000}"/>
    <cellStyle name="20% - Accent1 8 2 2 5 2" xfId="17080" xr:uid="{00000000-0005-0000-0000-000001060000}"/>
    <cellStyle name="20% - Accent1 8 2 2 5 2 2" xfId="40920" xr:uid="{6CB5A510-5E4F-46A7-AAF6-9216425860DA}"/>
    <cellStyle name="20% - Accent1 8 2 2 5 3" xfId="25024" xr:uid="{00000000-0005-0000-0000-000002060000}"/>
    <cellStyle name="20% - Accent1 8 2 2 5 3 2" xfId="48856" xr:uid="{8C935992-567C-4909-8889-51DA804E5915}"/>
    <cellStyle name="20% - Accent1 8 2 2 5 4" xfId="32979" xr:uid="{C67CD7E2-2B84-4807-A9EC-18CD1A35B8A3}"/>
    <cellStyle name="20% - Accent1 8 2 2 6" xfId="10018" xr:uid="{00000000-0005-0000-0000-000003060000}"/>
    <cellStyle name="20% - Accent1 8 2 2 6 2" xfId="33867" xr:uid="{AB9FA0D6-5CCC-43EC-8213-6F4EDB536BB2}"/>
    <cellStyle name="20% - Accent1 8 2 2 7" xfId="17973" xr:uid="{00000000-0005-0000-0000-000004060000}"/>
    <cellStyle name="20% - Accent1 8 2 2 7 2" xfId="41805" xr:uid="{C5BAE61D-F246-4C0A-9DC9-AB928DF7FFA5}"/>
    <cellStyle name="20% - Accent1 8 2 2 8" xfId="25925" xr:uid="{50483BA2-1F26-45AA-8D27-13BD711F78E5}"/>
    <cellStyle name="20% - Accent1 8 2 2_Exh G" xfId="2047" xr:uid="{00000000-0005-0000-0000-000005060000}"/>
    <cellStyle name="20% - Accent1 8 2 3" xfId="1097" xr:uid="{00000000-0005-0000-0000-000006060000}"/>
    <cellStyle name="20% - Accent1 8 2 3 2" xfId="4627" xr:uid="{00000000-0005-0000-0000-000007060000}"/>
    <cellStyle name="20% - Accent1 8 2 3 2 2" xfId="8218" xr:uid="{00000000-0005-0000-0000-000008060000}"/>
    <cellStyle name="20% - Accent1 8 2 3 2 2 2" xfId="16189" xr:uid="{00000000-0005-0000-0000-000009060000}"/>
    <cellStyle name="20% - Accent1 8 2 3 2 2 2 2" xfId="40031" xr:uid="{FF64A4D6-67F0-48AB-9C0A-9D237931B589}"/>
    <cellStyle name="20% - Accent1 8 2 3 2 2 3" xfId="24135" xr:uid="{00000000-0005-0000-0000-00000A060000}"/>
    <cellStyle name="20% - Accent1 8 2 3 2 2 3 2" xfId="47967" xr:uid="{8EC5003E-661F-491F-AD4B-1278A21AFEA1}"/>
    <cellStyle name="20% - Accent1 8 2 3 2 2 4" xfId="32090" xr:uid="{A1337A20-A4CC-4144-A751-17566E46AD46}"/>
    <cellStyle name="20% - Accent1 8 2 3 2 3" xfId="12651" xr:uid="{00000000-0005-0000-0000-00000B060000}"/>
    <cellStyle name="20% - Accent1 8 2 3 2 3 2" xfId="36500" xr:uid="{D2C80419-AD79-4334-8C4E-D3B44E860940}"/>
    <cellStyle name="20% - Accent1 8 2 3 2 4" xfId="20606" xr:uid="{00000000-0005-0000-0000-00000C060000}"/>
    <cellStyle name="20% - Accent1 8 2 3 2 4 2" xfId="44438" xr:uid="{743588EC-811E-473D-88C3-815CB9A227AD}"/>
    <cellStyle name="20% - Accent1 8 2 3 2 5" xfId="28559" xr:uid="{4720EF00-7A06-478F-B65E-E23E391B38A9}"/>
    <cellStyle name="20% - Accent1 8 2 3 3" xfId="6459" xr:uid="{00000000-0005-0000-0000-00000D060000}"/>
    <cellStyle name="20% - Accent1 8 2 3 3 2" xfId="14431" xr:uid="{00000000-0005-0000-0000-00000E060000}"/>
    <cellStyle name="20% - Accent1 8 2 3 3 2 2" xfId="38273" xr:uid="{8C31725B-D06B-4424-9A96-7AF466014529}"/>
    <cellStyle name="20% - Accent1 8 2 3 3 3" xfId="22378" xr:uid="{00000000-0005-0000-0000-00000F060000}"/>
    <cellStyle name="20% - Accent1 8 2 3 3 3 2" xfId="46210" xr:uid="{82F4C01F-9EBC-4D04-A478-EC99BF4CF1F3}"/>
    <cellStyle name="20% - Accent1 8 2 3 3 4" xfId="30332" xr:uid="{2B3A6271-5D70-40F2-86A5-7AABB546A425}"/>
    <cellStyle name="20% - Accent1 8 2 3 4" xfId="10895" xr:uid="{00000000-0005-0000-0000-000010060000}"/>
    <cellStyle name="20% - Accent1 8 2 3 4 2" xfId="34744" xr:uid="{0642DB2E-16F3-4716-A0F2-8BEC7C1D704C}"/>
    <cellStyle name="20% - Accent1 8 2 3 5" xfId="18850" xr:uid="{00000000-0005-0000-0000-000011060000}"/>
    <cellStyle name="20% - Accent1 8 2 3 5 2" xfId="42682" xr:uid="{2DBA7F05-C5D3-4D41-B825-BBA94AC47B78}"/>
    <cellStyle name="20% - Accent1 8 2 3 6" xfId="26802" xr:uid="{9E3A4E29-BDA7-466A-B3C5-E84A82025A09}"/>
    <cellStyle name="20% - Accent1 8 2 3_Exh G" xfId="2049" xr:uid="{00000000-0005-0000-0000-000012060000}"/>
    <cellStyle name="20% - Accent1 8 2 4" xfId="3748" xr:uid="{00000000-0005-0000-0000-000013060000}"/>
    <cellStyle name="20% - Accent1 8 2 4 2" xfId="7340" xr:uid="{00000000-0005-0000-0000-000014060000}"/>
    <cellStyle name="20% - Accent1 8 2 4 2 2" xfId="15311" xr:uid="{00000000-0005-0000-0000-000015060000}"/>
    <cellStyle name="20% - Accent1 8 2 4 2 2 2" xfId="39153" xr:uid="{B41DE2F4-CEFA-4462-A90B-AF0AA5E33536}"/>
    <cellStyle name="20% - Accent1 8 2 4 2 3" xfId="23257" xr:uid="{00000000-0005-0000-0000-000016060000}"/>
    <cellStyle name="20% - Accent1 8 2 4 2 3 2" xfId="47089" xr:uid="{C9AD24B5-3B0D-46E6-91A4-E2C521186277}"/>
    <cellStyle name="20% - Accent1 8 2 4 2 4" xfId="31212" xr:uid="{AC8BE8EA-C64F-4467-8B6B-0FC3388CFD7E}"/>
    <cellStyle name="20% - Accent1 8 2 4 3" xfId="11773" xr:uid="{00000000-0005-0000-0000-000017060000}"/>
    <cellStyle name="20% - Accent1 8 2 4 3 2" xfId="35622" xr:uid="{F9970EC5-8181-4078-A274-2FBDBE5DDB10}"/>
    <cellStyle name="20% - Accent1 8 2 4 4" xfId="19728" xr:uid="{00000000-0005-0000-0000-000018060000}"/>
    <cellStyle name="20% - Accent1 8 2 4 4 2" xfId="43560" xr:uid="{5B64AEF9-CD2C-4064-9FAA-D0A3FAB90747}"/>
    <cellStyle name="20% - Accent1 8 2 4 5" xfId="27681" xr:uid="{73B15E26-1832-4346-B2D0-7546B7CE0C3A}"/>
    <cellStyle name="20% - Accent1 8 2 5" xfId="5568" xr:uid="{00000000-0005-0000-0000-000019060000}"/>
    <cellStyle name="20% - Accent1 8 2 5 2" xfId="13552" xr:uid="{00000000-0005-0000-0000-00001A060000}"/>
    <cellStyle name="20% - Accent1 8 2 5 2 2" xfId="37395" xr:uid="{1FEA7AA4-DBEC-4746-999D-E6E52A0F4CB8}"/>
    <cellStyle name="20% - Accent1 8 2 5 3" xfId="21500" xr:uid="{00000000-0005-0000-0000-00001B060000}"/>
    <cellStyle name="20% - Accent1 8 2 5 3 2" xfId="45332" xr:uid="{839A5C0E-87E8-4190-AD9A-875BA7264E04}"/>
    <cellStyle name="20% - Accent1 8 2 5 4" xfId="29454" xr:uid="{5B47A3B9-64BA-4FD9-BE05-5D0FA175AE61}"/>
    <cellStyle name="20% - Accent1 8 2 6" xfId="9121" xr:uid="{00000000-0005-0000-0000-00001C060000}"/>
    <cellStyle name="20% - Accent1 8 2 6 2" xfId="17079" xr:uid="{00000000-0005-0000-0000-00001D060000}"/>
    <cellStyle name="20% - Accent1 8 2 6 2 2" xfId="40919" xr:uid="{51905035-DD8E-46A0-929D-1E0D2A8C0D2E}"/>
    <cellStyle name="20% - Accent1 8 2 6 3" xfId="25023" xr:uid="{00000000-0005-0000-0000-00001E060000}"/>
    <cellStyle name="20% - Accent1 8 2 6 3 2" xfId="48855" xr:uid="{5F353729-16FE-4B8C-9F61-2C22BB6B550E}"/>
    <cellStyle name="20% - Accent1 8 2 6 4" xfId="32978" xr:uid="{45199DA5-C87F-4A2C-BAAB-BD3029F422EE}"/>
    <cellStyle name="20% - Accent1 8 2 7" xfId="10017" xr:uid="{00000000-0005-0000-0000-00001F060000}"/>
    <cellStyle name="20% - Accent1 8 2 7 2" xfId="33866" xr:uid="{CC61F0BE-459B-4912-907D-16580D20D088}"/>
    <cellStyle name="20% - Accent1 8 2 8" xfId="17972" xr:uid="{00000000-0005-0000-0000-000020060000}"/>
    <cellStyle name="20% - Accent1 8 2 8 2" xfId="41804" xr:uid="{F102DE52-70AB-40B4-BDED-ABE9CA154D8D}"/>
    <cellStyle name="20% - Accent1 8 2 9" xfId="25924" xr:uid="{5839C61A-4276-4F05-946D-957405BB95BE}"/>
    <cellStyle name="20% - Accent1 8 2_Exh G" xfId="2046" xr:uid="{00000000-0005-0000-0000-000021060000}"/>
    <cellStyle name="20% - Accent1 8 3" xfId="71" xr:uid="{00000000-0005-0000-0000-000022060000}"/>
    <cellStyle name="20% - Accent1 8 3 2" xfId="1099" xr:uid="{00000000-0005-0000-0000-000023060000}"/>
    <cellStyle name="20% - Accent1 8 3 2 2" xfId="4629" xr:uid="{00000000-0005-0000-0000-000024060000}"/>
    <cellStyle name="20% - Accent1 8 3 2 2 2" xfId="8220" xr:uid="{00000000-0005-0000-0000-000025060000}"/>
    <cellStyle name="20% - Accent1 8 3 2 2 2 2" xfId="16191" xr:uid="{00000000-0005-0000-0000-000026060000}"/>
    <cellStyle name="20% - Accent1 8 3 2 2 2 2 2" xfId="40033" xr:uid="{576E0DA6-461C-4758-8E77-0D5CE904F9B3}"/>
    <cellStyle name="20% - Accent1 8 3 2 2 2 3" xfId="24137" xr:uid="{00000000-0005-0000-0000-000027060000}"/>
    <cellStyle name="20% - Accent1 8 3 2 2 2 3 2" xfId="47969" xr:uid="{ED266B81-0378-4EB5-9518-4A017595BDB2}"/>
    <cellStyle name="20% - Accent1 8 3 2 2 2 4" xfId="32092" xr:uid="{0B2E4255-DF7A-46AF-9018-82C85071D678}"/>
    <cellStyle name="20% - Accent1 8 3 2 2 3" xfId="12653" xr:uid="{00000000-0005-0000-0000-000028060000}"/>
    <cellStyle name="20% - Accent1 8 3 2 2 3 2" xfId="36502" xr:uid="{B1B95754-6916-411E-9C87-AA401E7E9EFA}"/>
    <cellStyle name="20% - Accent1 8 3 2 2 4" xfId="20608" xr:uid="{00000000-0005-0000-0000-000029060000}"/>
    <cellStyle name="20% - Accent1 8 3 2 2 4 2" xfId="44440" xr:uid="{A44CBA14-FB79-4FC0-BA4D-D1C5C33D79FC}"/>
    <cellStyle name="20% - Accent1 8 3 2 2 5" xfId="28561" xr:uid="{9B52D2EF-655B-41DF-B615-B3E4254D0BEA}"/>
    <cellStyle name="20% - Accent1 8 3 2 3" xfId="6461" xr:uid="{00000000-0005-0000-0000-00002A060000}"/>
    <cellStyle name="20% - Accent1 8 3 2 3 2" xfId="14433" xr:uid="{00000000-0005-0000-0000-00002B060000}"/>
    <cellStyle name="20% - Accent1 8 3 2 3 2 2" xfId="38275" xr:uid="{62E37ABD-55B6-44C8-A844-EAB620048D88}"/>
    <cellStyle name="20% - Accent1 8 3 2 3 3" xfId="22380" xr:uid="{00000000-0005-0000-0000-00002C060000}"/>
    <cellStyle name="20% - Accent1 8 3 2 3 3 2" xfId="46212" xr:uid="{62854326-825D-40C7-B6F3-4601A8B793F9}"/>
    <cellStyle name="20% - Accent1 8 3 2 3 4" xfId="30334" xr:uid="{1B723C7A-81E5-48FC-AFEA-61258FE3F5C6}"/>
    <cellStyle name="20% - Accent1 8 3 2 4" xfId="10897" xr:uid="{00000000-0005-0000-0000-00002D060000}"/>
    <cellStyle name="20% - Accent1 8 3 2 4 2" xfId="34746" xr:uid="{454C8DA4-E7F6-4C1A-B648-9FCD604E1F0B}"/>
    <cellStyle name="20% - Accent1 8 3 2 5" xfId="18852" xr:uid="{00000000-0005-0000-0000-00002E060000}"/>
    <cellStyle name="20% - Accent1 8 3 2 5 2" xfId="42684" xr:uid="{DC0EF1B0-EFA7-44C5-9640-504F79B7F02A}"/>
    <cellStyle name="20% - Accent1 8 3 2 6" xfId="26804" xr:uid="{57042850-1DF5-47CA-B7F9-5B2391DDA261}"/>
    <cellStyle name="20% - Accent1 8 3 2_Exh G" xfId="2051" xr:uid="{00000000-0005-0000-0000-00002F060000}"/>
    <cellStyle name="20% - Accent1 8 3 3" xfId="3750" xr:uid="{00000000-0005-0000-0000-000030060000}"/>
    <cellStyle name="20% - Accent1 8 3 3 2" xfId="7342" xr:uid="{00000000-0005-0000-0000-000031060000}"/>
    <cellStyle name="20% - Accent1 8 3 3 2 2" xfId="15313" xr:uid="{00000000-0005-0000-0000-000032060000}"/>
    <cellStyle name="20% - Accent1 8 3 3 2 2 2" xfId="39155" xr:uid="{DFF6A0B3-025D-42D0-B2E0-E6DE926949A5}"/>
    <cellStyle name="20% - Accent1 8 3 3 2 3" xfId="23259" xr:uid="{00000000-0005-0000-0000-000033060000}"/>
    <cellStyle name="20% - Accent1 8 3 3 2 3 2" xfId="47091" xr:uid="{2BB33D47-64F4-4742-94E0-37E6E83961B0}"/>
    <cellStyle name="20% - Accent1 8 3 3 2 4" xfId="31214" xr:uid="{F2BB6851-8E5D-4E85-9BE7-83E1F06F0603}"/>
    <cellStyle name="20% - Accent1 8 3 3 3" xfId="11775" xr:uid="{00000000-0005-0000-0000-000034060000}"/>
    <cellStyle name="20% - Accent1 8 3 3 3 2" xfId="35624" xr:uid="{8229586F-BFB8-4791-A7F8-EE7AC989AA23}"/>
    <cellStyle name="20% - Accent1 8 3 3 4" xfId="19730" xr:uid="{00000000-0005-0000-0000-000035060000}"/>
    <cellStyle name="20% - Accent1 8 3 3 4 2" xfId="43562" xr:uid="{175CBB00-AEBC-4668-B181-1C307B913CFE}"/>
    <cellStyle name="20% - Accent1 8 3 3 5" xfId="27683" xr:uid="{45E11451-DA44-4F92-900D-1FE23825DE8B}"/>
    <cellStyle name="20% - Accent1 8 3 4" xfId="5570" xr:uid="{00000000-0005-0000-0000-000036060000}"/>
    <cellStyle name="20% - Accent1 8 3 4 2" xfId="13554" xr:uid="{00000000-0005-0000-0000-000037060000}"/>
    <cellStyle name="20% - Accent1 8 3 4 2 2" xfId="37397" xr:uid="{DF3340DB-69FA-4024-9107-4F518A5B9C35}"/>
    <cellStyle name="20% - Accent1 8 3 4 3" xfId="21502" xr:uid="{00000000-0005-0000-0000-000038060000}"/>
    <cellStyle name="20% - Accent1 8 3 4 3 2" xfId="45334" xr:uid="{051DDFA3-FD9C-4CEC-8154-244F4CAE22C1}"/>
    <cellStyle name="20% - Accent1 8 3 4 4" xfId="29456" xr:uid="{E744E6D8-ED15-4763-A9B4-04B78C3DCC78}"/>
    <cellStyle name="20% - Accent1 8 3 5" xfId="9123" xr:uid="{00000000-0005-0000-0000-000039060000}"/>
    <cellStyle name="20% - Accent1 8 3 5 2" xfId="17081" xr:uid="{00000000-0005-0000-0000-00003A060000}"/>
    <cellStyle name="20% - Accent1 8 3 5 2 2" xfId="40921" xr:uid="{59EA337D-A7C7-4793-88EF-A9397CC50D27}"/>
    <cellStyle name="20% - Accent1 8 3 5 3" xfId="25025" xr:uid="{00000000-0005-0000-0000-00003B060000}"/>
    <cellStyle name="20% - Accent1 8 3 5 3 2" xfId="48857" xr:uid="{8D495EA2-8EB5-4A9F-ABD2-420D1607F85F}"/>
    <cellStyle name="20% - Accent1 8 3 5 4" xfId="32980" xr:uid="{29D46C98-8417-466C-914D-F735E461CA30}"/>
    <cellStyle name="20% - Accent1 8 3 6" xfId="10019" xr:uid="{00000000-0005-0000-0000-00003C060000}"/>
    <cellStyle name="20% - Accent1 8 3 6 2" xfId="33868" xr:uid="{AF4BF050-823D-4D2E-BFA6-6A64C1D570C7}"/>
    <cellStyle name="20% - Accent1 8 3 7" xfId="17974" xr:uid="{00000000-0005-0000-0000-00003D060000}"/>
    <cellStyle name="20% - Accent1 8 3 7 2" xfId="41806" xr:uid="{FF02CAA9-056E-45DF-AB2D-EDB040BE1BB3}"/>
    <cellStyle name="20% - Accent1 8 3 8" xfId="25926" xr:uid="{B88032D5-E361-4DC6-93BE-2BB02973DDB4}"/>
    <cellStyle name="20% - Accent1 8 3_Exh G" xfId="2050" xr:uid="{00000000-0005-0000-0000-00003E060000}"/>
    <cellStyle name="20% - Accent1 8 4" xfId="872" xr:uid="{00000000-0005-0000-0000-00003F060000}"/>
    <cellStyle name="20% - Accent1 8 4 2" xfId="1807" xr:uid="{00000000-0005-0000-0000-000040060000}"/>
    <cellStyle name="20% - Accent1 8 4 2 2" xfId="5325" xr:uid="{00000000-0005-0000-0000-000041060000}"/>
    <cellStyle name="20% - Accent1 8 4 2 2 2" xfId="8916" xr:uid="{00000000-0005-0000-0000-000042060000}"/>
    <cellStyle name="20% - Accent1 8 4 2 2 2 2" xfId="16887" xr:uid="{00000000-0005-0000-0000-000043060000}"/>
    <cellStyle name="20% - Accent1 8 4 2 2 2 2 2" xfId="40729" xr:uid="{D8D89ED9-27FD-41CA-A369-F28403CA0445}"/>
    <cellStyle name="20% - Accent1 8 4 2 2 2 3" xfId="24833" xr:uid="{00000000-0005-0000-0000-000044060000}"/>
    <cellStyle name="20% - Accent1 8 4 2 2 2 3 2" xfId="48665" xr:uid="{E9A928E5-11EE-44A9-A7F4-C9CBCB941909}"/>
    <cellStyle name="20% - Accent1 8 4 2 2 2 4" xfId="32788" xr:uid="{3A4884D0-397A-4690-87BD-0AA5CD25A945}"/>
    <cellStyle name="20% - Accent1 8 4 2 2 3" xfId="13349" xr:uid="{00000000-0005-0000-0000-000045060000}"/>
    <cellStyle name="20% - Accent1 8 4 2 2 3 2" xfId="37198" xr:uid="{1A67A57D-764B-4E18-AF29-F548C772B687}"/>
    <cellStyle name="20% - Accent1 8 4 2 2 4" xfId="21304" xr:uid="{00000000-0005-0000-0000-000046060000}"/>
    <cellStyle name="20% - Accent1 8 4 2 2 4 2" xfId="45136" xr:uid="{19587CE1-11C3-4711-AB79-6C0171E76D49}"/>
    <cellStyle name="20% - Accent1 8 4 2 2 5" xfId="29257" xr:uid="{DCEA6DEB-B8B1-4E81-BCD9-10C731DE4A16}"/>
    <cellStyle name="20% - Accent1 8 4 2 3" xfId="7157" xr:uid="{00000000-0005-0000-0000-000047060000}"/>
    <cellStyle name="20% - Accent1 8 4 2 3 2" xfId="15129" xr:uid="{00000000-0005-0000-0000-000048060000}"/>
    <cellStyle name="20% - Accent1 8 4 2 3 2 2" xfId="38971" xr:uid="{8350DB27-116E-423E-A269-CFA5541F1CDF}"/>
    <cellStyle name="20% - Accent1 8 4 2 3 3" xfId="23076" xr:uid="{00000000-0005-0000-0000-000049060000}"/>
    <cellStyle name="20% - Accent1 8 4 2 3 3 2" xfId="46908" xr:uid="{7A8ED615-FBA5-4702-A48A-9763D7B54832}"/>
    <cellStyle name="20% - Accent1 8 4 2 3 4" xfId="31030" xr:uid="{943C7A20-0F55-4F82-BC69-F98587B61434}"/>
    <cellStyle name="20% - Accent1 8 4 2 4" xfId="11593" xr:uid="{00000000-0005-0000-0000-00004A060000}"/>
    <cellStyle name="20% - Accent1 8 4 2 4 2" xfId="35442" xr:uid="{9F49BA60-5A2D-44B4-B74E-692136434AF9}"/>
    <cellStyle name="20% - Accent1 8 4 2 5" xfId="19548" xr:uid="{00000000-0005-0000-0000-00004B060000}"/>
    <cellStyle name="20% - Accent1 8 4 2 5 2" xfId="43380" xr:uid="{F43D9041-B95D-4653-94B5-F82FA72B05BF}"/>
    <cellStyle name="20% - Accent1 8 4 2 6" xfId="27500" xr:uid="{266BCBA4-992C-4711-8411-C68C5015D4ED}"/>
    <cellStyle name="20% - Accent1 8 4 2_Exh G" xfId="2053" xr:uid="{00000000-0005-0000-0000-00004C060000}"/>
    <cellStyle name="20% - Accent1 8 4 3" xfId="4446" xr:uid="{00000000-0005-0000-0000-00004D060000}"/>
    <cellStyle name="20% - Accent1 8 4 3 2" xfId="8038" xr:uid="{00000000-0005-0000-0000-00004E060000}"/>
    <cellStyle name="20% - Accent1 8 4 3 2 2" xfId="16009" xr:uid="{00000000-0005-0000-0000-00004F060000}"/>
    <cellStyle name="20% - Accent1 8 4 3 2 2 2" xfId="39851" xr:uid="{5CFFD6D9-D14F-419A-988E-51A36A6AB931}"/>
    <cellStyle name="20% - Accent1 8 4 3 2 3" xfId="23955" xr:uid="{00000000-0005-0000-0000-000050060000}"/>
    <cellStyle name="20% - Accent1 8 4 3 2 3 2" xfId="47787" xr:uid="{38B3C01E-B2AD-40A9-8363-8BFCDF47FFA9}"/>
    <cellStyle name="20% - Accent1 8 4 3 2 4" xfId="31910" xr:uid="{906D6FE6-D6D9-4EE6-BD22-6A6EF398A691}"/>
    <cellStyle name="20% - Accent1 8 4 3 3" xfId="12471" xr:uid="{00000000-0005-0000-0000-000051060000}"/>
    <cellStyle name="20% - Accent1 8 4 3 3 2" xfId="36320" xr:uid="{C508EC42-FCBD-4C47-901C-0D20F1165DDA}"/>
    <cellStyle name="20% - Accent1 8 4 3 4" xfId="20426" xr:uid="{00000000-0005-0000-0000-000052060000}"/>
    <cellStyle name="20% - Accent1 8 4 3 4 2" xfId="44258" xr:uid="{57FD4E82-DA2D-45A4-A5F0-04C23D79594D}"/>
    <cellStyle name="20% - Accent1 8 4 3 5" xfId="28379" xr:uid="{D1F332AC-5FFB-49FC-ABB1-E2E9C7BAAA61}"/>
    <cellStyle name="20% - Accent1 8 4 4" xfId="6276" xr:uid="{00000000-0005-0000-0000-000053060000}"/>
    <cellStyle name="20% - Accent1 8 4 4 2" xfId="14251" xr:uid="{00000000-0005-0000-0000-000054060000}"/>
    <cellStyle name="20% - Accent1 8 4 4 2 2" xfId="38093" xr:uid="{5DE01CC9-6F1A-427F-A136-114D9CB24B32}"/>
    <cellStyle name="20% - Accent1 8 4 4 3" xfId="22198" xr:uid="{00000000-0005-0000-0000-000055060000}"/>
    <cellStyle name="20% - Accent1 8 4 4 3 2" xfId="46030" xr:uid="{A121F175-3B36-401C-B8AE-25E914AF9499}"/>
    <cellStyle name="20% - Accent1 8 4 4 4" xfId="30152" xr:uid="{EC699838-34C9-4727-AAB7-9054FBB9DBAF}"/>
    <cellStyle name="20% - Accent1 8 4 5" xfId="9819" xr:uid="{00000000-0005-0000-0000-000056060000}"/>
    <cellStyle name="20% - Accent1 8 4 5 2" xfId="17777" xr:uid="{00000000-0005-0000-0000-000057060000}"/>
    <cellStyle name="20% - Accent1 8 4 5 2 2" xfId="41617" xr:uid="{95BEFB51-E06A-4321-A794-A70C0D2E0465}"/>
    <cellStyle name="20% - Accent1 8 4 5 3" xfId="25721" xr:uid="{00000000-0005-0000-0000-000058060000}"/>
    <cellStyle name="20% - Accent1 8 4 5 3 2" xfId="49553" xr:uid="{E92DD9E1-98BD-4974-BF7B-D825DE2D8A30}"/>
    <cellStyle name="20% - Accent1 8 4 5 4" xfId="33676" xr:uid="{D748B27D-088C-49CD-A938-D15594B46B27}"/>
    <cellStyle name="20% - Accent1 8 4 6" xfId="10715" xr:uid="{00000000-0005-0000-0000-000059060000}"/>
    <cellStyle name="20% - Accent1 8 4 6 2" xfId="34564" xr:uid="{0E725316-F345-462C-BC07-B81D546799F4}"/>
    <cellStyle name="20% - Accent1 8 4 7" xfId="18670" xr:uid="{00000000-0005-0000-0000-00005A060000}"/>
    <cellStyle name="20% - Accent1 8 4 7 2" xfId="42502" xr:uid="{3280B4EF-558F-408E-A4F6-658B1F236A64}"/>
    <cellStyle name="20% - Accent1 8 4 8" xfId="26622" xr:uid="{CC018903-AEF1-4661-8880-E88BFD870CCE}"/>
    <cellStyle name="20% - Accent1 8 4_Exh G" xfId="2052" xr:uid="{00000000-0005-0000-0000-00005B060000}"/>
    <cellStyle name="20% - Accent1 8 5" xfId="1096" xr:uid="{00000000-0005-0000-0000-00005C060000}"/>
    <cellStyle name="20% - Accent1 8 5 2" xfId="4626" xr:uid="{00000000-0005-0000-0000-00005D060000}"/>
    <cellStyle name="20% - Accent1 8 5 2 2" xfId="8217" xr:uid="{00000000-0005-0000-0000-00005E060000}"/>
    <cellStyle name="20% - Accent1 8 5 2 2 2" xfId="16188" xr:uid="{00000000-0005-0000-0000-00005F060000}"/>
    <cellStyle name="20% - Accent1 8 5 2 2 2 2" xfId="40030" xr:uid="{497A12D5-2CD5-4CC1-9E30-47B7050BA174}"/>
    <cellStyle name="20% - Accent1 8 5 2 2 3" xfId="24134" xr:uid="{00000000-0005-0000-0000-000060060000}"/>
    <cellStyle name="20% - Accent1 8 5 2 2 3 2" xfId="47966" xr:uid="{02247130-879C-4D05-91FB-DE7B87C9D5AD}"/>
    <cellStyle name="20% - Accent1 8 5 2 2 4" xfId="32089" xr:uid="{6BD9406F-0C38-413E-8FB2-31CA71EADDD2}"/>
    <cellStyle name="20% - Accent1 8 5 2 3" xfId="12650" xr:uid="{00000000-0005-0000-0000-000061060000}"/>
    <cellStyle name="20% - Accent1 8 5 2 3 2" xfId="36499" xr:uid="{C1EB4040-D2E2-4B83-9FC4-F07FF81C0E81}"/>
    <cellStyle name="20% - Accent1 8 5 2 4" xfId="20605" xr:uid="{00000000-0005-0000-0000-000062060000}"/>
    <cellStyle name="20% - Accent1 8 5 2 4 2" xfId="44437" xr:uid="{C8F4788D-3855-486E-840A-7D6EF1E2B4E8}"/>
    <cellStyle name="20% - Accent1 8 5 2 5" xfId="28558" xr:uid="{CEB2FC98-EEA8-4922-9474-F0308470741C}"/>
    <cellStyle name="20% - Accent1 8 5 3" xfId="6458" xr:uid="{00000000-0005-0000-0000-000063060000}"/>
    <cellStyle name="20% - Accent1 8 5 3 2" xfId="14430" xr:uid="{00000000-0005-0000-0000-000064060000}"/>
    <cellStyle name="20% - Accent1 8 5 3 2 2" xfId="38272" xr:uid="{EB6935E7-3925-4C49-BA8D-F4598E2C4E05}"/>
    <cellStyle name="20% - Accent1 8 5 3 3" xfId="22377" xr:uid="{00000000-0005-0000-0000-000065060000}"/>
    <cellStyle name="20% - Accent1 8 5 3 3 2" xfId="46209" xr:uid="{5A70BEE2-E1D5-4D3F-9D9D-C88328C1CC72}"/>
    <cellStyle name="20% - Accent1 8 5 3 4" xfId="30331" xr:uid="{A05DC744-9830-4FE4-B2F2-1F55689A6E12}"/>
    <cellStyle name="20% - Accent1 8 5 4" xfId="10894" xr:uid="{00000000-0005-0000-0000-000066060000}"/>
    <cellStyle name="20% - Accent1 8 5 4 2" xfId="34743" xr:uid="{786F5E45-A54F-46BA-BA1E-213F60E04339}"/>
    <cellStyle name="20% - Accent1 8 5 5" xfId="18849" xr:uid="{00000000-0005-0000-0000-000067060000}"/>
    <cellStyle name="20% - Accent1 8 5 5 2" xfId="42681" xr:uid="{6504672E-C639-4A92-83B3-2B7F922990D4}"/>
    <cellStyle name="20% - Accent1 8 5 6" xfId="26801" xr:uid="{D249A901-A2A5-4136-93E6-19EAA015411C}"/>
    <cellStyle name="20% - Accent1 8 5_Exh G" xfId="2054" xr:uid="{00000000-0005-0000-0000-000068060000}"/>
    <cellStyle name="20% - Accent1 8 6" xfId="3747" xr:uid="{00000000-0005-0000-0000-000069060000}"/>
    <cellStyle name="20% - Accent1 8 6 2" xfId="7339" xr:uid="{00000000-0005-0000-0000-00006A060000}"/>
    <cellStyle name="20% - Accent1 8 6 2 2" xfId="15310" xr:uid="{00000000-0005-0000-0000-00006B060000}"/>
    <cellStyle name="20% - Accent1 8 6 2 2 2" xfId="39152" xr:uid="{ABBCD24B-B882-4206-9334-CB591C4F46C3}"/>
    <cellStyle name="20% - Accent1 8 6 2 3" xfId="23256" xr:uid="{00000000-0005-0000-0000-00006C060000}"/>
    <cellStyle name="20% - Accent1 8 6 2 3 2" xfId="47088" xr:uid="{1F84B77D-9679-4241-8D25-DEB5FC4B6E97}"/>
    <cellStyle name="20% - Accent1 8 6 2 4" xfId="31211" xr:uid="{649BA497-83EB-43FE-99AB-AE08B7770AC8}"/>
    <cellStyle name="20% - Accent1 8 6 3" xfId="11772" xr:uid="{00000000-0005-0000-0000-00006D060000}"/>
    <cellStyle name="20% - Accent1 8 6 3 2" xfId="35621" xr:uid="{94D9FFA5-48F8-4EFB-973A-52C7ACFA6C32}"/>
    <cellStyle name="20% - Accent1 8 6 4" xfId="19727" xr:uid="{00000000-0005-0000-0000-00006E060000}"/>
    <cellStyle name="20% - Accent1 8 6 4 2" xfId="43559" xr:uid="{7019F636-1263-4558-A827-F1D65193F886}"/>
    <cellStyle name="20% - Accent1 8 6 5" xfId="27680" xr:uid="{11001278-EF6D-41EE-92AE-64BF0A02A4B1}"/>
    <cellStyle name="20% - Accent1 8 7" xfId="5567" xr:uid="{00000000-0005-0000-0000-00006F060000}"/>
    <cellStyle name="20% - Accent1 8 7 2" xfId="13551" xr:uid="{00000000-0005-0000-0000-000070060000}"/>
    <cellStyle name="20% - Accent1 8 7 2 2" xfId="37394" xr:uid="{C5279F98-B470-48D1-A960-495F604BAD28}"/>
    <cellStyle name="20% - Accent1 8 7 3" xfId="21499" xr:uid="{00000000-0005-0000-0000-000071060000}"/>
    <cellStyle name="20% - Accent1 8 7 3 2" xfId="45331" xr:uid="{E7F0A5E5-1407-47E9-B18E-349B2023E25D}"/>
    <cellStyle name="20% - Accent1 8 7 4" xfId="29453" xr:uid="{EA65AAC9-024A-4C1E-B29A-EEFEE7DC8F78}"/>
    <cellStyle name="20% - Accent1 8 8" xfId="9120" xr:uid="{00000000-0005-0000-0000-000072060000}"/>
    <cellStyle name="20% - Accent1 8 8 2" xfId="17078" xr:uid="{00000000-0005-0000-0000-000073060000}"/>
    <cellStyle name="20% - Accent1 8 8 2 2" xfId="40918" xr:uid="{2F2D751A-AA4D-4DA5-8B17-49ED7108CA37}"/>
    <cellStyle name="20% - Accent1 8 8 3" xfId="25022" xr:uid="{00000000-0005-0000-0000-000074060000}"/>
    <cellStyle name="20% - Accent1 8 8 3 2" xfId="48854" xr:uid="{8F027CA9-2589-4A93-B4AF-02BB6EE8114F}"/>
    <cellStyle name="20% - Accent1 8 8 4" xfId="32977" xr:uid="{D992764E-D7E4-465C-886E-12A44D53F860}"/>
    <cellStyle name="20% - Accent1 8 9" xfId="10016" xr:uid="{00000000-0005-0000-0000-000075060000}"/>
    <cellStyle name="20% - Accent1 8 9 2" xfId="33865" xr:uid="{37421DFB-BDA7-4C12-B68E-A7479BE533B5}"/>
    <cellStyle name="20% - Accent1 8_Exh G" xfId="2045" xr:uid="{00000000-0005-0000-0000-000076060000}"/>
    <cellStyle name="20% - Accent1 9" xfId="72" xr:uid="{00000000-0005-0000-0000-000077060000}"/>
    <cellStyle name="20% - Accent1 9 10" xfId="17975" xr:uid="{00000000-0005-0000-0000-000078060000}"/>
    <cellStyle name="20% - Accent1 9 10 2" xfId="41807" xr:uid="{5CE264C7-3DF7-4FF8-A9B0-22D899F39C4B}"/>
    <cellStyle name="20% - Accent1 9 11" xfId="25927" xr:uid="{D00EF97B-6AE7-476E-B426-429FBB85C80F}"/>
    <cellStyle name="20% - Accent1 9 2" xfId="73" xr:uid="{00000000-0005-0000-0000-000079060000}"/>
    <cellStyle name="20% - Accent1 9 2 2" xfId="74" xr:uid="{00000000-0005-0000-0000-00007A060000}"/>
    <cellStyle name="20% - Accent1 9 2 2 2" xfId="1102" xr:uid="{00000000-0005-0000-0000-00007B060000}"/>
    <cellStyle name="20% - Accent1 9 2 2 2 2" xfId="4632" xr:uid="{00000000-0005-0000-0000-00007C060000}"/>
    <cellStyle name="20% - Accent1 9 2 2 2 2 2" xfId="8223" xr:uid="{00000000-0005-0000-0000-00007D060000}"/>
    <cellStyle name="20% - Accent1 9 2 2 2 2 2 2" xfId="16194" xr:uid="{00000000-0005-0000-0000-00007E060000}"/>
    <cellStyle name="20% - Accent1 9 2 2 2 2 2 2 2" xfId="40036" xr:uid="{055E963F-21F5-433F-931D-EBE8F69F3AFB}"/>
    <cellStyle name="20% - Accent1 9 2 2 2 2 2 3" xfId="24140" xr:uid="{00000000-0005-0000-0000-00007F060000}"/>
    <cellStyle name="20% - Accent1 9 2 2 2 2 2 3 2" xfId="47972" xr:uid="{FFB1A735-300A-4871-BF3F-ABB6E0DF188F}"/>
    <cellStyle name="20% - Accent1 9 2 2 2 2 2 4" xfId="32095" xr:uid="{B3B6E932-AB1E-4787-973D-1D38A0BC3C55}"/>
    <cellStyle name="20% - Accent1 9 2 2 2 2 3" xfId="12656" xr:uid="{00000000-0005-0000-0000-000080060000}"/>
    <cellStyle name="20% - Accent1 9 2 2 2 2 3 2" xfId="36505" xr:uid="{F30B7A51-D640-4BD8-9F05-B041540828B2}"/>
    <cellStyle name="20% - Accent1 9 2 2 2 2 4" xfId="20611" xr:uid="{00000000-0005-0000-0000-000081060000}"/>
    <cellStyle name="20% - Accent1 9 2 2 2 2 4 2" xfId="44443" xr:uid="{794CB63B-5A57-45DD-B473-16211CE49041}"/>
    <cellStyle name="20% - Accent1 9 2 2 2 2 5" xfId="28564" xr:uid="{7EBE9250-103F-4D8D-8803-7D41B1E6E822}"/>
    <cellStyle name="20% - Accent1 9 2 2 2 3" xfId="6464" xr:uid="{00000000-0005-0000-0000-000082060000}"/>
    <cellStyle name="20% - Accent1 9 2 2 2 3 2" xfId="14436" xr:uid="{00000000-0005-0000-0000-000083060000}"/>
    <cellStyle name="20% - Accent1 9 2 2 2 3 2 2" xfId="38278" xr:uid="{F1427B12-7797-4554-8F54-8BB29359A025}"/>
    <cellStyle name="20% - Accent1 9 2 2 2 3 3" xfId="22383" xr:uid="{00000000-0005-0000-0000-000084060000}"/>
    <cellStyle name="20% - Accent1 9 2 2 2 3 3 2" xfId="46215" xr:uid="{2DC968A0-8BE4-4248-A094-AF5B87478A7F}"/>
    <cellStyle name="20% - Accent1 9 2 2 2 3 4" xfId="30337" xr:uid="{5585E1ED-85C9-474C-A72E-60D9FF854E10}"/>
    <cellStyle name="20% - Accent1 9 2 2 2 4" xfId="10900" xr:uid="{00000000-0005-0000-0000-000085060000}"/>
    <cellStyle name="20% - Accent1 9 2 2 2 4 2" xfId="34749" xr:uid="{8A20BF14-CC3A-4E22-8773-9DD01A400EAE}"/>
    <cellStyle name="20% - Accent1 9 2 2 2 5" xfId="18855" xr:uid="{00000000-0005-0000-0000-000086060000}"/>
    <cellStyle name="20% - Accent1 9 2 2 2 5 2" xfId="42687" xr:uid="{C23C65B3-8057-4E24-B57F-3280945472A2}"/>
    <cellStyle name="20% - Accent1 9 2 2 2 6" xfId="26807" xr:uid="{AAA41650-24F7-4B1C-B620-128CEB028C00}"/>
    <cellStyle name="20% - Accent1 9 2 2 2_Exh G" xfId="2058" xr:uid="{00000000-0005-0000-0000-000087060000}"/>
    <cellStyle name="20% - Accent1 9 2 2 3" xfId="3753" xr:uid="{00000000-0005-0000-0000-000088060000}"/>
    <cellStyle name="20% - Accent1 9 2 2 3 2" xfId="7345" xr:uid="{00000000-0005-0000-0000-000089060000}"/>
    <cellStyle name="20% - Accent1 9 2 2 3 2 2" xfId="15316" xr:uid="{00000000-0005-0000-0000-00008A060000}"/>
    <cellStyle name="20% - Accent1 9 2 2 3 2 2 2" xfId="39158" xr:uid="{8788B1F1-1AD0-49FB-A936-90AF9B02E221}"/>
    <cellStyle name="20% - Accent1 9 2 2 3 2 3" xfId="23262" xr:uid="{00000000-0005-0000-0000-00008B060000}"/>
    <cellStyle name="20% - Accent1 9 2 2 3 2 3 2" xfId="47094" xr:uid="{9E067F77-D929-4B3E-BA6B-1F4C361470D6}"/>
    <cellStyle name="20% - Accent1 9 2 2 3 2 4" xfId="31217" xr:uid="{80CB9B7F-C8F9-4F03-BB23-0B7374FEB8D0}"/>
    <cellStyle name="20% - Accent1 9 2 2 3 3" xfId="11778" xr:uid="{00000000-0005-0000-0000-00008C060000}"/>
    <cellStyle name="20% - Accent1 9 2 2 3 3 2" xfId="35627" xr:uid="{952EFE71-9C53-4ADB-89A3-B56B26406DF0}"/>
    <cellStyle name="20% - Accent1 9 2 2 3 4" xfId="19733" xr:uid="{00000000-0005-0000-0000-00008D060000}"/>
    <cellStyle name="20% - Accent1 9 2 2 3 4 2" xfId="43565" xr:uid="{10BEF184-C797-429A-AB21-982651D53CC6}"/>
    <cellStyle name="20% - Accent1 9 2 2 3 5" xfId="27686" xr:uid="{6D390BC5-B206-4F4F-91A7-19915D97A5E2}"/>
    <cellStyle name="20% - Accent1 9 2 2 4" xfId="5573" xr:uid="{00000000-0005-0000-0000-00008E060000}"/>
    <cellStyle name="20% - Accent1 9 2 2 4 2" xfId="13557" xr:uid="{00000000-0005-0000-0000-00008F060000}"/>
    <cellStyle name="20% - Accent1 9 2 2 4 2 2" xfId="37400" xr:uid="{6A2C420D-110F-4EF8-B991-B4FD74CBDC26}"/>
    <cellStyle name="20% - Accent1 9 2 2 4 3" xfId="21505" xr:uid="{00000000-0005-0000-0000-000090060000}"/>
    <cellStyle name="20% - Accent1 9 2 2 4 3 2" xfId="45337" xr:uid="{95633E1B-D3AF-4968-89F3-4BB4603EE578}"/>
    <cellStyle name="20% - Accent1 9 2 2 4 4" xfId="29459" xr:uid="{4E56B6DD-E80E-4E2B-9695-9FC2E3ABD7BE}"/>
    <cellStyle name="20% - Accent1 9 2 2 5" xfId="9126" xr:uid="{00000000-0005-0000-0000-000091060000}"/>
    <cellStyle name="20% - Accent1 9 2 2 5 2" xfId="17084" xr:uid="{00000000-0005-0000-0000-000092060000}"/>
    <cellStyle name="20% - Accent1 9 2 2 5 2 2" xfId="40924" xr:uid="{716FA175-8858-4FE6-BB3C-8A132DE67EC5}"/>
    <cellStyle name="20% - Accent1 9 2 2 5 3" xfId="25028" xr:uid="{00000000-0005-0000-0000-000093060000}"/>
    <cellStyle name="20% - Accent1 9 2 2 5 3 2" xfId="48860" xr:uid="{3B3F9620-BA57-4CCD-B91E-812A3CE709D8}"/>
    <cellStyle name="20% - Accent1 9 2 2 5 4" xfId="32983" xr:uid="{3A3CEB89-3291-43AB-A6B1-5F80DD4F36A3}"/>
    <cellStyle name="20% - Accent1 9 2 2 6" xfId="10022" xr:uid="{00000000-0005-0000-0000-000094060000}"/>
    <cellStyle name="20% - Accent1 9 2 2 6 2" xfId="33871" xr:uid="{F00B2DA2-DBE8-45FE-AE34-E0B7E1423A8B}"/>
    <cellStyle name="20% - Accent1 9 2 2 7" xfId="17977" xr:uid="{00000000-0005-0000-0000-000095060000}"/>
    <cellStyle name="20% - Accent1 9 2 2 7 2" xfId="41809" xr:uid="{EAB607C9-BBFE-4E15-AB7C-C1F8563E12DE}"/>
    <cellStyle name="20% - Accent1 9 2 2 8" xfId="25929" xr:uid="{5BCADB13-D912-42B3-B594-32557F3BB983}"/>
    <cellStyle name="20% - Accent1 9 2 2_Exh G" xfId="2057" xr:uid="{00000000-0005-0000-0000-000096060000}"/>
    <cellStyle name="20% - Accent1 9 2 3" xfId="1101" xr:uid="{00000000-0005-0000-0000-000097060000}"/>
    <cellStyle name="20% - Accent1 9 2 3 2" xfId="4631" xr:uid="{00000000-0005-0000-0000-000098060000}"/>
    <cellStyle name="20% - Accent1 9 2 3 2 2" xfId="8222" xr:uid="{00000000-0005-0000-0000-000099060000}"/>
    <cellStyle name="20% - Accent1 9 2 3 2 2 2" xfId="16193" xr:uid="{00000000-0005-0000-0000-00009A060000}"/>
    <cellStyle name="20% - Accent1 9 2 3 2 2 2 2" xfId="40035" xr:uid="{8D6E7FAC-FEF8-445D-97D0-D3CE1B7AC195}"/>
    <cellStyle name="20% - Accent1 9 2 3 2 2 3" xfId="24139" xr:uid="{00000000-0005-0000-0000-00009B060000}"/>
    <cellStyle name="20% - Accent1 9 2 3 2 2 3 2" xfId="47971" xr:uid="{37B50C3D-20B2-4A7B-AE2D-D98CEF84B560}"/>
    <cellStyle name="20% - Accent1 9 2 3 2 2 4" xfId="32094" xr:uid="{365F5058-7F2B-44BA-8147-A36944BE82C9}"/>
    <cellStyle name="20% - Accent1 9 2 3 2 3" xfId="12655" xr:uid="{00000000-0005-0000-0000-00009C060000}"/>
    <cellStyle name="20% - Accent1 9 2 3 2 3 2" xfId="36504" xr:uid="{723DF72D-B384-41C5-A9DD-2694C261F86F}"/>
    <cellStyle name="20% - Accent1 9 2 3 2 4" xfId="20610" xr:uid="{00000000-0005-0000-0000-00009D060000}"/>
    <cellStyle name="20% - Accent1 9 2 3 2 4 2" xfId="44442" xr:uid="{D3C82303-D265-4536-8384-7B596353FD76}"/>
    <cellStyle name="20% - Accent1 9 2 3 2 5" xfId="28563" xr:uid="{C82DC239-A627-4443-BCE5-E89804235BF2}"/>
    <cellStyle name="20% - Accent1 9 2 3 3" xfId="6463" xr:uid="{00000000-0005-0000-0000-00009E060000}"/>
    <cellStyle name="20% - Accent1 9 2 3 3 2" xfId="14435" xr:uid="{00000000-0005-0000-0000-00009F060000}"/>
    <cellStyle name="20% - Accent1 9 2 3 3 2 2" xfId="38277" xr:uid="{F432C1D6-8F2F-4EBB-BF7E-7C5D524CDD2B}"/>
    <cellStyle name="20% - Accent1 9 2 3 3 3" xfId="22382" xr:uid="{00000000-0005-0000-0000-0000A0060000}"/>
    <cellStyle name="20% - Accent1 9 2 3 3 3 2" xfId="46214" xr:uid="{42D1A948-74E1-483B-9FC2-D351944F83C7}"/>
    <cellStyle name="20% - Accent1 9 2 3 3 4" xfId="30336" xr:uid="{B8DBFE2C-FB05-410C-A9FD-597BA7556AA5}"/>
    <cellStyle name="20% - Accent1 9 2 3 4" xfId="10899" xr:uid="{00000000-0005-0000-0000-0000A1060000}"/>
    <cellStyle name="20% - Accent1 9 2 3 4 2" xfId="34748" xr:uid="{F5CBAFCA-9EC9-43CF-8930-8CE006386327}"/>
    <cellStyle name="20% - Accent1 9 2 3 5" xfId="18854" xr:uid="{00000000-0005-0000-0000-0000A2060000}"/>
    <cellStyle name="20% - Accent1 9 2 3 5 2" xfId="42686" xr:uid="{07741977-4B9E-4C04-9707-8FB7511C0AF3}"/>
    <cellStyle name="20% - Accent1 9 2 3 6" xfId="26806" xr:uid="{F839F7BD-D6F4-41EB-B11B-F8B0E1C8E92A}"/>
    <cellStyle name="20% - Accent1 9 2 3_Exh G" xfId="2059" xr:uid="{00000000-0005-0000-0000-0000A3060000}"/>
    <cellStyle name="20% - Accent1 9 2 4" xfId="3752" xr:uid="{00000000-0005-0000-0000-0000A4060000}"/>
    <cellStyle name="20% - Accent1 9 2 4 2" xfId="7344" xr:uid="{00000000-0005-0000-0000-0000A5060000}"/>
    <cellStyle name="20% - Accent1 9 2 4 2 2" xfId="15315" xr:uid="{00000000-0005-0000-0000-0000A6060000}"/>
    <cellStyle name="20% - Accent1 9 2 4 2 2 2" xfId="39157" xr:uid="{67920D1E-2343-44AC-BF76-80D94D460FC6}"/>
    <cellStyle name="20% - Accent1 9 2 4 2 3" xfId="23261" xr:uid="{00000000-0005-0000-0000-0000A7060000}"/>
    <cellStyle name="20% - Accent1 9 2 4 2 3 2" xfId="47093" xr:uid="{F367FDDB-7C0C-485C-85F1-BE9FFA579011}"/>
    <cellStyle name="20% - Accent1 9 2 4 2 4" xfId="31216" xr:uid="{63591028-EB5B-49AC-A539-3DF05AB22329}"/>
    <cellStyle name="20% - Accent1 9 2 4 3" xfId="11777" xr:uid="{00000000-0005-0000-0000-0000A8060000}"/>
    <cellStyle name="20% - Accent1 9 2 4 3 2" xfId="35626" xr:uid="{7E6B2F2C-6056-428D-8955-BCFD7091C484}"/>
    <cellStyle name="20% - Accent1 9 2 4 4" xfId="19732" xr:uid="{00000000-0005-0000-0000-0000A9060000}"/>
    <cellStyle name="20% - Accent1 9 2 4 4 2" xfId="43564" xr:uid="{4BF2B86C-0F7D-4FCD-A0EE-0BE0EDB19644}"/>
    <cellStyle name="20% - Accent1 9 2 4 5" xfId="27685" xr:uid="{C3C4E179-17CC-442D-A6B3-7C7BD3ECD175}"/>
    <cellStyle name="20% - Accent1 9 2 5" xfId="5572" xr:uid="{00000000-0005-0000-0000-0000AA060000}"/>
    <cellStyle name="20% - Accent1 9 2 5 2" xfId="13556" xr:uid="{00000000-0005-0000-0000-0000AB060000}"/>
    <cellStyle name="20% - Accent1 9 2 5 2 2" xfId="37399" xr:uid="{0EE8ADA5-8EF9-4278-B2F0-37B64E0CFC19}"/>
    <cellStyle name="20% - Accent1 9 2 5 3" xfId="21504" xr:uid="{00000000-0005-0000-0000-0000AC060000}"/>
    <cellStyle name="20% - Accent1 9 2 5 3 2" xfId="45336" xr:uid="{F8C25512-965B-4ECF-8977-419EFA68B98A}"/>
    <cellStyle name="20% - Accent1 9 2 5 4" xfId="29458" xr:uid="{7AAC9A57-3D05-47EC-9054-DFBE250DED1C}"/>
    <cellStyle name="20% - Accent1 9 2 6" xfId="9125" xr:uid="{00000000-0005-0000-0000-0000AD060000}"/>
    <cellStyle name="20% - Accent1 9 2 6 2" xfId="17083" xr:uid="{00000000-0005-0000-0000-0000AE060000}"/>
    <cellStyle name="20% - Accent1 9 2 6 2 2" xfId="40923" xr:uid="{24EF1745-0051-4AB8-99EC-A66CD1BBF851}"/>
    <cellStyle name="20% - Accent1 9 2 6 3" xfId="25027" xr:uid="{00000000-0005-0000-0000-0000AF060000}"/>
    <cellStyle name="20% - Accent1 9 2 6 3 2" xfId="48859" xr:uid="{F696BCC6-E8D5-438A-93C6-9EA39C0A1A62}"/>
    <cellStyle name="20% - Accent1 9 2 6 4" xfId="32982" xr:uid="{B62A7E3F-28B6-492C-9134-2D19815642B6}"/>
    <cellStyle name="20% - Accent1 9 2 7" xfId="10021" xr:uid="{00000000-0005-0000-0000-0000B0060000}"/>
    <cellStyle name="20% - Accent1 9 2 7 2" xfId="33870" xr:uid="{BC7716EF-6A5B-4ACD-ACAA-ECF871AB44E7}"/>
    <cellStyle name="20% - Accent1 9 2 8" xfId="17976" xr:uid="{00000000-0005-0000-0000-0000B1060000}"/>
    <cellStyle name="20% - Accent1 9 2 8 2" xfId="41808" xr:uid="{99BB3050-CA32-43B6-A099-CD22AC1092E8}"/>
    <cellStyle name="20% - Accent1 9 2 9" xfId="25928" xr:uid="{DFECE31F-2E6E-4FE9-B4DE-9FC445E5385B}"/>
    <cellStyle name="20% - Accent1 9 2_Exh G" xfId="2056" xr:uid="{00000000-0005-0000-0000-0000B2060000}"/>
    <cellStyle name="20% - Accent1 9 3" xfId="75" xr:uid="{00000000-0005-0000-0000-0000B3060000}"/>
    <cellStyle name="20% - Accent1 9 3 2" xfId="1103" xr:uid="{00000000-0005-0000-0000-0000B4060000}"/>
    <cellStyle name="20% - Accent1 9 3 2 2" xfId="4633" xr:uid="{00000000-0005-0000-0000-0000B5060000}"/>
    <cellStyle name="20% - Accent1 9 3 2 2 2" xfId="8224" xr:uid="{00000000-0005-0000-0000-0000B6060000}"/>
    <cellStyle name="20% - Accent1 9 3 2 2 2 2" xfId="16195" xr:uid="{00000000-0005-0000-0000-0000B7060000}"/>
    <cellStyle name="20% - Accent1 9 3 2 2 2 2 2" xfId="40037" xr:uid="{1C285B62-4BBA-48A4-92D7-853248C7B4BA}"/>
    <cellStyle name="20% - Accent1 9 3 2 2 2 3" xfId="24141" xr:uid="{00000000-0005-0000-0000-0000B8060000}"/>
    <cellStyle name="20% - Accent1 9 3 2 2 2 3 2" xfId="47973" xr:uid="{4007ABC5-9229-4700-927E-5B06F7D2F72F}"/>
    <cellStyle name="20% - Accent1 9 3 2 2 2 4" xfId="32096" xr:uid="{9EA59C6F-57E7-439C-B62E-2EB8D080E450}"/>
    <cellStyle name="20% - Accent1 9 3 2 2 3" xfId="12657" xr:uid="{00000000-0005-0000-0000-0000B9060000}"/>
    <cellStyle name="20% - Accent1 9 3 2 2 3 2" xfId="36506" xr:uid="{F4B844DE-A186-4F9E-BCAF-F988060C79B5}"/>
    <cellStyle name="20% - Accent1 9 3 2 2 4" xfId="20612" xr:uid="{00000000-0005-0000-0000-0000BA060000}"/>
    <cellStyle name="20% - Accent1 9 3 2 2 4 2" xfId="44444" xr:uid="{88DCBBC8-76A4-4FC7-A237-7AF9A51EA96F}"/>
    <cellStyle name="20% - Accent1 9 3 2 2 5" xfId="28565" xr:uid="{18828389-70C4-485C-9D66-C170EE87749A}"/>
    <cellStyle name="20% - Accent1 9 3 2 3" xfId="6465" xr:uid="{00000000-0005-0000-0000-0000BB060000}"/>
    <cellStyle name="20% - Accent1 9 3 2 3 2" xfId="14437" xr:uid="{00000000-0005-0000-0000-0000BC060000}"/>
    <cellStyle name="20% - Accent1 9 3 2 3 2 2" xfId="38279" xr:uid="{956A05F9-7299-4171-BE0F-ED53BCFEC25B}"/>
    <cellStyle name="20% - Accent1 9 3 2 3 3" xfId="22384" xr:uid="{00000000-0005-0000-0000-0000BD060000}"/>
    <cellStyle name="20% - Accent1 9 3 2 3 3 2" xfId="46216" xr:uid="{D0952827-D206-4AE0-A080-F1A0AA0452CC}"/>
    <cellStyle name="20% - Accent1 9 3 2 3 4" xfId="30338" xr:uid="{B15E0BCF-E92E-4DE7-B1C5-EF54F3BCBBAB}"/>
    <cellStyle name="20% - Accent1 9 3 2 4" xfId="10901" xr:uid="{00000000-0005-0000-0000-0000BE060000}"/>
    <cellStyle name="20% - Accent1 9 3 2 4 2" xfId="34750" xr:uid="{D6328596-41EA-43ED-8AF0-5A8583D786C5}"/>
    <cellStyle name="20% - Accent1 9 3 2 5" xfId="18856" xr:uid="{00000000-0005-0000-0000-0000BF060000}"/>
    <cellStyle name="20% - Accent1 9 3 2 5 2" xfId="42688" xr:uid="{F6D4D74E-3252-4BB1-AC76-D4F58F76A0F3}"/>
    <cellStyle name="20% - Accent1 9 3 2 6" xfId="26808" xr:uid="{41D0F5E3-6B25-41E9-9004-18153D970B30}"/>
    <cellStyle name="20% - Accent1 9 3 2_Exh G" xfId="2061" xr:uid="{00000000-0005-0000-0000-0000C0060000}"/>
    <cellStyle name="20% - Accent1 9 3 3" xfId="3754" xr:uid="{00000000-0005-0000-0000-0000C1060000}"/>
    <cellStyle name="20% - Accent1 9 3 3 2" xfId="7346" xr:uid="{00000000-0005-0000-0000-0000C2060000}"/>
    <cellStyle name="20% - Accent1 9 3 3 2 2" xfId="15317" xr:uid="{00000000-0005-0000-0000-0000C3060000}"/>
    <cellStyle name="20% - Accent1 9 3 3 2 2 2" xfId="39159" xr:uid="{7B586D59-D362-4186-ADB5-20D6BB2C1B7E}"/>
    <cellStyle name="20% - Accent1 9 3 3 2 3" xfId="23263" xr:uid="{00000000-0005-0000-0000-0000C4060000}"/>
    <cellStyle name="20% - Accent1 9 3 3 2 3 2" xfId="47095" xr:uid="{A212BC75-440A-469F-9D57-604C25372A31}"/>
    <cellStyle name="20% - Accent1 9 3 3 2 4" xfId="31218" xr:uid="{E2C2AFEA-59E9-4457-B865-6B06CAFBA91C}"/>
    <cellStyle name="20% - Accent1 9 3 3 3" xfId="11779" xr:uid="{00000000-0005-0000-0000-0000C5060000}"/>
    <cellStyle name="20% - Accent1 9 3 3 3 2" xfId="35628" xr:uid="{F0398D94-658B-4953-AAC7-5E8153AA0927}"/>
    <cellStyle name="20% - Accent1 9 3 3 4" xfId="19734" xr:uid="{00000000-0005-0000-0000-0000C6060000}"/>
    <cellStyle name="20% - Accent1 9 3 3 4 2" xfId="43566" xr:uid="{0B0DF2A6-ADEC-4F19-B2BA-78CBDD12C833}"/>
    <cellStyle name="20% - Accent1 9 3 3 5" xfId="27687" xr:uid="{A3496501-6F0A-4976-B6A8-F93C9D368B9D}"/>
    <cellStyle name="20% - Accent1 9 3 4" xfId="5574" xr:uid="{00000000-0005-0000-0000-0000C7060000}"/>
    <cellStyle name="20% - Accent1 9 3 4 2" xfId="13558" xr:uid="{00000000-0005-0000-0000-0000C8060000}"/>
    <cellStyle name="20% - Accent1 9 3 4 2 2" xfId="37401" xr:uid="{0EEEC193-ACC8-4DD9-83DE-65BE79822CE9}"/>
    <cellStyle name="20% - Accent1 9 3 4 3" xfId="21506" xr:uid="{00000000-0005-0000-0000-0000C9060000}"/>
    <cellStyle name="20% - Accent1 9 3 4 3 2" xfId="45338" xr:uid="{747301F3-295B-4615-AEBF-354787CD5F1D}"/>
    <cellStyle name="20% - Accent1 9 3 4 4" xfId="29460" xr:uid="{B6B4D32F-1A05-4DE3-B377-918C62472DEC}"/>
    <cellStyle name="20% - Accent1 9 3 5" xfId="9127" xr:uid="{00000000-0005-0000-0000-0000CA060000}"/>
    <cellStyle name="20% - Accent1 9 3 5 2" xfId="17085" xr:uid="{00000000-0005-0000-0000-0000CB060000}"/>
    <cellStyle name="20% - Accent1 9 3 5 2 2" xfId="40925" xr:uid="{F4F513B7-43C8-4B2F-A29F-E9AB01A14361}"/>
    <cellStyle name="20% - Accent1 9 3 5 3" xfId="25029" xr:uid="{00000000-0005-0000-0000-0000CC060000}"/>
    <cellStyle name="20% - Accent1 9 3 5 3 2" xfId="48861" xr:uid="{C58D1745-D581-44E7-9AE8-3F9E2483F64D}"/>
    <cellStyle name="20% - Accent1 9 3 5 4" xfId="32984" xr:uid="{7C1B6E0E-6723-4340-955F-B60C9F44215B}"/>
    <cellStyle name="20% - Accent1 9 3 6" xfId="10023" xr:uid="{00000000-0005-0000-0000-0000CD060000}"/>
    <cellStyle name="20% - Accent1 9 3 6 2" xfId="33872" xr:uid="{80D0243A-D17E-4B54-B903-2B736B38A438}"/>
    <cellStyle name="20% - Accent1 9 3 7" xfId="17978" xr:uid="{00000000-0005-0000-0000-0000CE060000}"/>
    <cellStyle name="20% - Accent1 9 3 7 2" xfId="41810" xr:uid="{AAAA000D-EDAA-4371-8EC8-3165266636D9}"/>
    <cellStyle name="20% - Accent1 9 3 8" xfId="25930" xr:uid="{D54BD04D-1FC1-4061-BF89-2A9573A2252A}"/>
    <cellStyle name="20% - Accent1 9 3_Exh G" xfId="2060" xr:uid="{00000000-0005-0000-0000-0000CF060000}"/>
    <cellStyle name="20% - Accent1 9 4" xfId="873" xr:uid="{00000000-0005-0000-0000-0000D0060000}"/>
    <cellStyle name="20% - Accent1 9 4 2" xfId="1808" xr:uid="{00000000-0005-0000-0000-0000D1060000}"/>
    <cellStyle name="20% - Accent1 9 4 2 2" xfId="5326" xr:uid="{00000000-0005-0000-0000-0000D2060000}"/>
    <cellStyle name="20% - Accent1 9 4 2 2 2" xfId="8917" xr:uid="{00000000-0005-0000-0000-0000D3060000}"/>
    <cellStyle name="20% - Accent1 9 4 2 2 2 2" xfId="16888" xr:uid="{00000000-0005-0000-0000-0000D4060000}"/>
    <cellStyle name="20% - Accent1 9 4 2 2 2 2 2" xfId="40730" xr:uid="{98E47717-731A-4394-A906-9403C60CA285}"/>
    <cellStyle name="20% - Accent1 9 4 2 2 2 3" xfId="24834" xr:uid="{00000000-0005-0000-0000-0000D5060000}"/>
    <cellStyle name="20% - Accent1 9 4 2 2 2 3 2" xfId="48666" xr:uid="{012ECB60-71A7-417D-8ABF-6859036C9C45}"/>
    <cellStyle name="20% - Accent1 9 4 2 2 2 4" xfId="32789" xr:uid="{11AB9524-1F51-42EE-B7BB-0372E286FBBC}"/>
    <cellStyle name="20% - Accent1 9 4 2 2 3" xfId="13350" xr:uid="{00000000-0005-0000-0000-0000D6060000}"/>
    <cellStyle name="20% - Accent1 9 4 2 2 3 2" xfId="37199" xr:uid="{F5555320-8A1C-4D00-B9ED-16F76B35426A}"/>
    <cellStyle name="20% - Accent1 9 4 2 2 4" xfId="21305" xr:uid="{00000000-0005-0000-0000-0000D7060000}"/>
    <cellStyle name="20% - Accent1 9 4 2 2 4 2" xfId="45137" xr:uid="{60398728-7322-4B0E-AF28-E67B2AC50B5F}"/>
    <cellStyle name="20% - Accent1 9 4 2 2 5" xfId="29258" xr:uid="{316BDC73-CAF3-4402-B229-D2B8C51E9CE8}"/>
    <cellStyle name="20% - Accent1 9 4 2 3" xfId="7158" xr:uid="{00000000-0005-0000-0000-0000D8060000}"/>
    <cellStyle name="20% - Accent1 9 4 2 3 2" xfId="15130" xr:uid="{00000000-0005-0000-0000-0000D9060000}"/>
    <cellStyle name="20% - Accent1 9 4 2 3 2 2" xfId="38972" xr:uid="{DAF20204-968A-42FA-A0B4-817A3A308DB9}"/>
    <cellStyle name="20% - Accent1 9 4 2 3 3" xfId="23077" xr:uid="{00000000-0005-0000-0000-0000DA060000}"/>
    <cellStyle name="20% - Accent1 9 4 2 3 3 2" xfId="46909" xr:uid="{C45D9EB7-DCDE-443A-AD84-644F56C08BD7}"/>
    <cellStyle name="20% - Accent1 9 4 2 3 4" xfId="31031" xr:uid="{B1BA71AA-8429-4789-99D8-2AD05C293315}"/>
    <cellStyle name="20% - Accent1 9 4 2 4" xfId="11594" xr:uid="{00000000-0005-0000-0000-0000DB060000}"/>
    <cellStyle name="20% - Accent1 9 4 2 4 2" xfId="35443" xr:uid="{CFD489A9-D87A-4D60-A29C-68B40449147F}"/>
    <cellStyle name="20% - Accent1 9 4 2 5" xfId="19549" xr:uid="{00000000-0005-0000-0000-0000DC060000}"/>
    <cellStyle name="20% - Accent1 9 4 2 5 2" xfId="43381" xr:uid="{74ED6920-D85F-4107-81D4-7BA92EFF96F1}"/>
    <cellStyle name="20% - Accent1 9 4 2 6" xfId="27501" xr:uid="{5BF3B362-DF70-4EBA-8BC7-18827CDD9B8F}"/>
    <cellStyle name="20% - Accent1 9 4 2_Exh G" xfId="2063" xr:uid="{00000000-0005-0000-0000-0000DD060000}"/>
    <cellStyle name="20% - Accent1 9 4 3" xfId="4447" xr:uid="{00000000-0005-0000-0000-0000DE060000}"/>
    <cellStyle name="20% - Accent1 9 4 3 2" xfId="8039" xr:uid="{00000000-0005-0000-0000-0000DF060000}"/>
    <cellStyle name="20% - Accent1 9 4 3 2 2" xfId="16010" xr:uid="{00000000-0005-0000-0000-0000E0060000}"/>
    <cellStyle name="20% - Accent1 9 4 3 2 2 2" xfId="39852" xr:uid="{7FD20639-989C-490B-A15F-B2BE7BE20C3D}"/>
    <cellStyle name="20% - Accent1 9 4 3 2 3" xfId="23956" xr:uid="{00000000-0005-0000-0000-0000E1060000}"/>
    <cellStyle name="20% - Accent1 9 4 3 2 3 2" xfId="47788" xr:uid="{9F99FE83-AD1D-49E6-8B06-76EE7A7E56A4}"/>
    <cellStyle name="20% - Accent1 9 4 3 2 4" xfId="31911" xr:uid="{AD6BBA3E-1000-4DC0-A15E-21F5B47023C3}"/>
    <cellStyle name="20% - Accent1 9 4 3 3" xfId="12472" xr:uid="{00000000-0005-0000-0000-0000E2060000}"/>
    <cellStyle name="20% - Accent1 9 4 3 3 2" xfId="36321" xr:uid="{8FC422C4-C0F0-4982-97A4-0D8158600CFE}"/>
    <cellStyle name="20% - Accent1 9 4 3 4" xfId="20427" xr:uid="{00000000-0005-0000-0000-0000E3060000}"/>
    <cellStyle name="20% - Accent1 9 4 3 4 2" xfId="44259" xr:uid="{F4D37FBE-B81A-4057-B52F-102917EB1534}"/>
    <cellStyle name="20% - Accent1 9 4 3 5" xfId="28380" xr:uid="{24B12E27-817E-4E08-A764-66D1BB6557AA}"/>
    <cellStyle name="20% - Accent1 9 4 4" xfId="6277" xr:uid="{00000000-0005-0000-0000-0000E4060000}"/>
    <cellStyle name="20% - Accent1 9 4 4 2" xfId="14252" xr:uid="{00000000-0005-0000-0000-0000E5060000}"/>
    <cellStyle name="20% - Accent1 9 4 4 2 2" xfId="38094" xr:uid="{C9FA761E-CB2B-4188-ABB4-E7ECDAE2C217}"/>
    <cellStyle name="20% - Accent1 9 4 4 3" xfId="22199" xr:uid="{00000000-0005-0000-0000-0000E6060000}"/>
    <cellStyle name="20% - Accent1 9 4 4 3 2" xfId="46031" xr:uid="{995C580F-AF38-46B6-933C-629DE04CD8D6}"/>
    <cellStyle name="20% - Accent1 9 4 4 4" xfId="30153" xr:uid="{C25D8EA1-5D77-42A8-BCA6-D70EE88EDB2A}"/>
    <cellStyle name="20% - Accent1 9 4 5" xfId="9820" xr:uid="{00000000-0005-0000-0000-0000E7060000}"/>
    <cellStyle name="20% - Accent1 9 4 5 2" xfId="17778" xr:uid="{00000000-0005-0000-0000-0000E8060000}"/>
    <cellStyle name="20% - Accent1 9 4 5 2 2" xfId="41618" xr:uid="{FA64B08D-ADB9-4C40-BBF9-6DEEBF69D28D}"/>
    <cellStyle name="20% - Accent1 9 4 5 3" xfId="25722" xr:uid="{00000000-0005-0000-0000-0000E9060000}"/>
    <cellStyle name="20% - Accent1 9 4 5 3 2" xfId="49554" xr:uid="{8C1B0B7C-4B07-4DD0-A80E-2A560530A34E}"/>
    <cellStyle name="20% - Accent1 9 4 5 4" xfId="33677" xr:uid="{B40A4BC3-B30A-47C9-8583-8CFFF09C9839}"/>
    <cellStyle name="20% - Accent1 9 4 6" xfId="10716" xr:uid="{00000000-0005-0000-0000-0000EA060000}"/>
    <cellStyle name="20% - Accent1 9 4 6 2" xfId="34565" xr:uid="{35A964A0-A65E-4506-98C6-B9420CCC491A}"/>
    <cellStyle name="20% - Accent1 9 4 7" xfId="18671" xr:uid="{00000000-0005-0000-0000-0000EB060000}"/>
    <cellStyle name="20% - Accent1 9 4 7 2" xfId="42503" xr:uid="{05FA5ADA-EEFC-4248-B80F-8F7C1CCEC174}"/>
    <cellStyle name="20% - Accent1 9 4 8" xfId="26623" xr:uid="{B950427B-75DF-42F5-98A2-C63304A2A444}"/>
    <cellStyle name="20% - Accent1 9 4_Exh G" xfId="2062" xr:uid="{00000000-0005-0000-0000-0000EC060000}"/>
    <cellStyle name="20% - Accent1 9 5" xfId="1100" xr:uid="{00000000-0005-0000-0000-0000ED060000}"/>
    <cellStyle name="20% - Accent1 9 5 2" xfId="4630" xr:uid="{00000000-0005-0000-0000-0000EE060000}"/>
    <cellStyle name="20% - Accent1 9 5 2 2" xfId="8221" xr:uid="{00000000-0005-0000-0000-0000EF060000}"/>
    <cellStyle name="20% - Accent1 9 5 2 2 2" xfId="16192" xr:uid="{00000000-0005-0000-0000-0000F0060000}"/>
    <cellStyle name="20% - Accent1 9 5 2 2 2 2" xfId="40034" xr:uid="{2C3225DA-5E51-4F64-9684-F3F77613CE66}"/>
    <cellStyle name="20% - Accent1 9 5 2 2 3" xfId="24138" xr:uid="{00000000-0005-0000-0000-0000F1060000}"/>
    <cellStyle name="20% - Accent1 9 5 2 2 3 2" xfId="47970" xr:uid="{BBC319A9-D3B7-4836-9F6D-E0FE80D48B83}"/>
    <cellStyle name="20% - Accent1 9 5 2 2 4" xfId="32093" xr:uid="{1FE37605-CE73-4A3F-A2E4-2E191D7350AF}"/>
    <cellStyle name="20% - Accent1 9 5 2 3" xfId="12654" xr:uid="{00000000-0005-0000-0000-0000F2060000}"/>
    <cellStyle name="20% - Accent1 9 5 2 3 2" xfId="36503" xr:uid="{0C594072-1971-4A07-8104-F135133414B2}"/>
    <cellStyle name="20% - Accent1 9 5 2 4" xfId="20609" xr:uid="{00000000-0005-0000-0000-0000F3060000}"/>
    <cellStyle name="20% - Accent1 9 5 2 4 2" xfId="44441" xr:uid="{5F04E985-A7E3-4150-AA91-848270FEC2F0}"/>
    <cellStyle name="20% - Accent1 9 5 2 5" xfId="28562" xr:uid="{89C2E08A-579A-4EC9-9883-3DD297C9E9CD}"/>
    <cellStyle name="20% - Accent1 9 5 3" xfId="6462" xr:uid="{00000000-0005-0000-0000-0000F4060000}"/>
    <cellStyle name="20% - Accent1 9 5 3 2" xfId="14434" xr:uid="{00000000-0005-0000-0000-0000F5060000}"/>
    <cellStyle name="20% - Accent1 9 5 3 2 2" xfId="38276" xr:uid="{BE110A8D-6ABE-4B34-97DB-EB01C9DD98E0}"/>
    <cellStyle name="20% - Accent1 9 5 3 3" xfId="22381" xr:uid="{00000000-0005-0000-0000-0000F6060000}"/>
    <cellStyle name="20% - Accent1 9 5 3 3 2" xfId="46213" xr:uid="{34B0E8E0-D534-4E89-B028-C4AAEAD04E4D}"/>
    <cellStyle name="20% - Accent1 9 5 3 4" xfId="30335" xr:uid="{27FDE367-CE93-4E36-8F6B-F22B2AD8CDBE}"/>
    <cellStyle name="20% - Accent1 9 5 4" xfId="10898" xr:uid="{00000000-0005-0000-0000-0000F7060000}"/>
    <cellStyle name="20% - Accent1 9 5 4 2" xfId="34747" xr:uid="{C22D8A12-9A71-4018-A6DA-BBB60BE960FD}"/>
    <cellStyle name="20% - Accent1 9 5 5" xfId="18853" xr:uid="{00000000-0005-0000-0000-0000F8060000}"/>
    <cellStyle name="20% - Accent1 9 5 5 2" xfId="42685" xr:uid="{716D48C7-643B-4657-BFDB-E59874449F08}"/>
    <cellStyle name="20% - Accent1 9 5 6" xfId="26805" xr:uid="{D9C7DFFA-B1E4-4513-AB0A-919C109E5F7B}"/>
    <cellStyle name="20% - Accent1 9 5_Exh G" xfId="2064" xr:uid="{00000000-0005-0000-0000-0000F9060000}"/>
    <cellStyle name="20% - Accent1 9 6" xfId="3751" xr:uid="{00000000-0005-0000-0000-0000FA060000}"/>
    <cellStyle name="20% - Accent1 9 6 2" xfId="7343" xr:uid="{00000000-0005-0000-0000-0000FB060000}"/>
    <cellStyle name="20% - Accent1 9 6 2 2" xfId="15314" xr:uid="{00000000-0005-0000-0000-0000FC060000}"/>
    <cellStyle name="20% - Accent1 9 6 2 2 2" xfId="39156" xr:uid="{C7E6FE19-3137-45F5-AADE-B759D1F75BDA}"/>
    <cellStyle name="20% - Accent1 9 6 2 3" xfId="23260" xr:uid="{00000000-0005-0000-0000-0000FD060000}"/>
    <cellStyle name="20% - Accent1 9 6 2 3 2" xfId="47092" xr:uid="{7AE2A0A5-601B-424F-99C4-73CD6FD02A60}"/>
    <cellStyle name="20% - Accent1 9 6 2 4" xfId="31215" xr:uid="{ECFCA466-B43D-4F72-8984-7A8AAD06D3DD}"/>
    <cellStyle name="20% - Accent1 9 6 3" xfId="11776" xr:uid="{00000000-0005-0000-0000-0000FE060000}"/>
    <cellStyle name="20% - Accent1 9 6 3 2" xfId="35625" xr:uid="{CFA798A1-AAA9-422F-B47F-74A310280F4B}"/>
    <cellStyle name="20% - Accent1 9 6 4" xfId="19731" xr:uid="{00000000-0005-0000-0000-0000FF060000}"/>
    <cellStyle name="20% - Accent1 9 6 4 2" xfId="43563" xr:uid="{95D3FB8A-AAF7-4066-BB91-653536A2E860}"/>
    <cellStyle name="20% - Accent1 9 6 5" xfId="27684" xr:uid="{A475127F-990B-4A19-8A92-E1ACB117F641}"/>
    <cellStyle name="20% - Accent1 9 7" xfId="5571" xr:uid="{00000000-0005-0000-0000-000000070000}"/>
    <cellStyle name="20% - Accent1 9 7 2" xfId="13555" xr:uid="{00000000-0005-0000-0000-000001070000}"/>
    <cellStyle name="20% - Accent1 9 7 2 2" xfId="37398" xr:uid="{B5ECD730-CE3E-438E-9B38-74E3EDA63367}"/>
    <cellStyle name="20% - Accent1 9 7 3" xfId="21503" xr:uid="{00000000-0005-0000-0000-000002070000}"/>
    <cellStyle name="20% - Accent1 9 7 3 2" xfId="45335" xr:uid="{72BD08CF-D1A3-4F0F-B6EA-4DBB9F99B857}"/>
    <cellStyle name="20% - Accent1 9 7 4" xfId="29457" xr:uid="{A99BA08C-ED6B-4152-B376-141994A741FD}"/>
    <cellStyle name="20% - Accent1 9 8" xfId="9124" xr:uid="{00000000-0005-0000-0000-000003070000}"/>
    <cellStyle name="20% - Accent1 9 8 2" xfId="17082" xr:uid="{00000000-0005-0000-0000-000004070000}"/>
    <cellStyle name="20% - Accent1 9 8 2 2" xfId="40922" xr:uid="{15E53FF1-26AC-46CD-A0CB-11C5A5AF6323}"/>
    <cellStyle name="20% - Accent1 9 8 3" xfId="25026" xr:uid="{00000000-0005-0000-0000-000005070000}"/>
    <cellStyle name="20% - Accent1 9 8 3 2" xfId="48858" xr:uid="{3AD3557A-EDBE-4297-9035-DB07DB797FD5}"/>
    <cellStyle name="20% - Accent1 9 8 4" xfId="32981" xr:uid="{692BA542-4F52-4B64-858E-1FDC3AED6479}"/>
    <cellStyle name="20% - Accent1 9 9" xfId="10020" xr:uid="{00000000-0005-0000-0000-000006070000}"/>
    <cellStyle name="20% - Accent1 9 9 2" xfId="33869" xr:uid="{73B465AA-2900-459D-A5E6-836A4536287A}"/>
    <cellStyle name="20% - Accent1 9_Exh G" xfId="2055" xr:uid="{00000000-0005-0000-0000-000007070000}"/>
    <cellStyle name="20% - Accent2" xfId="49698" builtinId="34" customBuiltin="1"/>
    <cellStyle name="20% - Accent2 10" xfId="76" xr:uid="{00000000-0005-0000-0000-000008070000}"/>
    <cellStyle name="20% - Accent2 10 10" xfId="17979" xr:uid="{00000000-0005-0000-0000-000009070000}"/>
    <cellStyle name="20% - Accent2 10 10 2" xfId="41811" xr:uid="{69C9839A-0A72-4D59-A784-DFC4AE8B6D02}"/>
    <cellStyle name="20% - Accent2 10 11" xfId="25931" xr:uid="{4D4CDCFF-2F1F-4783-A533-1EF606B9A213}"/>
    <cellStyle name="20% - Accent2 10 2" xfId="77" xr:uid="{00000000-0005-0000-0000-00000A070000}"/>
    <cellStyle name="20% - Accent2 10 2 2" xfId="78" xr:uid="{00000000-0005-0000-0000-00000B070000}"/>
    <cellStyle name="20% - Accent2 10 2 2 2" xfId="1106" xr:uid="{00000000-0005-0000-0000-00000C070000}"/>
    <cellStyle name="20% - Accent2 10 2 2 2 2" xfId="4636" xr:uid="{00000000-0005-0000-0000-00000D070000}"/>
    <cellStyle name="20% - Accent2 10 2 2 2 2 2" xfId="8227" xr:uid="{00000000-0005-0000-0000-00000E070000}"/>
    <cellStyle name="20% - Accent2 10 2 2 2 2 2 2" xfId="16198" xr:uid="{00000000-0005-0000-0000-00000F070000}"/>
    <cellStyle name="20% - Accent2 10 2 2 2 2 2 2 2" xfId="40040" xr:uid="{ECAA5275-F1DD-4F65-905D-1BD2D7AA8F41}"/>
    <cellStyle name="20% - Accent2 10 2 2 2 2 2 3" xfId="24144" xr:uid="{00000000-0005-0000-0000-000010070000}"/>
    <cellStyle name="20% - Accent2 10 2 2 2 2 2 3 2" xfId="47976" xr:uid="{2A05A29E-2DBA-423E-8293-AC1FE252B565}"/>
    <cellStyle name="20% - Accent2 10 2 2 2 2 2 4" xfId="32099" xr:uid="{2B51E44E-D208-4914-BE42-36A04AFFFA39}"/>
    <cellStyle name="20% - Accent2 10 2 2 2 2 3" xfId="12660" xr:uid="{00000000-0005-0000-0000-000011070000}"/>
    <cellStyle name="20% - Accent2 10 2 2 2 2 3 2" xfId="36509" xr:uid="{688CFEE9-979C-4470-BDDC-6D4ED4D334B1}"/>
    <cellStyle name="20% - Accent2 10 2 2 2 2 4" xfId="20615" xr:uid="{00000000-0005-0000-0000-000012070000}"/>
    <cellStyle name="20% - Accent2 10 2 2 2 2 4 2" xfId="44447" xr:uid="{0F8D9686-E32B-4539-A206-7DAA69413ED4}"/>
    <cellStyle name="20% - Accent2 10 2 2 2 2 5" xfId="28568" xr:uid="{76B820BC-5579-49C1-9509-3E6D3CFE22A4}"/>
    <cellStyle name="20% - Accent2 10 2 2 2 3" xfId="6468" xr:uid="{00000000-0005-0000-0000-000013070000}"/>
    <cellStyle name="20% - Accent2 10 2 2 2 3 2" xfId="14440" xr:uid="{00000000-0005-0000-0000-000014070000}"/>
    <cellStyle name="20% - Accent2 10 2 2 2 3 2 2" xfId="38282" xr:uid="{85703F6C-1473-42D3-B741-EE7FC90BC837}"/>
    <cellStyle name="20% - Accent2 10 2 2 2 3 3" xfId="22387" xr:uid="{00000000-0005-0000-0000-000015070000}"/>
    <cellStyle name="20% - Accent2 10 2 2 2 3 3 2" xfId="46219" xr:uid="{8C620D93-DB56-4918-AD89-C9185B12D0EA}"/>
    <cellStyle name="20% - Accent2 10 2 2 2 3 4" xfId="30341" xr:uid="{A54FC5AF-1FF3-46D0-88BE-56E9833135AF}"/>
    <cellStyle name="20% - Accent2 10 2 2 2 4" xfId="10904" xr:uid="{00000000-0005-0000-0000-000016070000}"/>
    <cellStyle name="20% - Accent2 10 2 2 2 4 2" xfId="34753" xr:uid="{E2C90D92-62C9-4BD5-9703-6D1218C852CC}"/>
    <cellStyle name="20% - Accent2 10 2 2 2 5" xfId="18859" xr:uid="{00000000-0005-0000-0000-000017070000}"/>
    <cellStyle name="20% - Accent2 10 2 2 2 5 2" xfId="42691" xr:uid="{1B7B67E7-CCC7-4AC0-910B-6F5029191A2B}"/>
    <cellStyle name="20% - Accent2 10 2 2 2 6" xfId="26811" xr:uid="{254EA27D-88AA-439A-AE61-7D3B90690862}"/>
    <cellStyle name="20% - Accent2 10 2 2 2_Exh G" xfId="2068" xr:uid="{00000000-0005-0000-0000-000018070000}"/>
    <cellStyle name="20% - Accent2 10 2 2 3" xfId="3757" xr:uid="{00000000-0005-0000-0000-000019070000}"/>
    <cellStyle name="20% - Accent2 10 2 2 3 2" xfId="7349" xr:uid="{00000000-0005-0000-0000-00001A070000}"/>
    <cellStyle name="20% - Accent2 10 2 2 3 2 2" xfId="15320" xr:uid="{00000000-0005-0000-0000-00001B070000}"/>
    <cellStyle name="20% - Accent2 10 2 2 3 2 2 2" xfId="39162" xr:uid="{6B84D9AE-61A2-4F26-A0E2-EA55419D55E9}"/>
    <cellStyle name="20% - Accent2 10 2 2 3 2 3" xfId="23266" xr:uid="{00000000-0005-0000-0000-00001C070000}"/>
    <cellStyle name="20% - Accent2 10 2 2 3 2 3 2" xfId="47098" xr:uid="{967FEB6F-6093-4327-A5E7-310A9AF598B4}"/>
    <cellStyle name="20% - Accent2 10 2 2 3 2 4" xfId="31221" xr:uid="{3C5E7163-D138-43CB-9945-B1AD0F9E521C}"/>
    <cellStyle name="20% - Accent2 10 2 2 3 3" xfId="11782" xr:uid="{00000000-0005-0000-0000-00001D070000}"/>
    <cellStyle name="20% - Accent2 10 2 2 3 3 2" xfId="35631" xr:uid="{69409D6A-A32D-459A-BE1F-70E6E865C9C6}"/>
    <cellStyle name="20% - Accent2 10 2 2 3 4" xfId="19737" xr:uid="{00000000-0005-0000-0000-00001E070000}"/>
    <cellStyle name="20% - Accent2 10 2 2 3 4 2" xfId="43569" xr:uid="{42EF103C-7E70-4107-A787-07A1E2D5A991}"/>
    <cellStyle name="20% - Accent2 10 2 2 3 5" xfId="27690" xr:uid="{98728628-4974-420B-BFA6-4CBEBE75574D}"/>
    <cellStyle name="20% - Accent2 10 2 2 4" xfId="5577" xr:uid="{00000000-0005-0000-0000-00001F070000}"/>
    <cellStyle name="20% - Accent2 10 2 2 4 2" xfId="13561" xr:uid="{00000000-0005-0000-0000-000020070000}"/>
    <cellStyle name="20% - Accent2 10 2 2 4 2 2" xfId="37404" xr:uid="{9BF65781-FE72-469A-BCAC-575EEF413267}"/>
    <cellStyle name="20% - Accent2 10 2 2 4 3" xfId="21509" xr:uid="{00000000-0005-0000-0000-000021070000}"/>
    <cellStyle name="20% - Accent2 10 2 2 4 3 2" xfId="45341" xr:uid="{A41C1A87-FCF9-46C8-BB2E-12ECD147629E}"/>
    <cellStyle name="20% - Accent2 10 2 2 4 4" xfId="29463" xr:uid="{F6EA7B92-1236-4265-AEF5-A330509C984B}"/>
    <cellStyle name="20% - Accent2 10 2 2 5" xfId="9130" xr:uid="{00000000-0005-0000-0000-000022070000}"/>
    <cellStyle name="20% - Accent2 10 2 2 5 2" xfId="17088" xr:uid="{00000000-0005-0000-0000-000023070000}"/>
    <cellStyle name="20% - Accent2 10 2 2 5 2 2" xfId="40928" xr:uid="{B23CF43D-CEC7-4956-BA39-7B15B36BA895}"/>
    <cellStyle name="20% - Accent2 10 2 2 5 3" xfId="25032" xr:uid="{00000000-0005-0000-0000-000024070000}"/>
    <cellStyle name="20% - Accent2 10 2 2 5 3 2" xfId="48864" xr:uid="{2373E329-9623-48F9-953F-E7478ED99A2D}"/>
    <cellStyle name="20% - Accent2 10 2 2 5 4" xfId="32987" xr:uid="{86CFDB2F-82BD-486C-A904-0D3EA1809C7D}"/>
    <cellStyle name="20% - Accent2 10 2 2 6" xfId="10026" xr:uid="{00000000-0005-0000-0000-000025070000}"/>
    <cellStyle name="20% - Accent2 10 2 2 6 2" xfId="33875" xr:uid="{2E095DFF-3A75-4D8C-AD51-FF3F073E3236}"/>
    <cellStyle name="20% - Accent2 10 2 2 7" xfId="17981" xr:uid="{00000000-0005-0000-0000-000026070000}"/>
    <cellStyle name="20% - Accent2 10 2 2 7 2" xfId="41813" xr:uid="{6992944E-3024-49E5-8FB2-4DB6C82CCBAC}"/>
    <cellStyle name="20% - Accent2 10 2 2 8" xfId="25933" xr:uid="{57D54106-9804-405F-A5B3-AAF06B874CDA}"/>
    <cellStyle name="20% - Accent2 10 2 2_Exh G" xfId="2067" xr:uid="{00000000-0005-0000-0000-000027070000}"/>
    <cellStyle name="20% - Accent2 10 2 3" xfId="1105" xr:uid="{00000000-0005-0000-0000-000028070000}"/>
    <cellStyle name="20% - Accent2 10 2 3 2" xfId="4635" xr:uid="{00000000-0005-0000-0000-000029070000}"/>
    <cellStyle name="20% - Accent2 10 2 3 2 2" xfId="8226" xr:uid="{00000000-0005-0000-0000-00002A070000}"/>
    <cellStyle name="20% - Accent2 10 2 3 2 2 2" xfId="16197" xr:uid="{00000000-0005-0000-0000-00002B070000}"/>
    <cellStyle name="20% - Accent2 10 2 3 2 2 2 2" xfId="40039" xr:uid="{987E9A95-BAC0-494E-B324-9213C2E89835}"/>
    <cellStyle name="20% - Accent2 10 2 3 2 2 3" xfId="24143" xr:uid="{00000000-0005-0000-0000-00002C070000}"/>
    <cellStyle name="20% - Accent2 10 2 3 2 2 3 2" xfId="47975" xr:uid="{DF136430-3FE2-47F4-B86D-8FCA183FBD1E}"/>
    <cellStyle name="20% - Accent2 10 2 3 2 2 4" xfId="32098" xr:uid="{59131B2B-25FE-454F-B34D-C24BCFFC6CC3}"/>
    <cellStyle name="20% - Accent2 10 2 3 2 3" xfId="12659" xr:uid="{00000000-0005-0000-0000-00002D070000}"/>
    <cellStyle name="20% - Accent2 10 2 3 2 3 2" xfId="36508" xr:uid="{5C6FC0FB-6F3D-4E9F-A891-DB3A5A94B340}"/>
    <cellStyle name="20% - Accent2 10 2 3 2 4" xfId="20614" xr:uid="{00000000-0005-0000-0000-00002E070000}"/>
    <cellStyle name="20% - Accent2 10 2 3 2 4 2" xfId="44446" xr:uid="{6F1C50A1-E90A-4DDD-A19F-85D50623E32F}"/>
    <cellStyle name="20% - Accent2 10 2 3 2 5" xfId="28567" xr:uid="{CC952F32-ACA7-4278-B475-F1C0BC26EBDE}"/>
    <cellStyle name="20% - Accent2 10 2 3 3" xfId="6467" xr:uid="{00000000-0005-0000-0000-00002F070000}"/>
    <cellStyle name="20% - Accent2 10 2 3 3 2" xfId="14439" xr:uid="{00000000-0005-0000-0000-000030070000}"/>
    <cellStyle name="20% - Accent2 10 2 3 3 2 2" xfId="38281" xr:uid="{8D02962B-0ABA-49E0-B4E7-9594B7D057FA}"/>
    <cellStyle name="20% - Accent2 10 2 3 3 3" xfId="22386" xr:uid="{00000000-0005-0000-0000-000031070000}"/>
    <cellStyle name="20% - Accent2 10 2 3 3 3 2" xfId="46218" xr:uid="{F5DE3824-95A6-4264-8B12-605C2795DFD6}"/>
    <cellStyle name="20% - Accent2 10 2 3 3 4" xfId="30340" xr:uid="{3655C210-F209-49E5-A371-4B9F03564B5E}"/>
    <cellStyle name="20% - Accent2 10 2 3 4" xfId="10903" xr:uid="{00000000-0005-0000-0000-000032070000}"/>
    <cellStyle name="20% - Accent2 10 2 3 4 2" xfId="34752" xr:uid="{BD1209AD-7F2C-45E9-AD6F-2F33D56CD457}"/>
    <cellStyle name="20% - Accent2 10 2 3 5" xfId="18858" xr:uid="{00000000-0005-0000-0000-000033070000}"/>
    <cellStyle name="20% - Accent2 10 2 3 5 2" xfId="42690" xr:uid="{84C7D83A-7DE8-466D-9CC6-68290CE1697F}"/>
    <cellStyle name="20% - Accent2 10 2 3 6" xfId="26810" xr:uid="{711E0AE3-7A04-43C1-84AF-64622FD2DECA}"/>
    <cellStyle name="20% - Accent2 10 2 3_Exh G" xfId="2069" xr:uid="{00000000-0005-0000-0000-000034070000}"/>
    <cellStyle name="20% - Accent2 10 2 4" xfId="3756" xr:uid="{00000000-0005-0000-0000-000035070000}"/>
    <cellStyle name="20% - Accent2 10 2 4 2" xfId="7348" xr:uid="{00000000-0005-0000-0000-000036070000}"/>
    <cellStyle name="20% - Accent2 10 2 4 2 2" xfId="15319" xr:uid="{00000000-0005-0000-0000-000037070000}"/>
    <cellStyle name="20% - Accent2 10 2 4 2 2 2" xfId="39161" xr:uid="{11645824-A201-4C31-9766-9AB6E691F865}"/>
    <cellStyle name="20% - Accent2 10 2 4 2 3" xfId="23265" xr:uid="{00000000-0005-0000-0000-000038070000}"/>
    <cellStyle name="20% - Accent2 10 2 4 2 3 2" xfId="47097" xr:uid="{2067AF19-F3E8-46F0-9740-B9297A745114}"/>
    <cellStyle name="20% - Accent2 10 2 4 2 4" xfId="31220" xr:uid="{30552F35-9534-4CE1-A3AF-B7D95A6E7CBB}"/>
    <cellStyle name="20% - Accent2 10 2 4 3" xfId="11781" xr:uid="{00000000-0005-0000-0000-000039070000}"/>
    <cellStyle name="20% - Accent2 10 2 4 3 2" xfId="35630" xr:uid="{B4C7035E-0B67-478C-B8E0-3A8CD80F1486}"/>
    <cellStyle name="20% - Accent2 10 2 4 4" xfId="19736" xr:uid="{00000000-0005-0000-0000-00003A070000}"/>
    <cellStyle name="20% - Accent2 10 2 4 4 2" xfId="43568" xr:uid="{DD0CFBEE-D383-4899-ACE4-5CE68EC221DD}"/>
    <cellStyle name="20% - Accent2 10 2 4 5" xfId="27689" xr:uid="{7DE0F90B-1474-4393-A1D4-B99E3C6E37A6}"/>
    <cellStyle name="20% - Accent2 10 2 5" xfId="5576" xr:uid="{00000000-0005-0000-0000-00003B070000}"/>
    <cellStyle name="20% - Accent2 10 2 5 2" xfId="13560" xr:uid="{00000000-0005-0000-0000-00003C070000}"/>
    <cellStyle name="20% - Accent2 10 2 5 2 2" xfId="37403" xr:uid="{8A39FF74-BF20-4C7F-AF67-68AD373ACAF4}"/>
    <cellStyle name="20% - Accent2 10 2 5 3" xfId="21508" xr:uid="{00000000-0005-0000-0000-00003D070000}"/>
    <cellStyle name="20% - Accent2 10 2 5 3 2" xfId="45340" xr:uid="{DE30677C-7632-4335-8822-F42529054845}"/>
    <cellStyle name="20% - Accent2 10 2 5 4" xfId="29462" xr:uid="{E0ED3C2E-D50B-461B-A893-0A0C14B59B9C}"/>
    <cellStyle name="20% - Accent2 10 2 6" xfId="9129" xr:uid="{00000000-0005-0000-0000-00003E070000}"/>
    <cellStyle name="20% - Accent2 10 2 6 2" xfId="17087" xr:uid="{00000000-0005-0000-0000-00003F070000}"/>
    <cellStyle name="20% - Accent2 10 2 6 2 2" xfId="40927" xr:uid="{4C2D49D0-D599-460C-8B64-B2464C537C07}"/>
    <cellStyle name="20% - Accent2 10 2 6 3" xfId="25031" xr:uid="{00000000-0005-0000-0000-000040070000}"/>
    <cellStyle name="20% - Accent2 10 2 6 3 2" xfId="48863" xr:uid="{0CD1CEEB-1BE1-4AC3-AF19-7280A576A64C}"/>
    <cellStyle name="20% - Accent2 10 2 6 4" xfId="32986" xr:uid="{F656F2BB-E138-4225-8765-CD9619462321}"/>
    <cellStyle name="20% - Accent2 10 2 7" xfId="10025" xr:uid="{00000000-0005-0000-0000-000041070000}"/>
    <cellStyle name="20% - Accent2 10 2 7 2" xfId="33874" xr:uid="{32D241B6-DEDD-4910-A5FE-9DFF3A1D3C95}"/>
    <cellStyle name="20% - Accent2 10 2 8" xfId="17980" xr:uid="{00000000-0005-0000-0000-000042070000}"/>
    <cellStyle name="20% - Accent2 10 2 8 2" xfId="41812" xr:uid="{3854A1FF-D3D6-4D4B-87A7-B102B5C9ED8C}"/>
    <cellStyle name="20% - Accent2 10 2 9" xfId="25932" xr:uid="{090DD8E8-53A3-46E5-B420-CFBFC85B063E}"/>
    <cellStyle name="20% - Accent2 10 2_Exh G" xfId="2066" xr:uid="{00000000-0005-0000-0000-000043070000}"/>
    <cellStyle name="20% - Accent2 10 3" xfId="79" xr:uid="{00000000-0005-0000-0000-000044070000}"/>
    <cellStyle name="20% - Accent2 10 3 2" xfId="1107" xr:uid="{00000000-0005-0000-0000-000045070000}"/>
    <cellStyle name="20% - Accent2 10 3 2 2" xfId="4637" xr:uid="{00000000-0005-0000-0000-000046070000}"/>
    <cellStyle name="20% - Accent2 10 3 2 2 2" xfId="8228" xr:uid="{00000000-0005-0000-0000-000047070000}"/>
    <cellStyle name="20% - Accent2 10 3 2 2 2 2" xfId="16199" xr:uid="{00000000-0005-0000-0000-000048070000}"/>
    <cellStyle name="20% - Accent2 10 3 2 2 2 2 2" xfId="40041" xr:uid="{74F22069-DEE9-44B9-820B-361A8D67A2CC}"/>
    <cellStyle name="20% - Accent2 10 3 2 2 2 3" xfId="24145" xr:uid="{00000000-0005-0000-0000-000049070000}"/>
    <cellStyle name="20% - Accent2 10 3 2 2 2 3 2" xfId="47977" xr:uid="{A62C7441-CD97-47AF-9CF8-25E7F4008A63}"/>
    <cellStyle name="20% - Accent2 10 3 2 2 2 4" xfId="32100" xr:uid="{39329C56-47D7-449C-BE82-C63F6E2B2ED2}"/>
    <cellStyle name="20% - Accent2 10 3 2 2 3" xfId="12661" xr:uid="{00000000-0005-0000-0000-00004A070000}"/>
    <cellStyle name="20% - Accent2 10 3 2 2 3 2" xfId="36510" xr:uid="{D6C48B43-DA5B-475E-BB0C-91A3D4ED2734}"/>
    <cellStyle name="20% - Accent2 10 3 2 2 4" xfId="20616" xr:uid="{00000000-0005-0000-0000-00004B070000}"/>
    <cellStyle name="20% - Accent2 10 3 2 2 4 2" xfId="44448" xr:uid="{12051B97-09CB-4E10-998D-818DCBB0AB87}"/>
    <cellStyle name="20% - Accent2 10 3 2 2 5" xfId="28569" xr:uid="{37B078D1-8DAE-4A28-BEF5-FA4AF8ABDB21}"/>
    <cellStyle name="20% - Accent2 10 3 2 3" xfId="6469" xr:uid="{00000000-0005-0000-0000-00004C070000}"/>
    <cellStyle name="20% - Accent2 10 3 2 3 2" xfId="14441" xr:uid="{00000000-0005-0000-0000-00004D070000}"/>
    <cellStyle name="20% - Accent2 10 3 2 3 2 2" xfId="38283" xr:uid="{E609EF29-6BE5-49E0-9B4B-08217CCC2C1F}"/>
    <cellStyle name="20% - Accent2 10 3 2 3 3" xfId="22388" xr:uid="{00000000-0005-0000-0000-00004E070000}"/>
    <cellStyle name="20% - Accent2 10 3 2 3 3 2" xfId="46220" xr:uid="{F73C7859-A699-44A6-8A76-B1C182891FC9}"/>
    <cellStyle name="20% - Accent2 10 3 2 3 4" xfId="30342" xr:uid="{9D89C7DF-EC5E-407E-ACF8-5F9F5F13F589}"/>
    <cellStyle name="20% - Accent2 10 3 2 4" xfId="10905" xr:uid="{00000000-0005-0000-0000-00004F070000}"/>
    <cellStyle name="20% - Accent2 10 3 2 4 2" xfId="34754" xr:uid="{2E7BA9C6-33DE-48CF-B6CE-810CF92678DB}"/>
    <cellStyle name="20% - Accent2 10 3 2 5" xfId="18860" xr:uid="{00000000-0005-0000-0000-000050070000}"/>
    <cellStyle name="20% - Accent2 10 3 2 5 2" xfId="42692" xr:uid="{B74B1692-6935-4D0B-A549-19E4EAF8A939}"/>
    <cellStyle name="20% - Accent2 10 3 2 6" xfId="26812" xr:uid="{2AA07F38-DB54-4D64-A175-7A2DD7DB7965}"/>
    <cellStyle name="20% - Accent2 10 3 2_Exh G" xfId="2071" xr:uid="{00000000-0005-0000-0000-000051070000}"/>
    <cellStyle name="20% - Accent2 10 3 3" xfId="3758" xr:uid="{00000000-0005-0000-0000-000052070000}"/>
    <cellStyle name="20% - Accent2 10 3 3 2" xfId="7350" xr:uid="{00000000-0005-0000-0000-000053070000}"/>
    <cellStyle name="20% - Accent2 10 3 3 2 2" xfId="15321" xr:uid="{00000000-0005-0000-0000-000054070000}"/>
    <cellStyle name="20% - Accent2 10 3 3 2 2 2" xfId="39163" xr:uid="{ECC36E1F-8844-47B0-89B3-33C46E760FB7}"/>
    <cellStyle name="20% - Accent2 10 3 3 2 3" xfId="23267" xr:uid="{00000000-0005-0000-0000-000055070000}"/>
    <cellStyle name="20% - Accent2 10 3 3 2 3 2" xfId="47099" xr:uid="{6359ADCC-B1E1-4572-83B1-B812A9A800D7}"/>
    <cellStyle name="20% - Accent2 10 3 3 2 4" xfId="31222" xr:uid="{7F43A1EF-BE80-4276-AE13-924764962B4E}"/>
    <cellStyle name="20% - Accent2 10 3 3 3" xfId="11783" xr:uid="{00000000-0005-0000-0000-000056070000}"/>
    <cellStyle name="20% - Accent2 10 3 3 3 2" xfId="35632" xr:uid="{B489E044-3EE2-4376-88BE-9C40E3F2CBB1}"/>
    <cellStyle name="20% - Accent2 10 3 3 4" xfId="19738" xr:uid="{00000000-0005-0000-0000-000057070000}"/>
    <cellStyle name="20% - Accent2 10 3 3 4 2" xfId="43570" xr:uid="{C0D5CBE6-9E32-49BA-ADC3-06606AF83C84}"/>
    <cellStyle name="20% - Accent2 10 3 3 5" xfId="27691" xr:uid="{EBFAD0A5-61A0-413C-88D6-A759602C9532}"/>
    <cellStyle name="20% - Accent2 10 3 4" xfId="5578" xr:uid="{00000000-0005-0000-0000-000058070000}"/>
    <cellStyle name="20% - Accent2 10 3 4 2" xfId="13562" xr:uid="{00000000-0005-0000-0000-000059070000}"/>
    <cellStyle name="20% - Accent2 10 3 4 2 2" xfId="37405" xr:uid="{58A21787-342F-4776-912E-9EBE6C23A115}"/>
    <cellStyle name="20% - Accent2 10 3 4 3" xfId="21510" xr:uid="{00000000-0005-0000-0000-00005A070000}"/>
    <cellStyle name="20% - Accent2 10 3 4 3 2" xfId="45342" xr:uid="{552667F4-7979-4AC1-A926-45F35160CA79}"/>
    <cellStyle name="20% - Accent2 10 3 4 4" xfId="29464" xr:uid="{BB0090D1-8422-4B2C-A837-0C83B8F93009}"/>
    <cellStyle name="20% - Accent2 10 3 5" xfId="9131" xr:uid="{00000000-0005-0000-0000-00005B070000}"/>
    <cellStyle name="20% - Accent2 10 3 5 2" xfId="17089" xr:uid="{00000000-0005-0000-0000-00005C070000}"/>
    <cellStyle name="20% - Accent2 10 3 5 2 2" xfId="40929" xr:uid="{D79B3228-78BD-4000-9A99-B0B4DE1E0CB6}"/>
    <cellStyle name="20% - Accent2 10 3 5 3" xfId="25033" xr:uid="{00000000-0005-0000-0000-00005D070000}"/>
    <cellStyle name="20% - Accent2 10 3 5 3 2" xfId="48865" xr:uid="{501617E7-2DBA-4009-BCCF-C4564864B3FC}"/>
    <cellStyle name="20% - Accent2 10 3 5 4" xfId="32988" xr:uid="{A29561AE-F590-472E-9AFB-CD72976F9EE7}"/>
    <cellStyle name="20% - Accent2 10 3 6" xfId="10027" xr:uid="{00000000-0005-0000-0000-00005E070000}"/>
    <cellStyle name="20% - Accent2 10 3 6 2" xfId="33876" xr:uid="{8044AFAA-E187-4258-ADA0-E21CAC7914DC}"/>
    <cellStyle name="20% - Accent2 10 3 7" xfId="17982" xr:uid="{00000000-0005-0000-0000-00005F070000}"/>
    <cellStyle name="20% - Accent2 10 3 7 2" xfId="41814" xr:uid="{40750E8B-9CEB-486C-A09C-D9DEFBC09889}"/>
    <cellStyle name="20% - Accent2 10 3 8" xfId="25934" xr:uid="{3BDAFDC6-305A-4EA4-BE68-92E6E5343660}"/>
    <cellStyle name="20% - Accent2 10 3_Exh G" xfId="2070" xr:uid="{00000000-0005-0000-0000-000060070000}"/>
    <cellStyle name="20% - Accent2 10 4" xfId="874" xr:uid="{00000000-0005-0000-0000-000061070000}"/>
    <cellStyle name="20% - Accent2 10 5" xfId="1104" xr:uid="{00000000-0005-0000-0000-000062070000}"/>
    <cellStyle name="20% - Accent2 10 5 2" xfId="4634" xr:uid="{00000000-0005-0000-0000-000063070000}"/>
    <cellStyle name="20% - Accent2 10 5 2 2" xfId="8225" xr:uid="{00000000-0005-0000-0000-000064070000}"/>
    <cellStyle name="20% - Accent2 10 5 2 2 2" xfId="16196" xr:uid="{00000000-0005-0000-0000-000065070000}"/>
    <cellStyle name="20% - Accent2 10 5 2 2 2 2" xfId="40038" xr:uid="{2852A212-3700-4A65-B06B-2A17034D6535}"/>
    <cellStyle name="20% - Accent2 10 5 2 2 3" xfId="24142" xr:uid="{00000000-0005-0000-0000-000066070000}"/>
    <cellStyle name="20% - Accent2 10 5 2 2 3 2" xfId="47974" xr:uid="{CD52D992-FC2A-48B7-BDB3-4DDFCA89C24E}"/>
    <cellStyle name="20% - Accent2 10 5 2 2 4" xfId="32097" xr:uid="{88915016-5C48-4AA2-8C21-4A6898F79F71}"/>
    <cellStyle name="20% - Accent2 10 5 2 3" xfId="12658" xr:uid="{00000000-0005-0000-0000-000067070000}"/>
    <cellStyle name="20% - Accent2 10 5 2 3 2" xfId="36507" xr:uid="{136C3F3B-7477-431F-8053-5C727F494354}"/>
    <cellStyle name="20% - Accent2 10 5 2 4" xfId="20613" xr:uid="{00000000-0005-0000-0000-000068070000}"/>
    <cellStyle name="20% - Accent2 10 5 2 4 2" xfId="44445" xr:uid="{9C9C9331-BFCF-4C38-B83D-E5042E688342}"/>
    <cellStyle name="20% - Accent2 10 5 2 5" xfId="28566" xr:uid="{3CE35814-3FAF-4437-9687-29E0411A510B}"/>
    <cellStyle name="20% - Accent2 10 5 3" xfId="6466" xr:uid="{00000000-0005-0000-0000-000069070000}"/>
    <cellStyle name="20% - Accent2 10 5 3 2" xfId="14438" xr:uid="{00000000-0005-0000-0000-00006A070000}"/>
    <cellStyle name="20% - Accent2 10 5 3 2 2" xfId="38280" xr:uid="{004650B3-25A3-490F-84B2-23B0B4BF295E}"/>
    <cellStyle name="20% - Accent2 10 5 3 3" xfId="22385" xr:uid="{00000000-0005-0000-0000-00006B070000}"/>
    <cellStyle name="20% - Accent2 10 5 3 3 2" xfId="46217" xr:uid="{A6377EF4-8B8A-43EB-96E2-B78E079E4DE6}"/>
    <cellStyle name="20% - Accent2 10 5 3 4" xfId="30339" xr:uid="{2472A4CB-0AA2-45B0-BE25-90875114F96B}"/>
    <cellStyle name="20% - Accent2 10 5 4" xfId="10902" xr:uid="{00000000-0005-0000-0000-00006C070000}"/>
    <cellStyle name="20% - Accent2 10 5 4 2" xfId="34751" xr:uid="{7E89CFB5-1575-4DF2-BCF3-C510CADC9ACD}"/>
    <cellStyle name="20% - Accent2 10 5 5" xfId="18857" xr:uid="{00000000-0005-0000-0000-00006D070000}"/>
    <cellStyle name="20% - Accent2 10 5 5 2" xfId="42689" xr:uid="{2432D45F-A95A-45FF-B151-6AD27D18400C}"/>
    <cellStyle name="20% - Accent2 10 5 6" xfId="26809" xr:uid="{6FE485D4-DB82-4950-B8B2-09723BEE1002}"/>
    <cellStyle name="20% - Accent2 10 5_Exh G" xfId="2072" xr:uid="{00000000-0005-0000-0000-00006E070000}"/>
    <cellStyle name="20% - Accent2 10 6" xfId="3755" xr:uid="{00000000-0005-0000-0000-00006F070000}"/>
    <cellStyle name="20% - Accent2 10 6 2" xfId="7347" xr:uid="{00000000-0005-0000-0000-000070070000}"/>
    <cellStyle name="20% - Accent2 10 6 2 2" xfId="15318" xr:uid="{00000000-0005-0000-0000-000071070000}"/>
    <cellStyle name="20% - Accent2 10 6 2 2 2" xfId="39160" xr:uid="{613C8DC9-F52A-47FD-92F7-1E517066A74C}"/>
    <cellStyle name="20% - Accent2 10 6 2 3" xfId="23264" xr:uid="{00000000-0005-0000-0000-000072070000}"/>
    <cellStyle name="20% - Accent2 10 6 2 3 2" xfId="47096" xr:uid="{F5E392F1-0F68-4DB9-9550-D0FA5B07A467}"/>
    <cellStyle name="20% - Accent2 10 6 2 4" xfId="31219" xr:uid="{35924FD8-9309-4097-A924-08A5184C609B}"/>
    <cellStyle name="20% - Accent2 10 6 3" xfId="11780" xr:uid="{00000000-0005-0000-0000-000073070000}"/>
    <cellStyle name="20% - Accent2 10 6 3 2" xfId="35629" xr:uid="{0D5575BB-16E5-460C-B4E4-2266933C249C}"/>
    <cellStyle name="20% - Accent2 10 6 4" xfId="19735" xr:uid="{00000000-0005-0000-0000-000074070000}"/>
    <cellStyle name="20% - Accent2 10 6 4 2" xfId="43567" xr:uid="{28C56133-6593-41D8-BED4-CDE17D3DA3EB}"/>
    <cellStyle name="20% - Accent2 10 6 5" xfId="27688" xr:uid="{4F6B3FB1-39BB-425D-9506-B4F34F3314F5}"/>
    <cellStyle name="20% - Accent2 10 7" xfId="5575" xr:uid="{00000000-0005-0000-0000-000075070000}"/>
    <cellStyle name="20% - Accent2 10 7 2" xfId="13559" xr:uid="{00000000-0005-0000-0000-000076070000}"/>
    <cellStyle name="20% - Accent2 10 7 2 2" xfId="37402" xr:uid="{B450000B-EC22-47E2-9D3A-2856D750CD67}"/>
    <cellStyle name="20% - Accent2 10 7 3" xfId="21507" xr:uid="{00000000-0005-0000-0000-000077070000}"/>
    <cellStyle name="20% - Accent2 10 7 3 2" xfId="45339" xr:uid="{29AB985B-CC36-49E8-ABD5-07D16D33CBED}"/>
    <cellStyle name="20% - Accent2 10 7 4" xfId="29461" xr:uid="{6DFB4AD9-34C7-4F67-B01F-5446CD238C24}"/>
    <cellStyle name="20% - Accent2 10 8" xfId="9128" xr:uid="{00000000-0005-0000-0000-000078070000}"/>
    <cellStyle name="20% - Accent2 10 8 2" xfId="17086" xr:uid="{00000000-0005-0000-0000-000079070000}"/>
    <cellStyle name="20% - Accent2 10 8 2 2" xfId="40926" xr:uid="{9A662306-BAE5-4B28-8C0A-599C3A90D48B}"/>
    <cellStyle name="20% - Accent2 10 8 3" xfId="25030" xr:uid="{00000000-0005-0000-0000-00007A070000}"/>
    <cellStyle name="20% - Accent2 10 8 3 2" xfId="48862" xr:uid="{F5978A84-0D75-4F35-9F45-2BD679CC9A0D}"/>
    <cellStyle name="20% - Accent2 10 8 4" xfId="32985" xr:uid="{75EEEDF7-C6B6-42F0-B7ED-8978D81CF052}"/>
    <cellStyle name="20% - Accent2 10 9" xfId="10024" xr:uid="{00000000-0005-0000-0000-00007B070000}"/>
    <cellStyle name="20% - Accent2 10 9 2" xfId="33873" xr:uid="{D89246AC-DEA7-42C0-834B-7951205665B6}"/>
    <cellStyle name="20% - Accent2 10_Exh G" xfId="2065" xr:uid="{00000000-0005-0000-0000-00007C070000}"/>
    <cellStyle name="20% - Accent2 11" xfId="80" xr:uid="{00000000-0005-0000-0000-00007D070000}"/>
    <cellStyle name="20% - Accent2 11 10" xfId="25935" xr:uid="{449FF441-0D71-4E4C-8371-1252FD9E8BE7}"/>
    <cellStyle name="20% - Accent2 11 2" xfId="81" xr:uid="{00000000-0005-0000-0000-00007E070000}"/>
    <cellStyle name="20% - Accent2 11 2 2" xfId="82" xr:uid="{00000000-0005-0000-0000-00007F070000}"/>
    <cellStyle name="20% - Accent2 11 2 2 2" xfId="1110" xr:uid="{00000000-0005-0000-0000-000080070000}"/>
    <cellStyle name="20% - Accent2 11 2 2 2 2" xfId="4640" xr:uid="{00000000-0005-0000-0000-000081070000}"/>
    <cellStyle name="20% - Accent2 11 2 2 2 2 2" xfId="8231" xr:uid="{00000000-0005-0000-0000-000082070000}"/>
    <cellStyle name="20% - Accent2 11 2 2 2 2 2 2" xfId="16202" xr:uid="{00000000-0005-0000-0000-000083070000}"/>
    <cellStyle name="20% - Accent2 11 2 2 2 2 2 2 2" xfId="40044" xr:uid="{C457D7EA-7C8D-4369-AA17-9A9E1696566C}"/>
    <cellStyle name="20% - Accent2 11 2 2 2 2 2 3" xfId="24148" xr:uid="{00000000-0005-0000-0000-000084070000}"/>
    <cellStyle name="20% - Accent2 11 2 2 2 2 2 3 2" xfId="47980" xr:uid="{E9E04251-24C7-4D3F-B7DC-7BD534136CAB}"/>
    <cellStyle name="20% - Accent2 11 2 2 2 2 2 4" xfId="32103" xr:uid="{B4CB7D0F-4415-4B1C-AE17-4A75AD3EBAA2}"/>
    <cellStyle name="20% - Accent2 11 2 2 2 2 3" xfId="12664" xr:uid="{00000000-0005-0000-0000-000085070000}"/>
    <cellStyle name="20% - Accent2 11 2 2 2 2 3 2" xfId="36513" xr:uid="{1E0FD7BF-5003-4736-9AF4-64B332C6BC0F}"/>
    <cellStyle name="20% - Accent2 11 2 2 2 2 4" xfId="20619" xr:uid="{00000000-0005-0000-0000-000086070000}"/>
    <cellStyle name="20% - Accent2 11 2 2 2 2 4 2" xfId="44451" xr:uid="{F646FBD8-0FCC-4626-94DA-4A1CFB174D7D}"/>
    <cellStyle name="20% - Accent2 11 2 2 2 2 5" xfId="28572" xr:uid="{10690D10-0C60-4E50-9C37-C44B777CC69E}"/>
    <cellStyle name="20% - Accent2 11 2 2 2 3" xfId="6472" xr:uid="{00000000-0005-0000-0000-000087070000}"/>
    <cellStyle name="20% - Accent2 11 2 2 2 3 2" xfId="14444" xr:uid="{00000000-0005-0000-0000-000088070000}"/>
    <cellStyle name="20% - Accent2 11 2 2 2 3 2 2" xfId="38286" xr:uid="{E4E70345-89A2-4C43-99CE-7A36E9A1CD96}"/>
    <cellStyle name="20% - Accent2 11 2 2 2 3 3" xfId="22391" xr:uid="{00000000-0005-0000-0000-000089070000}"/>
    <cellStyle name="20% - Accent2 11 2 2 2 3 3 2" xfId="46223" xr:uid="{AE9A109E-2137-43E9-9A12-C38259409A75}"/>
    <cellStyle name="20% - Accent2 11 2 2 2 3 4" xfId="30345" xr:uid="{32A59E4C-75B5-4D2D-B632-7A3B5114ADC4}"/>
    <cellStyle name="20% - Accent2 11 2 2 2 4" xfId="10908" xr:uid="{00000000-0005-0000-0000-00008A070000}"/>
    <cellStyle name="20% - Accent2 11 2 2 2 4 2" xfId="34757" xr:uid="{7DFE9F76-3CF0-49BD-8729-F058AAED0A54}"/>
    <cellStyle name="20% - Accent2 11 2 2 2 5" xfId="18863" xr:uid="{00000000-0005-0000-0000-00008B070000}"/>
    <cellStyle name="20% - Accent2 11 2 2 2 5 2" xfId="42695" xr:uid="{3231A7DB-D8A3-4CFF-90AB-E809D23255EF}"/>
    <cellStyle name="20% - Accent2 11 2 2 2 6" xfId="26815" xr:uid="{E43737DD-B900-4B5E-989A-900344C59B1F}"/>
    <cellStyle name="20% - Accent2 11 2 2 2_Exh G" xfId="2076" xr:uid="{00000000-0005-0000-0000-00008C070000}"/>
    <cellStyle name="20% - Accent2 11 2 2 3" xfId="3761" xr:uid="{00000000-0005-0000-0000-00008D070000}"/>
    <cellStyle name="20% - Accent2 11 2 2 3 2" xfId="7353" xr:uid="{00000000-0005-0000-0000-00008E070000}"/>
    <cellStyle name="20% - Accent2 11 2 2 3 2 2" xfId="15324" xr:uid="{00000000-0005-0000-0000-00008F070000}"/>
    <cellStyle name="20% - Accent2 11 2 2 3 2 2 2" xfId="39166" xr:uid="{625A2220-7A63-4040-B825-B16C577CF4DF}"/>
    <cellStyle name="20% - Accent2 11 2 2 3 2 3" xfId="23270" xr:uid="{00000000-0005-0000-0000-000090070000}"/>
    <cellStyle name="20% - Accent2 11 2 2 3 2 3 2" xfId="47102" xr:uid="{F2E868DA-E6EC-497B-9EFE-31269B4E78D9}"/>
    <cellStyle name="20% - Accent2 11 2 2 3 2 4" xfId="31225" xr:uid="{D8D3B81B-8326-4C2D-80BF-FF5EF9A9F078}"/>
    <cellStyle name="20% - Accent2 11 2 2 3 3" xfId="11786" xr:uid="{00000000-0005-0000-0000-000091070000}"/>
    <cellStyle name="20% - Accent2 11 2 2 3 3 2" xfId="35635" xr:uid="{E164739B-42AC-4981-A9AB-866F0CD15E7D}"/>
    <cellStyle name="20% - Accent2 11 2 2 3 4" xfId="19741" xr:uid="{00000000-0005-0000-0000-000092070000}"/>
    <cellStyle name="20% - Accent2 11 2 2 3 4 2" xfId="43573" xr:uid="{CE04FDBA-DC08-4B87-8CA8-8F93CEB8BF08}"/>
    <cellStyle name="20% - Accent2 11 2 2 3 5" xfId="27694" xr:uid="{AE3AD303-8633-496A-A81C-C685FCC8E4EE}"/>
    <cellStyle name="20% - Accent2 11 2 2 4" xfId="5581" xr:uid="{00000000-0005-0000-0000-000093070000}"/>
    <cellStyle name="20% - Accent2 11 2 2 4 2" xfId="13565" xr:uid="{00000000-0005-0000-0000-000094070000}"/>
    <cellStyle name="20% - Accent2 11 2 2 4 2 2" xfId="37408" xr:uid="{2FC82E29-DBA3-49D8-98BA-266EA0A98448}"/>
    <cellStyle name="20% - Accent2 11 2 2 4 3" xfId="21513" xr:uid="{00000000-0005-0000-0000-000095070000}"/>
    <cellStyle name="20% - Accent2 11 2 2 4 3 2" xfId="45345" xr:uid="{67CADB17-6AF3-4AC8-8113-D087D22381D3}"/>
    <cellStyle name="20% - Accent2 11 2 2 4 4" xfId="29467" xr:uid="{7F9B56D6-DD1F-4E50-861A-58BECA6CE8A4}"/>
    <cellStyle name="20% - Accent2 11 2 2 5" xfId="9134" xr:uid="{00000000-0005-0000-0000-000096070000}"/>
    <cellStyle name="20% - Accent2 11 2 2 5 2" xfId="17092" xr:uid="{00000000-0005-0000-0000-000097070000}"/>
    <cellStyle name="20% - Accent2 11 2 2 5 2 2" xfId="40932" xr:uid="{4A1BCED6-E245-4C8E-880E-AC5BA17E5DA8}"/>
    <cellStyle name="20% - Accent2 11 2 2 5 3" xfId="25036" xr:uid="{00000000-0005-0000-0000-000098070000}"/>
    <cellStyle name="20% - Accent2 11 2 2 5 3 2" xfId="48868" xr:uid="{BCBB6134-3368-489F-94A6-6E5F07D7D654}"/>
    <cellStyle name="20% - Accent2 11 2 2 5 4" xfId="32991" xr:uid="{655748E5-08B5-4226-9E6C-C1A497204084}"/>
    <cellStyle name="20% - Accent2 11 2 2 6" xfId="10030" xr:uid="{00000000-0005-0000-0000-000099070000}"/>
    <cellStyle name="20% - Accent2 11 2 2 6 2" xfId="33879" xr:uid="{F76893EC-A947-4671-8D63-2B316C447A64}"/>
    <cellStyle name="20% - Accent2 11 2 2 7" xfId="17985" xr:uid="{00000000-0005-0000-0000-00009A070000}"/>
    <cellStyle name="20% - Accent2 11 2 2 7 2" xfId="41817" xr:uid="{6BA4E3AC-7409-42C6-861C-EC446F6FC73B}"/>
    <cellStyle name="20% - Accent2 11 2 2 8" xfId="25937" xr:uid="{A16E3CEC-97CA-4054-89A7-55330ED1CE5B}"/>
    <cellStyle name="20% - Accent2 11 2 2_Exh G" xfId="2075" xr:uid="{00000000-0005-0000-0000-00009B070000}"/>
    <cellStyle name="20% - Accent2 11 2 3" xfId="1109" xr:uid="{00000000-0005-0000-0000-00009C070000}"/>
    <cellStyle name="20% - Accent2 11 2 3 2" xfId="4639" xr:uid="{00000000-0005-0000-0000-00009D070000}"/>
    <cellStyle name="20% - Accent2 11 2 3 2 2" xfId="8230" xr:uid="{00000000-0005-0000-0000-00009E070000}"/>
    <cellStyle name="20% - Accent2 11 2 3 2 2 2" xfId="16201" xr:uid="{00000000-0005-0000-0000-00009F070000}"/>
    <cellStyle name="20% - Accent2 11 2 3 2 2 2 2" xfId="40043" xr:uid="{108F5644-9E7B-44BD-8640-290F1D1BCEC9}"/>
    <cellStyle name="20% - Accent2 11 2 3 2 2 3" xfId="24147" xr:uid="{00000000-0005-0000-0000-0000A0070000}"/>
    <cellStyle name="20% - Accent2 11 2 3 2 2 3 2" xfId="47979" xr:uid="{029D68A7-3ED7-49B2-99F8-BD07448AB32C}"/>
    <cellStyle name="20% - Accent2 11 2 3 2 2 4" xfId="32102" xr:uid="{86DBB9A6-24FD-4825-A620-764B30491E81}"/>
    <cellStyle name="20% - Accent2 11 2 3 2 3" xfId="12663" xr:uid="{00000000-0005-0000-0000-0000A1070000}"/>
    <cellStyle name="20% - Accent2 11 2 3 2 3 2" xfId="36512" xr:uid="{C419CEFF-13A8-441D-814B-54EEEBA474D0}"/>
    <cellStyle name="20% - Accent2 11 2 3 2 4" xfId="20618" xr:uid="{00000000-0005-0000-0000-0000A2070000}"/>
    <cellStyle name="20% - Accent2 11 2 3 2 4 2" xfId="44450" xr:uid="{779F521D-10EB-48A9-929B-4D07EDA50067}"/>
    <cellStyle name="20% - Accent2 11 2 3 2 5" xfId="28571" xr:uid="{7E0F78F1-F36D-47C3-A30D-FE9CD387B15C}"/>
    <cellStyle name="20% - Accent2 11 2 3 3" xfId="6471" xr:uid="{00000000-0005-0000-0000-0000A3070000}"/>
    <cellStyle name="20% - Accent2 11 2 3 3 2" xfId="14443" xr:uid="{00000000-0005-0000-0000-0000A4070000}"/>
    <cellStyle name="20% - Accent2 11 2 3 3 2 2" xfId="38285" xr:uid="{CA2DA119-E122-42F0-ABF3-2783CA3163AF}"/>
    <cellStyle name="20% - Accent2 11 2 3 3 3" xfId="22390" xr:uid="{00000000-0005-0000-0000-0000A5070000}"/>
    <cellStyle name="20% - Accent2 11 2 3 3 3 2" xfId="46222" xr:uid="{3562CD54-71EC-4F6C-BE0E-11A33455B2E4}"/>
    <cellStyle name="20% - Accent2 11 2 3 3 4" xfId="30344" xr:uid="{35BA3E7E-AD85-4132-B01A-DAF47129AAF3}"/>
    <cellStyle name="20% - Accent2 11 2 3 4" xfId="10907" xr:uid="{00000000-0005-0000-0000-0000A6070000}"/>
    <cellStyle name="20% - Accent2 11 2 3 4 2" xfId="34756" xr:uid="{B19E4338-ADBC-47B6-8550-539281034C4D}"/>
    <cellStyle name="20% - Accent2 11 2 3 5" xfId="18862" xr:uid="{00000000-0005-0000-0000-0000A7070000}"/>
    <cellStyle name="20% - Accent2 11 2 3 5 2" xfId="42694" xr:uid="{127EA460-FD4A-4C37-83BB-8851CDF5C0D4}"/>
    <cellStyle name="20% - Accent2 11 2 3 6" xfId="26814" xr:uid="{58DD1D55-7177-447F-B17A-AADD3382CF29}"/>
    <cellStyle name="20% - Accent2 11 2 3_Exh G" xfId="2077" xr:uid="{00000000-0005-0000-0000-0000A8070000}"/>
    <cellStyle name="20% - Accent2 11 2 4" xfId="3760" xr:uid="{00000000-0005-0000-0000-0000A9070000}"/>
    <cellStyle name="20% - Accent2 11 2 4 2" xfId="7352" xr:uid="{00000000-0005-0000-0000-0000AA070000}"/>
    <cellStyle name="20% - Accent2 11 2 4 2 2" xfId="15323" xr:uid="{00000000-0005-0000-0000-0000AB070000}"/>
    <cellStyle name="20% - Accent2 11 2 4 2 2 2" xfId="39165" xr:uid="{DA29032E-A91E-41EF-9D67-B9B694B90922}"/>
    <cellStyle name="20% - Accent2 11 2 4 2 3" xfId="23269" xr:uid="{00000000-0005-0000-0000-0000AC070000}"/>
    <cellStyle name="20% - Accent2 11 2 4 2 3 2" xfId="47101" xr:uid="{25F174DA-481A-4998-BB76-FEE727811F33}"/>
    <cellStyle name="20% - Accent2 11 2 4 2 4" xfId="31224" xr:uid="{74E8EE03-0C2D-4DF9-BD62-4918DAA52E6F}"/>
    <cellStyle name="20% - Accent2 11 2 4 3" xfId="11785" xr:uid="{00000000-0005-0000-0000-0000AD070000}"/>
    <cellStyle name="20% - Accent2 11 2 4 3 2" xfId="35634" xr:uid="{DFF02E38-0C94-4489-BD58-CE6778137EEB}"/>
    <cellStyle name="20% - Accent2 11 2 4 4" xfId="19740" xr:uid="{00000000-0005-0000-0000-0000AE070000}"/>
    <cellStyle name="20% - Accent2 11 2 4 4 2" xfId="43572" xr:uid="{CAAECE05-5938-4945-B9C3-AB32216457F8}"/>
    <cellStyle name="20% - Accent2 11 2 4 5" xfId="27693" xr:uid="{5DCB1C21-9020-4005-B54D-0FCE9576334F}"/>
    <cellStyle name="20% - Accent2 11 2 5" xfId="5580" xr:uid="{00000000-0005-0000-0000-0000AF070000}"/>
    <cellStyle name="20% - Accent2 11 2 5 2" xfId="13564" xr:uid="{00000000-0005-0000-0000-0000B0070000}"/>
    <cellStyle name="20% - Accent2 11 2 5 2 2" xfId="37407" xr:uid="{64D25A7A-D097-4012-80E5-91B31FCBC2BD}"/>
    <cellStyle name="20% - Accent2 11 2 5 3" xfId="21512" xr:uid="{00000000-0005-0000-0000-0000B1070000}"/>
    <cellStyle name="20% - Accent2 11 2 5 3 2" xfId="45344" xr:uid="{05041630-70F6-403E-ABE1-603617C7A634}"/>
    <cellStyle name="20% - Accent2 11 2 5 4" xfId="29466" xr:uid="{ACF3298D-3DAE-4403-9B87-661C7A0F345C}"/>
    <cellStyle name="20% - Accent2 11 2 6" xfId="9133" xr:uid="{00000000-0005-0000-0000-0000B2070000}"/>
    <cellStyle name="20% - Accent2 11 2 6 2" xfId="17091" xr:uid="{00000000-0005-0000-0000-0000B3070000}"/>
    <cellStyle name="20% - Accent2 11 2 6 2 2" xfId="40931" xr:uid="{289D5429-5799-44E8-888C-0911FBE60769}"/>
    <cellStyle name="20% - Accent2 11 2 6 3" xfId="25035" xr:uid="{00000000-0005-0000-0000-0000B4070000}"/>
    <cellStyle name="20% - Accent2 11 2 6 3 2" xfId="48867" xr:uid="{0CD13BF2-1419-4D9E-963F-3F9C565CCA06}"/>
    <cellStyle name="20% - Accent2 11 2 6 4" xfId="32990" xr:uid="{3F1B77C6-36EF-41E3-9297-FF34B1616AEA}"/>
    <cellStyle name="20% - Accent2 11 2 7" xfId="10029" xr:uid="{00000000-0005-0000-0000-0000B5070000}"/>
    <cellStyle name="20% - Accent2 11 2 7 2" xfId="33878" xr:uid="{88A649DD-8352-4DED-AAFD-E6BDB6D00CF9}"/>
    <cellStyle name="20% - Accent2 11 2 8" xfId="17984" xr:uid="{00000000-0005-0000-0000-0000B6070000}"/>
    <cellStyle name="20% - Accent2 11 2 8 2" xfId="41816" xr:uid="{2C234D04-E2CD-4E41-854C-D76CBDF48048}"/>
    <cellStyle name="20% - Accent2 11 2 9" xfId="25936" xr:uid="{5D498C95-E466-4D01-9A39-32477C14F466}"/>
    <cellStyle name="20% - Accent2 11 2_Exh G" xfId="2074" xr:uid="{00000000-0005-0000-0000-0000B7070000}"/>
    <cellStyle name="20% - Accent2 11 3" xfId="83" xr:uid="{00000000-0005-0000-0000-0000B8070000}"/>
    <cellStyle name="20% - Accent2 11 3 2" xfId="1111" xr:uid="{00000000-0005-0000-0000-0000B9070000}"/>
    <cellStyle name="20% - Accent2 11 3 2 2" xfId="4641" xr:uid="{00000000-0005-0000-0000-0000BA070000}"/>
    <cellStyle name="20% - Accent2 11 3 2 2 2" xfId="8232" xr:uid="{00000000-0005-0000-0000-0000BB070000}"/>
    <cellStyle name="20% - Accent2 11 3 2 2 2 2" xfId="16203" xr:uid="{00000000-0005-0000-0000-0000BC070000}"/>
    <cellStyle name="20% - Accent2 11 3 2 2 2 2 2" xfId="40045" xr:uid="{B401285D-4294-4056-8D95-802F95295869}"/>
    <cellStyle name="20% - Accent2 11 3 2 2 2 3" xfId="24149" xr:uid="{00000000-0005-0000-0000-0000BD070000}"/>
    <cellStyle name="20% - Accent2 11 3 2 2 2 3 2" xfId="47981" xr:uid="{8713B703-FFAB-465A-83F5-F98744EAEBDA}"/>
    <cellStyle name="20% - Accent2 11 3 2 2 2 4" xfId="32104" xr:uid="{5F9EDFF4-806C-4A01-93B4-418CBDE470A5}"/>
    <cellStyle name="20% - Accent2 11 3 2 2 3" xfId="12665" xr:uid="{00000000-0005-0000-0000-0000BE070000}"/>
    <cellStyle name="20% - Accent2 11 3 2 2 3 2" xfId="36514" xr:uid="{B5E91A6D-0012-4840-8C4C-BE3BDF5F2D22}"/>
    <cellStyle name="20% - Accent2 11 3 2 2 4" xfId="20620" xr:uid="{00000000-0005-0000-0000-0000BF070000}"/>
    <cellStyle name="20% - Accent2 11 3 2 2 4 2" xfId="44452" xr:uid="{92727839-E7B3-4045-9D57-1E1B1743410B}"/>
    <cellStyle name="20% - Accent2 11 3 2 2 5" xfId="28573" xr:uid="{A7083473-5139-44A9-BE1D-0C50F362EA70}"/>
    <cellStyle name="20% - Accent2 11 3 2 3" xfId="6473" xr:uid="{00000000-0005-0000-0000-0000C0070000}"/>
    <cellStyle name="20% - Accent2 11 3 2 3 2" xfId="14445" xr:uid="{00000000-0005-0000-0000-0000C1070000}"/>
    <cellStyle name="20% - Accent2 11 3 2 3 2 2" xfId="38287" xr:uid="{6E3C938F-E8DA-4D23-B15E-59E164C111FD}"/>
    <cellStyle name="20% - Accent2 11 3 2 3 3" xfId="22392" xr:uid="{00000000-0005-0000-0000-0000C2070000}"/>
    <cellStyle name="20% - Accent2 11 3 2 3 3 2" xfId="46224" xr:uid="{08A5FC41-74E2-4E92-A251-FC2AA2A6AAEA}"/>
    <cellStyle name="20% - Accent2 11 3 2 3 4" xfId="30346" xr:uid="{212A1D1D-0259-4CD9-92F2-89108C448479}"/>
    <cellStyle name="20% - Accent2 11 3 2 4" xfId="10909" xr:uid="{00000000-0005-0000-0000-0000C3070000}"/>
    <cellStyle name="20% - Accent2 11 3 2 4 2" xfId="34758" xr:uid="{00363A4C-5B44-4E7F-9A93-4B237564BBDC}"/>
    <cellStyle name="20% - Accent2 11 3 2 5" xfId="18864" xr:uid="{00000000-0005-0000-0000-0000C4070000}"/>
    <cellStyle name="20% - Accent2 11 3 2 5 2" xfId="42696" xr:uid="{58E5FEE5-D3BF-4623-A730-1840031FB4F4}"/>
    <cellStyle name="20% - Accent2 11 3 2 6" xfId="26816" xr:uid="{5A544F6A-7D94-421C-9BBB-023EF0545A8B}"/>
    <cellStyle name="20% - Accent2 11 3 2_Exh G" xfId="2079" xr:uid="{00000000-0005-0000-0000-0000C5070000}"/>
    <cellStyle name="20% - Accent2 11 3 3" xfId="3762" xr:uid="{00000000-0005-0000-0000-0000C6070000}"/>
    <cellStyle name="20% - Accent2 11 3 3 2" xfId="7354" xr:uid="{00000000-0005-0000-0000-0000C7070000}"/>
    <cellStyle name="20% - Accent2 11 3 3 2 2" xfId="15325" xr:uid="{00000000-0005-0000-0000-0000C8070000}"/>
    <cellStyle name="20% - Accent2 11 3 3 2 2 2" xfId="39167" xr:uid="{B9D415D1-2564-4559-AF65-4A3B0C1A8271}"/>
    <cellStyle name="20% - Accent2 11 3 3 2 3" xfId="23271" xr:uid="{00000000-0005-0000-0000-0000C9070000}"/>
    <cellStyle name="20% - Accent2 11 3 3 2 3 2" xfId="47103" xr:uid="{E8DE9BA5-57A7-458B-AF1D-AE3CEB4B98CB}"/>
    <cellStyle name="20% - Accent2 11 3 3 2 4" xfId="31226" xr:uid="{75DF0CB5-2CA2-46B9-A77C-5001513DB39F}"/>
    <cellStyle name="20% - Accent2 11 3 3 3" xfId="11787" xr:uid="{00000000-0005-0000-0000-0000CA070000}"/>
    <cellStyle name="20% - Accent2 11 3 3 3 2" xfId="35636" xr:uid="{014E54D9-D6BF-4341-948C-CD0D3DC81166}"/>
    <cellStyle name="20% - Accent2 11 3 3 4" xfId="19742" xr:uid="{00000000-0005-0000-0000-0000CB070000}"/>
    <cellStyle name="20% - Accent2 11 3 3 4 2" xfId="43574" xr:uid="{6159D94A-9005-4EC3-8ABE-4BD8A23C8737}"/>
    <cellStyle name="20% - Accent2 11 3 3 5" xfId="27695" xr:uid="{CF02372D-2E06-49B5-931E-944310494BF6}"/>
    <cellStyle name="20% - Accent2 11 3 4" xfId="5582" xr:uid="{00000000-0005-0000-0000-0000CC070000}"/>
    <cellStyle name="20% - Accent2 11 3 4 2" xfId="13566" xr:uid="{00000000-0005-0000-0000-0000CD070000}"/>
    <cellStyle name="20% - Accent2 11 3 4 2 2" xfId="37409" xr:uid="{F9EA4F2E-9851-4DA2-937C-BF75F9880E8D}"/>
    <cellStyle name="20% - Accent2 11 3 4 3" xfId="21514" xr:uid="{00000000-0005-0000-0000-0000CE070000}"/>
    <cellStyle name="20% - Accent2 11 3 4 3 2" xfId="45346" xr:uid="{E5C59431-24E4-49CA-AED3-7E5AE69E23D5}"/>
    <cellStyle name="20% - Accent2 11 3 4 4" xfId="29468" xr:uid="{F9CF8104-9536-40BD-AC98-9715215DE448}"/>
    <cellStyle name="20% - Accent2 11 3 5" xfId="9135" xr:uid="{00000000-0005-0000-0000-0000CF070000}"/>
    <cellStyle name="20% - Accent2 11 3 5 2" xfId="17093" xr:uid="{00000000-0005-0000-0000-0000D0070000}"/>
    <cellStyle name="20% - Accent2 11 3 5 2 2" xfId="40933" xr:uid="{44D6747B-EDA6-4C52-9E8D-F8141119B3C2}"/>
    <cellStyle name="20% - Accent2 11 3 5 3" xfId="25037" xr:uid="{00000000-0005-0000-0000-0000D1070000}"/>
    <cellStyle name="20% - Accent2 11 3 5 3 2" xfId="48869" xr:uid="{EB0EDED5-D737-483E-ABF3-F604789580A8}"/>
    <cellStyle name="20% - Accent2 11 3 5 4" xfId="32992" xr:uid="{96148B68-B325-4BAE-890D-3AE08DF01771}"/>
    <cellStyle name="20% - Accent2 11 3 6" xfId="10031" xr:uid="{00000000-0005-0000-0000-0000D2070000}"/>
    <cellStyle name="20% - Accent2 11 3 6 2" xfId="33880" xr:uid="{BCEDB0A7-2A64-46E6-A6CE-3FDA4C086FBA}"/>
    <cellStyle name="20% - Accent2 11 3 7" xfId="17986" xr:uid="{00000000-0005-0000-0000-0000D3070000}"/>
    <cellStyle name="20% - Accent2 11 3 7 2" xfId="41818" xr:uid="{FBAB009D-81DC-4183-A1B7-768CB0914C72}"/>
    <cellStyle name="20% - Accent2 11 3 8" xfId="25938" xr:uid="{8788FE28-80AC-4748-AD14-2F7D22A96657}"/>
    <cellStyle name="20% - Accent2 11 3_Exh G" xfId="2078" xr:uid="{00000000-0005-0000-0000-0000D4070000}"/>
    <cellStyle name="20% - Accent2 11 4" xfId="1108" xr:uid="{00000000-0005-0000-0000-0000D5070000}"/>
    <cellStyle name="20% - Accent2 11 4 2" xfId="4638" xr:uid="{00000000-0005-0000-0000-0000D6070000}"/>
    <cellStyle name="20% - Accent2 11 4 2 2" xfId="8229" xr:uid="{00000000-0005-0000-0000-0000D7070000}"/>
    <cellStyle name="20% - Accent2 11 4 2 2 2" xfId="16200" xr:uid="{00000000-0005-0000-0000-0000D8070000}"/>
    <cellStyle name="20% - Accent2 11 4 2 2 2 2" xfId="40042" xr:uid="{C7E19D93-FFEC-4A20-B8FE-FF9A08393015}"/>
    <cellStyle name="20% - Accent2 11 4 2 2 3" xfId="24146" xr:uid="{00000000-0005-0000-0000-0000D9070000}"/>
    <cellStyle name="20% - Accent2 11 4 2 2 3 2" xfId="47978" xr:uid="{32EE202B-4D79-47D5-A586-85BA71E8CB60}"/>
    <cellStyle name="20% - Accent2 11 4 2 2 4" xfId="32101" xr:uid="{760DA7F1-0846-49A6-A287-0131347C9E60}"/>
    <cellStyle name="20% - Accent2 11 4 2 3" xfId="12662" xr:uid="{00000000-0005-0000-0000-0000DA070000}"/>
    <cellStyle name="20% - Accent2 11 4 2 3 2" xfId="36511" xr:uid="{90C16CDC-CA23-4BA3-958C-FE277215B737}"/>
    <cellStyle name="20% - Accent2 11 4 2 4" xfId="20617" xr:uid="{00000000-0005-0000-0000-0000DB070000}"/>
    <cellStyle name="20% - Accent2 11 4 2 4 2" xfId="44449" xr:uid="{9BA8635A-C710-4179-8E4C-A52108B5F321}"/>
    <cellStyle name="20% - Accent2 11 4 2 5" xfId="28570" xr:uid="{12B156BF-CA69-481B-8F4C-55E7BDF97926}"/>
    <cellStyle name="20% - Accent2 11 4 3" xfId="6470" xr:uid="{00000000-0005-0000-0000-0000DC070000}"/>
    <cellStyle name="20% - Accent2 11 4 3 2" xfId="14442" xr:uid="{00000000-0005-0000-0000-0000DD070000}"/>
    <cellStyle name="20% - Accent2 11 4 3 2 2" xfId="38284" xr:uid="{9E1C0D7C-F7B8-455C-8631-75DA5305DDFA}"/>
    <cellStyle name="20% - Accent2 11 4 3 3" xfId="22389" xr:uid="{00000000-0005-0000-0000-0000DE070000}"/>
    <cellStyle name="20% - Accent2 11 4 3 3 2" xfId="46221" xr:uid="{44B26313-899F-4165-BE45-166C34742D55}"/>
    <cellStyle name="20% - Accent2 11 4 3 4" xfId="30343" xr:uid="{FBB19154-EF02-40C7-95D6-F0EDA0560020}"/>
    <cellStyle name="20% - Accent2 11 4 4" xfId="10906" xr:uid="{00000000-0005-0000-0000-0000DF070000}"/>
    <cellStyle name="20% - Accent2 11 4 4 2" xfId="34755" xr:uid="{63BC194C-298A-45D3-8111-965FF265F03B}"/>
    <cellStyle name="20% - Accent2 11 4 5" xfId="18861" xr:uid="{00000000-0005-0000-0000-0000E0070000}"/>
    <cellStyle name="20% - Accent2 11 4 5 2" xfId="42693" xr:uid="{08A95A7F-E3B5-47E0-A69F-B52064FB2175}"/>
    <cellStyle name="20% - Accent2 11 4 6" xfId="26813" xr:uid="{19D94CE3-06E9-44E7-B170-1ED750AC729E}"/>
    <cellStyle name="20% - Accent2 11 4_Exh G" xfId="2080" xr:uid="{00000000-0005-0000-0000-0000E1070000}"/>
    <cellStyle name="20% - Accent2 11 5" xfId="3759" xr:uid="{00000000-0005-0000-0000-0000E2070000}"/>
    <cellStyle name="20% - Accent2 11 5 2" xfId="7351" xr:uid="{00000000-0005-0000-0000-0000E3070000}"/>
    <cellStyle name="20% - Accent2 11 5 2 2" xfId="15322" xr:uid="{00000000-0005-0000-0000-0000E4070000}"/>
    <cellStyle name="20% - Accent2 11 5 2 2 2" xfId="39164" xr:uid="{EF836533-7156-4C03-9ECB-9E900B628A93}"/>
    <cellStyle name="20% - Accent2 11 5 2 3" xfId="23268" xr:uid="{00000000-0005-0000-0000-0000E5070000}"/>
    <cellStyle name="20% - Accent2 11 5 2 3 2" xfId="47100" xr:uid="{015DA167-10B1-4B74-9F59-274A2C223F04}"/>
    <cellStyle name="20% - Accent2 11 5 2 4" xfId="31223" xr:uid="{D65D54AB-2943-40AF-AAC5-8B27E6389A92}"/>
    <cellStyle name="20% - Accent2 11 5 3" xfId="11784" xr:uid="{00000000-0005-0000-0000-0000E6070000}"/>
    <cellStyle name="20% - Accent2 11 5 3 2" xfId="35633" xr:uid="{D76A3886-402F-47EC-87EB-CCA613581446}"/>
    <cellStyle name="20% - Accent2 11 5 4" xfId="19739" xr:uid="{00000000-0005-0000-0000-0000E7070000}"/>
    <cellStyle name="20% - Accent2 11 5 4 2" xfId="43571" xr:uid="{9ACD6F8C-4D7F-4E0D-B64E-0FABFC88E519}"/>
    <cellStyle name="20% - Accent2 11 5 5" xfId="27692" xr:uid="{7D8E12DB-AF59-4495-9652-FAA9701EE2CC}"/>
    <cellStyle name="20% - Accent2 11 6" xfId="5579" xr:uid="{00000000-0005-0000-0000-0000E8070000}"/>
    <cellStyle name="20% - Accent2 11 6 2" xfId="13563" xr:uid="{00000000-0005-0000-0000-0000E9070000}"/>
    <cellStyle name="20% - Accent2 11 6 2 2" xfId="37406" xr:uid="{F27FD7DE-3D47-440F-A157-B41DFEA2CB8B}"/>
    <cellStyle name="20% - Accent2 11 6 3" xfId="21511" xr:uid="{00000000-0005-0000-0000-0000EA070000}"/>
    <cellStyle name="20% - Accent2 11 6 3 2" xfId="45343" xr:uid="{CD8117DD-9A86-4E6B-8371-BED2F696DD78}"/>
    <cellStyle name="20% - Accent2 11 6 4" xfId="29465" xr:uid="{0A360734-BB90-4FFF-9F1D-6E72E1D63B9A}"/>
    <cellStyle name="20% - Accent2 11 7" xfId="9132" xr:uid="{00000000-0005-0000-0000-0000EB070000}"/>
    <cellStyle name="20% - Accent2 11 7 2" xfId="17090" xr:uid="{00000000-0005-0000-0000-0000EC070000}"/>
    <cellStyle name="20% - Accent2 11 7 2 2" xfId="40930" xr:uid="{F2989880-8053-481C-A887-4985441377A4}"/>
    <cellStyle name="20% - Accent2 11 7 3" xfId="25034" xr:uid="{00000000-0005-0000-0000-0000ED070000}"/>
    <cellStyle name="20% - Accent2 11 7 3 2" xfId="48866" xr:uid="{70C2A6F4-DA69-4E67-8978-3F27BFC45DD1}"/>
    <cellStyle name="20% - Accent2 11 7 4" xfId="32989" xr:uid="{AB15E4FA-AEFB-458F-B332-8F114D59226D}"/>
    <cellStyle name="20% - Accent2 11 8" xfId="10028" xr:uid="{00000000-0005-0000-0000-0000EE070000}"/>
    <cellStyle name="20% - Accent2 11 8 2" xfId="33877" xr:uid="{F4D807B1-B7B4-40F9-B513-0568BC7077D5}"/>
    <cellStyle name="20% - Accent2 11 9" xfId="17983" xr:uid="{00000000-0005-0000-0000-0000EF070000}"/>
    <cellStyle name="20% - Accent2 11 9 2" xfId="41815" xr:uid="{0AFCB255-78BE-4FEB-B9B2-D5387EBD2BD5}"/>
    <cellStyle name="20% - Accent2 11_Exh G" xfId="2073" xr:uid="{00000000-0005-0000-0000-0000F0070000}"/>
    <cellStyle name="20% - Accent2 12" xfId="84" xr:uid="{00000000-0005-0000-0000-0000F1070000}"/>
    <cellStyle name="20% - Accent2 12 10" xfId="25939" xr:uid="{26AA032C-D1E9-4052-BA2B-21FC74D27CB6}"/>
    <cellStyle name="20% - Accent2 12 2" xfId="85" xr:uid="{00000000-0005-0000-0000-0000F2070000}"/>
    <cellStyle name="20% - Accent2 12 2 2" xfId="86" xr:uid="{00000000-0005-0000-0000-0000F3070000}"/>
    <cellStyle name="20% - Accent2 12 2 2 2" xfId="1114" xr:uid="{00000000-0005-0000-0000-0000F4070000}"/>
    <cellStyle name="20% - Accent2 12 2 2 2 2" xfId="4644" xr:uid="{00000000-0005-0000-0000-0000F5070000}"/>
    <cellStyle name="20% - Accent2 12 2 2 2 2 2" xfId="8235" xr:uid="{00000000-0005-0000-0000-0000F6070000}"/>
    <cellStyle name="20% - Accent2 12 2 2 2 2 2 2" xfId="16206" xr:uid="{00000000-0005-0000-0000-0000F7070000}"/>
    <cellStyle name="20% - Accent2 12 2 2 2 2 2 2 2" xfId="40048" xr:uid="{2C8B2577-1B25-4981-9E59-F28F9AA0E5A9}"/>
    <cellStyle name="20% - Accent2 12 2 2 2 2 2 3" xfId="24152" xr:uid="{00000000-0005-0000-0000-0000F8070000}"/>
    <cellStyle name="20% - Accent2 12 2 2 2 2 2 3 2" xfId="47984" xr:uid="{68298987-3E62-4A18-8A8D-104ABC762B88}"/>
    <cellStyle name="20% - Accent2 12 2 2 2 2 2 4" xfId="32107" xr:uid="{DEF90F9E-BA28-44E3-B3A7-6D46615FC433}"/>
    <cellStyle name="20% - Accent2 12 2 2 2 2 3" xfId="12668" xr:uid="{00000000-0005-0000-0000-0000F9070000}"/>
    <cellStyle name="20% - Accent2 12 2 2 2 2 3 2" xfId="36517" xr:uid="{B174219F-7769-4852-ACFF-BC3C832C4AD5}"/>
    <cellStyle name="20% - Accent2 12 2 2 2 2 4" xfId="20623" xr:uid="{00000000-0005-0000-0000-0000FA070000}"/>
    <cellStyle name="20% - Accent2 12 2 2 2 2 4 2" xfId="44455" xr:uid="{10573EA6-7235-427C-81D7-941F61372952}"/>
    <cellStyle name="20% - Accent2 12 2 2 2 2 5" xfId="28576" xr:uid="{AD305763-7E56-4234-A175-7FAF9CFDFC55}"/>
    <cellStyle name="20% - Accent2 12 2 2 2 3" xfId="6476" xr:uid="{00000000-0005-0000-0000-0000FB070000}"/>
    <cellStyle name="20% - Accent2 12 2 2 2 3 2" xfId="14448" xr:uid="{00000000-0005-0000-0000-0000FC070000}"/>
    <cellStyle name="20% - Accent2 12 2 2 2 3 2 2" xfId="38290" xr:uid="{C1CF7E3A-F457-4C46-A7F3-817D64F14398}"/>
    <cellStyle name="20% - Accent2 12 2 2 2 3 3" xfId="22395" xr:uid="{00000000-0005-0000-0000-0000FD070000}"/>
    <cellStyle name="20% - Accent2 12 2 2 2 3 3 2" xfId="46227" xr:uid="{DDC7F14A-DEE2-41E5-8D8C-205ACAAEC7FE}"/>
    <cellStyle name="20% - Accent2 12 2 2 2 3 4" xfId="30349" xr:uid="{89A2EF23-FF04-41E1-80F2-B1F3A1C3F6AD}"/>
    <cellStyle name="20% - Accent2 12 2 2 2 4" xfId="10912" xr:uid="{00000000-0005-0000-0000-0000FE070000}"/>
    <cellStyle name="20% - Accent2 12 2 2 2 4 2" xfId="34761" xr:uid="{A6F61EAD-A8F6-49C6-BC76-E185B3CF187B}"/>
    <cellStyle name="20% - Accent2 12 2 2 2 5" xfId="18867" xr:uid="{00000000-0005-0000-0000-0000FF070000}"/>
    <cellStyle name="20% - Accent2 12 2 2 2 5 2" xfId="42699" xr:uid="{CBB84A9F-0FFD-483B-A45B-800C30C29961}"/>
    <cellStyle name="20% - Accent2 12 2 2 2 6" xfId="26819" xr:uid="{3D573F71-ACCD-431D-A774-CA96FE2DFEB7}"/>
    <cellStyle name="20% - Accent2 12 2 2 2_Exh G" xfId="2084" xr:uid="{00000000-0005-0000-0000-000000080000}"/>
    <cellStyle name="20% - Accent2 12 2 2 3" xfId="3765" xr:uid="{00000000-0005-0000-0000-000001080000}"/>
    <cellStyle name="20% - Accent2 12 2 2 3 2" xfId="7357" xr:uid="{00000000-0005-0000-0000-000002080000}"/>
    <cellStyle name="20% - Accent2 12 2 2 3 2 2" xfId="15328" xr:uid="{00000000-0005-0000-0000-000003080000}"/>
    <cellStyle name="20% - Accent2 12 2 2 3 2 2 2" xfId="39170" xr:uid="{35F648D0-4859-4D5B-9540-71BCC0F450FB}"/>
    <cellStyle name="20% - Accent2 12 2 2 3 2 3" xfId="23274" xr:uid="{00000000-0005-0000-0000-000004080000}"/>
    <cellStyle name="20% - Accent2 12 2 2 3 2 3 2" xfId="47106" xr:uid="{12015781-211C-431A-A415-431EF635B968}"/>
    <cellStyle name="20% - Accent2 12 2 2 3 2 4" xfId="31229" xr:uid="{674A265C-59E1-426F-8284-718E1576FE4C}"/>
    <cellStyle name="20% - Accent2 12 2 2 3 3" xfId="11790" xr:uid="{00000000-0005-0000-0000-000005080000}"/>
    <cellStyle name="20% - Accent2 12 2 2 3 3 2" xfId="35639" xr:uid="{93935DFB-60FB-4292-8753-422ACB02342A}"/>
    <cellStyle name="20% - Accent2 12 2 2 3 4" xfId="19745" xr:uid="{00000000-0005-0000-0000-000006080000}"/>
    <cellStyle name="20% - Accent2 12 2 2 3 4 2" xfId="43577" xr:uid="{983992AA-D88C-4D18-A31B-865C554049C7}"/>
    <cellStyle name="20% - Accent2 12 2 2 3 5" xfId="27698" xr:uid="{27CF2DA4-E8A6-4A44-BCA0-35974D0567EF}"/>
    <cellStyle name="20% - Accent2 12 2 2 4" xfId="5585" xr:uid="{00000000-0005-0000-0000-000007080000}"/>
    <cellStyle name="20% - Accent2 12 2 2 4 2" xfId="13569" xr:uid="{00000000-0005-0000-0000-000008080000}"/>
    <cellStyle name="20% - Accent2 12 2 2 4 2 2" xfId="37412" xr:uid="{C11FE3AE-A856-4BB8-B7B2-71ED3769F391}"/>
    <cellStyle name="20% - Accent2 12 2 2 4 3" xfId="21517" xr:uid="{00000000-0005-0000-0000-000009080000}"/>
    <cellStyle name="20% - Accent2 12 2 2 4 3 2" xfId="45349" xr:uid="{2F263718-A4A2-4455-A4C2-EF54F32F725A}"/>
    <cellStyle name="20% - Accent2 12 2 2 4 4" xfId="29471" xr:uid="{1B9208EC-71C1-4F78-A7B2-D97B78504DCE}"/>
    <cellStyle name="20% - Accent2 12 2 2 5" xfId="9138" xr:uid="{00000000-0005-0000-0000-00000A080000}"/>
    <cellStyle name="20% - Accent2 12 2 2 5 2" xfId="17096" xr:uid="{00000000-0005-0000-0000-00000B080000}"/>
    <cellStyle name="20% - Accent2 12 2 2 5 2 2" xfId="40936" xr:uid="{2A687E19-C1CE-4482-BE2E-2E561D40ECAF}"/>
    <cellStyle name="20% - Accent2 12 2 2 5 3" xfId="25040" xr:uid="{00000000-0005-0000-0000-00000C080000}"/>
    <cellStyle name="20% - Accent2 12 2 2 5 3 2" xfId="48872" xr:uid="{8598D528-2DC8-4431-BD45-D9D7C20636EE}"/>
    <cellStyle name="20% - Accent2 12 2 2 5 4" xfId="32995" xr:uid="{64C89FF9-EFAE-4DAD-86EF-A16534C18825}"/>
    <cellStyle name="20% - Accent2 12 2 2 6" xfId="10034" xr:uid="{00000000-0005-0000-0000-00000D080000}"/>
    <cellStyle name="20% - Accent2 12 2 2 6 2" xfId="33883" xr:uid="{48AF8CED-2F00-4AAD-8362-EFB8EC59805A}"/>
    <cellStyle name="20% - Accent2 12 2 2 7" xfId="17989" xr:uid="{00000000-0005-0000-0000-00000E080000}"/>
    <cellStyle name="20% - Accent2 12 2 2 7 2" xfId="41821" xr:uid="{3CD37506-43CA-44AC-953C-57CEE2C42750}"/>
    <cellStyle name="20% - Accent2 12 2 2 8" xfId="25941" xr:uid="{65275631-843C-4C43-844C-B19F4470998A}"/>
    <cellStyle name="20% - Accent2 12 2 2_Exh G" xfId="2083" xr:uid="{00000000-0005-0000-0000-00000F080000}"/>
    <cellStyle name="20% - Accent2 12 2 3" xfId="1113" xr:uid="{00000000-0005-0000-0000-000010080000}"/>
    <cellStyle name="20% - Accent2 12 2 3 2" xfId="4643" xr:uid="{00000000-0005-0000-0000-000011080000}"/>
    <cellStyle name="20% - Accent2 12 2 3 2 2" xfId="8234" xr:uid="{00000000-0005-0000-0000-000012080000}"/>
    <cellStyle name="20% - Accent2 12 2 3 2 2 2" xfId="16205" xr:uid="{00000000-0005-0000-0000-000013080000}"/>
    <cellStyle name="20% - Accent2 12 2 3 2 2 2 2" xfId="40047" xr:uid="{C68A4417-9151-4DF4-8DC5-6F9AC83E2546}"/>
    <cellStyle name="20% - Accent2 12 2 3 2 2 3" xfId="24151" xr:uid="{00000000-0005-0000-0000-000014080000}"/>
    <cellStyle name="20% - Accent2 12 2 3 2 2 3 2" xfId="47983" xr:uid="{794C7F59-A767-49A0-8F9B-F0EE2611DB39}"/>
    <cellStyle name="20% - Accent2 12 2 3 2 2 4" xfId="32106" xr:uid="{6140CA86-A608-40CD-AE66-5AD18ED0B523}"/>
    <cellStyle name="20% - Accent2 12 2 3 2 3" xfId="12667" xr:uid="{00000000-0005-0000-0000-000015080000}"/>
    <cellStyle name="20% - Accent2 12 2 3 2 3 2" xfId="36516" xr:uid="{7905AEBA-4088-43F6-8D30-E7D4D6D5FC3A}"/>
    <cellStyle name="20% - Accent2 12 2 3 2 4" xfId="20622" xr:uid="{00000000-0005-0000-0000-000016080000}"/>
    <cellStyle name="20% - Accent2 12 2 3 2 4 2" xfId="44454" xr:uid="{F92B5C46-674D-4A61-94AF-962EC9F7830F}"/>
    <cellStyle name="20% - Accent2 12 2 3 2 5" xfId="28575" xr:uid="{6C9064A7-1BF7-4789-B30F-6E51C191525E}"/>
    <cellStyle name="20% - Accent2 12 2 3 3" xfId="6475" xr:uid="{00000000-0005-0000-0000-000017080000}"/>
    <cellStyle name="20% - Accent2 12 2 3 3 2" xfId="14447" xr:uid="{00000000-0005-0000-0000-000018080000}"/>
    <cellStyle name="20% - Accent2 12 2 3 3 2 2" xfId="38289" xr:uid="{E7903638-8AC1-4645-A911-88C8E117B3A4}"/>
    <cellStyle name="20% - Accent2 12 2 3 3 3" xfId="22394" xr:uid="{00000000-0005-0000-0000-000019080000}"/>
    <cellStyle name="20% - Accent2 12 2 3 3 3 2" xfId="46226" xr:uid="{A064F4D4-5E1A-49D2-AF17-1B595B43F217}"/>
    <cellStyle name="20% - Accent2 12 2 3 3 4" xfId="30348" xr:uid="{616B6908-FD13-4A6D-932E-10253F11FDAB}"/>
    <cellStyle name="20% - Accent2 12 2 3 4" xfId="10911" xr:uid="{00000000-0005-0000-0000-00001A080000}"/>
    <cellStyle name="20% - Accent2 12 2 3 4 2" xfId="34760" xr:uid="{86E61DC4-CC54-4242-84ED-409624659367}"/>
    <cellStyle name="20% - Accent2 12 2 3 5" xfId="18866" xr:uid="{00000000-0005-0000-0000-00001B080000}"/>
    <cellStyle name="20% - Accent2 12 2 3 5 2" xfId="42698" xr:uid="{E65058BD-0FE9-42DE-9481-1091A712F67A}"/>
    <cellStyle name="20% - Accent2 12 2 3 6" xfId="26818" xr:uid="{09399603-3B59-4FD2-BE52-8558901A19C6}"/>
    <cellStyle name="20% - Accent2 12 2 3_Exh G" xfId="2085" xr:uid="{00000000-0005-0000-0000-00001C080000}"/>
    <cellStyle name="20% - Accent2 12 2 4" xfId="3764" xr:uid="{00000000-0005-0000-0000-00001D080000}"/>
    <cellStyle name="20% - Accent2 12 2 4 2" xfId="7356" xr:uid="{00000000-0005-0000-0000-00001E080000}"/>
    <cellStyle name="20% - Accent2 12 2 4 2 2" xfId="15327" xr:uid="{00000000-0005-0000-0000-00001F080000}"/>
    <cellStyle name="20% - Accent2 12 2 4 2 2 2" xfId="39169" xr:uid="{068213F0-9E3A-462E-8671-6284EA02D729}"/>
    <cellStyle name="20% - Accent2 12 2 4 2 3" xfId="23273" xr:uid="{00000000-0005-0000-0000-000020080000}"/>
    <cellStyle name="20% - Accent2 12 2 4 2 3 2" xfId="47105" xr:uid="{306B5CA0-E919-4E27-9EA5-4DD393AF2480}"/>
    <cellStyle name="20% - Accent2 12 2 4 2 4" xfId="31228" xr:uid="{11C31DDB-69A8-48CF-BA7D-FAC5E5C484C2}"/>
    <cellStyle name="20% - Accent2 12 2 4 3" xfId="11789" xr:uid="{00000000-0005-0000-0000-000021080000}"/>
    <cellStyle name="20% - Accent2 12 2 4 3 2" xfId="35638" xr:uid="{A6127530-C392-4E41-B9D6-D271A4E7200F}"/>
    <cellStyle name="20% - Accent2 12 2 4 4" xfId="19744" xr:uid="{00000000-0005-0000-0000-000022080000}"/>
    <cellStyle name="20% - Accent2 12 2 4 4 2" xfId="43576" xr:uid="{24194FC3-D001-4868-82BC-1F02570B8197}"/>
    <cellStyle name="20% - Accent2 12 2 4 5" xfId="27697" xr:uid="{32F7449A-5C6A-4E14-8805-F520A4502F1D}"/>
    <cellStyle name="20% - Accent2 12 2 5" xfId="5584" xr:uid="{00000000-0005-0000-0000-000023080000}"/>
    <cellStyle name="20% - Accent2 12 2 5 2" xfId="13568" xr:uid="{00000000-0005-0000-0000-000024080000}"/>
    <cellStyle name="20% - Accent2 12 2 5 2 2" xfId="37411" xr:uid="{1FE70FB7-512E-4564-BA2D-181DCF388C1C}"/>
    <cellStyle name="20% - Accent2 12 2 5 3" xfId="21516" xr:uid="{00000000-0005-0000-0000-000025080000}"/>
    <cellStyle name="20% - Accent2 12 2 5 3 2" xfId="45348" xr:uid="{A92669EE-3598-47B7-B9E8-D15D6C82DF4D}"/>
    <cellStyle name="20% - Accent2 12 2 5 4" xfId="29470" xr:uid="{94F6385C-6C0D-4FD0-A3DA-7748410F31DA}"/>
    <cellStyle name="20% - Accent2 12 2 6" xfId="9137" xr:uid="{00000000-0005-0000-0000-000026080000}"/>
    <cellStyle name="20% - Accent2 12 2 6 2" xfId="17095" xr:uid="{00000000-0005-0000-0000-000027080000}"/>
    <cellStyle name="20% - Accent2 12 2 6 2 2" xfId="40935" xr:uid="{89A3DD7E-7D12-417A-A494-8DB32F8373E2}"/>
    <cellStyle name="20% - Accent2 12 2 6 3" xfId="25039" xr:uid="{00000000-0005-0000-0000-000028080000}"/>
    <cellStyle name="20% - Accent2 12 2 6 3 2" xfId="48871" xr:uid="{4DB9D488-E74F-4FF4-9244-595567BD8CE1}"/>
    <cellStyle name="20% - Accent2 12 2 6 4" xfId="32994" xr:uid="{D4E98A5C-D2E4-4477-9F5E-AFDAB6326A8D}"/>
    <cellStyle name="20% - Accent2 12 2 7" xfId="10033" xr:uid="{00000000-0005-0000-0000-000029080000}"/>
    <cellStyle name="20% - Accent2 12 2 7 2" xfId="33882" xr:uid="{6A1B0E63-3B5C-4620-A549-CF8550485F03}"/>
    <cellStyle name="20% - Accent2 12 2 8" xfId="17988" xr:uid="{00000000-0005-0000-0000-00002A080000}"/>
    <cellStyle name="20% - Accent2 12 2 8 2" xfId="41820" xr:uid="{F236D661-0862-44A9-89B9-C1F6C2D1B35E}"/>
    <cellStyle name="20% - Accent2 12 2 9" xfId="25940" xr:uid="{BF7BCB63-1849-4A69-8DFF-90CF4E1FBA4F}"/>
    <cellStyle name="20% - Accent2 12 2_Exh G" xfId="2082" xr:uid="{00000000-0005-0000-0000-00002B080000}"/>
    <cellStyle name="20% - Accent2 12 3" xfId="87" xr:uid="{00000000-0005-0000-0000-00002C080000}"/>
    <cellStyle name="20% - Accent2 12 3 2" xfId="1115" xr:uid="{00000000-0005-0000-0000-00002D080000}"/>
    <cellStyle name="20% - Accent2 12 3 2 2" xfId="4645" xr:uid="{00000000-0005-0000-0000-00002E080000}"/>
    <cellStyle name="20% - Accent2 12 3 2 2 2" xfId="8236" xr:uid="{00000000-0005-0000-0000-00002F080000}"/>
    <cellStyle name="20% - Accent2 12 3 2 2 2 2" xfId="16207" xr:uid="{00000000-0005-0000-0000-000030080000}"/>
    <cellStyle name="20% - Accent2 12 3 2 2 2 2 2" xfId="40049" xr:uid="{EEA28B64-59DD-4633-B8A7-8535ABA6BE73}"/>
    <cellStyle name="20% - Accent2 12 3 2 2 2 3" xfId="24153" xr:uid="{00000000-0005-0000-0000-000031080000}"/>
    <cellStyle name="20% - Accent2 12 3 2 2 2 3 2" xfId="47985" xr:uid="{AE4E6F56-20F7-4598-AB25-C07E57A01E0E}"/>
    <cellStyle name="20% - Accent2 12 3 2 2 2 4" xfId="32108" xr:uid="{67D9241E-152F-43C1-ACF2-68957A6F7BBA}"/>
    <cellStyle name="20% - Accent2 12 3 2 2 3" xfId="12669" xr:uid="{00000000-0005-0000-0000-000032080000}"/>
    <cellStyle name="20% - Accent2 12 3 2 2 3 2" xfId="36518" xr:uid="{8425D5EB-6794-4D8C-8451-E6588E8F078B}"/>
    <cellStyle name="20% - Accent2 12 3 2 2 4" xfId="20624" xr:uid="{00000000-0005-0000-0000-000033080000}"/>
    <cellStyle name="20% - Accent2 12 3 2 2 4 2" xfId="44456" xr:uid="{957AE13A-D68B-41A7-AEC7-95C0E41CAA48}"/>
    <cellStyle name="20% - Accent2 12 3 2 2 5" xfId="28577" xr:uid="{9A87EB85-1168-4DB5-810B-EA964A10B51D}"/>
    <cellStyle name="20% - Accent2 12 3 2 3" xfId="6477" xr:uid="{00000000-0005-0000-0000-000034080000}"/>
    <cellStyle name="20% - Accent2 12 3 2 3 2" xfId="14449" xr:uid="{00000000-0005-0000-0000-000035080000}"/>
    <cellStyle name="20% - Accent2 12 3 2 3 2 2" xfId="38291" xr:uid="{0DEFCA89-65FB-4B6B-A6D3-C5DEC4763FA6}"/>
    <cellStyle name="20% - Accent2 12 3 2 3 3" xfId="22396" xr:uid="{00000000-0005-0000-0000-000036080000}"/>
    <cellStyle name="20% - Accent2 12 3 2 3 3 2" xfId="46228" xr:uid="{78E37F05-B5DC-4E95-8B8B-6CB9D2C9DCF3}"/>
    <cellStyle name="20% - Accent2 12 3 2 3 4" xfId="30350" xr:uid="{A94F2000-35C8-406E-8BEE-BCEF748BD91F}"/>
    <cellStyle name="20% - Accent2 12 3 2 4" xfId="10913" xr:uid="{00000000-0005-0000-0000-000037080000}"/>
    <cellStyle name="20% - Accent2 12 3 2 4 2" xfId="34762" xr:uid="{77CC2BFF-F6E1-411E-8C25-FDD3B04FD2E8}"/>
    <cellStyle name="20% - Accent2 12 3 2 5" xfId="18868" xr:uid="{00000000-0005-0000-0000-000038080000}"/>
    <cellStyle name="20% - Accent2 12 3 2 5 2" xfId="42700" xr:uid="{4CF082E8-561A-402C-95C1-038521D0F4A6}"/>
    <cellStyle name="20% - Accent2 12 3 2 6" xfId="26820" xr:uid="{856F3034-F691-44E2-AAC5-E5930803E954}"/>
    <cellStyle name="20% - Accent2 12 3 2_Exh G" xfId="2087" xr:uid="{00000000-0005-0000-0000-000039080000}"/>
    <cellStyle name="20% - Accent2 12 3 3" xfId="3766" xr:uid="{00000000-0005-0000-0000-00003A080000}"/>
    <cellStyle name="20% - Accent2 12 3 3 2" xfId="7358" xr:uid="{00000000-0005-0000-0000-00003B080000}"/>
    <cellStyle name="20% - Accent2 12 3 3 2 2" xfId="15329" xr:uid="{00000000-0005-0000-0000-00003C080000}"/>
    <cellStyle name="20% - Accent2 12 3 3 2 2 2" xfId="39171" xr:uid="{248F6B0F-C19A-4A1D-AA8D-29BF79A3F267}"/>
    <cellStyle name="20% - Accent2 12 3 3 2 3" xfId="23275" xr:uid="{00000000-0005-0000-0000-00003D080000}"/>
    <cellStyle name="20% - Accent2 12 3 3 2 3 2" xfId="47107" xr:uid="{CEB336E8-6A6C-4470-99DE-8D113D0A988D}"/>
    <cellStyle name="20% - Accent2 12 3 3 2 4" xfId="31230" xr:uid="{80F25D8F-FF45-48BF-8A02-686F497168CD}"/>
    <cellStyle name="20% - Accent2 12 3 3 3" xfId="11791" xr:uid="{00000000-0005-0000-0000-00003E080000}"/>
    <cellStyle name="20% - Accent2 12 3 3 3 2" xfId="35640" xr:uid="{D81B9779-F239-488D-8B59-3D6C1F41362D}"/>
    <cellStyle name="20% - Accent2 12 3 3 4" xfId="19746" xr:uid="{00000000-0005-0000-0000-00003F080000}"/>
    <cellStyle name="20% - Accent2 12 3 3 4 2" xfId="43578" xr:uid="{FC1EAA2B-C0AA-47BB-B836-8A79AD6A634D}"/>
    <cellStyle name="20% - Accent2 12 3 3 5" xfId="27699" xr:uid="{66092FBA-11A9-4D37-851C-9BF44D7365BF}"/>
    <cellStyle name="20% - Accent2 12 3 4" xfId="5586" xr:uid="{00000000-0005-0000-0000-000040080000}"/>
    <cellStyle name="20% - Accent2 12 3 4 2" xfId="13570" xr:uid="{00000000-0005-0000-0000-000041080000}"/>
    <cellStyle name="20% - Accent2 12 3 4 2 2" xfId="37413" xr:uid="{5CA3C947-665C-4352-86A3-1CE60374BBFC}"/>
    <cellStyle name="20% - Accent2 12 3 4 3" xfId="21518" xr:uid="{00000000-0005-0000-0000-000042080000}"/>
    <cellStyle name="20% - Accent2 12 3 4 3 2" xfId="45350" xr:uid="{BE029425-013E-4388-878F-A80949FA1F8C}"/>
    <cellStyle name="20% - Accent2 12 3 4 4" xfId="29472" xr:uid="{DD773A41-29B7-4089-934A-A762081BA8E6}"/>
    <cellStyle name="20% - Accent2 12 3 5" xfId="9139" xr:uid="{00000000-0005-0000-0000-000043080000}"/>
    <cellStyle name="20% - Accent2 12 3 5 2" xfId="17097" xr:uid="{00000000-0005-0000-0000-000044080000}"/>
    <cellStyle name="20% - Accent2 12 3 5 2 2" xfId="40937" xr:uid="{FD44D127-87EB-4AA7-AE05-7E0D29D72A1E}"/>
    <cellStyle name="20% - Accent2 12 3 5 3" xfId="25041" xr:uid="{00000000-0005-0000-0000-000045080000}"/>
    <cellStyle name="20% - Accent2 12 3 5 3 2" xfId="48873" xr:uid="{BB4EB76E-76B7-4E02-BAE7-5D54A6532028}"/>
    <cellStyle name="20% - Accent2 12 3 5 4" xfId="32996" xr:uid="{8BAE4D8F-24C4-4F5A-A234-F347DF133BF0}"/>
    <cellStyle name="20% - Accent2 12 3 6" xfId="10035" xr:uid="{00000000-0005-0000-0000-000046080000}"/>
    <cellStyle name="20% - Accent2 12 3 6 2" xfId="33884" xr:uid="{3AA79171-EEE9-4510-AEA1-BDDC54ABE07C}"/>
    <cellStyle name="20% - Accent2 12 3 7" xfId="17990" xr:uid="{00000000-0005-0000-0000-000047080000}"/>
    <cellStyle name="20% - Accent2 12 3 7 2" xfId="41822" xr:uid="{2A97CE21-2DB2-4E5C-A609-91CE5185D131}"/>
    <cellStyle name="20% - Accent2 12 3 8" xfId="25942" xr:uid="{E7B8F61A-7B5D-43EC-B129-8C7BBEAD8220}"/>
    <cellStyle name="20% - Accent2 12 3_Exh G" xfId="2086" xr:uid="{00000000-0005-0000-0000-000048080000}"/>
    <cellStyle name="20% - Accent2 12 4" xfId="1112" xr:uid="{00000000-0005-0000-0000-000049080000}"/>
    <cellStyle name="20% - Accent2 12 4 2" xfId="4642" xr:uid="{00000000-0005-0000-0000-00004A080000}"/>
    <cellStyle name="20% - Accent2 12 4 2 2" xfId="8233" xr:uid="{00000000-0005-0000-0000-00004B080000}"/>
    <cellStyle name="20% - Accent2 12 4 2 2 2" xfId="16204" xr:uid="{00000000-0005-0000-0000-00004C080000}"/>
    <cellStyle name="20% - Accent2 12 4 2 2 2 2" xfId="40046" xr:uid="{16BFA0B2-7216-4567-AFBD-EDD130AD73D4}"/>
    <cellStyle name="20% - Accent2 12 4 2 2 3" xfId="24150" xr:uid="{00000000-0005-0000-0000-00004D080000}"/>
    <cellStyle name="20% - Accent2 12 4 2 2 3 2" xfId="47982" xr:uid="{3AFB8441-DB8B-4FC1-84FC-3CA2395F7A8E}"/>
    <cellStyle name="20% - Accent2 12 4 2 2 4" xfId="32105" xr:uid="{565DEFB2-AE17-487A-B603-78C156B78ED9}"/>
    <cellStyle name="20% - Accent2 12 4 2 3" xfId="12666" xr:uid="{00000000-0005-0000-0000-00004E080000}"/>
    <cellStyle name="20% - Accent2 12 4 2 3 2" xfId="36515" xr:uid="{DA829A0D-133D-41D9-89DA-FB044E5975EE}"/>
    <cellStyle name="20% - Accent2 12 4 2 4" xfId="20621" xr:uid="{00000000-0005-0000-0000-00004F080000}"/>
    <cellStyle name="20% - Accent2 12 4 2 4 2" xfId="44453" xr:uid="{6D818DA6-A742-424C-940D-6EFF08B7CF61}"/>
    <cellStyle name="20% - Accent2 12 4 2 5" xfId="28574" xr:uid="{67EA8298-C584-470E-9493-3AC825863532}"/>
    <cellStyle name="20% - Accent2 12 4 3" xfId="6474" xr:uid="{00000000-0005-0000-0000-000050080000}"/>
    <cellStyle name="20% - Accent2 12 4 3 2" xfId="14446" xr:uid="{00000000-0005-0000-0000-000051080000}"/>
    <cellStyle name="20% - Accent2 12 4 3 2 2" xfId="38288" xr:uid="{D80ED4DA-9FDB-4646-9463-4F4203E5BB60}"/>
    <cellStyle name="20% - Accent2 12 4 3 3" xfId="22393" xr:uid="{00000000-0005-0000-0000-000052080000}"/>
    <cellStyle name="20% - Accent2 12 4 3 3 2" xfId="46225" xr:uid="{E4AE05E1-6509-4176-81D9-C800E10D30A4}"/>
    <cellStyle name="20% - Accent2 12 4 3 4" xfId="30347" xr:uid="{09D4E156-D7A3-4779-B6B5-282C79846BBE}"/>
    <cellStyle name="20% - Accent2 12 4 4" xfId="10910" xr:uid="{00000000-0005-0000-0000-000053080000}"/>
    <cellStyle name="20% - Accent2 12 4 4 2" xfId="34759" xr:uid="{F283D460-C7FC-4682-996D-9F500767E642}"/>
    <cellStyle name="20% - Accent2 12 4 5" xfId="18865" xr:uid="{00000000-0005-0000-0000-000054080000}"/>
    <cellStyle name="20% - Accent2 12 4 5 2" xfId="42697" xr:uid="{3CA7A81B-FDDA-43E7-8B97-32DE3D606B6D}"/>
    <cellStyle name="20% - Accent2 12 4 6" xfId="26817" xr:uid="{F314E17F-000F-4263-9258-ACF1515D762D}"/>
    <cellStyle name="20% - Accent2 12 4_Exh G" xfId="2088" xr:uid="{00000000-0005-0000-0000-000055080000}"/>
    <cellStyle name="20% - Accent2 12 5" xfId="3763" xr:uid="{00000000-0005-0000-0000-000056080000}"/>
    <cellStyle name="20% - Accent2 12 5 2" xfId="7355" xr:uid="{00000000-0005-0000-0000-000057080000}"/>
    <cellStyle name="20% - Accent2 12 5 2 2" xfId="15326" xr:uid="{00000000-0005-0000-0000-000058080000}"/>
    <cellStyle name="20% - Accent2 12 5 2 2 2" xfId="39168" xr:uid="{DD00CF78-9393-47A8-8A4E-4D1EF5874705}"/>
    <cellStyle name="20% - Accent2 12 5 2 3" xfId="23272" xr:uid="{00000000-0005-0000-0000-000059080000}"/>
    <cellStyle name="20% - Accent2 12 5 2 3 2" xfId="47104" xr:uid="{69464ABC-40F5-4562-A4EE-5509AB812854}"/>
    <cellStyle name="20% - Accent2 12 5 2 4" xfId="31227" xr:uid="{2608BD43-5B56-4CE8-8A67-EF57FF40E534}"/>
    <cellStyle name="20% - Accent2 12 5 3" xfId="11788" xr:uid="{00000000-0005-0000-0000-00005A080000}"/>
    <cellStyle name="20% - Accent2 12 5 3 2" xfId="35637" xr:uid="{14622E8A-2580-4023-A59A-5A3624135D04}"/>
    <cellStyle name="20% - Accent2 12 5 4" xfId="19743" xr:uid="{00000000-0005-0000-0000-00005B080000}"/>
    <cellStyle name="20% - Accent2 12 5 4 2" xfId="43575" xr:uid="{3449B977-BE57-475F-B432-B41328E25BF1}"/>
    <cellStyle name="20% - Accent2 12 5 5" xfId="27696" xr:uid="{0DC3CFBD-27B6-4031-9B2D-14EF94379631}"/>
    <cellStyle name="20% - Accent2 12 6" xfId="5583" xr:uid="{00000000-0005-0000-0000-00005C080000}"/>
    <cellStyle name="20% - Accent2 12 6 2" xfId="13567" xr:uid="{00000000-0005-0000-0000-00005D080000}"/>
    <cellStyle name="20% - Accent2 12 6 2 2" xfId="37410" xr:uid="{2851A503-F2E7-4C74-90E3-7D115F7E4A8E}"/>
    <cellStyle name="20% - Accent2 12 6 3" xfId="21515" xr:uid="{00000000-0005-0000-0000-00005E080000}"/>
    <cellStyle name="20% - Accent2 12 6 3 2" xfId="45347" xr:uid="{6812A477-CF48-45E7-85CD-3D33E508513A}"/>
    <cellStyle name="20% - Accent2 12 6 4" xfId="29469" xr:uid="{CA1C8630-9A03-4177-B95A-8645EB114DD6}"/>
    <cellStyle name="20% - Accent2 12 7" xfId="9136" xr:uid="{00000000-0005-0000-0000-00005F080000}"/>
    <cellStyle name="20% - Accent2 12 7 2" xfId="17094" xr:uid="{00000000-0005-0000-0000-000060080000}"/>
    <cellStyle name="20% - Accent2 12 7 2 2" xfId="40934" xr:uid="{0F40CF1B-E45B-4603-87AB-8C91CB926366}"/>
    <cellStyle name="20% - Accent2 12 7 3" xfId="25038" xr:uid="{00000000-0005-0000-0000-000061080000}"/>
    <cellStyle name="20% - Accent2 12 7 3 2" xfId="48870" xr:uid="{6C1AA045-7C6B-47A1-9BD8-519B7DD87AEA}"/>
    <cellStyle name="20% - Accent2 12 7 4" xfId="32993" xr:uid="{54009C6D-D273-42BB-AF7E-455BA1BE4126}"/>
    <cellStyle name="20% - Accent2 12 8" xfId="10032" xr:uid="{00000000-0005-0000-0000-000062080000}"/>
    <cellStyle name="20% - Accent2 12 8 2" xfId="33881" xr:uid="{FC3E6207-3B84-40B9-8070-4ECACF12DFC8}"/>
    <cellStyle name="20% - Accent2 12 9" xfId="17987" xr:uid="{00000000-0005-0000-0000-000063080000}"/>
    <cellStyle name="20% - Accent2 12 9 2" xfId="41819" xr:uid="{E78EEB1D-6696-4E18-80D4-2F1390AD3F53}"/>
    <cellStyle name="20% - Accent2 12_Exh G" xfId="2081" xr:uid="{00000000-0005-0000-0000-000064080000}"/>
    <cellStyle name="20% - Accent2 13" xfId="88" xr:uid="{00000000-0005-0000-0000-000065080000}"/>
    <cellStyle name="20% - Accent2 13 10" xfId="25943" xr:uid="{9C2D83CE-D1F4-44FE-8A4C-75E1335F8532}"/>
    <cellStyle name="20% - Accent2 13 2" xfId="89" xr:uid="{00000000-0005-0000-0000-000066080000}"/>
    <cellStyle name="20% - Accent2 13 2 2" xfId="90" xr:uid="{00000000-0005-0000-0000-000067080000}"/>
    <cellStyle name="20% - Accent2 13 2 2 2" xfId="1118" xr:uid="{00000000-0005-0000-0000-000068080000}"/>
    <cellStyle name="20% - Accent2 13 2 2 2 2" xfId="4648" xr:uid="{00000000-0005-0000-0000-000069080000}"/>
    <cellStyle name="20% - Accent2 13 2 2 2 2 2" xfId="8239" xr:uid="{00000000-0005-0000-0000-00006A080000}"/>
    <cellStyle name="20% - Accent2 13 2 2 2 2 2 2" xfId="16210" xr:uid="{00000000-0005-0000-0000-00006B080000}"/>
    <cellStyle name="20% - Accent2 13 2 2 2 2 2 2 2" xfId="40052" xr:uid="{AED9F3E9-2C7C-4050-AF74-C2D14B0643A1}"/>
    <cellStyle name="20% - Accent2 13 2 2 2 2 2 3" xfId="24156" xr:uid="{00000000-0005-0000-0000-00006C080000}"/>
    <cellStyle name="20% - Accent2 13 2 2 2 2 2 3 2" xfId="47988" xr:uid="{40F36081-CEBF-4166-8793-E92505D3AA5D}"/>
    <cellStyle name="20% - Accent2 13 2 2 2 2 2 4" xfId="32111" xr:uid="{6E13E938-6CDE-4875-AC01-A0DB28426616}"/>
    <cellStyle name="20% - Accent2 13 2 2 2 2 3" xfId="12672" xr:uid="{00000000-0005-0000-0000-00006D080000}"/>
    <cellStyle name="20% - Accent2 13 2 2 2 2 3 2" xfId="36521" xr:uid="{196EF54B-7DE7-470C-8047-378047A55BFD}"/>
    <cellStyle name="20% - Accent2 13 2 2 2 2 4" xfId="20627" xr:uid="{00000000-0005-0000-0000-00006E080000}"/>
    <cellStyle name="20% - Accent2 13 2 2 2 2 4 2" xfId="44459" xr:uid="{C93F3766-F375-4A30-8F8F-D400039B7845}"/>
    <cellStyle name="20% - Accent2 13 2 2 2 2 5" xfId="28580" xr:uid="{598F1EA6-22B1-42A4-8CCE-99051FA264EE}"/>
    <cellStyle name="20% - Accent2 13 2 2 2 3" xfId="6480" xr:uid="{00000000-0005-0000-0000-00006F080000}"/>
    <cellStyle name="20% - Accent2 13 2 2 2 3 2" xfId="14452" xr:uid="{00000000-0005-0000-0000-000070080000}"/>
    <cellStyle name="20% - Accent2 13 2 2 2 3 2 2" xfId="38294" xr:uid="{4D316B75-2F60-4CA2-BC5E-5452A28FF321}"/>
    <cellStyle name="20% - Accent2 13 2 2 2 3 3" xfId="22399" xr:uid="{00000000-0005-0000-0000-000071080000}"/>
    <cellStyle name="20% - Accent2 13 2 2 2 3 3 2" xfId="46231" xr:uid="{0C5A2ED4-B292-4191-B2D2-5C06600BD074}"/>
    <cellStyle name="20% - Accent2 13 2 2 2 3 4" xfId="30353" xr:uid="{CD8A5B4E-C997-4DB8-8B3E-41631457150A}"/>
    <cellStyle name="20% - Accent2 13 2 2 2 4" xfId="10916" xr:uid="{00000000-0005-0000-0000-000072080000}"/>
    <cellStyle name="20% - Accent2 13 2 2 2 4 2" xfId="34765" xr:uid="{7A5A8AE2-5048-4584-AE8B-22C27F4E1332}"/>
    <cellStyle name="20% - Accent2 13 2 2 2 5" xfId="18871" xr:uid="{00000000-0005-0000-0000-000073080000}"/>
    <cellStyle name="20% - Accent2 13 2 2 2 5 2" xfId="42703" xr:uid="{CC43635D-0668-44F0-ADED-213ADD5A30CD}"/>
    <cellStyle name="20% - Accent2 13 2 2 2 6" xfId="26823" xr:uid="{02530059-2172-47D0-9132-A8AD28A7F45D}"/>
    <cellStyle name="20% - Accent2 13 2 2 2_Exh G" xfId="2092" xr:uid="{00000000-0005-0000-0000-000074080000}"/>
    <cellStyle name="20% - Accent2 13 2 2 3" xfId="3769" xr:uid="{00000000-0005-0000-0000-000075080000}"/>
    <cellStyle name="20% - Accent2 13 2 2 3 2" xfId="7361" xr:uid="{00000000-0005-0000-0000-000076080000}"/>
    <cellStyle name="20% - Accent2 13 2 2 3 2 2" xfId="15332" xr:uid="{00000000-0005-0000-0000-000077080000}"/>
    <cellStyle name="20% - Accent2 13 2 2 3 2 2 2" xfId="39174" xr:uid="{77C78D63-C3AC-46AB-94D9-D51EA5FE39AA}"/>
    <cellStyle name="20% - Accent2 13 2 2 3 2 3" xfId="23278" xr:uid="{00000000-0005-0000-0000-000078080000}"/>
    <cellStyle name="20% - Accent2 13 2 2 3 2 3 2" xfId="47110" xr:uid="{0D645EB8-4134-46FC-B674-DE27D84D2AE2}"/>
    <cellStyle name="20% - Accent2 13 2 2 3 2 4" xfId="31233" xr:uid="{CBF9F668-9DC8-4F0E-ACCB-F24FA6AFEE89}"/>
    <cellStyle name="20% - Accent2 13 2 2 3 3" xfId="11794" xr:uid="{00000000-0005-0000-0000-000079080000}"/>
    <cellStyle name="20% - Accent2 13 2 2 3 3 2" xfId="35643" xr:uid="{FD56095C-7EB9-40CF-B1BE-B7349D637027}"/>
    <cellStyle name="20% - Accent2 13 2 2 3 4" xfId="19749" xr:uid="{00000000-0005-0000-0000-00007A080000}"/>
    <cellStyle name="20% - Accent2 13 2 2 3 4 2" xfId="43581" xr:uid="{0B2B8B2E-5496-4D94-B9C2-A06C010A1991}"/>
    <cellStyle name="20% - Accent2 13 2 2 3 5" xfId="27702" xr:uid="{570BFDB6-F39F-40EC-85B1-F8B32CBF033F}"/>
    <cellStyle name="20% - Accent2 13 2 2 4" xfId="5589" xr:uid="{00000000-0005-0000-0000-00007B080000}"/>
    <cellStyle name="20% - Accent2 13 2 2 4 2" xfId="13573" xr:uid="{00000000-0005-0000-0000-00007C080000}"/>
    <cellStyle name="20% - Accent2 13 2 2 4 2 2" xfId="37416" xr:uid="{5799E57E-388A-46AA-8871-E757D17B9468}"/>
    <cellStyle name="20% - Accent2 13 2 2 4 3" xfId="21521" xr:uid="{00000000-0005-0000-0000-00007D080000}"/>
    <cellStyle name="20% - Accent2 13 2 2 4 3 2" xfId="45353" xr:uid="{746F6877-6ACD-4987-BAEC-F164232363EC}"/>
    <cellStyle name="20% - Accent2 13 2 2 4 4" xfId="29475" xr:uid="{7A195C65-AF02-4AAF-B90B-7DDCF80FE71F}"/>
    <cellStyle name="20% - Accent2 13 2 2 5" xfId="9142" xr:uid="{00000000-0005-0000-0000-00007E080000}"/>
    <cellStyle name="20% - Accent2 13 2 2 5 2" xfId="17100" xr:uid="{00000000-0005-0000-0000-00007F080000}"/>
    <cellStyle name="20% - Accent2 13 2 2 5 2 2" xfId="40940" xr:uid="{6F5EB8C1-7D75-40D6-98AF-CA88134AA666}"/>
    <cellStyle name="20% - Accent2 13 2 2 5 3" xfId="25044" xr:uid="{00000000-0005-0000-0000-000080080000}"/>
    <cellStyle name="20% - Accent2 13 2 2 5 3 2" xfId="48876" xr:uid="{0FCF70FC-A8E6-4F66-8DD6-C8DDEA54863A}"/>
    <cellStyle name="20% - Accent2 13 2 2 5 4" xfId="32999" xr:uid="{129E5EBF-A43B-4123-BFEE-D91B6F3E632F}"/>
    <cellStyle name="20% - Accent2 13 2 2 6" xfId="10038" xr:uid="{00000000-0005-0000-0000-000081080000}"/>
    <cellStyle name="20% - Accent2 13 2 2 6 2" xfId="33887" xr:uid="{0E7BF761-E0EA-4BD1-A206-764D210E1271}"/>
    <cellStyle name="20% - Accent2 13 2 2 7" xfId="17993" xr:uid="{00000000-0005-0000-0000-000082080000}"/>
    <cellStyle name="20% - Accent2 13 2 2 7 2" xfId="41825" xr:uid="{140C1403-366D-492D-A497-C8E132D24C90}"/>
    <cellStyle name="20% - Accent2 13 2 2 8" xfId="25945" xr:uid="{19453550-E800-43AB-82C3-139ED4920112}"/>
    <cellStyle name="20% - Accent2 13 2 2_Exh G" xfId="2091" xr:uid="{00000000-0005-0000-0000-000083080000}"/>
    <cellStyle name="20% - Accent2 13 2 3" xfId="1117" xr:uid="{00000000-0005-0000-0000-000084080000}"/>
    <cellStyle name="20% - Accent2 13 2 3 2" xfId="4647" xr:uid="{00000000-0005-0000-0000-000085080000}"/>
    <cellStyle name="20% - Accent2 13 2 3 2 2" xfId="8238" xr:uid="{00000000-0005-0000-0000-000086080000}"/>
    <cellStyle name="20% - Accent2 13 2 3 2 2 2" xfId="16209" xr:uid="{00000000-0005-0000-0000-000087080000}"/>
    <cellStyle name="20% - Accent2 13 2 3 2 2 2 2" xfId="40051" xr:uid="{F19F1529-39AB-4809-9323-CAC68558EBD0}"/>
    <cellStyle name="20% - Accent2 13 2 3 2 2 3" xfId="24155" xr:uid="{00000000-0005-0000-0000-000088080000}"/>
    <cellStyle name="20% - Accent2 13 2 3 2 2 3 2" xfId="47987" xr:uid="{66590B54-7DEB-4870-BF97-8C32A5F4ED93}"/>
    <cellStyle name="20% - Accent2 13 2 3 2 2 4" xfId="32110" xr:uid="{580549B3-0982-437D-ADD1-605C58C4D2FB}"/>
    <cellStyle name="20% - Accent2 13 2 3 2 3" xfId="12671" xr:uid="{00000000-0005-0000-0000-000089080000}"/>
    <cellStyle name="20% - Accent2 13 2 3 2 3 2" xfId="36520" xr:uid="{F73DB968-5067-4F7D-B80E-7B1D348137A3}"/>
    <cellStyle name="20% - Accent2 13 2 3 2 4" xfId="20626" xr:uid="{00000000-0005-0000-0000-00008A080000}"/>
    <cellStyle name="20% - Accent2 13 2 3 2 4 2" xfId="44458" xr:uid="{738403EF-23FA-47CC-AE9A-4B69077F6938}"/>
    <cellStyle name="20% - Accent2 13 2 3 2 5" xfId="28579" xr:uid="{4B5DB05E-890E-4BCA-BE73-6FDA5F8D0690}"/>
    <cellStyle name="20% - Accent2 13 2 3 3" xfId="6479" xr:uid="{00000000-0005-0000-0000-00008B080000}"/>
    <cellStyle name="20% - Accent2 13 2 3 3 2" xfId="14451" xr:uid="{00000000-0005-0000-0000-00008C080000}"/>
    <cellStyle name="20% - Accent2 13 2 3 3 2 2" xfId="38293" xr:uid="{2D6ADA7A-C084-43F4-8881-25B009548D6B}"/>
    <cellStyle name="20% - Accent2 13 2 3 3 3" xfId="22398" xr:uid="{00000000-0005-0000-0000-00008D080000}"/>
    <cellStyle name="20% - Accent2 13 2 3 3 3 2" xfId="46230" xr:uid="{C6C841D2-EA97-4A86-BA18-E7891297BB76}"/>
    <cellStyle name="20% - Accent2 13 2 3 3 4" xfId="30352" xr:uid="{79E148AB-D7F8-4079-82A8-938AF132692F}"/>
    <cellStyle name="20% - Accent2 13 2 3 4" xfId="10915" xr:uid="{00000000-0005-0000-0000-00008E080000}"/>
    <cellStyle name="20% - Accent2 13 2 3 4 2" xfId="34764" xr:uid="{F86FD041-AD43-4908-9BB4-1C0A2575962A}"/>
    <cellStyle name="20% - Accent2 13 2 3 5" xfId="18870" xr:uid="{00000000-0005-0000-0000-00008F080000}"/>
    <cellStyle name="20% - Accent2 13 2 3 5 2" xfId="42702" xr:uid="{90B3CE93-BE2F-4F94-A559-1D03B936EBE2}"/>
    <cellStyle name="20% - Accent2 13 2 3 6" xfId="26822" xr:uid="{8A9B1DFC-8F4C-4778-8F73-FE831678037C}"/>
    <cellStyle name="20% - Accent2 13 2 3_Exh G" xfId="2093" xr:uid="{00000000-0005-0000-0000-000090080000}"/>
    <cellStyle name="20% - Accent2 13 2 4" xfId="3768" xr:uid="{00000000-0005-0000-0000-000091080000}"/>
    <cellStyle name="20% - Accent2 13 2 4 2" xfId="7360" xr:uid="{00000000-0005-0000-0000-000092080000}"/>
    <cellStyle name="20% - Accent2 13 2 4 2 2" xfId="15331" xr:uid="{00000000-0005-0000-0000-000093080000}"/>
    <cellStyle name="20% - Accent2 13 2 4 2 2 2" xfId="39173" xr:uid="{B2CE9ED3-523A-4415-AA14-4DF1BF59CF58}"/>
    <cellStyle name="20% - Accent2 13 2 4 2 3" xfId="23277" xr:uid="{00000000-0005-0000-0000-000094080000}"/>
    <cellStyle name="20% - Accent2 13 2 4 2 3 2" xfId="47109" xr:uid="{CD7BF69E-4C31-4BEC-8CFA-677AA740356E}"/>
    <cellStyle name="20% - Accent2 13 2 4 2 4" xfId="31232" xr:uid="{0396AE0E-A572-4992-9A8E-022376616B6B}"/>
    <cellStyle name="20% - Accent2 13 2 4 3" xfId="11793" xr:uid="{00000000-0005-0000-0000-000095080000}"/>
    <cellStyle name="20% - Accent2 13 2 4 3 2" xfId="35642" xr:uid="{B60480ED-C2A7-4335-A7AF-E1C31E823131}"/>
    <cellStyle name="20% - Accent2 13 2 4 4" xfId="19748" xr:uid="{00000000-0005-0000-0000-000096080000}"/>
    <cellStyle name="20% - Accent2 13 2 4 4 2" xfId="43580" xr:uid="{14084C7F-E5DA-482A-B8BB-DB38CD8B6885}"/>
    <cellStyle name="20% - Accent2 13 2 4 5" xfId="27701" xr:uid="{78275610-34E7-40F8-A1F7-8FB0B5B0498E}"/>
    <cellStyle name="20% - Accent2 13 2 5" xfId="5588" xr:uid="{00000000-0005-0000-0000-000097080000}"/>
    <cellStyle name="20% - Accent2 13 2 5 2" xfId="13572" xr:uid="{00000000-0005-0000-0000-000098080000}"/>
    <cellStyle name="20% - Accent2 13 2 5 2 2" xfId="37415" xr:uid="{0C702A0C-8BE4-4BE4-8C8E-3CE9B23D1129}"/>
    <cellStyle name="20% - Accent2 13 2 5 3" xfId="21520" xr:uid="{00000000-0005-0000-0000-000099080000}"/>
    <cellStyle name="20% - Accent2 13 2 5 3 2" xfId="45352" xr:uid="{876AEDD8-2109-48F3-BB64-8A4058856B37}"/>
    <cellStyle name="20% - Accent2 13 2 5 4" xfId="29474" xr:uid="{579F650E-5374-407F-BAA4-C7A013C6A1FF}"/>
    <cellStyle name="20% - Accent2 13 2 6" xfId="9141" xr:uid="{00000000-0005-0000-0000-00009A080000}"/>
    <cellStyle name="20% - Accent2 13 2 6 2" xfId="17099" xr:uid="{00000000-0005-0000-0000-00009B080000}"/>
    <cellStyle name="20% - Accent2 13 2 6 2 2" xfId="40939" xr:uid="{F5A2C394-97F8-4105-96C3-35CFE10C89ED}"/>
    <cellStyle name="20% - Accent2 13 2 6 3" xfId="25043" xr:uid="{00000000-0005-0000-0000-00009C080000}"/>
    <cellStyle name="20% - Accent2 13 2 6 3 2" xfId="48875" xr:uid="{0BA132A3-A4C2-49C9-B4EE-01E22FC231F5}"/>
    <cellStyle name="20% - Accent2 13 2 6 4" xfId="32998" xr:uid="{C69E6235-8479-41A7-9E79-F14C0FB06672}"/>
    <cellStyle name="20% - Accent2 13 2 7" xfId="10037" xr:uid="{00000000-0005-0000-0000-00009D080000}"/>
    <cellStyle name="20% - Accent2 13 2 7 2" xfId="33886" xr:uid="{F7E56A2B-CB2A-4992-8112-6442BD7A4DB6}"/>
    <cellStyle name="20% - Accent2 13 2 8" xfId="17992" xr:uid="{00000000-0005-0000-0000-00009E080000}"/>
    <cellStyle name="20% - Accent2 13 2 8 2" xfId="41824" xr:uid="{62C8459F-F04F-4FF6-9DE3-978F87F618D7}"/>
    <cellStyle name="20% - Accent2 13 2 9" xfId="25944" xr:uid="{568A96BB-7842-4977-B422-748E24F5DE09}"/>
    <cellStyle name="20% - Accent2 13 2_Exh G" xfId="2090" xr:uid="{00000000-0005-0000-0000-00009F080000}"/>
    <cellStyle name="20% - Accent2 13 3" xfId="91" xr:uid="{00000000-0005-0000-0000-0000A0080000}"/>
    <cellStyle name="20% - Accent2 13 3 2" xfId="1119" xr:uid="{00000000-0005-0000-0000-0000A1080000}"/>
    <cellStyle name="20% - Accent2 13 3 2 2" xfId="4649" xr:uid="{00000000-0005-0000-0000-0000A2080000}"/>
    <cellStyle name="20% - Accent2 13 3 2 2 2" xfId="8240" xr:uid="{00000000-0005-0000-0000-0000A3080000}"/>
    <cellStyle name="20% - Accent2 13 3 2 2 2 2" xfId="16211" xr:uid="{00000000-0005-0000-0000-0000A4080000}"/>
    <cellStyle name="20% - Accent2 13 3 2 2 2 2 2" xfId="40053" xr:uid="{6716D002-7393-4398-81EF-BEC32B859BB2}"/>
    <cellStyle name="20% - Accent2 13 3 2 2 2 3" xfId="24157" xr:uid="{00000000-0005-0000-0000-0000A5080000}"/>
    <cellStyle name="20% - Accent2 13 3 2 2 2 3 2" xfId="47989" xr:uid="{BCEC88FB-6B48-4B40-90ED-E625F4B9BFCD}"/>
    <cellStyle name="20% - Accent2 13 3 2 2 2 4" xfId="32112" xr:uid="{39DAE36D-6E56-40C3-A52F-34D37A6B64D1}"/>
    <cellStyle name="20% - Accent2 13 3 2 2 3" xfId="12673" xr:uid="{00000000-0005-0000-0000-0000A6080000}"/>
    <cellStyle name="20% - Accent2 13 3 2 2 3 2" xfId="36522" xr:uid="{2FB747D1-CEC9-4FE4-A9FC-DEE24B66A07E}"/>
    <cellStyle name="20% - Accent2 13 3 2 2 4" xfId="20628" xr:uid="{00000000-0005-0000-0000-0000A7080000}"/>
    <cellStyle name="20% - Accent2 13 3 2 2 4 2" xfId="44460" xr:uid="{53C2ACFF-17F3-4AE7-B6BA-9E3F05302536}"/>
    <cellStyle name="20% - Accent2 13 3 2 2 5" xfId="28581" xr:uid="{CB5ACD10-39FA-421C-88D5-E2CFE005EF96}"/>
    <cellStyle name="20% - Accent2 13 3 2 3" xfId="6481" xr:uid="{00000000-0005-0000-0000-0000A8080000}"/>
    <cellStyle name="20% - Accent2 13 3 2 3 2" xfId="14453" xr:uid="{00000000-0005-0000-0000-0000A9080000}"/>
    <cellStyle name="20% - Accent2 13 3 2 3 2 2" xfId="38295" xr:uid="{576DF8E7-5B11-474C-9D8F-DEBB045EB4D2}"/>
    <cellStyle name="20% - Accent2 13 3 2 3 3" xfId="22400" xr:uid="{00000000-0005-0000-0000-0000AA080000}"/>
    <cellStyle name="20% - Accent2 13 3 2 3 3 2" xfId="46232" xr:uid="{F5361A23-018B-46A1-940F-5CDA174C5C37}"/>
    <cellStyle name="20% - Accent2 13 3 2 3 4" xfId="30354" xr:uid="{0F9DBD44-C1F9-4800-A313-D85A3EDEC456}"/>
    <cellStyle name="20% - Accent2 13 3 2 4" xfId="10917" xr:uid="{00000000-0005-0000-0000-0000AB080000}"/>
    <cellStyle name="20% - Accent2 13 3 2 4 2" xfId="34766" xr:uid="{EEC45AF8-E411-4EEC-9BF3-A63F17D9B39F}"/>
    <cellStyle name="20% - Accent2 13 3 2 5" xfId="18872" xr:uid="{00000000-0005-0000-0000-0000AC080000}"/>
    <cellStyle name="20% - Accent2 13 3 2 5 2" xfId="42704" xr:uid="{86F6D109-AF59-40C4-B219-C44A3D309DB8}"/>
    <cellStyle name="20% - Accent2 13 3 2 6" xfId="26824" xr:uid="{00FB9279-8E7B-4676-999D-D3DD3A2CEA47}"/>
    <cellStyle name="20% - Accent2 13 3 2_Exh G" xfId="2095" xr:uid="{00000000-0005-0000-0000-0000AD080000}"/>
    <cellStyle name="20% - Accent2 13 3 3" xfId="3770" xr:uid="{00000000-0005-0000-0000-0000AE080000}"/>
    <cellStyle name="20% - Accent2 13 3 3 2" xfId="7362" xr:uid="{00000000-0005-0000-0000-0000AF080000}"/>
    <cellStyle name="20% - Accent2 13 3 3 2 2" xfId="15333" xr:uid="{00000000-0005-0000-0000-0000B0080000}"/>
    <cellStyle name="20% - Accent2 13 3 3 2 2 2" xfId="39175" xr:uid="{DCA9D86C-B9AA-49C0-9913-534707B48D32}"/>
    <cellStyle name="20% - Accent2 13 3 3 2 3" xfId="23279" xr:uid="{00000000-0005-0000-0000-0000B1080000}"/>
    <cellStyle name="20% - Accent2 13 3 3 2 3 2" xfId="47111" xr:uid="{A941008C-C9FB-42B3-88F5-21C1F8E7B95A}"/>
    <cellStyle name="20% - Accent2 13 3 3 2 4" xfId="31234" xr:uid="{35AA7F71-9177-4DCE-9660-5ABE4A9A760B}"/>
    <cellStyle name="20% - Accent2 13 3 3 3" xfId="11795" xr:uid="{00000000-0005-0000-0000-0000B2080000}"/>
    <cellStyle name="20% - Accent2 13 3 3 3 2" xfId="35644" xr:uid="{C5BABAAF-DD6E-4780-90E9-F1ECEA70C8F5}"/>
    <cellStyle name="20% - Accent2 13 3 3 4" xfId="19750" xr:uid="{00000000-0005-0000-0000-0000B3080000}"/>
    <cellStyle name="20% - Accent2 13 3 3 4 2" xfId="43582" xr:uid="{434000DF-6A36-408B-8D51-14F97942C2B2}"/>
    <cellStyle name="20% - Accent2 13 3 3 5" xfId="27703" xr:uid="{7D9A5179-44A6-4A0D-91E3-7C4DDD626B53}"/>
    <cellStyle name="20% - Accent2 13 3 4" xfId="5590" xr:uid="{00000000-0005-0000-0000-0000B4080000}"/>
    <cellStyle name="20% - Accent2 13 3 4 2" xfId="13574" xr:uid="{00000000-0005-0000-0000-0000B5080000}"/>
    <cellStyle name="20% - Accent2 13 3 4 2 2" xfId="37417" xr:uid="{4CC73FC4-BBDA-47B8-B3C4-7736FAD7C213}"/>
    <cellStyle name="20% - Accent2 13 3 4 3" xfId="21522" xr:uid="{00000000-0005-0000-0000-0000B6080000}"/>
    <cellStyle name="20% - Accent2 13 3 4 3 2" xfId="45354" xr:uid="{2DDC5FBF-F7C5-4BAE-BC4A-5EF06F62EE48}"/>
    <cellStyle name="20% - Accent2 13 3 4 4" xfId="29476" xr:uid="{87D53354-4535-4532-86D2-65F53CBC0508}"/>
    <cellStyle name="20% - Accent2 13 3 5" xfId="9143" xr:uid="{00000000-0005-0000-0000-0000B7080000}"/>
    <cellStyle name="20% - Accent2 13 3 5 2" xfId="17101" xr:uid="{00000000-0005-0000-0000-0000B8080000}"/>
    <cellStyle name="20% - Accent2 13 3 5 2 2" xfId="40941" xr:uid="{2BC10805-1682-48FB-9865-583D2E082318}"/>
    <cellStyle name="20% - Accent2 13 3 5 3" xfId="25045" xr:uid="{00000000-0005-0000-0000-0000B9080000}"/>
    <cellStyle name="20% - Accent2 13 3 5 3 2" xfId="48877" xr:uid="{CC9925F6-70D3-4521-BBC1-DA3757A76E14}"/>
    <cellStyle name="20% - Accent2 13 3 5 4" xfId="33000" xr:uid="{8B84A8F2-72E8-46C3-876E-180FBC8EACD4}"/>
    <cellStyle name="20% - Accent2 13 3 6" xfId="10039" xr:uid="{00000000-0005-0000-0000-0000BA080000}"/>
    <cellStyle name="20% - Accent2 13 3 6 2" xfId="33888" xr:uid="{79AAD0C0-AAE2-4697-A3C1-62A2CFEECC4F}"/>
    <cellStyle name="20% - Accent2 13 3 7" xfId="17994" xr:uid="{00000000-0005-0000-0000-0000BB080000}"/>
    <cellStyle name="20% - Accent2 13 3 7 2" xfId="41826" xr:uid="{6C0C8FFD-80F6-49A0-A6A4-A8178996D3C5}"/>
    <cellStyle name="20% - Accent2 13 3 8" xfId="25946" xr:uid="{108337D7-5AF1-4774-B90B-954CD226813F}"/>
    <cellStyle name="20% - Accent2 13 3_Exh G" xfId="2094" xr:uid="{00000000-0005-0000-0000-0000BC080000}"/>
    <cellStyle name="20% - Accent2 13 4" xfId="1116" xr:uid="{00000000-0005-0000-0000-0000BD080000}"/>
    <cellStyle name="20% - Accent2 13 4 2" xfId="4646" xr:uid="{00000000-0005-0000-0000-0000BE080000}"/>
    <cellStyle name="20% - Accent2 13 4 2 2" xfId="8237" xr:uid="{00000000-0005-0000-0000-0000BF080000}"/>
    <cellStyle name="20% - Accent2 13 4 2 2 2" xfId="16208" xr:uid="{00000000-0005-0000-0000-0000C0080000}"/>
    <cellStyle name="20% - Accent2 13 4 2 2 2 2" xfId="40050" xr:uid="{D2129FDF-F1D9-41E0-8BED-E1BAE4979DAC}"/>
    <cellStyle name="20% - Accent2 13 4 2 2 3" xfId="24154" xr:uid="{00000000-0005-0000-0000-0000C1080000}"/>
    <cellStyle name="20% - Accent2 13 4 2 2 3 2" xfId="47986" xr:uid="{EB63A0C5-E262-4B30-BA31-E347D6D32D88}"/>
    <cellStyle name="20% - Accent2 13 4 2 2 4" xfId="32109" xr:uid="{E500DDD0-5D03-4DAA-9775-E51091B6D56D}"/>
    <cellStyle name="20% - Accent2 13 4 2 3" xfId="12670" xr:uid="{00000000-0005-0000-0000-0000C2080000}"/>
    <cellStyle name="20% - Accent2 13 4 2 3 2" xfId="36519" xr:uid="{59F4DBEF-75CC-493A-849E-BF55DD0D2297}"/>
    <cellStyle name="20% - Accent2 13 4 2 4" xfId="20625" xr:uid="{00000000-0005-0000-0000-0000C3080000}"/>
    <cellStyle name="20% - Accent2 13 4 2 4 2" xfId="44457" xr:uid="{7A073476-6F5D-44BE-940A-5EBC2DCBECB9}"/>
    <cellStyle name="20% - Accent2 13 4 2 5" xfId="28578" xr:uid="{89385DB9-9568-4DA2-9727-8AC89455FB7C}"/>
    <cellStyle name="20% - Accent2 13 4 3" xfId="6478" xr:uid="{00000000-0005-0000-0000-0000C4080000}"/>
    <cellStyle name="20% - Accent2 13 4 3 2" xfId="14450" xr:uid="{00000000-0005-0000-0000-0000C5080000}"/>
    <cellStyle name="20% - Accent2 13 4 3 2 2" xfId="38292" xr:uid="{19FB687A-C949-41BA-814B-15CB364C167E}"/>
    <cellStyle name="20% - Accent2 13 4 3 3" xfId="22397" xr:uid="{00000000-0005-0000-0000-0000C6080000}"/>
    <cellStyle name="20% - Accent2 13 4 3 3 2" xfId="46229" xr:uid="{80B72399-743A-4D56-BE7A-39AFF6962042}"/>
    <cellStyle name="20% - Accent2 13 4 3 4" xfId="30351" xr:uid="{6BED423B-1DE4-4E01-BFD6-20270EF2490A}"/>
    <cellStyle name="20% - Accent2 13 4 4" xfId="10914" xr:uid="{00000000-0005-0000-0000-0000C7080000}"/>
    <cellStyle name="20% - Accent2 13 4 4 2" xfId="34763" xr:uid="{F984843B-D4B2-4B01-9936-FCEC2BD46FC2}"/>
    <cellStyle name="20% - Accent2 13 4 5" xfId="18869" xr:uid="{00000000-0005-0000-0000-0000C8080000}"/>
    <cellStyle name="20% - Accent2 13 4 5 2" xfId="42701" xr:uid="{8F4BFC8F-8D9A-4CF3-B1D9-5DBA0106DF13}"/>
    <cellStyle name="20% - Accent2 13 4 6" xfId="26821" xr:uid="{50DFBF94-B08F-4C79-9A01-106D1F9B0221}"/>
    <cellStyle name="20% - Accent2 13 4_Exh G" xfId="2096" xr:uid="{00000000-0005-0000-0000-0000C9080000}"/>
    <cellStyle name="20% - Accent2 13 5" xfId="3767" xr:uid="{00000000-0005-0000-0000-0000CA080000}"/>
    <cellStyle name="20% - Accent2 13 5 2" xfId="7359" xr:uid="{00000000-0005-0000-0000-0000CB080000}"/>
    <cellStyle name="20% - Accent2 13 5 2 2" xfId="15330" xr:uid="{00000000-0005-0000-0000-0000CC080000}"/>
    <cellStyle name="20% - Accent2 13 5 2 2 2" xfId="39172" xr:uid="{4196426C-5253-40F7-9124-1175E68B282B}"/>
    <cellStyle name="20% - Accent2 13 5 2 3" xfId="23276" xr:uid="{00000000-0005-0000-0000-0000CD080000}"/>
    <cellStyle name="20% - Accent2 13 5 2 3 2" xfId="47108" xr:uid="{929DF4FC-3CA5-409D-BF2F-E5CC9711B84A}"/>
    <cellStyle name="20% - Accent2 13 5 2 4" xfId="31231" xr:uid="{74FD9C90-5D15-4990-8601-21E86C53E9A5}"/>
    <cellStyle name="20% - Accent2 13 5 3" xfId="11792" xr:uid="{00000000-0005-0000-0000-0000CE080000}"/>
    <cellStyle name="20% - Accent2 13 5 3 2" xfId="35641" xr:uid="{74B472BD-5B0B-4EEF-AB41-48ADA4536726}"/>
    <cellStyle name="20% - Accent2 13 5 4" xfId="19747" xr:uid="{00000000-0005-0000-0000-0000CF080000}"/>
    <cellStyle name="20% - Accent2 13 5 4 2" xfId="43579" xr:uid="{91D840AD-87F0-411E-A8E0-4F3B88BA6BC6}"/>
    <cellStyle name="20% - Accent2 13 5 5" xfId="27700" xr:uid="{E655F3B8-6723-425C-BAD3-1A4393963CFE}"/>
    <cellStyle name="20% - Accent2 13 6" xfId="5587" xr:uid="{00000000-0005-0000-0000-0000D0080000}"/>
    <cellStyle name="20% - Accent2 13 6 2" xfId="13571" xr:uid="{00000000-0005-0000-0000-0000D1080000}"/>
    <cellStyle name="20% - Accent2 13 6 2 2" xfId="37414" xr:uid="{2FF69DDA-4B44-4201-93A6-BB4DECB0D703}"/>
    <cellStyle name="20% - Accent2 13 6 3" xfId="21519" xr:uid="{00000000-0005-0000-0000-0000D2080000}"/>
    <cellStyle name="20% - Accent2 13 6 3 2" xfId="45351" xr:uid="{FFF443F4-5347-423E-8F38-7FE505A503E2}"/>
    <cellStyle name="20% - Accent2 13 6 4" xfId="29473" xr:uid="{20FE7E71-CB35-4DA6-9051-19C8771F3434}"/>
    <cellStyle name="20% - Accent2 13 7" xfId="9140" xr:uid="{00000000-0005-0000-0000-0000D3080000}"/>
    <cellStyle name="20% - Accent2 13 7 2" xfId="17098" xr:uid="{00000000-0005-0000-0000-0000D4080000}"/>
    <cellStyle name="20% - Accent2 13 7 2 2" xfId="40938" xr:uid="{E774FD97-0584-4BDE-8BBC-07DD412DF488}"/>
    <cellStyle name="20% - Accent2 13 7 3" xfId="25042" xr:uid="{00000000-0005-0000-0000-0000D5080000}"/>
    <cellStyle name="20% - Accent2 13 7 3 2" xfId="48874" xr:uid="{B942FD7C-FDDB-4D46-BCC2-13DA936D10DC}"/>
    <cellStyle name="20% - Accent2 13 7 4" xfId="32997" xr:uid="{5D1664E9-6281-4A2D-8076-5B1AA7EF5C7F}"/>
    <cellStyle name="20% - Accent2 13 8" xfId="10036" xr:uid="{00000000-0005-0000-0000-0000D6080000}"/>
    <cellStyle name="20% - Accent2 13 8 2" xfId="33885" xr:uid="{7816787D-D425-43B3-A34C-0564376990F3}"/>
    <cellStyle name="20% - Accent2 13 9" xfId="17991" xr:uid="{00000000-0005-0000-0000-0000D7080000}"/>
    <cellStyle name="20% - Accent2 13 9 2" xfId="41823" xr:uid="{17173AAD-73D6-4DE2-A69B-B27120988BC1}"/>
    <cellStyle name="20% - Accent2 13_Exh G" xfId="2089" xr:uid="{00000000-0005-0000-0000-0000D8080000}"/>
    <cellStyle name="20% - Accent2 14" xfId="92" xr:uid="{00000000-0005-0000-0000-0000D9080000}"/>
    <cellStyle name="20% - Accent2 14 2" xfId="93" xr:uid="{00000000-0005-0000-0000-0000DA080000}"/>
    <cellStyle name="20% - Accent2 14 2 2" xfId="1121" xr:uid="{00000000-0005-0000-0000-0000DB080000}"/>
    <cellStyle name="20% - Accent2 14 2 2 2" xfId="4651" xr:uid="{00000000-0005-0000-0000-0000DC080000}"/>
    <cellStyle name="20% - Accent2 14 2 2 2 2" xfId="8242" xr:uid="{00000000-0005-0000-0000-0000DD080000}"/>
    <cellStyle name="20% - Accent2 14 2 2 2 2 2" xfId="16213" xr:uid="{00000000-0005-0000-0000-0000DE080000}"/>
    <cellStyle name="20% - Accent2 14 2 2 2 2 2 2" xfId="40055" xr:uid="{F94866CB-1C27-4244-8633-567CC39D7B19}"/>
    <cellStyle name="20% - Accent2 14 2 2 2 2 3" xfId="24159" xr:uid="{00000000-0005-0000-0000-0000DF080000}"/>
    <cellStyle name="20% - Accent2 14 2 2 2 2 3 2" xfId="47991" xr:uid="{052D2455-B639-4F82-9539-28F16BEE4CEF}"/>
    <cellStyle name="20% - Accent2 14 2 2 2 2 4" xfId="32114" xr:uid="{46760C0C-42CD-49B1-B4BA-E8DE55D5CE67}"/>
    <cellStyle name="20% - Accent2 14 2 2 2 3" xfId="12675" xr:uid="{00000000-0005-0000-0000-0000E0080000}"/>
    <cellStyle name="20% - Accent2 14 2 2 2 3 2" xfId="36524" xr:uid="{DA061CBE-0D8F-4124-A540-3DA479F00C1D}"/>
    <cellStyle name="20% - Accent2 14 2 2 2 4" xfId="20630" xr:uid="{00000000-0005-0000-0000-0000E1080000}"/>
    <cellStyle name="20% - Accent2 14 2 2 2 4 2" xfId="44462" xr:uid="{6B2ADE0E-0244-4961-8D1B-4E6632B25139}"/>
    <cellStyle name="20% - Accent2 14 2 2 2 5" xfId="28583" xr:uid="{0E233360-E67E-4C03-949D-85DB64566A8E}"/>
    <cellStyle name="20% - Accent2 14 2 2 3" xfId="6483" xr:uid="{00000000-0005-0000-0000-0000E2080000}"/>
    <cellStyle name="20% - Accent2 14 2 2 3 2" xfId="14455" xr:uid="{00000000-0005-0000-0000-0000E3080000}"/>
    <cellStyle name="20% - Accent2 14 2 2 3 2 2" xfId="38297" xr:uid="{A2D24AA5-6195-4379-97D3-0F140D2F1479}"/>
    <cellStyle name="20% - Accent2 14 2 2 3 3" xfId="22402" xr:uid="{00000000-0005-0000-0000-0000E4080000}"/>
    <cellStyle name="20% - Accent2 14 2 2 3 3 2" xfId="46234" xr:uid="{D404FDC8-6BFF-4B09-9AA3-0F0866B9032E}"/>
    <cellStyle name="20% - Accent2 14 2 2 3 4" xfId="30356" xr:uid="{9EB946BB-68D9-4D3B-8B9E-EB03F4F22A8F}"/>
    <cellStyle name="20% - Accent2 14 2 2 4" xfId="10919" xr:uid="{00000000-0005-0000-0000-0000E5080000}"/>
    <cellStyle name="20% - Accent2 14 2 2 4 2" xfId="34768" xr:uid="{1DB14AB3-CED7-4D7C-AACC-41C96DF352DB}"/>
    <cellStyle name="20% - Accent2 14 2 2 5" xfId="18874" xr:uid="{00000000-0005-0000-0000-0000E6080000}"/>
    <cellStyle name="20% - Accent2 14 2 2 5 2" xfId="42706" xr:uid="{604BCC70-FED9-4F81-9943-8E9430935204}"/>
    <cellStyle name="20% - Accent2 14 2 2 6" xfId="26826" xr:uid="{FB2F8571-9105-4D0E-8004-5BF73F152B98}"/>
    <cellStyle name="20% - Accent2 14 2 2_Exh G" xfId="2099" xr:uid="{00000000-0005-0000-0000-0000E7080000}"/>
    <cellStyle name="20% - Accent2 14 2 3" xfId="3772" xr:uid="{00000000-0005-0000-0000-0000E8080000}"/>
    <cellStyle name="20% - Accent2 14 2 3 2" xfId="7364" xr:uid="{00000000-0005-0000-0000-0000E9080000}"/>
    <cellStyle name="20% - Accent2 14 2 3 2 2" xfId="15335" xr:uid="{00000000-0005-0000-0000-0000EA080000}"/>
    <cellStyle name="20% - Accent2 14 2 3 2 2 2" xfId="39177" xr:uid="{68504B5D-3510-46DD-BEC0-DBBF320E07F0}"/>
    <cellStyle name="20% - Accent2 14 2 3 2 3" xfId="23281" xr:uid="{00000000-0005-0000-0000-0000EB080000}"/>
    <cellStyle name="20% - Accent2 14 2 3 2 3 2" xfId="47113" xr:uid="{20B83249-F88B-4A36-8E10-43708DE069C3}"/>
    <cellStyle name="20% - Accent2 14 2 3 2 4" xfId="31236" xr:uid="{C36DDF53-8797-4C1A-A4BB-3F794B093662}"/>
    <cellStyle name="20% - Accent2 14 2 3 3" xfId="11797" xr:uid="{00000000-0005-0000-0000-0000EC080000}"/>
    <cellStyle name="20% - Accent2 14 2 3 3 2" xfId="35646" xr:uid="{9F3AA41D-E9A4-4695-8140-E5BB0032A2E3}"/>
    <cellStyle name="20% - Accent2 14 2 3 4" xfId="19752" xr:uid="{00000000-0005-0000-0000-0000ED080000}"/>
    <cellStyle name="20% - Accent2 14 2 3 4 2" xfId="43584" xr:uid="{61CECD77-6061-46C4-AB97-CECCDBE35222}"/>
    <cellStyle name="20% - Accent2 14 2 3 5" xfId="27705" xr:uid="{9524F23A-A85D-4EED-A809-4B4762235C86}"/>
    <cellStyle name="20% - Accent2 14 2 4" xfId="5592" xr:uid="{00000000-0005-0000-0000-0000EE080000}"/>
    <cellStyle name="20% - Accent2 14 2 4 2" xfId="13576" xr:uid="{00000000-0005-0000-0000-0000EF080000}"/>
    <cellStyle name="20% - Accent2 14 2 4 2 2" xfId="37419" xr:uid="{2458676F-4D3F-42E5-8E8C-E7E5D8577F1D}"/>
    <cellStyle name="20% - Accent2 14 2 4 3" xfId="21524" xr:uid="{00000000-0005-0000-0000-0000F0080000}"/>
    <cellStyle name="20% - Accent2 14 2 4 3 2" xfId="45356" xr:uid="{02C20C9B-C27F-40E4-8431-6E76ADDAF4BF}"/>
    <cellStyle name="20% - Accent2 14 2 4 4" xfId="29478" xr:uid="{91C15FEA-74F2-4775-A876-3779031083B1}"/>
    <cellStyle name="20% - Accent2 14 2 5" xfId="9145" xr:uid="{00000000-0005-0000-0000-0000F1080000}"/>
    <cellStyle name="20% - Accent2 14 2 5 2" xfId="17103" xr:uid="{00000000-0005-0000-0000-0000F2080000}"/>
    <cellStyle name="20% - Accent2 14 2 5 2 2" xfId="40943" xr:uid="{F4C1AD27-8E8C-4AAE-B9BC-6868399C2551}"/>
    <cellStyle name="20% - Accent2 14 2 5 3" xfId="25047" xr:uid="{00000000-0005-0000-0000-0000F3080000}"/>
    <cellStyle name="20% - Accent2 14 2 5 3 2" xfId="48879" xr:uid="{1F6C1151-19C8-4982-88A1-60367C3F2FAA}"/>
    <cellStyle name="20% - Accent2 14 2 5 4" xfId="33002" xr:uid="{2326C91C-98A8-4D38-BBA3-5594A39821EE}"/>
    <cellStyle name="20% - Accent2 14 2 6" xfId="10041" xr:uid="{00000000-0005-0000-0000-0000F4080000}"/>
    <cellStyle name="20% - Accent2 14 2 6 2" xfId="33890" xr:uid="{7E24A471-D4DE-43B0-A352-D5ABCD94FC44}"/>
    <cellStyle name="20% - Accent2 14 2 7" xfId="17996" xr:uid="{00000000-0005-0000-0000-0000F5080000}"/>
    <cellStyle name="20% - Accent2 14 2 7 2" xfId="41828" xr:uid="{9D2FCB47-9ADA-4B50-992F-9652EB3DCB52}"/>
    <cellStyle name="20% - Accent2 14 2 8" xfId="25948" xr:uid="{8A6A1D89-B514-404D-B233-DA4F308AB532}"/>
    <cellStyle name="20% - Accent2 14 2_Exh G" xfId="2098" xr:uid="{00000000-0005-0000-0000-0000F6080000}"/>
    <cellStyle name="20% - Accent2 14 3" xfId="1120" xr:uid="{00000000-0005-0000-0000-0000F7080000}"/>
    <cellStyle name="20% - Accent2 14 3 2" xfId="4650" xr:uid="{00000000-0005-0000-0000-0000F8080000}"/>
    <cellStyle name="20% - Accent2 14 3 2 2" xfId="8241" xr:uid="{00000000-0005-0000-0000-0000F9080000}"/>
    <cellStyle name="20% - Accent2 14 3 2 2 2" xfId="16212" xr:uid="{00000000-0005-0000-0000-0000FA080000}"/>
    <cellStyle name="20% - Accent2 14 3 2 2 2 2" xfId="40054" xr:uid="{CFB09188-9F62-41A1-97C1-A583720D4A34}"/>
    <cellStyle name="20% - Accent2 14 3 2 2 3" xfId="24158" xr:uid="{00000000-0005-0000-0000-0000FB080000}"/>
    <cellStyle name="20% - Accent2 14 3 2 2 3 2" xfId="47990" xr:uid="{131940F8-114C-4459-A6F1-213C820AE9D0}"/>
    <cellStyle name="20% - Accent2 14 3 2 2 4" xfId="32113" xr:uid="{24A9058C-12B2-40A3-98CA-7767BD2D6B21}"/>
    <cellStyle name="20% - Accent2 14 3 2 3" xfId="12674" xr:uid="{00000000-0005-0000-0000-0000FC080000}"/>
    <cellStyle name="20% - Accent2 14 3 2 3 2" xfId="36523" xr:uid="{7DCA4A5C-8360-42AA-8D3C-46D09BBF3EBE}"/>
    <cellStyle name="20% - Accent2 14 3 2 4" xfId="20629" xr:uid="{00000000-0005-0000-0000-0000FD080000}"/>
    <cellStyle name="20% - Accent2 14 3 2 4 2" xfId="44461" xr:uid="{9247886A-95E0-4250-BD64-B10F7F133FD0}"/>
    <cellStyle name="20% - Accent2 14 3 2 5" xfId="28582" xr:uid="{EE10E683-993B-4E97-A1CE-8EFA5EF5D048}"/>
    <cellStyle name="20% - Accent2 14 3 3" xfId="6482" xr:uid="{00000000-0005-0000-0000-0000FE080000}"/>
    <cellStyle name="20% - Accent2 14 3 3 2" xfId="14454" xr:uid="{00000000-0005-0000-0000-0000FF080000}"/>
    <cellStyle name="20% - Accent2 14 3 3 2 2" xfId="38296" xr:uid="{4246929D-02D4-46CE-9B95-2363D57C2CB8}"/>
    <cellStyle name="20% - Accent2 14 3 3 3" xfId="22401" xr:uid="{00000000-0005-0000-0000-000000090000}"/>
    <cellStyle name="20% - Accent2 14 3 3 3 2" xfId="46233" xr:uid="{21CDAADA-9E47-47BF-B0D1-6F3CA79EC00F}"/>
    <cellStyle name="20% - Accent2 14 3 3 4" xfId="30355" xr:uid="{DF37BF46-685F-4BFD-BCBA-74154EDD231C}"/>
    <cellStyle name="20% - Accent2 14 3 4" xfId="10918" xr:uid="{00000000-0005-0000-0000-000001090000}"/>
    <cellStyle name="20% - Accent2 14 3 4 2" xfId="34767" xr:uid="{55270472-ADC2-47DC-9334-B06AF2E35B37}"/>
    <cellStyle name="20% - Accent2 14 3 5" xfId="18873" xr:uid="{00000000-0005-0000-0000-000002090000}"/>
    <cellStyle name="20% - Accent2 14 3 5 2" xfId="42705" xr:uid="{2719D107-8650-4F6A-BAAD-589DFBD8ADAF}"/>
    <cellStyle name="20% - Accent2 14 3 6" xfId="26825" xr:uid="{1E4EFAC9-4F3A-4EBA-B8FE-97E90E1E1D46}"/>
    <cellStyle name="20% - Accent2 14 3_Exh G" xfId="2100" xr:uid="{00000000-0005-0000-0000-000003090000}"/>
    <cellStyle name="20% - Accent2 14 4" xfId="3771" xr:uid="{00000000-0005-0000-0000-000004090000}"/>
    <cellStyle name="20% - Accent2 14 4 2" xfId="7363" xr:uid="{00000000-0005-0000-0000-000005090000}"/>
    <cellStyle name="20% - Accent2 14 4 2 2" xfId="15334" xr:uid="{00000000-0005-0000-0000-000006090000}"/>
    <cellStyle name="20% - Accent2 14 4 2 2 2" xfId="39176" xr:uid="{39CBBEF7-5B30-4BC8-843B-37112161B2B3}"/>
    <cellStyle name="20% - Accent2 14 4 2 3" xfId="23280" xr:uid="{00000000-0005-0000-0000-000007090000}"/>
    <cellStyle name="20% - Accent2 14 4 2 3 2" xfId="47112" xr:uid="{BC7F6283-B22E-41F4-ACC2-5E1CE28E0AD7}"/>
    <cellStyle name="20% - Accent2 14 4 2 4" xfId="31235" xr:uid="{8F22CED1-0014-47B6-871D-447A6480DD5C}"/>
    <cellStyle name="20% - Accent2 14 4 3" xfId="11796" xr:uid="{00000000-0005-0000-0000-000008090000}"/>
    <cellStyle name="20% - Accent2 14 4 3 2" xfId="35645" xr:uid="{DF25D89D-9559-4AEB-9C8B-CE8C29AA0C65}"/>
    <cellStyle name="20% - Accent2 14 4 4" xfId="19751" xr:uid="{00000000-0005-0000-0000-000009090000}"/>
    <cellStyle name="20% - Accent2 14 4 4 2" xfId="43583" xr:uid="{2F8AD000-6540-4898-A617-1F76D9DF2D62}"/>
    <cellStyle name="20% - Accent2 14 4 5" xfId="27704" xr:uid="{47462099-7FBF-4451-8D93-6400D2E37E64}"/>
    <cellStyle name="20% - Accent2 14 5" xfId="5591" xr:uid="{00000000-0005-0000-0000-00000A090000}"/>
    <cellStyle name="20% - Accent2 14 5 2" xfId="13575" xr:uid="{00000000-0005-0000-0000-00000B090000}"/>
    <cellStyle name="20% - Accent2 14 5 2 2" xfId="37418" xr:uid="{9006D200-BF9C-461F-8F2A-F400AB130A30}"/>
    <cellStyle name="20% - Accent2 14 5 3" xfId="21523" xr:uid="{00000000-0005-0000-0000-00000C090000}"/>
    <cellStyle name="20% - Accent2 14 5 3 2" xfId="45355" xr:uid="{9A5966D9-0ED6-4ACE-975E-D58BB4AC2632}"/>
    <cellStyle name="20% - Accent2 14 5 4" xfId="29477" xr:uid="{5DC05951-86DA-4FA7-9804-3F993DC6CE66}"/>
    <cellStyle name="20% - Accent2 14 6" xfId="9144" xr:uid="{00000000-0005-0000-0000-00000D090000}"/>
    <cellStyle name="20% - Accent2 14 6 2" xfId="17102" xr:uid="{00000000-0005-0000-0000-00000E090000}"/>
    <cellStyle name="20% - Accent2 14 6 2 2" xfId="40942" xr:uid="{E9A05DE2-5728-4791-8587-6EE47E775FB9}"/>
    <cellStyle name="20% - Accent2 14 6 3" xfId="25046" xr:uid="{00000000-0005-0000-0000-00000F090000}"/>
    <cellStyle name="20% - Accent2 14 6 3 2" xfId="48878" xr:uid="{296E8A67-6671-4EFB-9B81-DA1ACEDFB0C6}"/>
    <cellStyle name="20% - Accent2 14 6 4" xfId="33001" xr:uid="{529F54B8-E247-44C6-8302-E3D17E9DFE20}"/>
    <cellStyle name="20% - Accent2 14 7" xfId="10040" xr:uid="{00000000-0005-0000-0000-000010090000}"/>
    <cellStyle name="20% - Accent2 14 7 2" xfId="33889" xr:uid="{6381C96B-D9B2-4795-878A-71064B6FBDED}"/>
    <cellStyle name="20% - Accent2 14 8" xfId="17995" xr:uid="{00000000-0005-0000-0000-000011090000}"/>
    <cellStyle name="20% - Accent2 14 8 2" xfId="41827" xr:uid="{91550148-2700-4615-BD2D-D4A21F445864}"/>
    <cellStyle name="20% - Accent2 14 9" xfId="25947" xr:uid="{95DAEE8D-BC5C-4766-B461-0B8E37E92A4F}"/>
    <cellStyle name="20% - Accent2 14_Exh G" xfId="2097" xr:uid="{00000000-0005-0000-0000-000012090000}"/>
    <cellStyle name="20% - Accent2 15" xfId="94" xr:uid="{00000000-0005-0000-0000-000013090000}"/>
    <cellStyle name="20% - Accent2 15 2" xfId="1122" xr:uid="{00000000-0005-0000-0000-000014090000}"/>
    <cellStyle name="20% - Accent2 15 2 2" xfId="4652" xr:uid="{00000000-0005-0000-0000-000015090000}"/>
    <cellStyle name="20% - Accent2 15 2 2 2" xfId="8243" xr:uid="{00000000-0005-0000-0000-000016090000}"/>
    <cellStyle name="20% - Accent2 15 2 2 2 2" xfId="16214" xr:uid="{00000000-0005-0000-0000-000017090000}"/>
    <cellStyle name="20% - Accent2 15 2 2 2 2 2" xfId="40056" xr:uid="{F3CBAF79-91F7-4CBC-99B4-D67BD3B2F8A8}"/>
    <cellStyle name="20% - Accent2 15 2 2 2 3" xfId="24160" xr:uid="{00000000-0005-0000-0000-000018090000}"/>
    <cellStyle name="20% - Accent2 15 2 2 2 3 2" xfId="47992" xr:uid="{F532752E-A6AD-441E-8E2C-D94E5794D401}"/>
    <cellStyle name="20% - Accent2 15 2 2 2 4" xfId="32115" xr:uid="{E431BA6A-351A-482D-A65F-E1EBBF55A77F}"/>
    <cellStyle name="20% - Accent2 15 2 2 3" xfId="12676" xr:uid="{00000000-0005-0000-0000-000019090000}"/>
    <cellStyle name="20% - Accent2 15 2 2 3 2" xfId="36525" xr:uid="{8EF075D0-1118-42E2-8128-9CC9280337B4}"/>
    <cellStyle name="20% - Accent2 15 2 2 4" xfId="20631" xr:uid="{00000000-0005-0000-0000-00001A090000}"/>
    <cellStyle name="20% - Accent2 15 2 2 4 2" xfId="44463" xr:uid="{528A845E-DD5C-4C59-8CE6-C77A0640ED50}"/>
    <cellStyle name="20% - Accent2 15 2 2 5" xfId="28584" xr:uid="{AC7E528B-2860-4890-BFFE-D4BDB89402E3}"/>
    <cellStyle name="20% - Accent2 15 2 3" xfId="6484" xr:uid="{00000000-0005-0000-0000-00001B090000}"/>
    <cellStyle name="20% - Accent2 15 2 3 2" xfId="14456" xr:uid="{00000000-0005-0000-0000-00001C090000}"/>
    <cellStyle name="20% - Accent2 15 2 3 2 2" xfId="38298" xr:uid="{F81CEDE9-9812-4BA0-B882-E1EF5B4E0540}"/>
    <cellStyle name="20% - Accent2 15 2 3 3" xfId="22403" xr:uid="{00000000-0005-0000-0000-00001D090000}"/>
    <cellStyle name="20% - Accent2 15 2 3 3 2" xfId="46235" xr:uid="{77F017F1-C0AA-41A8-88D7-CF2ED1823DD7}"/>
    <cellStyle name="20% - Accent2 15 2 3 4" xfId="30357" xr:uid="{23AA6F0E-A058-4BAD-A7B4-7DA35CA31350}"/>
    <cellStyle name="20% - Accent2 15 2 4" xfId="10920" xr:uid="{00000000-0005-0000-0000-00001E090000}"/>
    <cellStyle name="20% - Accent2 15 2 4 2" xfId="34769" xr:uid="{ACF5D73D-FC92-4AF4-82CD-F3A39D78CE60}"/>
    <cellStyle name="20% - Accent2 15 2 5" xfId="18875" xr:uid="{00000000-0005-0000-0000-00001F090000}"/>
    <cellStyle name="20% - Accent2 15 2 5 2" xfId="42707" xr:uid="{04118BA3-3D21-47FF-9A5B-2D068C29063B}"/>
    <cellStyle name="20% - Accent2 15 2 6" xfId="26827" xr:uid="{E4275F01-DD3F-4B27-B143-932F00D41885}"/>
    <cellStyle name="20% - Accent2 15 2_Exh G" xfId="2102" xr:uid="{00000000-0005-0000-0000-000020090000}"/>
    <cellStyle name="20% - Accent2 15 3" xfId="3773" xr:uid="{00000000-0005-0000-0000-000021090000}"/>
    <cellStyle name="20% - Accent2 15 3 2" xfId="7365" xr:uid="{00000000-0005-0000-0000-000022090000}"/>
    <cellStyle name="20% - Accent2 15 3 2 2" xfId="15336" xr:uid="{00000000-0005-0000-0000-000023090000}"/>
    <cellStyle name="20% - Accent2 15 3 2 2 2" xfId="39178" xr:uid="{001FC855-4AF5-4812-887C-E4123D8D01D1}"/>
    <cellStyle name="20% - Accent2 15 3 2 3" xfId="23282" xr:uid="{00000000-0005-0000-0000-000024090000}"/>
    <cellStyle name="20% - Accent2 15 3 2 3 2" xfId="47114" xr:uid="{1ED05611-80F6-477F-AD1B-E8EA8E64BA63}"/>
    <cellStyle name="20% - Accent2 15 3 2 4" xfId="31237" xr:uid="{B306A7FB-6E4F-4163-96A0-DFB7C2CD26DC}"/>
    <cellStyle name="20% - Accent2 15 3 3" xfId="11798" xr:uid="{00000000-0005-0000-0000-000025090000}"/>
    <cellStyle name="20% - Accent2 15 3 3 2" xfId="35647" xr:uid="{67CE3A4B-CD23-4FFC-A57D-948EE35AB6C7}"/>
    <cellStyle name="20% - Accent2 15 3 4" xfId="19753" xr:uid="{00000000-0005-0000-0000-000026090000}"/>
    <cellStyle name="20% - Accent2 15 3 4 2" xfId="43585" xr:uid="{64AB6DF5-483F-44B5-B30D-33F5935ECA79}"/>
    <cellStyle name="20% - Accent2 15 3 5" xfId="27706" xr:uid="{D513E091-016C-4150-A716-666CA1B44B77}"/>
    <cellStyle name="20% - Accent2 15 4" xfId="5593" xr:uid="{00000000-0005-0000-0000-000027090000}"/>
    <cellStyle name="20% - Accent2 15 4 2" xfId="13577" xr:uid="{00000000-0005-0000-0000-000028090000}"/>
    <cellStyle name="20% - Accent2 15 4 2 2" xfId="37420" xr:uid="{40AA3E76-4017-4DD3-A2FB-B68849CFB825}"/>
    <cellStyle name="20% - Accent2 15 4 3" xfId="21525" xr:uid="{00000000-0005-0000-0000-000029090000}"/>
    <cellStyle name="20% - Accent2 15 4 3 2" xfId="45357" xr:uid="{38FC74B0-FDD5-4739-9B6A-B8F1A821F257}"/>
    <cellStyle name="20% - Accent2 15 4 4" xfId="29479" xr:uid="{B905AADA-BB3B-4A62-B46E-7029D255C878}"/>
    <cellStyle name="20% - Accent2 15 5" xfId="9146" xr:uid="{00000000-0005-0000-0000-00002A090000}"/>
    <cellStyle name="20% - Accent2 15 5 2" xfId="17104" xr:uid="{00000000-0005-0000-0000-00002B090000}"/>
    <cellStyle name="20% - Accent2 15 5 2 2" xfId="40944" xr:uid="{F6649381-9BA6-4047-8669-5738C08FDEB3}"/>
    <cellStyle name="20% - Accent2 15 5 3" xfId="25048" xr:uid="{00000000-0005-0000-0000-00002C090000}"/>
    <cellStyle name="20% - Accent2 15 5 3 2" xfId="48880" xr:uid="{D784FB9D-9DB1-489D-8122-A03271A72CD2}"/>
    <cellStyle name="20% - Accent2 15 5 4" xfId="33003" xr:uid="{265B7E53-F7EA-4625-BA13-D8859178AF37}"/>
    <cellStyle name="20% - Accent2 15 6" xfId="10042" xr:uid="{00000000-0005-0000-0000-00002D090000}"/>
    <cellStyle name="20% - Accent2 15 6 2" xfId="33891" xr:uid="{A9B29B9F-5BD0-44A0-A85F-A1BCDE5E4D21}"/>
    <cellStyle name="20% - Accent2 15 7" xfId="17997" xr:uid="{00000000-0005-0000-0000-00002E090000}"/>
    <cellStyle name="20% - Accent2 15 7 2" xfId="41829" xr:uid="{43DE55EE-C114-4D60-BD3A-AEBDF72D6D5D}"/>
    <cellStyle name="20% - Accent2 15 8" xfId="25949" xr:uid="{9B62E8BD-D01B-44F3-8246-E09ED7F2AA55}"/>
    <cellStyle name="20% - Accent2 15_Exh G" xfId="2101" xr:uid="{00000000-0005-0000-0000-00002F090000}"/>
    <cellStyle name="20% - Accent2 16" xfId="844" xr:uid="{00000000-0005-0000-0000-000030090000}"/>
    <cellStyle name="20% - Accent2 16 2" xfId="1783" xr:uid="{00000000-0005-0000-0000-000031090000}"/>
    <cellStyle name="20% - Accent2 16 2 2" xfId="5304" xr:uid="{00000000-0005-0000-0000-000032090000}"/>
    <cellStyle name="20% - Accent2 16 2 2 2" xfId="8895" xr:uid="{00000000-0005-0000-0000-000033090000}"/>
    <cellStyle name="20% - Accent2 16 2 2 2 2" xfId="16866" xr:uid="{00000000-0005-0000-0000-000034090000}"/>
    <cellStyle name="20% - Accent2 16 2 2 2 2 2" xfId="40708" xr:uid="{6B5167F6-640A-4646-98B2-F77A2744DF27}"/>
    <cellStyle name="20% - Accent2 16 2 2 2 3" xfId="24812" xr:uid="{00000000-0005-0000-0000-000035090000}"/>
    <cellStyle name="20% - Accent2 16 2 2 2 3 2" xfId="48644" xr:uid="{E4AFC725-3A99-484C-B60F-2E97F8E498C8}"/>
    <cellStyle name="20% - Accent2 16 2 2 2 4" xfId="32767" xr:uid="{70891E5C-628E-415F-9C29-6A1BD29F41CB}"/>
    <cellStyle name="20% - Accent2 16 2 2 3" xfId="13328" xr:uid="{00000000-0005-0000-0000-000036090000}"/>
    <cellStyle name="20% - Accent2 16 2 2 3 2" xfId="37177" xr:uid="{E015548F-3BAA-4A50-A1B9-59CDC8EA302C}"/>
    <cellStyle name="20% - Accent2 16 2 2 4" xfId="21283" xr:uid="{00000000-0005-0000-0000-000037090000}"/>
    <cellStyle name="20% - Accent2 16 2 2 4 2" xfId="45115" xr:uid="{B467A9D2-2288-47B1-B142-B828C67D3C0B}"/>
    <cellStyle name="20% - Accent2 16 2 2 5" xfId="29236" xr:uid="{D96D2F2A-4BDC-45AA-9798-889A79F40C47}"/>
    <cellStyle name="20% - Accent2 16 2 3" xfId="7136" xr:uid="{00000000-0005-0000-0000-000038090000}"/>
    <cellStyle name="20% - Accent2 16 2 3 2" xfId="15108" xr:uid="{00000000-0005-0000-0000-000039090000}"/>
    <cellStyle name="20% - Accent2 16 2 3 2 2" xfId="38950" xr:uid="{01779BD4-5FB8-42C2-BB1E-14C7A8177F27}"/>
    <cellStyle name="20% - Accent2 16 2 3 3" xfId="23055" xr:uid="{00000000-0005-0000-0000-00003A090000}"/>
    <cellStyle name="20% - Accent2 16 2 3 3 2" xfId="46887" xr:uid="{D12B392C-CEE4-4974-8561-F207C6F903A6}"/>
    <cellStyle name="20% - Accent2 16 2 3 4" xfId="31009" xr:uid="{D07867FD-0535-4BF6-A40E-B35814814B44}"/>
    <cellStyle name="20% - Accent2 16 2 4" xfId="11572" xr:uid="{00000000-0005-0000-0000-00003B090000}"/>
    <cellStyle name="20% - Accent2 16 2 4 2" xfId="35421" xr:uid="{C0D10362-BE1B-4A52-A511-4E974144E743}"/>
    <cellStyle name="20% - Accent2 16 2 5" xfId="19527" xr:uid="{00000000-0005-0000-0000-00003C090000}"/>
    <cellStyle name="20% - Accent2 16 2 5 2" xfId="43359" xr:uid="{CCE0283F-4431-49AA-B5E5-88591A4AF6B4}"/>
    <cellStyle name="20% - Accent2 16 2 6" xfId="27479" xr:uid="{419BE7D4-5073-483D-9E3A-A0EBE5D0E6BD}"/>
    <cellStyle name="20% - Accent2 16 2_Exh G" xfId="2104" xr:uid="{00000000-0005-0000-0000-00003D090000}"/>
    <cellStyle name="20% - Accent2 16 3" xfId="4425" xr:uid="{00000000-0005-0000-0000-00003E090000}"/>
    <cellStyle name="20% - Accent2 16 3 2" xfId="8017" xr:uid="{00000000-0005-0000-0000-00003F090000}"/>
    <cellStyle name="20% - Accent2 16 3 2 2" xfId="15988" xr:uid="{00000000-0005-0000-0000-000040090000}"/>
    <cellStyle name="20% - Accent2 16 3 2 2 2" xfId="39830" xr:uid="{AB993AF4-A918-410A-B696-4F9609BFD1A5}"/>
    <cellStyle name="20% - Accent2 16 3 2 3" xfId="23934" xr:uid="{00000000-0005-0000-0000-000041090000}"/>
    <cellStyle name="20% - Accent2 16 3 2 3 2" xfId="47766" xr:uid="{C8BFD86E-65AA-4E58-9224-09B7B5AA1A6E}"/>
    <cellStyle name="20% - Accent2 16 3 2 4" xfId="31889" xr:uid="{0F55B395-377C-4043-89CB-619B667848A5}"/>
    <cellStyle name="20% - Accent2 16 3 3" xfId="12450" xr:uid="{00000000-0005-0000-0000-000042090000}"/>
    <cellStyle name="20% - Accent2 16 3 3 2" xfId="36299" xr:uid="{32F66E6A-FDCA-4DBC-A1E2-552874290F79}"/>
    <cellStyle name="20% - Accent2 16 3 4" xfId="20405" xr:uid="{00000000-0005-0000-0000-000043090000}"/>
    <cellStyle name="20% - Accent2 16 3 4 2" xfId="44237" xr:uid="{22922669-505A-4547-93C7-235AE16C8CE8}"/>
    <cellStyle name="20% - Accent2 16 3 5" xfId="28358" xr:uid="{BC1D0BFB-0437-4A9D-8BE1-E8E8780FCDB8}"/>
    <cellStyle name="20% - Accent2 16 4" xfId="6255" xr:uid="{00000000-0005-0000-0000-000044090000}"/>
    <cellStyle name="20% - Accent2 16 4 2" xfId="14230" xr:uid="{00000000-0005-0000-0000-000045090000}"/>
    <cellStyle name="20% - Accent2 16 4 2 2" xfId="38072" xr:uid="{414207EF-EEB2-4CFC-87FA-54793439B276}"/>
    <cellStyle name="20% - Accent2 16 4 3" xfId="22177" xr:uid="{00000000-0005-0000-0000-000046090000}"/>
    <cellStyle name="20% - Accent2 16 4 3 2" xfId="46009" xr:uid="{E3DF8871-B86A-4E9A-882C-B615687C37B1}"/>
    <cellStyle name="20% - Accent2 16 4 4" xfId="30131" xr:uid="{86A0C5F8-4C14-4355-AAFB-F0C48A4448A8}"/>
    <cellStyle name="20% - Accent2 16 5" xfId="9798" xr:uid="{00000000-0005-0000-0000-000047090000}"/>
    <cellStyle name="20% - Accent2 16 5 2" xfId="17756" xr:uid="{00000000-0005-0000-0000-000048090000}"/>
    <cellStyle name="20% - Accent2 16 5 2 2" xfId="41596" xr:uid="{5C43ABB8-4CA8-42FE-92CA-41D1EC30319B}"/>
    <cellStyle name="20% - Accent2 16 5 3" xfId="25700" xr:uid="{00000000-0005-0000-0000-000049090000}"/>
    <cellStyle name="20% - Accent2 16 5 3 2" xfId="49532" xr:uid="{9358ABEA-B740-4765-95DE-93D6100DE68E}"/>
    <cellStyle name="20% - Accent2 16 5 4" xfId="33655" xr:uid="{E852A7C1-D02F-4027-9705-C62103022656}"/>
    <cellStyle name="20% - Accent2 16 6" xfId="10694" xr:uid="{00000000-0005-0000-0000-00004A090000}"/>
    <cellStyle name="20% - Accent2 16 6 2" xfId="34543" xr:uid="{14FACD26-A376-4D5A-AC45-4E468ABCD987}"/>
    <cellStyle name="20% - Accent2 16 7" xfId="18649" xr:uid="{00000000-0005-0000-0000-00004B090000}"/>
    <cellStyle name="20% - Accent2 16 7 2" xfId="42481" xr:uid="{CD32E002-6D38-4361-A31C-85E46E2E8878}"/>
    <cellStyle name="20% - Accent2 16 8" xfId="26601" xr:uid="{05D09AED-372E-4987-BE54-7D3F61535D76}"/>
    <cellStyle name="20% - Accent2 16_Exh G" xfId="2103" xr:uid="{00000000-0005-0000-0000-00004C090000}"/>
    <cellStyle name="20% - Accent2 17" xfId="49796" xr:uid="{4EA6636B-C334-4ADA-B3CB-2D061A0EA5F7}"/>
    <cellStyle name="20% - Accent2 2" xfId="95" xr:uid="{00000000-0005-0000-0000-00004D090000}"/>
    <cellStyle name="20% - Accent2 2 10" xfId="17998" xr:uid="{00000000-0005-0000-0000-00004E090000}"/>
    <cellStyle name="20% - Accent2 2 10 2" xfId="41830" xr:uid="{31D6298C-143C-4A5C-9BCB-558C9841609D}"/>
    <cellStyle name="20% - Accent2 2 11" xfId="25950" xr:uid="{0168BF12-BF8D-4057-984A-CD3BCF609A5C}"/>
    <cellStyle name="20% - Accent2 2 12" xfId="49781" xr:uid="{4962DD1E-A98E-4B5C-BB81-6DB015CCF39F}"/>
    <cellStyle name="20% - Accent2 2 13" xfId="49809" xr:uid="{51AB3F9F-C239-4278-A4F8-72E29BD372DC}"/>
    <cellStyle name="20% - Accent2 2 2" xfId="96" xr:uid="{00000000-0005-0000-0000-00004F090000}"/>
    <cellStyle name="20% - Accent2 2 2 10" xfId="25951" xr:uid="{BC0F7A98-DDD4-4CF4-AD24-2790E008D62F}"/>
    <cellStyle name="20% - Accent2 2 2 2" xfId="97" xr:uid="{00000000-0005-0000-0000-000050090000}"/>
    <cellStyle name="20% - Accent2 2 2 2 2" xfId="1125" xr:uid="{00000000-0005-0000-0000-000051090000}"/>
    <cellStyle name="20% - Accent2 2 2 2 2 2" xfId="4655" xr:uid="{00000000-0005-0000-0000-000052090000}"/>
    <cellStyle name="20% - Accent2 2 2 2 2 2 2" xfId="8246" xr:uid="{00000000-0005-0000-0000-000053090000}"/>
    <cellStyle name="20% - Accent2 2 2 2 2 2 2 2" xfId="16217" xr:uid="{00000000-0005-0000-0000-000054090000}"/>
    <cellStyle name="20% - Accent2 2 2 2 2 2 2 2 2" xfId="40059" xr:uid="{01296FB3-B098-4AFD-88CA-8D2A6E611FDF}"/>
    <cellStyle name="20% - Accent2 2 2 2 2 2 2 3" xfId="24163" xr:uid="{00000000-0005-0000-0000-000055090000}"/>
    <cellStyle name="20% - Accent2 2 2 2 2 2 2 3 2" xfId="47995" xr:uid="{315DF634-E3C6-45B0-B1CF-6CAFAFD3AC22}"/>
    <cellStyle name="20% - Accent2 2 2 2 2 2 2 4" xfId="32118" xr:uid="{8B4D9C88-A8AA-45AD-91DA-42916756FF6D}"/>
    <cellStyle name="20% - Accent2 2 2 2 2 2 3" xfId="12679" xr:uid="{00000000-0005-0000-0000-000056090000}"/>
    <cellStyle name="20% - Accent2 2 2 2 2 2 3 2" xfId="36528" xr:uid="{511A3E73-BFF4-490F-A930-622FB1604D86}"/>
    <cellStyle name="20% - Accent2 2 2 2 2 2 4" xfId="20634" xr:uid="{00000000-0005-0000-0000-000057090000}"/>
    <cellStyle name="20% - Accent2 2 2 2 2 2 4 2" xfId="44466" xr:uid="{26C3C5FE-E3E1-4D42-94CC-0EBE0D3DBC68}"/>
    <cellStyle name="20% - Accent2 2 2 2 2 2 5" xfId="28587" xr:uid="{44F0B204-24BF-4F31-BF02-2676BE9B373F}"/>
    <cellStyle name="20% - Accent2 2 2 2 2 3" xfId="6487" xr:uid="{00000000-0005-0000-0000-000058090000}"/>
    <cellStyle name="20% - Accent2 2 2 2 2 3 2" xfId="14459" xr:uid="{00000000-0005-0000-0000-000059090000}"/>
    <cellStyle name="20% - Accent2 2 2 2 2 3 2 2" xfId="38301" xr:uid="{F8D57828-A0B8-4261-8E0C-EDC1F0C3177C}"/>
    <cellStyle name="20% - Accent2 2 2 2 2 3 3" xfId="22406" xr:uid="{00000000-0005-0000-0000-00005A090000}"/>
    <cellStyle name="20% - Accent2 2 2 2 2 3 3 2" xfId="46238" xr:uid="{D3DFCDCD-7B75-4BF0-A6CB-CFE64EC2725A}"/>
    <cellStyle name="20% - Accent2 2 2 2 2 3 4" xfId="30360" xr:uid="{8A6CA0C4-1BCF-4EA6-9093-B147A51E53EB}"/>
    <cellStyle name="20% - Accent2 2 2 2 2 4" xfId="10923" xr:uid="{00000000-0005-0000-0000-00005B090000}"/>
    <cellStyle name="20% - Accent2 2 2 2 2 4 2" xfId="34772" xr:uid="{64804109-30FD-47C4-BF5D-533413D45CB2}"/>
    <cellStyle name="20% - Accent2 2 2 2 2 5" xfId="18878" xr:uid="{00000000-0005-0000-0000-00005C090000}"/>
    <cellStyle name="20% - Accent2 2 2 2 2 5 2" xfId="42710" xr:uid="{932F370C-0AF0-499A-BB78-C0A09C15DD85}"/>
    <cellStyle name="20% - Accent2 2 2 2 2 6" xfId="26830" xr:uid="{70C5BF1F-71A6-48D2-AADD-EF33E24DE10B}"/>
    <cellStyle name="20% - Accent2 2 2 2 2_Exh G" xfId="2108" xr:uid="{00000000-0005-0000-0000-00005D090000}"/>
    <cellStyle name="20% - Accent2 2 2 2 3" xfId="3776" xr:uid="{00000000-0005-0000-0000-00005E090000}"/>
    <cellStyle name="20% - Accent2 2 2 2 3 2" xfId="7368" xr:uid="{00000000-0005-0000-0000-00005F090000}"/>
    <cellStyle name="20% - Accent2 2 2 2 3 2 2" xfId="15339" xr:uid="{00000000-0005-0000-0000-000060090000}"/>
    <cellStyle name="20% - Accent2 2 2 2 3 2 2 2" xfId="39181" xr:uid="{255ADC1B-C161-49E0-BB24-4C8A9E26ED4B}"/>
    <cellStyle name="20% - Accent2 2 2 2 3 2 3" xfId="23285" xr:uid="{00000000-0005-0000-0000-000061090000}"/>
    <cellStyle name="20% - Accent2 2 2 2 3 2 3 2" xfId="47117" xr:uid="{3E93AEB6-C098-485E-A43E-32937D2EA59B}"/>
    <cellStyle name="20% - Accent2 2 2 2 3 2 4" xfId="31240" xr:uid="{38E64546-1071-42F3-A853-89A936E9D027}"/>
    <cellStyle name="20% - Accent2 2 2 2 3 3" xfId="11801" xr:uid="{00000000-0005-0000-0000-000062090000}"/>
    <cellStyle name="20% - Accent2 2 2 2 3 3 2" xfId="35650" xr:uid="{94FE0F94-3E1A-46F3-A9FA-057C55F9F5AF}"/>
    <cellStyle name="20% - Accent2 2 2 2 3 4" xfId="19756" xr:uid="{00000000-0005-0000-0000-000063090000}"/>
    <cellStyle name="20% - Accent2 2 2 2 3 4 2" xfId="43588" xr:uid="{3102E853-0BAE-4E1E-BBB5-AA9A6A5663BC}"/>
    <cellStyle name="20% - Accent2 2 2 2 3 5" xfId="27709" xr:uid="{AE56C487-5D83-49E1-BDD4-876A89D10840}"/>
    <cellStyle name="20% - Accent2 2 2 2 4" xfId="5596" xr:uid="{00000000-0005-0000-0000-000064090000}"/>
    <cellStyle name="20% - Accent2 2 2 2 4 2" xfId="13580" xr:uid="{00000000-0005-0000-0000-000065090000}"/>
    <cellStyle name="20% - Accent2 2 2 2 4 2 2" xfId="37423" xr:uid="{0ECDB4C4-C23E-4833-82C7-597CC0494463}"/>
    <cellStyle name="20% - Accent2 2 2 2 4 3" xfId="21528" xr:uid="{00000000-0005-0000-0000-000066090000}"/>
    <cellStyle name="20% - Accent2 2 2 2 4 3 2" xfId="45360" xr:uid="{42E9C925-BD7E-4183-94AD-51DA29AA5A57}"/>
    <cellStyle name="20% - Accent2 2 2 2 4 4" xfId="29482" xr:uid="{5427FFC9-D7C1-4528-A16D-8964B031BD48}"/>
    <cellStyle name="20% - Accent2 2 2 2 5" xfId="9149" xr:uid="{00000000-0005-0000-0000-000067090000}"/>
    <cellStyle name="20% - Accent2 2 2 2 5 2" xfId="17107" xr:uid="{00000000-0005-0000-0000-000068090000}"/>
    <cellStyle name="20% - Accent2 2 2 2 5 2 2" xfId="40947" xr:uid="{69FCB6E1-BC42-44B0-A8A3-CFC5A25569E1}"/>
    <cellStyle name="20% - Accent2 2 2 2 5 3" xfId="25051" xr:uid="{00000000-0005-0000-0000-000069090000}"/>
    <cellStyle name="20% - Accent2 2 2 2 5 3 2" xfId="48883" xr:uid="{4ABF78A2-592F-44C1-95B5-0A5084ECE2D4}"/>
    <cellStyle name="20% - Accent2 2 2 2 5 4" xfId="33006" xr:uid="{5BE4F90C-E6FB-4019-8F4F-2C908085A037}"/>
    <cellStyle name="20% - Accent2 2 2 2 6" xfId="10045" xr:uid="{00000000-0005-0000-0000-00006A090000}"/>
    <cellStyle name="20% - Accent2 2 2 2 6 2" xfId="33894" xr:uid="{7CB95DFD-E6AE-4587-A628-4CE001A88ABA}"/>
    <cellStyle name="20% - Accent2 2 2 2 7" xfId="18000" xr:uid="{00000000-0005-0000-0000-00006B090000}"/>
    <cellStyle name="20% - Accent2 2 2 2 7 2" xfId="41832" xr:uid="{60529DC0-29F8-4473-BEDA-D1A9E71EAB42}"/>
    <cellStyle name="20% - Accent2 2 2 2 8" xfId="25952" xr:uid="{75C046BA-CF20-4492-846E-E0E4791D52EA}"/>
    <cellStyle name="20% - Accent2 2 2 2_Exh G" xfId="2107" xr:uid="{00000000-0005-0000-0000-00006C090000}"/>
    <cellStyle name="20% - Accent2 2 2 3" xfId="876" xr:uid="{00000000-0005-0000-0000-00006D090000}"/>
    <cellStyle name="20% - Accent2 2 2 3 2" xfId="1810" xr:uid="{00000000-0005-0000-0000-00006E090000}"/>
    <cellStyle name="20% - Accent2 2 2 3 2 2" xfId="5328" xr:uid="{00000000-0005-0000-0000-00006F090000}"/>
    <cellStyle name="20% - Accent2 2 2 3 2 2 2" xfId="8919" xr:uid="{00000000-0005-0000-0000-000070090000}"/>
    <cellStyle name="20% - Accent2 2 2 3 2 2 2 2" xfId="16890" xr:uid="{00000000-0005-0000-0000-000071090000}"/>
    <cellStyle name="20% - Accent2 2 2 3 2 2 2 2 2" xfId="40732" xr:uid="{C1A3508B-6900-43A4-86D9-881CFE9485F2}"/>
    <cellStyle name="20% - Accent2 2 2 3 2 2 2 3" xfId="24836" xr:uid="{00000000-0005-0000-0000-000072090000}"/>
    <cellStyle name="20% - Accent2 2 2 3 2 2 2 3 2" xfId="48668" xr:uid="{9485495B-7EDB-4648-85EC-7CE60E0917DF}"/>
    <cellStyle name="20% - Accent2 2 2 3 2 2 2 4" xfId="32791" xr:uid="{260BDEAA-4F38-48E1-B584-5E67C82D0D91}"/>
    <cellStyle name="20% - Accent2 2 2 3 2 2 3" xfId="13352" xr:uid="{00000000-0005-0000-0000-000073090000}"/>
    <cellStyle name="20% - Accent2 2 2 3 2 2 3 2" xfId="37201" xr:uid="{0D5AFAF2-B660-4B46-827D-B93E347C9A69}"/>
    <cellStyle name="20% - Accent2 2 2 3 2 2 4" xfId="21307" xr:uid="{00000000-0005-0000-0000-000074090000}"/>
    <cellStyle name="20% - Accent2 2 2 3 2 2 4 2" xfId="45139" xr:uid="{71F470C7-A4BE-4532-9C4B-60F14A3B44F3}"/>
    <cellStyle name="20% - Accent2 2 2 3 2 2 5" xfId="29260" xr:uid="{2954EA88-8BA2-44C4-9A12-2E2D3E41F750}"/>
    <cellStyle name="20% - Accent2 2 2 3 2 3" xfId="7160" xr:uid="{00000000-0005-0000-0000-000075090000}"/>
    <cellStyle name="20% - Accent2 2 2 3 2 3 2" xfId="15132" xr:uid="{00000000-0005-0000-0000-000076090000}"/>
    <cellStyle name="20% - Accent2 2 2 3 2 3 2 2" xfId="38974" xr:uid="{EE425FEF-BF68-4235-81F1-B7A965E15BFF}"/>
    <cellStyle name="20% - Accent2 2 2 3 2 3 3" xfId="23079" xr:uid="{00000000-0005-0000-0000-000077090000}"/>
    <cellStyle name="20% - Accent2 2 2 3 2 3 3 2" xfId="46911" xr:uid="{7586F0C1-1E71-4F35-B40F-EAE15BD7E02A}"/>
    <cellStyle name="20% - Accent2 2 2 3 2 3 4" xfId="31033" xr:uid="{85108F0B-C059-4D69-ABE0-F2C2CC57CBE9}"/>
    <cellStyle name="20% - Accent2 2 2 3 2 4" xfId="11596" xr:uid="{00000000-0005-0000-0000-000078090000}"/>
    <cellStyle name="20% - Accent2 2 2 3 2 4 2" xfId="35445" xr:uid="{BE78169D-D52F-40AD-BDF9-F6747EAB4A65}"/>
    <cellStyle name="20% - Accent2 2 2 3 2 5" xfId="19551" xr:uid="{00000000-0005-0000-0000-000079090000}"/>
    <cellStyle name="20% - Accent2 2 2 3 2 5 2" xfId="43383" xr:uid="{F2DF711D-0F82-4B61-A881-5022DCB24A01}"/>
    <cellStyle name="20% - Accent2 2 2 3 2 6" xfId="27503" xr:uid="{18F8F47A-560A-4AD5-9B63-24179297847D}"/>
    <cellStyle name="20% - Accent2 2 2 3 2_Exh G" xfId="2110" xr:uid="{00000000-0005-0000-0000-00007A090000}"/>
    <cellStyle name="20% - Accent2 2 2 3 3" xfId="4449" xr:uid="{00000000-0005-0000-0000-00007B090000}"/>
    <cellStyle name="20% - Accent2 2 2 3 3 2" xfId="8041" xr:uid="{00000000-0005-0000-0000-00007C090000}"/>
    <cellStyle name="20% - Accent2 2 2 3 3 2 2" xfId="16012" xr:uid="{00000000-0005-0000-0000-00007D090000}"/>
    <cellStyle name="20% - Accent2 2 2 3 3 2 2 2" xfId="39854" xr:uid="{45311173-F03F-4AC9-A1FE-774A1AC8CE22}"/>
    <cellStyle name="20% - Accent2 2 2 3 3 2 3" xfId="23958" xr:uid="{00000000-0005-0000-0000-00007E090000}"/>
    <cellStyle name="20% - Accent2 2 2 3 3 2 3 2" xfId="47790" xr:uid="{5B43EC0E-CA5F-4850-B97B-F8A7EB582F95}"/>
    <cellStyle name="20% - Accent2 2 2 3 3 2 4" xfId="31913" xr:uid="{2ADC6FA2-68CC-49BA-A386-F8A305CB8447}"/>
    <cellStyle name="20% - Accent2 2 2 3 3 3" xfId="12474" xr:uid="{00000000-0005-0000-0000-00007F090000}"/>
    <cellStyle name="20% - Accent2 2 2 3 3 3 2" xfId="36323" xr:uid="{3BB032EB-540C-48E3-AB6E-8F94F4149AC0}"/>
    <cellStyle name="20% - Accent2 2 2 3 3 4" xfId="20429" xr:uid="{00000000-0005-0000-0000-000080090000}"/>
    <cellStyle name="20% - Accent2 2 2 3 3 4 2" xfId="44261" xr:uid="{4BF269F6-EBB0-48BB-8C45-B283E527AE7D}"/>
    <cellStyle name="20% - Accent2 2 2 3 3 5" xfId="28382" xr:uid="{9B61F414-4427-404A-8E9A-E4D0F9D01C46}"/>
    <cellStyle name="20% - Accent2 2 2 3 4" xfId="6279" xr:uid="{00000000-0005-0000-0000-000081090000}"/>
    <cellStyle name="20% - Accent2 2 2 3 4 2" xfId="14254" xr:uid="{00000000-0005-0000-0000-000082090000}"/>
    <cellStyle name="20% - Accent2 2 2 3 4 2 2" xfId="38096" xr:uid="{C6DF676B-34BE-4C67-BBE3-96BEAC0D6672}"/>
    <cellStyle name="20% - Accent2 2 2 3 4 3" xfId="22201" xr:uid="{00000000-0005-0000-0000-000083090000}"/>
    <cellStyle name="20% - Accent2 2 2 3 4 3 2" xfId="46033" xr:uid="{919A4AE0-0099-4B81-9267-D7E1123A1F95}"/>
    <cellStyle name="20% - Accent2 2 2 3 4 4" xfId="30155" xr:uid="{107FD317-CC10-4B8D-B09B-47412D9C6D15}"/>
    <cellStyle name="20% - Accent2 2 2 3 5" xfId="9822" xr:uid="{00000000-0005-0000-0000-000084090000}"/>
    <cellStyle name="20% - Accent2 2 2 3 5 2" xfId="17780" xr:uid="{00000000-0005-0000-0000-000085090000}"/>
    <cellStyle name="20% - Accent2 2 2 3 5 2 2" xfId="41620" xr:uid="{32BF9799-D721-4A61-94B3-0B3DE485485D}"/>
    <cellStyle name="20% - Accent2 2 2 3 5 3" xfId="25724" xr:uid="{00000000-0005-0000-0000-000086090000}"/>
    <cellStyle name="20% - Accent2 2 2 3 5 3 2" xfId="49556" xr:uid="{67BBC0A6-BAEC-4134-9254-A1560C8E3C1B}"/>
    <cellStyle name="20% - Accent2 2 2 3 5 4" xfId="33679" xr:uid="{CDA60CC9-5848-421B-A692-EF3B3A85188C}"/>
    <cellStyle name="20% - Accent2 2 2 3 6" xfId="10718" xr:uid="{00000000-0005-0000-0000-000087090000}"/>
    <cellStyle name="20% - Accent2 2 2 3 6 2" xfId="34567" xr:uid="{EAC6A21B-A7C9-4378-B168-D4CEE1DC1D36}"/>
    <cellStyle name="20% - Accent2 2 2 3 7" xfId="18673" xr:uid="{00000000-0005-0000-0000-000088090000}"/>
    <cellStyle name="20% - Accent2 2 2 3 7 2" xfId="42505" xr:uid="{C601EE66-6FF3-4EEE-8CA5-539792011199}"/>
    <cellStyle name="20% - Accent2 2 2 3 8" xfId="26625" xr:uid="{6A1CACF0-A163-48CA-9116-993A4D883801}"/>
    <cellStyle name="20% - Accent2 2 2 3_Exh G" xfId="2109" xr:uid="{00000000-0005-0000-0000-000089090000}"/>
    <cellStyle name="20% - Accent2 2 2 4" xfId="1124" xr:uid="{00000000-0005-0000-0000-00008A090000}"/>
    <cellStyle name="20% - Accent2 2 2 4 2" xfId="4654" xr:uid="{00000000-0005-0000-0000-00008B090000}"/>
    <cellStyle name="20% - Accent2 2 2 4 2 2" xfId="8245" xr:uid="{00000000-0005-0000-0000-00008C090000}"/>
    <cellStyle name="20% - Accent2 2 2 4 2 2 2" xfId="16216" xr:uid="{00000000-0005-0000-0000-00008D090000}"/>
    <cellStyle name="20% - Accent2 2 2 4 2 2 2 2" xfId="40058" xr:uid="{DA2A9FA9-1898-4D51-AEF2-0B1A7E21663B}"/>
    <cellStyle name="20% - Accent2 2 2 4 2 2 3" xfId="24162" xr:uid="{00000000-0005-0000-0000-00008E090000}"/>
    <cellStyle name="20% - Accent2 2 2 4 2 2 3 2" xfId="47994" xr:uid="{521B4E99-8170-484B-BF22-952A3DA5337F}"/>
    <cellStyle name="20% - Accent2 2 2 4 2 2 4" xfId="32117" xr:uid="{992B17C9-00EF-4873-AAB1-94135DE1C1FA}"/>
    <cellStyle name="20% - Accent2 2 2 4 2 3" xfId="12678" xr:uid="{00000000-0005-0000-0000-00008F090000}"/>
    <cellStyle name="20% - Accent2 2 2 4 2 3 2" xfId="36527" xr:uid="{CC855AC9-7BAB-4FFD-9D0F-B897571AC908}"/>
    <cellStyle name="20% - Accent2 2 2 4 2 4" xfId="20633" xr:uid="{00000000-0005-0000-0000-000090090000}"/>
    <cellStyle name="20% - Accent2 2 2 4 2 4 2" xfId="44465" xr:uid="{0D594234-88D0-4E3B-9E05-43EE0C11ABBD}"/>
    <cellStyle name="20% - Accent2 2 2 4 2 5" xfId="28586" xr:uid="{895BDDE4-DC5D-44F8-9BE9-E410E1BB76F0}"/>
    <cellStyle name="20% - Accent2 2 2 4 3" xfId="6486" xr:uid="{00000000-0005-0000-0000-000091090000}"/>
    <cellStyle name="20% - Accent2 2 2 4 3 2" xfId="14458" xr:uid="{00000000-0005-0000-0000-000092090000}"/>
    <cellStyle name="20% - Accent2 2 2 4 3 2 2" xfId="38300" xr:uid="{06E4C057-BD9B-43DE-9518-127BF934C10F}"/>
    <cellStyle name="20% - Accent2 2 2 4 3 3" xfId="22405" xr:uid="{00000000-0005-0000-0000-000093090000}"/>
    <cellStyle name="20% - Accent2 2 2 4 3 3 2" xfId="46237" xr:uid="{D0CFFB02-1C73-46AC-B566-7450244BC078}"/>
    <cellStyle name="20% - Accent2 2 2 4 3 4" xfId="30359" xr:uid="{4737871F-7173-4A1E-B825-D3885F0FA66F}"/>
    <cellStyle name="20% - Accent2 2 2 4 4" xfId="10922" xr:uid="{00000000-0005-0000-0000-000094090000}"/>
    <cellStyle name="20% - Accent2 2 2 4 4 2" xfId="34771" xr:uid="{258C5833-E30A-4E87-9409-3F0AFCDBBED6}"/>
    <cellStyle name="20% - Accent2 2 2 4 5" xfId="18877" xr:uid="{00000000-0005-0000-0000-000095090000}"/>
    <cellStyle name="20% - Accent2 2 2 4 5 2" xfId="42709" xr:uid="{111163BD-DDA0-4F98-84FB-0C6B54D75060}"/>
    <cellStyle name="20% - Accent2 2 2 4 6" xfId="26829" xr:uid="{4D11E403-14D7-461D-97D4-36FBE80040BB}"/>
    <cellStyle name="20% - Accent2 2 2 4_Exh G" xfId="2111" xr:uid="{00000000-0005-0000-0000-000096090000}"/>
    <cellStyle name="20% - Accent2 2 2 5" xfId="3775" xr:uid="{00000000-0005-0000-0000-000097090000}"/>
    <cellStyle name="20% - Accent2 2 2 5 2" xfId="7367" xr:uid="{00000000-0005-0000-0000-000098090000}"/>
    <cellStyle name="20% - Accent2 2 2 5 2 2" xfId="15338" xr:uid="{00000000-0005-0000-0000-000099090000}"/>
    <cellStyle name="20% - Accent2 2 2 5 2 2 2" xfId="39180" xr:uid="{6400269A-6D60-4CB4-A543-6C74DBB06E4A}"/>
    <cellStyle name="20% - Accent2 2 2 5 2 3" xfId="23284" xr:uid="{00000000-0005-0000-0000-00009A090000}"/>
    <cellStyle name="20% - Accent2 2 2 5 2 3 2" xfId="47116" xr:uid="{395B70B8-2217-4770-9C49-163CDB5F3DFC}"/>
    <cellStyle name="20% - Accent2 2 2 5 2 4" xfId="31239" xr:uid="{EC6F15C1-3876-427F-818E-4D4FAE8418B7}"/>
    <cellStyle name="20% - Accent2 2 2 5 3" xfId="11800" xr:uid="{00000000-0005-0000-0000-00009B090000}"/>
    <cellStyle name="20% - Accent2 2 2 5 3 2" xfId="35649" xr:uid="{4213D3C0-CCF8-4704-B898-94E2C45B8BF9}"/>
    <cellStyle name="20% - Accent2 2 2 5 4" xfId="19755" xr:uid="{00000000-0005-0000-0000-00009C090000}"/>
    <cellStyle name="20% - Accent2 2 2 5 4 2" xfId="43587" xr:uid="{DA66DF40-295A-402F-91A4-D2BA636947F9}"/>
    <cellStyle name="20% - Accent2 2 2 5 5" xfId="27708" xr:uid="{F70C9346-0685-468E-8404-F1201BBE7A77}"/>
    <cellStyle name="20% - Accent2 2 2 6" xfId="5595" xr:uid="{00000000-0005-0000-0000-00009D090000}"/>
    <cellStyle name="20% - Accent2 2 2 6 2" xfId="13579" xr:uid="{00000000-0005-0000-0000-00009E090000}"/>
    <cellStyle name="20% - Accent2 2 2 6 2 2" xfId="37422" xr:uid="{E0B2EFCA-707C-4E44-8F8A-D889C5BA5080}"/>
    <cellStyle name="20% - Accent2 2 2 6 3" xfId="21527" xr:uid="{00000000-0005-0000-0000-00009F090000}"/>
    <cellStyle name="20% - Accent2 2 2 6 3 2" xfId="45359" xr:uid="{A8F98910-206E-4CE4-BAD7-9C11480F3D41}"/>
    <cellStyle name="20% - Accent2 2 2 6 4" xfId="29481" xr:uid="{1CCA26D2-653C-411A-B9E6-5D2F1A718846}"/>
    <cellStyle name="20% - Accent2 2 2 7" xfId="9148" xr:uid="{00000000-0005-0000-0000-0000A0090000}"/>
    <cellStyle name="20% - Accent2 2 2 7 2" xfId="17106" xr:uid="{00000000-0005-0000-0000-0000A1090000}"/>
    <cellStyle name="20% - Accent2 2 2 7 2 2" xfId="40946" xr:uid="{A6F86335-A022-480E-9883-74F3B742AA22}"/>
    <cellStyle name="20% - Accent2 2 2 7 3" xfId="25050" xr:uid="{00000000-0005-0000-0000-0000A2090000}"/>
    <cellStyle name="20% - Accent2 2 2 7 3 2" xfId="48882" xr:uid="{429AA5BC-B8F0-4039-B1D5-61108DB6CF91}"/>
    <cellStyle name="20% - Accent2 2 2 7 4" xfId="33005" xr:uid="{61DB9849-E8B4-43DF-B126-02AF15C41894}"/>
    <cellStyle name="20% - Accent2 2 2 8" xfId="10044" xr:uid="{00000000-0005-0000-0000-0000A3090000}"/>
    <cellStyle name="20% - Accent2 2 2 8 2" xfId="33893" xr:uid="{052E7F99-45AF-4B63-B3C1-8E8CCBA6A36A}"/>
    <cellStyle name="20% - Accent2 2 2 9" xfId="17999" xr:uid="{00000000-0005-0000-0000-0000A4090000}"/>
    <cellStyle name="20% - Accent2 2 2 9 2" xfId="41831" xr:uid="{9E4AEFF8-D412-48C7-A7BF-57BFD5437F71}"/>
    <cellStyle name="20% - Accent2 2 2_Exh G" xfId="2106" xr:uid="{00000000-0005-0000-0000-0000A5090000}"/>
    <cellStyle name="20% - Accent2 2 3" xfId="98" xr:uid="{00000000-0005-0000-0000-0000A6090000}"/>
    <cellStyle name="20% - Accent2 2 3 2" xfId="1126" xr:uid="{00000000-0005-0000-0000-0000A7090000}"/>
    <cellStyle name="20% - Accent2 2 3 2 2" xfId="4656" xr:uid="{00000000-0005-0000-0000-0000A8090000}"/>
    <cellStyle name="20% - Accent2 2 3 2 2 2" xfId="8247" xr:uid="{00000000-0005-0000-0000-0000A9090000}"/>
    <cellStyle name="20% - Accent2 2 3 2 2 2 2" xfId="16218" xr:uid="{00000000-0005-0000-0000-0000AA090000}"/>
    <cellStyle name="20% - Accent2 2 3 2 2 2 2 2" xfId="40060" xr:uid="{91D089FF-7485-43A9-932B-CC4FC2ED0495}"/>
    <cellStyle name="20% - Accent2 2 3 2 2 2 3" xfId="24164" xr:uid="{00000000-0005-0000-0000-0000AB090000}"/>
    <cellStyle name="20% - Accent2 2 3 2 2 2 3 2" xfId="47996" xr:uid="{C068EA44-2B95-48FA-A97F-A375185CE09C}"/>
    <cellStyle name="20% - Accent2 2 3 2 2 2 4" xfId="32119" xr:uid="{1909C751-AC92-4B1A-8608-1468E337F93C}"/>
    <cellStyle name="20% - Accent2 2 3 2 2 3" xfId="12680" xr:uid="{00000000-0005-0000-0000-0000AC090000}"/>
    <cellStyle name="20% - Accent2 2 3 2 2 3 2" xfId="36529" xr:uid="{903E00E3-13CC-4BF0-9BB4-F2BFA002970C}"/>
    <cellStyle name="20% - Accent2 2 3 2 2 4" xfId="20635" xr:uid="{00000000-0005-0000-0000-0000AD090000}"/>
    <cellStyle name="20% - Accent2 2 3 2 2 4 2" xfId="44467" xr:uid="{C900C358-A7A6-4E79-A969-1429217F0791}"/>
    <cellStyle name="20% - Accent2 2 3 2 2 5" xfId="28588" xr:uid="{1C13B172-4189-4A4D-85BC-27188A2EE52D}"/>
    <cellStyle name="20% - Accent2 2 3 2 3" xfId="6488" xr:uid="{00000000-0005-0000-0000-0000AE090000}"/>
    <cellStyle name="20% - Accent2 2 3 2 3 2" xfId="14460" xr:uid="{00000000-0005-0000-0000-0000AF090000}"/>
    <cellStyle name="20% - Accent2 2 3 2 3 2 2" xfId="38302" xr:uid="{7DBFF511-469B-4AAC-9687-AD433BFD7186}"/>
    <cellStyle name="20% - Accent2 2 3 2 3 3" xfId="22407" xr:uid="{00000000-0005-0000-0000-0000B0090000}"/>
    <cellStyle name="20% - Accent2 2 3 2 3 3 2" xfId="46239" xr:uid="{BFFA5E92-180B-4F7B-B457-08C36F301AE3}"/>
    <cellStyle name="20% - Accent2 2 3 2 3 4" xfId="30361" xr:uid="{B6355A2B-82C8-4EFD-A8DE-F9EBC8EE807A}"/>
    <cellStyle name="20% - Accent2 2 3 2 4" xfId="10924" xr:uid="{00000000-0005-0000-0000-0000B1090000}"/>
    <cellStyle name="20% - Accent2 2 3 2 4 2" xfId="34773" xr:uid="{9C182585-56C9-43A2-B473-CFD24B0B9430}"/>
    <cellStyle name="20% - Accent2 2 3 2 5" xfId="18879" xr:uid="{00000000-0005-0000-0000-0000B2090000}"/>
    <cellStyle name="20% - Accent2 2 3 2 5 2" xfId="42711" xr:uid="{089CD9AD-01D7-4593-8513-F30F5489D78B}"/>
    <cellStyle name="20% - Accent2 2 3 2 6" xfId="26831" xr:uid="{6EC70B1B-D281-489D-A245-D22086ED9D85}"/>
    <cellStyle name="20% - Accent2 2 3 2_Exh G" xfId="2113" xr:uid="{00000000-0005-0000-0000-0000B3090000}"/>
    <cellStyle name="20% - Accent2 2 3 3" xfId="3777" xr:uid="{00000000-0005-0000-0000-0000B4090000}"/>
    <cellStyle name="20% - Accent2 2 3 3 2" xfId="7369" xr:uid="{00000000-0005-0000-0000-0000B5090000}"/>
    <cellStyle name="20% - Accent2 2 3 3 2 2" xfId="15340" xr:uid="{00000000-0005-0000-0000-0000B6090000}"/>
    <cellStyle name="20% - Accent2 2 3 3 2 2 2" xfId="39182" xr:uid="{52C19177-9A20-4CBC-92A4-5F53AC18AA62}"/>
    <cellStyle name="20% - Accent2 2 3 3 2 3" xfId="23286" xr:uid="{00000000-0005-0000-0000-0000B7090000}"/>
    <cellStyle name="20% - Accent2 2 3 3 2 3 2" xfId="47118" xr:uid="{6A8ACDE0-2735-4F85-9FC5-0C527F0B079E}"/>
    <cellStyle name="20% - Accent2 2 3 3 2 4" xfId="31241" xr:uid="{C6404840-D8DA-49C3-9119-5864D115371E}"/>
    <cellStyle name="20% - Accent2 2 3 3 3" xfId="11802" xr:uid="{00000000-0005-0000-0000-0000B8090000}"/>
    <cellStyle name="20% - Accent2 2 3 3 3 2" xfId="35651" xr:uid="{BAF3ECA0-58D4-4E7D-9941-506F3E738AB4}"/>
    <cellStyle name="20% - Accent2 2 3 3 4" xfId="19757" xr:uid="{00000000-0005-0000-0000-0000B9090000}"/>
    <cellStyle name="20% - Accent2 2 3 3 4 2" xfId="43589" xr:uid="{7FD1C30B-2BD4-4BB4-942A-9E84D3912759}"/>
    <cellStyle name="20% - Accent2 2 3 3 5" xfId="27710" xr:uid="{881136C6-06F5-43D0-AD00-C494F2BE583A}"/>
    <cellStyle name="20% - Accent2 2 3 4" xfId="5597" xr:uid="{00000000-0005-0000-0000-0000BA090000}"/>
    <cellStyle name="20% - Accent2 2 3 4 2" xfId="13581" xr:uid="{00000000-0005-0000-0000-0000BB090000}"/>
    <cellStyle name="20% - Accent2 2 3 4 2 2" xfId="37424" xr:uid="{2340A8EC-8AB3-4F9B-BBBB-4EAE3CE7727A}"/>
    <cellStyle name="20% - Accent2 2 3 4 3" xfId="21529" xr:uid="{00000000-0005-0000-0000-0000BC090000}"/>
    <cellStyle name="20% - Accent2 2 3 4 3 2" xfId="45361" xr:uid="{AD7BC1FB-140D-4D9C-8145-1D8854B739EB}"/>
    <cellStyle name="20% - Accent2 2 3 4 4" xfId="29483" xr:uid="{F067DEAC-4943-4099-A080-4EB6ADE53422}"/>
    <cellStyle name="20% - Accent2 2 3 5" xfId="9150" xr:uid="{00000000-0005-0000-0000-0000BD090000}"/>
    <cellStyle name="20% - Accent2 2 3 5 2" xfId="17108" xr:uid="{00000000-0005-0000-0000-0000BE090000}"/>
    <cellStyle name="20% - Accent2 2 3 5 2 2" xfId="40948" xr:uid="{0A9E2876-4B89-460C-8E9E-8BB915DF3E91}"/>
    <cellStyle name="20% - Accent2 2 3 5 3" xfId="25052" xr:uid="{00000000-0005-0000-0000-0000BF090000}"/>
    <cellStyle name="20% - Accent2 2 3 5 3 2" xfId="48884" xr:uid="{B166943A-8759-4C28-83EB-1E128EF890D5}"/>
    <cellStyle name="20% - Accent2 2 3 5 4" xfId="33007" xr:uid="{8F55E208-7368-4AB6-9C5D-F40F38CB6A08}"/>
    <cellStyle name="20% - Accent2 2 3 6" xfId="10046" xr:uid="{00000000-0005-0000-0000-0000C0090000}"/>
    <cellStyle name="20% - Accent2 2 3 6 2" xfId="33895" xr:uid="{552D1D5C-5688-4ED5-9FD6-54933DCA878C}"/>
    <cellStyle name="20% - Accent2 2 3 7" xfId="18001" xr:uid="{00000000-0005-0000-0000-0000C1090000}"/>
    <cellStyle name="20% - Accent2 2 3 7 2" xfId="41833" xr:uid="{1650662F-6557-478D-9133-F332D94A273C}"/>
    <cellStyle name="20% - Accent2 2 3 8" xfId="25953" xr:uid="{A2658F5C-DFC1-4645-B1A9-A4C983344987}"/>
    <cellStyle name="20% - Accent2 2 3_Exh G" xfId="2112" xr:uid="{00000000-0005-0000-0000-0000C2090000}"/>
    <cellStyle name="20% - Accent2 2 4" xfId="875" xr:uid="{00000000-0005-0000-0000-0000C3090000}"/>
    <cellStyle name="20% - Accent2 2 4 2" xfId="1809" xr:uid="{00000000-0005-0000-0000-0000C4090000}"/>
    <cellStyle name="20% - Accent2 2 4 2 2" xfId="5327" xr:uid="{00000000-0005-0000-0000-0000C5090000}"/>
    <cellStyle name="20% - Accent2 2 4 2 2 2" xfId="8918" xr:uid="{00000000-0005-0000-0000-0000C6090000}"/>
    <cellStyle name="20% - Accent2 2 4 2 2 2 2" xfId="16889" xr:uid="{00000000-0005-0000-0000-0000C7090000}"/>
    <cellStyle name="20% - Accent2 2 4 2 2 2 2 2" xfId="40731" xr:uid="{783115BC-2E53-491C-847F-2E2BAECAA5D4}"/>
    <cellStyle name="20% - Accent2 2 4 2 2 2 3" xfId="24835" xr:uid="{00000000-0005-0000-0000-0000C8090000}"/>
    <cellStyle name="20% - Accent2 2 4 2 2 2 3 2" xfId="48667" xr:uid="{1BDACCED-7929-4127-A30C-AEFE4483224B}"/>
    <cellStyle name="20% - Accent2 2 4 2 2 2 4" xfId="32790" xr:uid="{C563A5F4-2E56-43BF-882F-3109021E66A3}"/>
    <cellStyle name="20% - Accent2 2 4 2 2 3" xfId="13351" xr:uid="{00000000-0005-0000-0000-0000C9090000}"/>
    <cellStyle name="20% - Accent2 2 4 2 2 3 2" xfId="37200" xr:uid="{F728A5CC-1AA8-4C3D-BB46-EC2C40789357}"/>
    <cellStyle name="20% - Accent2 2 4 2 2 4" xfId="21306" xr:uid="{00000000-0005-0000-0000-0000CA090000}"/>
    <cellStyle name="20% - Accent2 2 4 2 2 4 2" xfId="45138" xr:uid="{7E838F90-DDFE-4EE0-891C-34BED0BCC20A}"/>
    <cellStyle name="20% - Accent2 2 4 2 2 5" xfId="29259" xr:uid="{7A004A85-B6F8-4B40-95A0-BBE581F3E2FA}"/>
    <cellStyle name="20% - Accent2 2 4 2 3" xfId="7159" xr:uid="{00000000-0005-0000-0000-0000CB090000}"/>
    <cellStyle name="20% - Accent2 2 4 2 3 2" xfId="15131" xr:uid="{00000000-0005-0000-0000-0000CC090000}"/>
    <cellStyle name="20% - Accent2 2 4 2 3 2 2" xfId="38973" xr:uid="{F3A5450E-9347-4EDF-A7F6-89316CB26F17}"/>
    <cellStyle name="20% - Accent2 2 4 2 3 3" xfId="23078" xr:uid="{00000000-0005-0000-0000-0000CD090000}"/>
    <cellStyle name="20% - Accent2 2 4 2 3 3 2" xfId="46910" xr:uid="{61620C5B-C708-4F32-80AB-05F783D0FC10}"/>
    <cellStyle name="20% - Accent2 2 4 2 3 4" xfId="31032" xr:uid="{AF79688B-F862-4362-BC19-24716EBAE3B4}"/>
    <cellStyle name="20% - Accent2 2 4 2 4" xfId="11595" xr:uid="{00000000-0005-0000-0000-0000CE090000}"/>
    <cellStyle name="20% - Accent2 2 4 2 4 2" xfId="35444" xr:uid="{1DA5B527-6DFA-4426-8245-2B3E7C94A43E}"/>
    <cellStyle name="20% - Accent2 2 4 2 5" xfId="19550" xr:uid="{00000000-0005-0000-0000-0000CF090000}"/>
    <cellStyle name="20% - Accent2 2 4 2 5 2" xfId="43382" xr:uid="{24F984F5-C8B4-420B-8A79-B91D748850D3}"/>
    <cellStyle name="20% - Accent2 2 4 2 6" xfId="27502" xr:uid="{03C95B09-6F85-46FB-BB44-9A82DF2C00C3}"/>
    <cellStyle name="20% - Accent2 2 4 2_Exh G" xfId="2115" xr:uid="{00000000-0005-0000-0000-0000D0090000}"/>
    <cellStyle name="20% - Accent2 2 4 3" xfId="4448" xr:uid="{00000000-0005-0000-0000-0000D1090000}"/>
    <cellStyle name="20% - Accent2 2 4 3 2" xfId="8040" xr:uid="{00000000-0005-0000-0000-0000D2090000}"/>
    <cellStyle name="20% - Accent2 2 4 3 2 2" xfId="16011" xr:uid="{00000000-0005-0000-0000-0000D3090000}"/>
    <cellStyle name="20% - Accent2 2 4 3 2 2 2" xfId="39853" xr:uid="{94848219-B4F1-4268-B1B3-823B2D40256F}"/>
    <cellStyle name="20% - Accent2 2 4 3 2 3" xfId="23957" xr:uid="{00000000-0005-0000-0000-0000D4090000}"/>
    <cellStyle name="20% - Accent2 2 4 3 2 3 2" xfId="47789" xr:uid="{22623AB1-62FB-4732-8DBB-811E0CB8E5D0}"/>
    <cellStyle name="20% - Accent2 2 4 3 2 4" xfId="31912" xr:uid="{F430F31E-4787-4ECA-A847-3B77359BD786}"/>
    <cellStyle name="20% - Accent2 2 4 3 3" xfId="12473" xr:uid="{00000000-0005-0000-0000-0000D5090000}"/>
    <cellStyle name="20% - Accent2 2 4 3 3 2" xfId="36322" xr:uid="{95CBEDC8-832E-45B6-95A6-6F7DC322DEA0}"/>
    <cellStyle name="20% - Accent2 2 4 3 4" xfId="20428" xr:uid="{00000000-0005-0000-0000-0000D6090000}"/>
    <cellStyle name="20% - Accent2 2 4 3 4 2" xfId="44260" xr:uid="{3A6890DA-049C-4CBF-B80B-7D1FE781909E}"/>
    <cellStyle name="20% - Accent2 2 4 3 5" xfId="28381" xr:uid="{4CE0BB9E-952A-4DBB-B5A0-2A5B10FFEEC3}"/>
    <cellStyle name="20% - Accent2 2 4 4" xfId="6278" xr:uid="{00000000-0005-0000-0000-0000D7090000}"/>
    <cellStyle name="20% - Accent2 2 4 4 2" xfId="14253" xr:uid="{00000000-0005-0000-0000-0000D8090000}"/>
    <cellStyle name="20% - Accent2 2 4 4 2 2" xfId="38095" xr:uid="{C6D2437C-4B09-44A1-A71A-03739EAB0B5C}"/>
    <cellStyle name="20% - Accent2 2 4 4 3" xfId="22200" xr:uid="{00000000-0005-0000-0000-0000D9090000}"/>
    <cellStyle name="20% - Accent2 2 4 4 3 2" xfId="46032" xr:uid="{7F34920F-964C-4C31-ACF6-66911D244FAF}"/>
    <cellStyle name="20% - Accent2 2 4 4 4" xfId="30154" xr:uid="{41A0E84C-6CBC-45FD-9140-DE31EF20B99A}"/>
    <cellStyle name="20% - Accent2 2 4 5" xfId="9821" xr:uid="{00000000-0005-0000-0000-0000DA090000}"/>
    <cellStyle name="20% - Accent2 2 4 5 2" xfId="17779" xr:uid="{00000000-0005-0000-0000-0000DB090000}"/>
    <cellStyle name="20% - Accent2 2 4 5 2 2" xfId="41619" xr:uid="{F747468D-96EF-41A6-B6AD-A67A1E570F44}"/>
    <cellStyle name="20% - Accent2 2 4 5 3" xfId="25723" xr:uid="{00000000-0005-0000-0000-0000DC090000}"/>
    <cellStyle name="20% - Accent2 2 4 5 3 2" xfId="49555" xr:uid="{53181502-5775-43DE-97E2-7BD251CFFC90}"/>
    <cellStyle name="20% - Accent2 2 4 5 4" xfId="33678" xr:uid="{2667ACC4-06BA-4FE0-A4EB-950979BFBC8A}"/>
    <cellStyle name="20% - Accent2 2 4 6" xfId="10717" xr:uid="{00000000-0005-0000-0000-0000DD090000}"/>
    <cellStyle name="20% - Accent2 2 4 6 2" xfId="34566" xr:uid="{BA0D7F4D-4467-49A4-A652-55F5C63612F8}"/>
    <cellStyle name="20% - Accent2 2 4 7" xfId="18672" xr:uid="{00000000-0005-0000-0000-0000DE090000}"/>
    <cellStyle name="20% - Accent2 2 4 7 2" xfId="42504" xr:uid="{2598F4CB-268D-43E6-A989-70C1E4CAF0B3}"/>
    <cellStyle name="20% - Accent2 2 4 8" xfId="26624" xr:uid="{EAF73305-6466-4A13-8C25-B6DDFA0A0123}"/>
    <cellStyle name="20% - Accent2 2 4_Exh G" xfId="2114" xr:uid="{00000000-0005-0000-0000-0000DF090000}"/>
    <cellStyle name="20% - Accent2 2 5" xfId="1123" xr:uid="{00000000-0005-0000-0000-0000E0090000}"/>
    <cellStyle name="20% - Accent2 2 5 2" xfId="4653" xr:uid="{00000000-0005-0000-0000-0000E1090000}"/>
    <cellStyle name="20% - Accent2 2 5 2 2" xfId="8244" xr:uid="{00000000-0005-0000-0000-0000E2090000}"/>
    <cellStyle name="20% - Accent2 2 5 2 2 2" xfId="16215" xr:uid="{00000000-0005-0000-0000-0000E3090000}"/>
    <cellStyle name="20% - Accent2 2 5 2 2 2 2" xfId="40057" xr:uid="{EBE2E643-7370-40AC-9904-970D0E9277A5}"/>
    <cellStyle name="20% - Accent2 2 5 2 2 3" xfId="24161" xr:uid="{00000000-0005-0000-0000-0000E4090000}"/>
    <cellStyle name="20% - Accent2 2 5 2 2 3 2" xfId="47993" xr:uid="{142DB62C-52F0-43FB-9B9D-626C2A1A1D60}"/>
    <cellStyle name="20% - Accent2 2 5 2 2 4" xfId="32116" xr:uid="{79ADB93E-BA1C-4123-849C-0F292829F030}"/>
    <cellStyle name="20% - Accent2 2 5 2 3" xfId="12677" xr:uid="{00000000-0005-0000-0000-0000E5090000}"/>
    <cellStyle name="20% - Accent2 2 5 2 3 2" xfId="36526" xr:uid="{E7864018-A57E-4890-93F8-640181F8951A}"/>
    <cellStyle name="20% - Accent2 2 5 2 4" xfId="20632" xr:uid="{00000000-0005-0000-0000-0000E6090000}"/>
    <cellStyle name="20% - Accent2 2 5 2 4 2" xfId="44464" xr:uid="{984EB972-24B0-4919-AACE-65A32E4A22B7}"/>
    <cellStyle name="20% - Accent2 2 5 2 5" xfId="28585" xr:uid="{F0FD6751-6290-4233-984F-F0EEDA009D69}"/>
    <cellStyle name="20% - Accent2 2 5 3" xfId="6485" xr:uid="{00000000-0005-0000-0000-0000E7090000}"/>
    <cellStyle name="20% - Accent2 2 5 3 2" xfId="14457" xr:uid="{00000000-0005-0000-0000-0000E8090000}"/>
    <cellStyle name="20% - Accent2 2 5 3 2 2" xfId="38299" xr:uid="{52E96876-8FF1-44D6-A984-6F255363543A}"/>
    <cellStyle name="20% - Accent2 2 5 3 3" xfId="22404" xr:uid="{00000000-0005-0000-0000-0000E9090000}"/>
    <cellStyle name="20% - Accent2 2 5 3 3 2" xfId="46236" xr:uid="{4641E9CF-24CB-42CC-8644-DE4BF4715621}"/>
    <cellStyle name="20% - Accent2 2 5 3 4" xfId="30358" xr:uid="{7A91CB9B-F138-41B9-9536-6325A0B0DE0B}"/>
    <cellStyle name="20% - Accent2 2 5 4" xfId="10921" xr:uid="{00000000-0005-0000-0000-0000EA090000}"/>
    <cellStyle name="20% - Accent2 2 5 4 2" xfId="34770" xr:uid="{C04F8254-FC5F-4F33-9982-1084A8B2CC51}"/>
    <cellStyle name="20% - Accent2 2 5 5" xfId="18876" xr:uid="{00000000-0005-0000-0000-0000EB090000}"/>
    <cellStyle name="20% - Accent2 2 5 5 2" xfId="42708" xr:uid="{425FAB8D-47E7-4F9E-A5FA-C7F9092A2603}"/>
    <cellStyle name="20% - Accent2 2 5 6" xfId="26828" xr:uid="{9A4E395F-F24C-4DD0-BD31-A3C6FFF43769}"/>
    <cellStyle name="20% - Accent2 2 5_Exh G" xfId="2116" xr:uid="{00000000-0005-0000-0000-0000EC090000}"/>
    <cellStyle name="20% - Accent2 2 6" xfId="3774" xr:uid="{00000000-0005-0000-0000-0000ED090000}"/>
    <cellStyle name="20% - Accent2 2 6 2" xfId="7366" xr:uid="{00000000-0005-0000-0000-0000EE090000}"/>
    <cellStyle name="20% - Accent2 2 6 2 2" xfId="15337" xr:uid="{00000000-0005-0000-0000-0000EF090000}"/>
    <cellStyle name="20% - Accent2 2 6 2 2 2" xfId="39179" xr:uid="{5D24907A-CA78-4F53-B82D-D423B7C27DA2}"/>
    <cellStyle name="20% - Accent2 2 6 2 3" xfId="23283" xr:uid="{00000000-0005-0000-0000-0000F0090000}"/>
    <cellStyle name="20% - Accent2 2 6 2 3 2" xfId="47115" xr:uid="{8DFD12EC-9F22-4CD9-892A-953350F28D1A}"/>
    <cellStyle name="20% - Accent2 2 6 2 4" xfId="31238" xr:uid="{95E9863F-1963-438E-9254-33F1D6DD753F}"/>
    <cellStyle name="20% - Accent2 2 6 3" xfId="11799" xr:uid="{00000000-0005-0000-0000-0000F1090000}"/>
    <cellStyle name="20% - Accent2 2 6 3 2" xfId="35648" xr:uid="{592B60C9-A9EB-4233-9F28-8552AB811E7A}"/>
    <cellStyle name="20% - Accent2 2 6 4" xfId="19754" xr:uid="{00000000-0005-0000-0000-0000F2090000}"/>
    <cellStyle name="20% - Accent2 2 6 4 2" xfId="43586" xr:uid="{55737E33-9480-4D27-909E-7EA0719EEB4B}"/>
    <cellStyle name="20% - Accent2 2 6 5" xfId="27707" xr:uid="{8EAD682D-6637-478C-90AE-0CEFA606DBBA}"/>
    <cellStyle name="20% - Accent2 2 7" xfId="5594" xr:uid="{00000000-0005-0000-0000-0000F3090000}"/>
    <cellStyle name="20% - Accent2 2 7 2" xfId="13578" xr:uid="{00000000-0005-0000-0000-0000F4090000}"/>
    <cellStyle name="20% - Accent2 2 7 2 2" xfId="37421" xr:uid="{576C1DD7-17E9-430B-95DF-7A5BBA481AFB}"/>
    <cellStyle name="20% - Accent2 2 7 3" xfId="21526" xr:uid="{00000000-0005-0000-0000-0000F5090000}"/>
    <cellStyle name="20% - Accent2 2 7 3 2" xfId="45358" xr:uid="{086E5E23-0F30-4DBF-80F0-3E2F51D549AB}"/>
    <cellStyle name="20% - Accent2 2 7 4" xfId="29480" xr:uid="{10E5E82C-0CFA-482C-BB3D-2D44B7B2B26D}"/>
    <cellStyle name="20% - Accent2 2 8" xfId="9147" xr:uid="{00000000-0005-0000-0000-0000F6090000}"/>
    <cellStyle name="20% - Accent2 2 8 2" xfId="17105" xr:uid="{00000000-0005-0000-0000-0000F7090000}"/>
    <cellStyle name="20% - Accent2 2 8 2 2" xfId="40945" xr:uid="{6A05655E-2E64-4497-92FC-BE2D1C8CB451}"/>
    <cellStyle name="20% - Accent2 2 8 3" xfId="25049" xr:uid="{00000000-0005-0000-0000-0000F8090000}"/>
    <cellStyle name="20% - Accent2 2 8 3 2" xfId="48881" xr:uid="{E68B3093-6BEC-4CF1-B308-9D25F4798CC6}"/>
    <cellStyle name="20% - Accent2 2 8 4" xfId="33004" xr:uid="{C7D800F1-57B1-4BB8-B6A3-C8544917702D}"/>
    <cellStyle name="20% - Accent2 2 9" xfId="10043" xr:uid="{00000000-0005-0000-0000-0000F9090000}"/>
    <cellStyle name="20% - Accent2 2 9 2" xfId="33892" xr:uid="{62CD2202-BA1C-4250-BE8F-B2303612589E}"/>
    <cellStyle name="20% - Accent2 2_Exh G" xfId="2105" xr:uid="{00000000-0005-0000-0000-0000FA090000}"/>
    <cellStyle name="20% - Accent2 3" xfId="99" xr:uid="{00000000-0005-0000-0000-0000FB090000}"/>
    <cellStyle name="20% - Accent2 3 10" xfId="18002" xr:uid="{00000000-0005-0000-0000-0000FC090000}"/>
    <cellStyle name="20% - Accent2 3 10 2" xfId="41834" xr:uid="{AC60A55B-681E-45E8-920B-046FEE656002}"/>
    <cellStyle name="20% - Accent2 3 11" xfId="25954" xr:uid="{E7B553F1-D557-49B5-8B46-B1C9E49CC6B0}"/>
    <cellStyle name="20% - Accent2 3 12" xfId="49767" xr:uid="{EB552E18-EDC7-4049-810A-36656014AA5F}"/>
    <cellStyle name="20% - Accent2 3 13" xfId="49821" xr:uid="{0CE10550-1644-4066-AFBA-FFF5DDAEEDEC}"/>
    <cellStyle name="20% - Accent2 3 2" xfId="100" xr:uid="{00000000-0005-0000-0000-0000FD090000}"/>
    <cellStyle name="20% - Accent2 3 2 10" xfId="25955" xr:uid="{323F8C5C-4EB3-4A3C-9510-756D09919C79}"/>
    <cellStyle name="20% - Accent2 3 2 2" xfId="101" xr:uid="{00000000-0005-0000-0000-0000FE090000}"/>
    <cellStyle name="20% - Accent2 3 2 2 2" xfId="1129" xr:uid="{00000000-0005-0000-0000-0000FF090000}"/>
    <cellStyle name="20% - Accent2 3 2 2 2 2" xfId="4659" xr:uid="{00000000-0005-0000-0000-0000000A0000}"/>
    <cellStyle name="20% - Accent2 3 2 2 2 2 2" xfId="8250" xr:uid="{00000000-0005-0000-0000-0000010A0000}"/>
    <cellStyle name="20% - Accent2 3 2 2 2 2 2 2" xfId="16221" xr:uid="{00000000-0005-0000-0000-0000020A0000}"/>
    <cellStyle name="20% - Accent2 3 2 2 2 2 2 2 2" xfId="40063" xr:uid="{6D5A6C83-CF22-4FD5-BF3A-C7DB2833D7B2}"/>
    <cellStyle name="20% - Accent2 3 2 2 2 2 2 3" xfId="24167" xr:uid="{00000000-0005-0000-0000-0000030A0000}"/>
    <cellStyle name="20% - Accent2 3 2 2 2 2 2 3 2" xfId="47999" xr:uid="{DF160201-90B6-4693-83C7-4CEAAA7D42A1}"/>
    <cellStyle name="20% - Accent2 3 2 2 2 2 2 4" xfId="32122" xr:uid="{2C20E6C9-BFBC-4F21-91AF-E1AFE005EF43}"/>
    <cellStyle name="20% - Accent2 3 2 2 2 2 3" xfId="12683" xr:uid="{00000000-0005-0000-0000-0000040A0000}"/>
    <cellStyle name="20% - Accent2 3 2 2 2 2 3 2" xfId="36532" xr:uid="{294A153C-E494-4EA7-905A-8101D1C6DC6A}"/>
    <cellStyle name="20% - Accent2 3 2 2 2 2 4" xfId="20638" xr:uid="{00000000-0005-0000-0000-0000050A0000}"/>
    <cellStyle name="20% - Accent2 3 2 2 2 2 4 2" xfId="44470" xr:uid="{B59AB36C-AF1B-436B-8217-25DFCF9FF1DE}"/>
    <cellStyle name="20% - Accent2 3 2 2 2 2 5" xfId="28591" xr:uid="{B686C12E-217B-42A1-83B0-91C95914643E}"/>
    <cellStyle name="20% - Accent2 3 2 2 2 3" xfId="6491" xr:uid="{00000000-0005-0000-0000-0000060A0000}"/>
    <cellStyle name="20% - Accent2 3 2 2 2 3 2" xfId="14463" xr:uid="{00000000-0005-0000-0000-0000070A0000}"/>
    <cellStyle name="20% - Accent2 3 2 2 2 3 2 2" xfId="38305" xr:uid="{A697B18E-F040-49CA-8623-98A9DFBAA8C8}"/>
    <cellStyle name="20% - Accent2 3 2 2 2 3 3" xfId="22410" xr:uid="{00000000-0005-0000-0000-0000080A0000}"/>
    <cellStyle name="20% - Accent2 3 2 2 2 3 3 2" xfId="46242" xr:uid="{2FEAC201-9957-4BEE-AF76-BB80F04B8E4C}"/>
    <cellStyle name="20% - Accent2 3 2 2 2 3 4" xfId="30364" xr:uid="{5106AD3D-7F89-4225-AAEF-C303C7B85A85}"/>
    <cellStyle name="20% - Accent2 3 2 2 2 4" xfId="10927" xr:uid="{00000000-0005-0000-0000-0000090A0000}"/>
    <cellStyle name="20% - Accent2 3 2 2 2 4 2" xfId="34776" xr:uid="{EB156382-4012-4B89-8113-D8D3BD039E60}"/>
    <cellStyle name="20% - Accent2 3 2 2 2 5" xfId="18882" xr:uid="{00000000-0005-0000-0000-00000A0A0000}"/>
    <cellStyle name="20% - Accent2 3 2 2 2 5 2" xfId="42714" xr:uid="{505C453F-4538-435B-94E5-986F1DA88166}"/>
    <cellStyle name="20% - Accent2 3 2 2 2 6" xfId="26834" xr:uid="{E65A523A-421E-4737-8407-BBCA8489F052}"/>
    <cellStyle name="20% - Accent2 3 2 2 2_Exh G" xfId="2120" xr:uid="{00000000-0005-0000-0000-00000B0A0000}"/>
    <cellStyle name="20% - Accent2 3 2 2 3" xfId="3780" xr:uid="{00000000-0005-0000-0000-00000C0A0000}"/>
    <cellStyle name="20% - Accent2 3 2 2 3 2" xfId="7372" xr:uid="{00000000-0005-0000-0000-00000D0A0000}"/>
    <cellStyle name="20% - Accent2 3 2 2 3 2 2" xfId="15343" xr:uid="{00000000-0005-0000-0000-00000E0A0000}"/>
    <cellStyle name="20% - Accent2 3 2 2 3 2 2 2" xfId="39185" xr:uid="{96567B30-A4CB-4922-B3E3-4E70AFBEF295}"/>
    <cellStyle name="20% - Accent2 3 2 2 3 2 3" xfId="23289" xr:uid="{00000000-0005-0000-0000-00000F0A0000}"/>
    <cellStyle name="20% - Accent2 3 2 2 3 2 3 2" xfId="47121" xr:uid="{E2A910A1-D7B2-4DB3-921E-FC34D930E982}"/>
    <cellStyle name="20% - Accent2 3 2 2 3 2 4" xfId="31244" xr:uid="{1D93DE25-704F-4CCB-BBDD-4FFF8B2610E6}"/>
    <cellStyle name="20% - Accent2 3 2 2 3 3" xfId="11805" xr:uid="{00000000-0005-0000-0000-0000100A0000}"/>
    <cellStyle name="20% - Accent2 3 2 2 3 3 2" xfId="35654" xr:uid="{D199F02C-D172-4284-A645-2BE3EDA72CC8}"/>
    <cellStyle name="20% - Accent2 3 2 2 3 4" xfId="19760" xr:uid="{00000000-0005-0000-0000-0000110A0000}"/>
    <cellStyle name="20% - Accent2 3 2 2 3 4 2" xfId="43592" xr:uid="{B27795A6-45A5-44F1-B268-6EFD037F9376}"/>
    <cellStyle name="20% - Accent2 3 2 2 3 5" xfId="27713" xr:uid="{8B4A89E2-2CDD-4E7C-A9FE-D98FE1BED582}"/>
    <cellStyle name="20% - Accent2 3 2 2 4" xfId="5600" xr:uid="{00000000-0005-0000-0000-0000120A0000}"/>
    <cellStyle name="20% - Accent2 3 2 2 4 2" xfId="13584" xr:uid="{00000000-0005-0000-0000-0000130A0000}"/>
    <cellStyle name="20% - Accent2 3 2 2 4 2 2" xfId="37427" xr:uid="{3BD598E0-6D09-4109-86DC-443508BFB535}"/>
    <cellStyle name="20% - Accent2 3 2 2 4 3" xfId="21532" xr:uid="{00000000-0005-0000-0000-0000140A0000}"/>
    <cellStyle name="20% - Accent2 3 2 2 4 3 2" xfId="45364" xr:uid="{E3846171-D22C-4C88-BE08-540B11FBCD19}"/>
    <cellStyle name="20% - Accent2 3 2 2 4 4" xfId="29486" xr:uid="{851BAE35-7833-46B2-A8DF-8291510BECF5}"/>
    <cellStyle name="20% - Accent2 3 2 2 5" xfId="9153" xr:uid="{00000000-0005-0000-0000-0000150A0000}"/>
    <cellStyle name="20% - Accent2 3 2 2 5 2" xfId="17111" xr:uid="{00000000-0005-0000-0000-0000160A0000}"/>
    <cellStyle name="20% - Accent2 3 2 2 5 2 2" xfId="40951" xr:uid="{55BE8370-7530-429E-91D0-0302AD772A1D}"/>
    <cellStyle name="20% - Accent2 3 2 2 5 3" xfId="25055" xr:uid="{00000000-0005-0000-0000-0000170A0000}"/>
    <cellStyle name="20% - Accent2 3 2 2 5 3 2" xfId="48887" xr:uid="{66479D54-925D-47F1-B0FC-79682BA53DA5}"/>
    <cellStyle name="20% - Accent2 3 2 2 5 4" xfId="33010" xr:uid="{7002E907-BF2C-44E9-AB98-01B0E85D4B13}"/>
    <cellStyle name="20% - Accent2 3 2 2 6" xfId="10049" xr:uid="{00000000-0005-0000-0000-0000180A0000}"/>
    <cellStyle name="20% - Accent2 3 2 2 6 2" xfId="33898" xr:uid="{3A42462A-ADE9-428E-8CAC-D0C02BB9EFB9}"/>
    <cellStyle name="20% - Accent2 3 2 2 7" xfId="18004" xr:uid="{00000000-0005-0000-0000-0000190A0000}"/>
    <cellStyle name="20% - Accent2 3 2 2 7 2" xfId="41836" xr:uid="{CF7211DC-E9BA-4FA6-B978-B66CEB067054}"/>
    <cellStyle name="20% - Accent2 3 2 2 8" xfId="25956" xr:uid="{80DA0824-3EE2-4FDC-866E-6359B9E83DDD}"/>
    <cellStyle name="20% - Accent2 3 2 2_Exh G" xfId="2119" xr:uid="{00000000-0005-0000-0000-00001A0A0000}"/>
    <cellStyle name="20% - Accent2 3 2 3" xfId="878" xr:uid="{00000000-0005-0000-0000-00001B0A0000}"/>
    <cellStyle name="20% - Accent2 3 2 3 2" xfId="1812" xr:uid="{00000000-0005-0000-0000-00001C0A0000}"/>
    <cellStyle name="20% - Accent2 3 2 3 2 2" xfId="5330" xr:uid="{00000000-0005-0000-0000-00001D0A0000}"/>
    <cellStyle name="20% - Accent2 3 2 3 2 2 2" xfId="8921" xr:uid="{00000000-0005-0000-0000-00001E0A0000}"/>
    <cellStyle name="20% - Accent2 3 2 3 2 2 2 2" xfId="16892" xr:uid="{00000000-0005-0000-0000-00001F0A0000}"/>
    <cellStyle name="20% - Accent2 3 2 3 2 2 2 2 2" xfId="40734" xr:uid="{44BC1435-CFAB-465E-99E7-1E4399F22E15}"/>
    <cellStyle name="20% - Accent2 3 2 3 2 2 2 3" xfId="24838" xr:uid="{00000000-0005-0000-0000-0000200A0000}"/>
    <cellStyle name="20% - Accent2 3 2 3 2 2 2 3 2" xfId="48670" xr:uid="{C8A1F721-F259-4968-BE77-E39684808BD5}"/>
    <cellStyle name="20% - Accent2 3 2 3 2 2 2 4" xfId="32793" xr:uid="{702E5C23-2AAC-49B6-9A3B-243D82586F81}"/>
    <cellStyle name="20% - Accent2 3 2 3 2 2 3" xfId="13354" xr:uid="{00000000-0005-0000-0000-0000210A0000}"/>
    <cellStyle name="20% - Accent2 3 2 3 2 2 3 2" xfId="37203" xr:uid="{DFB7AA7E-A6ED-4D00-B491-4264CC270AF1}"/>
    <cellStyle name="20% - Accent2 3 2 3 2 2 4" xfId="21309" xr:uid="{00000000-0005-0000-0000-0000220A0000}"/>
    <cellStyle name="20% - Accent2 3 2 3 2 2 4 2" xfId="45141" xr:uid="{B848D9D8-461F-4A62-A53A-382CC5C3B13E}"/>
    <cellStyle name="20% - Accent2 3 2 3 2 2 5" xfId="29262" xr:uid="{0CC69C30-4CE9-4137-A9E1-585D2D14EA43}"/>
    <cellStyle name="20% - Accent2 3 2 3 2 3" xfId="7162" xr:uid="{00000000-0005-0000-0000-0000230A0000}"/>
    <cellStyle name="20% - Accent2 3 2 3 2 3 2" xfId="15134" xr:uid="{00000000-0005-0000-0000-0000240A0000}"/>
    <cellStyle name="20% - Accent2 3 2 3 2 3 2 2" xfId="38976" xr:uid="{027C7651-CDCD-40C8-A26F-B44A388AED48}"/>
    <cellStyle name="20% - Accent2 3 2 3 2 3 3" xfId="23081" xr:uid="{00000000-0005-0000-0000-0000250A0000}"/>
    <cellStyle name="20% - Accent2 3 2 3 2 3 3 2" xfId="46913" xr:uid="{BEF26494-4261-4588-9DE1-59B4140703A2}"/>
    <cellStyle name="20% - Accent2 3 2 3 2 3 4" xfId="31035" xr:uid="{BB8CF01A-F40B-4674-BA7F-E2E9B1F08DF7}"/>
    <cellStyle name="20% - Accent2 3 2 3 2 4" xfId="11598" xr:uid="{00000000-0005-0000-0000-0000260A0000}"/>
    <cellStyle name="20% - Accent2 3 2 3 2 4 2" xfId="35447" xr:uid="{39771F4A-CE1C-4155-8464-26E8BAD3FA8E}"/>
    <cellStyle name="20% - Accent2 3 2 3 2 5" xfId="19553" xr:uid="{00000000-0005-0000-0000-0000270A0000}"/>
    <cellStyle name="20% - Accent2 3 2 3 2 5 2" xfId="43385" xr:uid="{7F778BB0-9D4D-46E7-8F87-60E212FE53C5}"/>
    <cellStyle name="20% - Accent2 3 2 3 2 6" xfId="27505" xr:uid="{B6036911-2A29-4415-9B62-317A77427DD0}"/>
    <cellStyle name="20% - Accent2 3 2 3 2_Exh G" xfId="2122" xr:uid="{00000000-0005-0000-0000-0000280A0000}"/>
    <cellStyle name="20% - Accent2 3 2 3 3" xfId="4451" xr:uid="{00000000-0005-0000-0000-0000290A0000}"/>
    <cellStyle name="20% - Accent2 3 2 3 3 2" xfId="8043" xr:uid="{00000000-0005-0000-0000-00002A0A0000}"/>
    <cellStyle name="20% - Accent2 3 2 3 3 2 2" xfId="16014" xr:uid="{00000000-0005-0000-0000-00002B0A0000}"/>
    <cellStyle name="20% - Accent2 3 2 3 3 2 2 2" xfId="39856" xr:uid="{50829CDB-A180-4861-AD57-332848F63A0B}"/>
    <cellStyle name="20% - Accent2 3 2 3 3 2 3" xfId="23960" xr:uid="{00000000-0005-0000-0000-00002C0A0000}"/>
    <cellStyle name="20% - Accent2 3 2 3 3 2 3 2" xfId="47792" xr:uid="{B600397B-D46B-4DAF-8AD0-C410A63B522A}"/>
    <cellStyle name="20% - Accent2 3 2 3 3 2 4" xfId="31915" xr:uid="{DF67EFCE-DD63-4B15-9169-4AB44D43444F}"/>
    <cellStyle name="20% - Accent2 3 2 3 3 3" xfId="12476" xr:uid="{00000000-0005-0000-0000-00002D0A0000}"/>
    <cellStyle name="20% - Accent2 3 2 3 3 3 2" xfId="36325" xr:uid="{480E60EB-DF48-4C82-AFA5-CD8C9B8ADAD1}"/>
    <cellStyle name="20% - Accent2 3 2 3 3 4" xfId="20431" xr:uid="{00000000-0005-0000-0000-00002E0A0000}"/>
    <cellStyle name="20% - Accent2 3 2 3 3 4 2" xfId="44263" xr:uid="{3EF70DE8-0FAC-4C1B-BE5E-99989D1AC106}"/>
    <cellStyle name="20% - Accent2 3 2 3 3 5" xfId="28384" xr:uid="{1832F9B6-E7B9-4C36-9C8C-857DEAFBAD63}"/>
    <cellStyle name="20% - Accent2 3 2 3 4" xfId="6281" xr:uid="{00000000-0005-0000-0000-00002F0A0000}"/>
    <cellStyle name="20% - Accent2 3 2 3 4 2" xfId="14256" xr:uid="{00000000-0005-0000-0000-0000300A0000}"/>
    <cellStyle name="20% - Accent2 3 2 3 4 2 2" xfId="38098" xr:uid="{95A8FDF6-DF9D-44C8-AE52-8DBE4B4EFBC1}"/>
    <cellStyle name="20% - Accent2 3 2 3 4 3" xfId="22203" xr:uid="{00000000-0005-0000-0000-0000310A0000}"/>
    <cellStyle name="20% - Accent2 3 2 3 4 3 2" xfId="46035" xr:uid="{96048AA5-3060-4058-AF35-AA30464511C7}"/>
    <cellStyle name="20% - Accent2 3 2 3 4 4" xfId="30157" xr:uid="{78804449-4AFB-4CAC-89A1-FD313A6D916D}"/>
    <cellStyle name="20% - Accent2 3 2 3 5" xfId="9824" xr:uid="{00000000-0005-0000-0000-0000320A0000}"/>
    <cellStyle name="20% - Accent2 3 2 3 5 2" xfId="17782" xr:uid="{00000000-0005-0000-0000-0000330A0000}"/>
    <cellStyle name="20% - Accent2 3 2 3 5 2 2" xfId="41622" xr:uid="{BE165769-62B9-4BA8-86FC-09D321C25BD4}"/>
    <cellStyle name="20% - Accent2 3 2 3 5 3" xfId="25726" xr:uid="{00000000-0005-0000-0000-0000340A0000}"/>
    <cellStyle name="20% - Accent2 3 2 3 5 3 2" xfId="49558" xr:uid="{B1791AA1-78E0-461F-8D30-1B6740A8C5C2}"/>
    <cellStyle name="20% - Accent2 3 2 3 5 4" xfId="33681" xr:uid="{BF398EB8-BEFE-42E1-A58C-E66B4E96A35B}"/>
    <cellStyle name="20% - Accent2 3 2 3 6" xfId="10720" xr:uid="{00000000-0005-0000-0000-0000350A0000}"/>
    <cellStyle name="20% - Accent2 3 2 3 6 2" xfId="34569" xr:uid="{D283AD33-A517-494D-B66F-8A0C19C79860}"/>
    <cellStyle name="20% - Accent2 3 2 3 7" xfId="18675" xr:uid="{00000000-0005-0000-0000-0000360A0000}"/>
    <cellStyle name="20% - Accent2 3 2 3 7 2" xfId="42507" xr:uid="{7A31CFC5-2911-4CD9-9712-AC7041AC8199}"/>
    <cellStyle name="20% - Accent2 3 2 3 8" xfId="26627" xr:uid="{9D43BC60-D73B-4642-8568-37159CA8B478}"/>
    <cellStyle name="20% - Accent2 3 2 3_Exh G" xfId="2121" xr:uid="{00000000-0005-0000-0000-0000370A0000}"/>
    <cellStyle name="20% - Accent2 3 2 4" xfId="1128" xr:uid="{00000000-0005-0000-0000-0000380A0000}"/>
    <cellStyle name="20% - Accent2 3 2 4 2" xfId="4658" xr:uid="{00000000-0005-0000-0000-0000390A0000}"/>
    <cellStyle name="20% - Accent2 3 2 4 2 2" xfId="8249" xr:uid="{00000000-0005-0000-0000-00003A0A0000}"/>
    <cellStyle name="20% - Accent2 3 2 4 2 2 2" xfId="16220" xr:uid="{00000000-0005-0000-0000-00003B0A0000}"/>
    <cellStyle name="20% - Accent2 3 2 4 2 2 2 2" xfId="40062" xr:uid="{FC0CFF49-F9D3-468C-9313-73F16B86E48D}"/>
    <cellStyle name="20% - Accent2 3 2 4 2 2 3" xfId="24166" xr:uid="{00000000-0005-0000-0000-00003C0A0000}"/>
    <cellStyle name="20% - Accent2 3 2 4 2 2 3 2" xfId="47998" xr:uid="{715AF71B-C052-4424-BA40-11C4F372F189}"/>
    <cellStyle name="20% - Accent2 3 2 4 2 2 4" xfId="32121" xr:uid="{7A8F419C-58A5-407F-A071-4F11579AB555}"/>
    <cellStyle name="20% - Accent2 3 2 4 2 3" xfId="12682" xr:uid="{00000000-0005-0000-0000-00003D0A0000}"/>
    <cellStyle name="20% - Accent2 3 2 4 2 3 2" xfId="36531" xr:uid="{2EA55858-AF10-45C1-A093-82A75407DA37}"/>
    <cellStyle name="20% - Accent2 3 2 4 2 4" xfId="20637" xr:uid="{00000000-0005-0000-0000-00003E0A0000}"/>
    <cellStyle name="20% - Accent2 3 2 4 2 4 2" xfId="44469" xr:uid="{1DB4C7ED-178B-455F-93A6-1C01CE2B3541}"/>
    <cellStyle name="20% - Accent2 3 2 4 2 5" xfId="28590" xr:uid="{6B431B90-C7E3-4921-959F-F05D2D4F677D}"/>
    <cellStyle name="20% - Accent2 3 2 4 3" xfId="6490" xr:uid="{00000000-0005-0000-0000-00003F0A0000}"/>
    <cellStyle name="20% - Accent2 3 2 4 3 2" xfId="14462" xr:uid="{00000000-0005-0000-0000-0000400A0000}"/>
    <cellStyle name="20% - Accent2 3 2 4 3 2 2" xfId="38304" xr:uid="{ACB90F45-BCBF-47D4-95AD-F4AF6AD86DD1}"/>
    <cellStyle name="20% - Accent2 3 2 4 3 3" xfId="22409" xr:uid="{00000000-0005-0000-0000-0000410A0000}"/>
    <cellStyle name="20% - Accent2 3 2 4 3 3 2" xfId="46241" xr:uid="{F970386E-62F0-4E61-BD1E-1E851F7014F5}"/>
    <cellStyle name="20% - Accent2 3 2 4 3 4" xfId="30363" xr:uid="{60975939-01F5-4F52-BC0A-5E6EA939D7F6}"/>
    <cellStyle name="20% - Accent2 3 2 4 4" xfId="10926" xr:uid="{00000000-0005-0000-0000-0000420A0000}"/>
    <cellStyle name="20% - Accent2 3 2 4 4 2" xfId="34775" xr:uid="{22CA1D76-3166-4921-844C-B38E3DF0B788}"/>
    <cellStyle name="20% - Accent2 3 2 4 5" xfId="18881" xr:uid="{00000000-0005-0000-0000-0000430A0000}"/>
    <cellStyle name="20% - Accent2 3 2 4 5 2" xfId="42713" xr:uid="{5E15C2B6-4BF4-4574-9DFE-ED072B0A5624}"/>
    <cellStyle name="20% - Accent2 3 2 4 6" xfId="26833" xr:uid="{3E106BE4-F5D7-4CB4-8CFF-D82D1BF5D004}"/>
    <cellStyle name="20% - Accent2 3 2 4_Exh G" xfId="2123" xr:uid="{00000000-0005-0000-0000-0000440A0000}"/>
    <cellStyle name="20% - Accent2 3 2 5" xfId="3779" xr:uid="{00000000-0005-0000-0000-0000450A0000}"/>
    <cellStyle name="20% - Accent2 3 2 5 2" xfId="7371" xr:uid="{00000000-0005-0000-0000-0000460A0000}"/>
    <cellStyle name="20% - Accent2 3 2 5 2 2" xfId="15342" xr:uid="{00000000-0005-0000-0000-0000470A0000}"/>
    <cellStyle name="20% - Accent2 3 2 5 2 2 2" xfId="39184" xr:uid="{4EF9983A-04BF-4B54-AF34-F1A6D96DF9C4}"/>
    <cellStyle name="20% - Accent2 3 2 5 2 3" xfId="23288" xr:uid="{00000000-0005-0000-0000-0000480A0000}"/>
    <cellStyle name="20% - Accent2 3 2 5 2 3 2" xfId="47120" xr:uid="{18EFD2A8-DDB4-45D4-BF7E-9B2FF5BDDB2E}"/>
    <cellStyle name="20% - Accent2 3 2 5 2 4" xfId="31243" xr:uid="{0CCEF200-5E3D-4637-B088-E853EC8EC05E}"/>
    <cellStyle name="20% - Accent2 3 2 5 3" xfId="11804" xr:uid="{00000000-0005-0000-0000-0000490A0000}"/>
    <cellStyle name="20% - Accent2 3 2 5 3 2" xfId="35653" xr:uid="{A624A123-314A-4EB8-BB4F-ABDB5C7F1D37}"/>
    <cellStyle name="20% - Accent2 3 2 5 4" xfId="19759" xr:uid="{00000000-0005-0000-0000-00004A0A0000}"/>
    <cellStyle name="20% - Accent2 3 2 5 4 2" xfId="43591" xr:uid="{2CFD6FA6-1707-4BB8-B237-6BBA93FEE9F3}"/>
    <cellStyle name="20% - Accent2 3 2 5 5" xfId="27712" xr:uid="{D5FB0792-2126-410D-BD3C-C67D4361E4AE}"/>
    <cellStyle name="20% - Accent2 3 2 6" xfId="5599" xr:uid="{00000000-0005-0000-0000-00004B0A0000}"/>
    <cellStyle name="20% - Accent2 3 2 6 2" xfId="13583" xr:uid="{00000000-0005-0000-0000-00004C0A0000}"/>
    <cellStyle name="20% - Accent2 3 2 6 2 2" xfId="37426" xr:uid="{12CC8821-1BAC-4317-9E97-6D64EF55862A}"/>
    <cellStyle name="20% - Accent2 3 2 6 3" xfId="21531" xr:uid="{00000000-0005-0000-0000-00004D0A0000}"/>
    <cellStyle name="20% - Accent2 3 2 6 3 2" xfId="45363" xr:uid="{2F888E5B-8339-41F7-A395-8071026A64A0}"/>
    <cellStyle name="20% - Accent2 3 2 6 4" xfId="29485" xr:uid="{5CF026C8-96BA-48C4-A270-916659CCD6B0}"/>
    <cellStyle name="20% - Accent2 3 2 7" xfId="9152" xr:uid="{00000000-0005-0000-0000-00004E0A0000}"/>
    <cellStyle name="20% - Accent2 3 2 7 2" xfId="17110" xr:uid="{00000000-0005-0000-0000-00004F0A0000}"/>
    <cellStyle name="20% - Accent2 3 2 7 2 2" xfId="40950" xr:uid="{0DBF3BE1-4094-41A0-9084-DF6686166C07}"/>
    <cellStyle name="20% - Accent2 3 2 7 3" xfId="25054" xr:uid="{00000000-0005-0000-0000-0000500A0000}"/>
    <cellStyle name="20% - Accent2 3 2 7 3 2" xfId="48886" xr:uid="{8FC01A5E-5CF8-400D-AB58-A67F32949381}"/>
    <cellStyle name="20% - Accent2 3 2 7 4" xfId="33009" xr:uid="{D162FD73-40C9-4018-8EFE-C899BECC2BA8}"/>
    <cellStyle name="20% - Accent2 3 2 8" xfId="10048" xr:uid="{00000000-0005-0000-0000-0000510A0000}"/>
    <cellStyle name="20% - Accent2 3 2 8 2" xfId="33897" xr:uid="{D4AE4BF9-77D8-4854-BD47-36129A422827}"/>
    <cellStyle name="20% - Accent2 3 2 9" xfId="18003" xr:uid="{00000000-0005-0000-0000-0000520A0000}"/>
    <cellStyle name="20% - Accent2 3 2 9 2" xfId="41835" xr:uid="{CAB4AA00-E8DD-4F20-9DD2-BAF491C01660}"/>
    <cellStyle name="20% - Accent2 3 2_Exh G" xfId="2118" xr:uid="{00000000-0005-0000-0000-0000530A0000}"/>
    <cellStyle name="20% - Accent2 3 3" xfId="102" xr:uid="{00000000-0005-0000-0000-0000540A0000}"/>
    <cellStyle name="20% - Accent2 3 3 2" xfId="1130" xr:uid="{00000000-0005-0000-0000-0000550A0000}"/>
    <cellStyle name="20% - Accent2 3 3 2 2" xfId="4660" xr:uid="{00000000-0005-0000-0000-0000560A0000}"/>
    <cellStyle name="20% - Accent2 3 3 2 2 2" xfId="8251" xr:uid="{00000000-0005-0000-0000-0000570A0000}"/>
    <cellStyle name="20% - Accent2 3 3 2 2 2 2" xfId="16222" xr:uid="{00000000-0005-0000-0000-0000580A0000}"/>
    <cellStyle name="20% - Accent2 3 3 2 2 2 2 2" xfId="40064" xr:uid="{974AD1EB-37E8-4B51-A3FA-EC5B0ACB9C5F}"/>
    <cellStyle name="20% - Accent2 3 3 2 2 2 3" xfId="24168" xr:uid="{00000000-0005-0000-0000-0000590A0000}"/>
    <cellStyle name="20% - Accent2 3 3 2 2 2 3 2" xfId="48000" xr:uid="{C581FD73-7E23-4A5E-8189-28C3A6E530B6}"/>
    <cellStyle name="20% - Accent2 3 3 2 2 2 4" xfId="32123" xr:uid="{1273F7B5-AAD4-46C2-830D-E6AEB3522B7E}"/>
    <cellStyle name="20% - Accent2 3 3 2 2 3" xfId="12684" xr:uid="{00000000-0005-0000-0000-00005A0A0000}"/>
    <cellStyle name="20% - Accent2 3 3 2 2 3 2" xfId="36533" xr:uid="{6485ACC4-CD1F-4151-B546-60E059355EEF}"/>
    <cellStyle name="20% - Accent2 3 3 2 2 4" xfId="20639" xr:uid="{00000000-0005-0000-0000-00005B0A0000}"/>
    <cellStyle name="20% - Accent2 3 3 2 2 4 2" xfId="44471" xr:uid="{E70FD4A4-D19E-44BF-B537-58B750F32BED}"/>
    <cellStyle name="20% - Accent2 3 3 2 2 5" xfId="28592" xr:uid="{D48A211E-C7E5-4D42-8090-1F3DFC6CB765}"/>
    <cellStyle name="20% - Accent2 3 3 2 3" xfId="6492" xr:uid="{00000000-0005-0000-0000-00005C0A0000}"/>
    <cellStyle name="20% - Accent2 3 3 2 3 2" xfId="14464" xr:uid="{00000000-0005-0000-0000-00005D0A0000}"/>
    <cellStyle name="20% - Accent2 3 3 2 3 2 2" xfId="38306" xr:uid="{815B4FDF-FA12-4370-9F87-D1F46EED4FC4}"/>
    <cellStyle name="20% - Accent2 3 3 2 3 3" xfId="22411" xr:uid="{00000000-0005-0000-0000-00005E0A0000}"/>
    <cellStyle name="20% - Accent2 3 3 2 3 3 2" xfId="46243" xr:uid="{A2435B39-9021-4550-8B22-DAE5EDD75384}"/>
    <cellStyle name="20% - Accent2 3 3 2 3 4" xfId="30365" xr:uid="{FA3563E6-3F38-49F1-BAE8-98F317A0E546}"/>
    <cellStyle name="20% - Accent2 3 3 2 4" xfId="10928" xr:uid="{00000000-0005-0000-0000-00005F0A0000}"/>
    <cellStyle name="20% - Accent2 3 3 2 4 2" xfId="34777" xr:uid="{90EA94D5-B5FA-4A41-9C3E-040693A9B744}"/>
    <cellStyle name="20% - Accent2 3 3 2 5" xfId="18883" xr:uid="{00000000-0005-0000-0000-0000600A0000}"/>
    <cellStyle name="20% - Accent2 3 3 2 5 2" xfId="42715" xr:uid="{A1D585A7-AAE2-4C1E-AB47-40CD1E3160A5}"/>
    <cellStyle name="20% - Accent2 3 3 2 6" xfId="26835" xr:uid="{12E8A6EB-241F-49E9-823A-F7D88E3B9BA7}"/>
    <cellStyle name="20% - Accent2 3 3 2_Exh G" xfId="2125" xr:uid="{00000000-0005-0000-0000-0000610A0000}"/>
    <cellStyle name="20% - Accent2 3 3 3" xfId="3781" xr:uid="{00000000-0005-0000-0000-0000620A0000}"/>
    <cellStyle name="20% - Accent2 3 3 3 2" xfId="7373" xr:uid="{00000000-0005-0000-0000-0000630A0000}"/>
    <cellStyle name="20% - Accent2 3 3 3 2 2" xfId="15344" xr:uid="{00000000-0005-0000-0000-0000640A0000}"/>
    <cellStyle name="20% - Accent2 3 3 3 2 2 2" xfId="39186" xr:uid="{6A17961A-E149-48E2-8CFF-BDF0A7E44A75}"/>
    <cellStyle name="20% - Accent2 3 3 3 2 3" xfId="23290" xr:uid="{00000000-0005-0000-0000-0000650A0000}"/>
    <cellStyle name="20% - Accent2 3 3 3 2 3 2" xfId="47122" xr:uid="{0D9CFC59-9F77-4783-B6C7-09BEE0BF14D3}"/>
    <cellStyle name="20% - Accent2 3 3 3 2 4" xfId="31245" xr:uid="{D4E6300A-A552-4CD6-9BF3-7A847DA5D143}"/>
    <cellStyle name="20% - Accent2 3 3 3 3" xfId="11806" xr:uid="{00000000-0005-0000-0000-0000660A0000}"/>
    <cellStyle name="20% - Accent2 3 3 3 3 2" xfId="35655" xr:uid="{C0024430-DF75-4AE9-8AF6-C7A4D19D039A}"/>
    <cellStyle name="20% - Accent2 3 3 3 4" xfId="19761" xr:uid="{00000000-0005-0000-0000-0000670A0000}"/>
    <cellStyle name="20% - Accent2 3 3 3 4 2" xfId="43593" xr:uid="{160B96A6-37D5-48E3-AE01-C6F09543ECC2}"/>
    <cellStyle name="20% - Accent2 3 3 3 5" xfId="27714" xr:uid="{2554032F-B688-404C-942B-895385731902}"/>
    <cellStyle name="20% - Accent2 3 3 4" xfId="5601" xr:uid="{00000000-0005-0000-0000-0000680A0000}"/>
    <cellStyle name="20% - Accent2 3 3 4 2" xfId="13585" xr:uid="{00000000-0005-0000-0000-0000690A0000}"/>
    <cellStyle name="20% - Accent2 3 3 4 2 2" xfId="37428" xr:uid="{3DFAA55B-8E97-436D-924A-FEA6F98394F6}"/>
    <cellStyle name="20% - Accent2 3 3 4 3" xfId="21533" xr:uid="{00000000-0005-0000-0000-00006A0A0000}"/>
    <cellStyle name="20% - Accent2 3 3 4 3 2" xfId="45365" xr:uid="{BE2BE118-9CF8-4852-81C6-27B78F5115D8}"/>
    <cellStyle name="20% - Accent2 3 3 4 4" xfId="29487" xr:uid="{2EF4000C-B975-4666-8B5C-C669B1D9E5AB}"/>
    <cellStyle name="20% - Accent2 3 3 5" xfId="9154" xr:uid="{00000000-0005-0000-0000-00006B0A0000}"/>
    <cellStyle name="20% - Accent2 3 3 5 2" xfId="17112" xr:uid="{00000000-0005-0000-0000-00006C0A0000}"/>
    <cellStyle name="20% - Accent2 3 3 5 2 2" xfId="40952" xr:uid="{504DC860-CE4D-4241-834B-65CF9DA46C49}"/>
    <cellStyle name="20% - Accent2 3 3 5 3" xfId="25056" xr:uid="{00000000-0005-0000-0000-00006D0A0000}"/>
    <cellStyle name="20% - Accent2 3 3 5 3 2" xfId="48888" xr:uid="{69C530B1-1176-4DB3-8BF3-D6B75EE74A20}"/>
    <cellStyle name="20% - Accent2 3 3 5 4" xfId="33011" xr:uid="{8A7F9B7F-A05D-48FD-A5F0-31616254912C}"/>
    <cellStyle name="20% - Accent2 3 3 6" xfId="10050" xr:uid="{00000000-0005-0000-0000-00006E0A0000}"/>
    <cellStyle name="20% - Accent2 3 3 6 2" xfId="33899" xr:uid="{E9B892B7-4A4A-4485-8FA4-1E062B5F11D2}"/>
    <cellStyle name="20% - Accent2 3 3 7" xfId="18005" xr:uid="{00000000-0005-0000-0000-00006F0A0000}"/>
    <cellStyle name="20% - Accent2 3 3 7 2" xfId="41837" xr:uid="{4962B82E-A437-4D89-A7F8-FE79B7C43D5A}"/>
    <cellStyle name="20% - Accent2 3 3 8" xfId="25957" xr:uid="{90AB2111-E08E-4BB8-86B3-1032DE541818}"/>
    <cellStyle name="20% - Accent2 3 3_Exh G" xfId="2124" xr:uid="{00000000-0005-0000-0000-0000700A0000}"/>
    <cellStyle name="20% - Accent2 3 4" xfId="877" xr:uid="{00000000-0005-0000-0000-0000710A0000}"/>
    <cellStyle name="20% - Accent2 3 4 2" xfId="1811" xr:uid="{00000000-0005-0000-0000-0000720A0000}"/>
    <cellStyle name="20% - Accent2 3 4 2 2" xfId="5329" xr:uid="{00000000-0005-0000-0000-0000730A0000}"/>
    <cellStyle name="20% - Accent2 3 4 2 2 2" xfId="8920" xr:uid="{00000000-0005-0000-0000-0000740A0000}"/>
    <cellStyle name="20% - Accent2 3 4 2 2 2 2" xfId="16891" xr:uid="{00000000-0005-0000-0000-0000750A0000}"/>
    <cellStyle name="20% - Accent2 3 4 2 2 2 2 2" xfId="40733" xr:uid="{F9DDE1D8-C127-45AC-A4C5-B3F54D2EC2D9}"/>
    <cellStyle name="20% - Accent2 3 4 2 2 2 3" xfId="24837" xr:uid="{00000000-0005-0000-0000-0000760A0000}"/>
    <cellStyle name="20% - Accent2 3 4 2 2 2 3 2" xfId="48669" xr:uid="{229D9AAD-6F28-4085-BACD-9C863A256F9F}"/>
    <cellStyle name="20% - Accent2 3 4 2 2 2 4" xfId="32792" xr:uid="{4097E240-5733-4256-A6CD-C2D6BCA0F0E3}"/>
    <cellStyle name="20% - Accent2 3 4 2 2 3" xfId="13353" xr:uid="{00000000-0005-0000-0000-0000770A0000}"/>
    <cellStyle name="20% - Accent2 3 4 2 2 3 2" xfId="37202" xr:uid="{E3BE9BA0-9C38-4BBE-BD87-663A7BF8C8EB}"/>
    <cellStyle name="20% - Accent2 3 4 2 2 4" xfId="21308" xr:uid="{00000000-0005-0000-0000-0000780A0000}"/>
    <cellStyle name="20% - Accent2 3 4 2 2 4 2" xfId="45140" xr:uid="{37C62D82-3956-46FD-9EE5-8726B6B67851}"/>
    <cellStyle name="20% - Accent2 3 4 2 2 5" xfId="29261" xr:uid="{56E53D8D-699F-4231-BC41-FC1E4BF76FFB}"/>
    <cellStyle name="20% - Accent2 3 4 2 3" xfId="7161" xr:uid="{00000000-0005-0000-0000-0000790A0000}"/>
    <cellStyle name="20% - Accent2 3 4 2 3 2" xfId="15133" xr:uid="{00000000-0005-0000-0000-00007A0A0000}"/>
    <cellStyle name="20% - Accent2 3 4 2 3 2 2" xfId="38975" xr:uid="{94AA5197-C155-458C-8C1A-CF6977F22CBE}"/>
    <cellStyle name="20% - Accent2 3 4 2 3 3" xfId="23080" xr:uid="{00000000-0005-0000-0000-00007B0A0000}"/>
    <cellStyle name="20% - Accent2 3 4 2 3 3 2" xfId="46912" xr:uid="{F6295A7E-86FD-4269-AE4B-4261A5F306E2}"/>
    <cellStyle name="20% - Accent2 3 4 2 3 4" xfId="31034" xr:uid="{D249C5FB-6514-412A-AF35-B486EFB2BA56}"/>
    <cellStyle name="20% - Accent2 3 4 2 4" xfId="11597" xr:uid="{00000000-0005-0000-0000-00007C0A0000}"/>
    <cellStyle name="20% - Accent2 3 4 2 4 2" xfId="35446" xr:uid="{1DC28380-E63F-47A8-8376-6A9B8B4B4C09}"/>
    <cellStyle name="20% - Accent2 3 4 2 5" xfId="19552" xr:uid="{00000000-0005-0000-0000-00007D0A0000}"/>
    <cellStyle name="20% - Accent2 3 4 2 5 2" xfId="43384" xr:uid="{84B3CB8B-E2E7-47D4-A723-DE48C77C727E}"/>
    <cellStyle name="20% - Accent2 3 4 2 6" xfId="27504" xr:uid="{586848BD-15BD-4C13-9A97-28705DFA27A6}"/>
    <cellStyle name="20% - Accent2 3 4 2_Exh G" xfId="2127" xr:uid="{00000000-0005-0000-0000-00007E0A0000}"/>
    <cellStyle name="20% - Accent2 3 4 3" xfId="4450" xr:uid="{00000000-0005-0000-0000-00007F0A0000}"/>
    <cellStyle name="20% - Accent2 3 4 3 2" xfId="8042" xr:uid="{00000000-0005-0000-0000-0000800A0000}"/>
    <cellStyle name="20% - Accent2 3 4 3 2 2" xfId="16013" xr:uid="{00000000-0005-0000-0000-0000810A0000}"/>
    <cellStyle name="20% - Accent2 3 4 3 2 2 2" xfId="39855" xr:uid="{52DFE8A9-0EAB-44BB-8C1B-B1C341E21838}"/>
    <cellStyle name="20% - Accent2 3 4 3 2 3" xfId="23959" xr:uid="{00000000-0005-0000-0000-0000820A0000}"/>
    <cellStyle name="20% - Accent2 3 4 3 2 3 2" xfId="47791" xr:uid="{89B7B11C-20D4-4F73-A72D-F2F3167938C9}"/>
    <cellStyle name="20% - Accent2 3 4 3 2 4" xfId="31914" xr:uid="{AD459E62-FC17-4F4B-B031-733B2B380720}"/>
    <cellStyle name="20% - Accent2 3 4 3 3" xfId="12475" xr:uid="{00000000-0005-0000-0000-0000830A0000}"/>
    <cellStyle name="20% - Accent2 3 4 3 3 2" xfId="36324" xr:uid="{E0C63955-12FF-4EC8-8635-6B4150666293}"/>
    <cellStyle name="20% - Accent2 3 4 3 4" xfId="20430" xr:uid="{00000000-0005-0000-0000-0000840A0000}"/>
    <cellStyle name="20% - Accent2 3 4 3 4 2" xfId="44262" xr:uid="{9BB7BB89-500C-4EBD-A3E5-F55DA15D9FC2}"/>
    <cellStyle name="20% - Accent2 3 4 3 5" xfId="28383" xr:uid="{7DAC1E9F-24B1-4D05-BEE9-0738C03BC069}"/>
    <cellStyle name="20% - Accent2 3 4 4" xfId="6280" xr:uid="{00000000-0005-0000-0000-0000850A0000}"/>
    <cellStyle name="20% - Accent2 3 4 4 2" xfId="14255" xr:uid="{00000000-0005-0000-0000-0000860A0000}"/>
    <cellStyle name="20% - Accent2 3 4 4 2 2" xfId="38097" xr:uid="{100232CD-73DA-4A7B-8A77-F8909E7584B8}"/>
    <cellStyle name="20% - Accent2 3 4 4 3" xfId="22202" xr:uid="{00000000-0005-0000-0000-0000870A0000}"/>
    <cellStyle name="20% - Accent2 3 4 4 3 2" xfId="46034" xr:uid="{A14F9DEC-F71E-41FE-9F4F-C40FAB6E3EFB}"/>
    <cellStyle name="20% - Accent2 3 4 4 4" xfId="30156" xr:uid="{A1CE9271-A35F-4F70-B848-CE7E7EDDC513}"/>
    <cellStyle name="20% - Accent2 3 4 5" xfId="9823" xr:uid="{00000000-0005-0000-0000-0000880A0000}"/>
    <cellStyle name="20% - Accent2 3 4 5 2" xfId="17781" xr:uid="{00000000-0005-0000-0000-0000890A0000}"/>
    <cellStyle name="20% - Accent2 3 4 5 2 2" xfId="41621" xr:uid="{C8436574-88A3-47DD-AEDC-C860DC544B0F}"/>
    <cellStyle name="20% - Accent2 3 4 5 3" xfId="25725" xr:uid="{00000000-0005-0000-0000-00008A0A0000}"/>
    <cellStyle name="20% - Accent2 3 4 5 3 2" xfId="49557" xr:uid="{AFF60EFC-2309-46CC-8FA0-C059FA607665}"/>
    <cellStyle name="20% - Accent2 3 4 5 4" xfId="33680" xr:uid="{11229F2F-DAE2-492D-9E3D-5EA543A58D02}"/>
    <cellStyle name="20% - Accent2 3 4 6" xfId="10719" xr:uid="{00000000-0005-0000-0000-00008B0A0000}"/>
    <cellStyle name="20% - Accent2 3 4 6 2" xfId="34568" xr:uid="{111CA56A-ED38-47DB-A341-EC1515D83E9B}"/>
    <cellStyle name="20% - Accent2 3 4 7" xfId="18674" xr:uid="{00000000-0005-0000-0000-00008C0A0000}"/>
    <cellStyle name="20% - Accent2 3 4 7 2" xfId="42506" xr:uid="{9B90224F-C308-4115-B88F-E2BC90625132}"/>
    <cellStyle name="20% - Accent2 3 4 8" xfId="26626" xr:uid="{8152C902-F54E-43E2-8A58-DB195CA6FCEB}"/>
    <cellStyle name="20% - Accent2 3 4_Exh G" xfId="2126" xr:uid="{00000000-0005-0000-0000-00008D0A0000}"/>
    <cellStyle name="20% - Accent2 3 5" xfId="1127" xr:uid="{00000000-0005-0000-0000-00008E0A0000}"/>
    <cellStyle name="20% - Accent2 3 5 2" xfId="4657" xr:uid="{00000000-0005-0000-0000-00008F0A0000}"/>
    <cellStyle name="20% - Accent2 3 5 2 2" xfId="8248" xr:uid="{00000000-0005-0000-0000-0000900A0000}"/>
    <cellStyle name="20% - Accent2 3 5 2 2 2" xfId="16219" xr:uid="{00000000-0005-0000-0000-0000910A0000}"/>
    <cellStyle name="20% - Accent2 3 5 2 2 2 2" xfId="40061" xr:uid="{A93A32F3-D85F-4BAF-82BC-D79C2D5BBF04}"/>
    <cellStyle name="20% - Accent2 3 5 2 2 3" xfId="24165" xr:uid="{00000000-0005-0000-0000-0000920A0000}"/>
    <cellStyle name="20% - Accent2 3 5 2 2 3 2" xfId="47997" xr:uid="{A6CFB074-E8FF-4000-8E80-666BEB5F0D24}"/>
    <cellStyle name="20% - Accent2 3 5 2 2 4" xfId="32120" xr:uid="{C49C9CB2-9D1A-49EF-8EB5-5D523F1B844A}"/>
    <cellStyle name="20% - Accent2 3 5 2 3" xfId="12681" xr:uid="{00000000-0005-0000-0000-0000930A0000}"/>
    <cellStyle name="20% - Accent2 3 5 2 3 2" xfId="36530" xr:uid="{BD456B1E-6730-4108-A305-1D4A11DACD57}"/>
    <cellStyle name="20% - Accent2 3 5 2 4" xfId="20636" xr:uid="{00000000-0005-0000-0000-0000940A0000}"/>
    <cellStyle name="20% - Accent2 3 5 2 4 2" xfId="44468" xr:uid="{E909DC0A-D9E9-433F-8DF0-1B92CE6D443F}"/>
    <cellStyle name="20% - Accent2 3 5 2 5" xfId="28589" xr:uid="{4BD3E449-FAB6-41DC-9FB8-76228AB92EA0}"/>
    <cellStyle name="20% - Accent2 3 5 3" xfId="6489" xr:uid="{00000000-0005-0000-0000-0000950A0000}"/>
    <cellStyle name="20% - Accent2 3 5 3 2" xfId="14461" xr:uid="{00000000-0005-0000-0000-0000960A0000}"/>
    <cellStyle name="20% - Accent2 3 5 3 2 2" xfId="38303" xr:uid="{7DA8032D-C3B1-4201-9018-4CE673EE58CF}"/>
    <cellStyle name="20% - Accent2 3 5 3 3" xfId="22408" xr:uid="{00000000-0005-0000-0000-0000970A0000}"/>
    <cellStyle name="20% - Accent2 3 5 3 3 2" xfId="46240" xr:uid="{58A813D7-9466-4EDF-B8E6-AC9D7C80A409}"/>
    <cellStyle name="20% - Accent2 3 5 3 4" xfId="30362" xr:uid="{05ADF54C-F2B5-4E8A-9175-997C3CCE98CA}"/>
    <cellStyle name="20% - Accent2 3 5 4" xfId="10925" xr:uid="{00000000-0005-0000-0000-0000980A0000}"/>
    <cellStyle name="20% - Accent2 3 5 4 2" xfId="34774" xr:uid="{3426EA18-843B-4AED-BAD3-4E9A879152B6}"/>
    <cellStyle name="20% - Accent2 3 5 5" xfId="18880" xr:uid="{00000000-0005-0000-0000-0000990A0000}"/>
    <cellStyle name="20% - Accent2 3 5 5 2" xfId="42712" xr:uid="{1F43D0DB-79A6-4BCC-A58C-EB8010AA4D43}"/>
    <cellStyle name="20% - Accent2 3 5 6" xfId="26832" xr:uid="{F76A5E25-A4D6-4D60-B26B-C6365DCD193D}"/>
    <cellStyle name="20% - Accent2 3 5_Exh G" xfId="2128" xr:uid="{00000000-0005-0000-0000-00009A0A0000}"/>
    <cellStyle name="20% - Accent2 3 6" xfId="3778" xr:uid="{00000000-0005-0000-0000-00009B0A0000}"/>
    <cellStyle name="20% - Accent2 3 6 2" xfId="7370" xr:uid="{00000000-0005-0000-0000-00009C0A0000}"/>
    <cellStyle name="20% - Accent2 3 6 2 2" xfId="15341" xr:uid="{00000000-0005-0000-0000-00009D0A0000}"/>
    <cellStyle name="20% - Accent2 3 6 2 2 2" xfId="39183" xr:uid="{C13F35C0-F9B2-48C8-B19A-17431FF843FC}"/>
    <cellStyle name="20% - Accent2 3 6 2 3" xfId="23287" xr:uid="{00000000-0005-0000-0000-00009E0A0000}"/>
    <cellStyle name="20% - Accent2 3 6 2 3 2" xfId="47119" xr:uid="{0B27ADAE-3387-47BC-B84C-C515B91C713E}"/>
    <cellStyle name="20% - Accent2 3 6 2 4" xfId="31242" xr:uid="{6EF00D4C-6B9A-4B10-B102-D1EF75507DBB}"/>
    <cellStyle name="20% - Accent2 3 6 3" xfId="11803" xr:uid="{00000000-0005-0000-0000-00009F0A0000}"/>
    <cellStyle name="20% - Accent2 3 6 3 2" xfId="35652" xr:uid="{B0CFDC66-3E75-43DF-A973-C97BE1456705}"/>
    <cellStyle name="20% - Accent2 3 6 4" xfId="19758" xr:uid="{00000000-0005-0000-0000-0000A00A0000}"/>
    <cellStyle name="20% - Accent2 3 6 4 2" xfId="43590" xr:uid="{23313EAF-32F8-4EE3-B837-0B9DC829D3B0}"/>
    <cellStyle name="20% - Accent2 3 6 5" xfId="27711" xr:uid="{DB3F9DC6-07CC-4831-AF96-CA9875989DE2}"/>
    <cellStyle name="20% - Accent2 3 7" xfId="5598" xr:uid="{00000000-0005-0000-0000-0000A10A0000}"/>
    <cellStyle name="20% - Accent2 3 7 2" xfId="13582" xr:uid="{00000000-0005-0000-0000-0000A20A0000}"/>
    <cellStyle name="20% - Accent2 3 7 2 2" xfId="37425" xr:uid="{70399C2E-557A-4A6B-A971-0EE3B177D56A}"/>
    <cellStyle name="20% - Accent2 3 7 3" xfId="21530" xr:uid="{00000000-0005-0000-0000-0000A30A0000}"/>
    <cellStyle name="20% - Accent2 3 7 3 2" xfId="45362" xr:uid="{419C2832-2DD8-4527-BF5D-27E810171D6A}"/>
    <cellStyle name="20% - Accent2 3 7 4" xfId="29484" xr:uid="{A9119550-D9A2-423A-9A42-87D31E9020C1}"/>
    <cellStyle name="20% - Accent2 3 8" xfId="9151" xr:uid="{00000000-0005-0000-0000-0000A40A0000}"/>
    <cellStyle name="20% - Accent2 3 8 2" xfId="17109" xr:uid="{00000000-0005-0000-0000-0000A50A0000}"/>
    <cellStyle name="20% - Accent2 3 8 2 2" xfId="40949" xr:uid="{FDD2E0E5-78B4-4EBD-AD49-88926227F6D0}"/>
    <cellStyle name="20% - Accent2 3 8 3" xfId="25053" xr:uid="{00000000-0005-0000-0000-0000A60A0000}"/>
    <cellStyle name="20% - Accent2 3 8 3 2" xfId="48885" xr:uid="{F453F858-3EF5-4D6B-854D-AFF8A15E3E74}"/>
    <cellStyle name="20% - Accent2 3 8 4" xfId="33008" xr:uid="{A129BF2D-8595-4FDE-A3DF-8F29C2758197}"/>
    <cellStyle name="20% - Accent2 3 9" xfId="10047" xr:uid="{00000000-0005-0000-0000-0000A70A0000}"/>
    <cellStyle name="20% - Accent2 3 9 2" xfId="33896" xr:uid="{E508614E-2762-4F9C-B1BC-C28FAF86D24F}"/>
    <cellStyle name="20% - Accent2 3_Exh G" xfId="2117" xr:uid="{00000000-0005-0000-0000-0000A80A0000}"/>
    <cellStyle name="20% - Accent2 4" xfId="103" xr:uid="{00000000-0005-0000-0000-0000A90A0000}"/>
    <cellStyle name="20% - Accent2 4 10" xfId="18006" xr:uid="{00000000-0005-0000-0000-0000AA0A0000}"/>
    <cellStyle name="20% - Accent2 4 10 2" xfId="41838" xr:uid="{51DFAD04-0D87-423E-B16D-44DAAED10556}"/>
    <cellStyle name="20% - Accent2 4 11" xfId="25958" xr:uid="{52B76F3F-3974-4491-B364-B65582AA9C00}"/>
    <cellStyle name="20% - Accent2 4 2" xfId="104" xr:uid="{00000000-0005-0000-0000-0000AB0A0000}"/>
    <cellStyle name="20% - Accent2 4 2 10" xfId="25959" xr:uid="{C2F7EC9B-1A4A-4B60-AC23-922ACD113DC1}"/>
    <cellStyle name="20% - Accent2 4 2 2" xfId="105" xr:uid="{00000000-0005-0000-0000-0000AC0A0000}"/>
    <cellStyle name="20% - Accent2 4 2 2 2" xfId="1133" xr:uid="{00000000-0005-0000-0000-0000AD0A0000}"/>
    <cellStyle name="20% - Accent2 4 2 2 2 2" xfId="4663" xr:uid="{00000000-0005-0000-0000-0000AE0A0000}"/>
    <cellStyle name="20% - Accent2 4 2 2 2 2 2" xfId="8254" xr:uid="{00000000-0005-0000-0000-0000AF0A0000}"/>
    <cellStyle name="20% - Accent2 4 2 2 2 2 2 2" xfId="16225" xr:uid="{00000000-0005-0000-0000-0000B00A0000}"/>
    <cellStyle name="20% - Accent2 4 2 2 2 2 2 2 2" xfId="40067" xr:uid="{4025E225-BA69-426E-AE88-0F0E0FED0CA7}"/>
    <cellStyle name="20% - Accent2 4 2 2 2 2 2 3" xfId="24171" xr:uid="{00000000-0005-0000-0000-0000B10A0000}"/>
    <cellStyle name="20% - Accent2 4 2 2 2 2 2 3 2" xfId="48003" xr:uid="{F89AB8FE-ACA8-4181-B53B-750E74F5AF5A}"/>
    <cellStyle name="20% - Accent2 4 2 2 2 2 2 4" xfId="32126" xr:uid="{78525B41-0B1B-4502-B288-53B367E46AE7}"/>
    <cellStyle name="20% - Accent2 4 2 2 2 2 3" xfId="12687" xr:uid="{00000000-0005-0000-0000-0000B20A0000}"/>
    <cellStyle name="20% - Accent2 4 2 2 2 2 3 2" xfId="36536" xr:uid="{E7FE22C6-97A1-4303-8475-7D8C1A4F31AF}"/>
    <cellStyle name="20% - Accent2 4 2 2 2 2 4" xfId="20642" xr:uid="{00000000-0005-0000-0000-0000B30A0000}"/>
    <cellStyle name="20% - Accent2 4 2 2 2 2 4 2" xfId="44474" xr:uid="{2C0C9D37-26A7-4E38-A85C-2C603698D627}"/>
    <cellStyle name="20% - Accent2 4 2 2 2 2 5" xfId="28595" xr:uid="{7225BB7E-9503-44A7-8C04-70A25F7B4D7A}"/>
    <cellStyle name="20% - Accent2 4 2 2 2 3" xfId="6495" xr:uid="{00000000-0005-0000-0000-0000B40A0000}"/>
    <cellStyle name="20% - Accent2 4 2 2 2 3 2" xfId="14467" xr:uid="{00000000-0005-0000-0000-0000B50A0000}"/>
    <cellStyle name="20% - Accent2 4 2 2 2 3 2 2" xfId="38309" xr:uid="{DC90291B-ECAF-4EF9-A637-E9EEC2A407AC}"/>
    <cellStyle name="20% - Accent2 4 2 2 2 3 3" xfId="22414" xr:uid="{00000000-0005-0000-0000-0000B60A0000}"/>
    <cellStyle name="20% - Accent2 4 2 2 2 3 3 2" xfId="46246" xr:uid="{B84923BB-54BE-457E-96DC-7D488F318634}"/>
    <cellStyle name="20% - Accent2 4 2 2 2 3 4" xfId="30368" xr:uid="{684F415F-6287-4910-832B-820848F5E21A}"/>
    <cellStyle name="20% - Accent2 4 2 2 2 4" xfId="10931" xr:uid="{00000000-0005-0000-0000-0000B70A0000}"/>
    <cellStyle name="20% - Accent2 4 2 2 2 4 2" xfId="34780" xr:uid="{33E6DCC1-A755-478E-A9E8-F00FD4D30420}"/>
    <cellStyle name="20% - Accent2 4 2 2 2 5" xfId="18886" xr:uid="{00000000-0005-0000-0000-0000B80A0000}"/>
    <cellStyle name="20% - Accent2 4 2 2 2 5 2" xfId="42718" xr:uid="{7A80272E-724E-41B0-BEAA-FD2D6FBF2848}"/>
    <cellStyle name="20% - Accent2 4 2 2 2 6" xfId="26838" xr:uid="{26F64487-0B82-4763-9B4E-9CE9AC377129}"/>
    <cellStyle name="20% - Accent2 4 2 2 2_Exh G" xfId="2132" xr:uid="{00000000-0005-0000-0000-0000B90A0000}"/>
    <cellStyle name="20% - Accent2 4 2 2 3" xfId="3784" xr:uid="{00000000-0005-0000-0000-0000BA0A0000}"/>
    <cellStyle name="20% - Accent2 4 2 2 3 2" xfId="7376" xr:uid="{00000000-0005-0000-0000-0000BB0A0000}"/>
    <cellStyle name="20% - Accent2 4 2 2 3 2 2" xfId="15347" xr:uid="{00000000-0005-0000-0000-0000BC0A0000}"/>
    <cellStyle name="20% - Accent2 4 2 2 3 2 2 2" xfId="39189" xr:uid="{625E9C2E-D0E6-47A7-8D5C-F7F65C623584}"/>
    <cellStyle name="20% - Accent2 4 2 2 3 2 3" xfId="23293" xr:uid="{00000000-0005-0000-0000-0000BD0A0000}"/>
    <cellStyle name="20% - Accent2 4 2 2 3 2 3 2" xfId="47125" xr:uid="{88D9F7D2-7BD8-4521-B6F1-8FACA5439483}"/>
    <cellStyle name="20% - Accent2 4 2 2 3 2 4" xfId="31248" xr:uid="{BCCF8544-FE57-4BF8-94A0-98B506A57D79}"/>
    <cellStyle name="20% - Accent2 4 2 2 3 3" xfId="11809" xr:uid="{00000000-0005-0000-0000-0000BE0A0000}"/>
    <cellStyle name="20% - Accent2 4 2 2 3 3 2" xfId="35658" xr:uid="{217B632D-2A0F-4B49-96B7-FB62FA5CFBD4}"/>
    <cellStyle name="20% - Accent2 4 2 2 3 4" xfId="19764" xr:uid="{00000000-0005-0000-0000-0000BF0A0000}"/>
    <cellStyle name="20% - Accent2 4 2 2 3 4 2" xfId="43596" xr:uid="{2AD598A8-7770-4BD3-89BA-CAB8CDB54F59}"/>
    <cellStyle name="20% - Accent2 4 2 2 3 5" xfId="27717" xr:uid="{706BA935-7B2B-432A-9A15-8CC9B32CBE45}"/>
    <cellStyle name="20% - Accent2 4 2 2 4" xfId="5604" xr:uid="{00000000-0005-0000-0000-0000C00A0000}"/>
    <cellStyle name="20% - Accent2 4 2 2 4 2" xfId="13588" xr:uid="{00000000-0005-0000-0000-0000C10A0000}"/>
    <cellStyle name="20% - Accent2 4 2 2 4 2 2" xfId="37431" xr:uid="{FF1CDA6F-8AF7-42C1-8A0C-080E218F84A7}"/>
    <cellStyle name="20% - Accent2 4 2 2 4 3" xfId="21536" xr:uid="{00000000-0005-0000-0000-0000C20A0000}"/>
    <cellStyle name="20% - Accent2 4 2 2 4 3 2" xfId="45368" xr:uid="{BD85AC32-C4FB-4AFE-8BEC-151409B69E60}"/>
    <cellStyle name="20% - Accent2 4 2 2 4 4" xfId="29490" xr:uid="{4ECAB4EF-2A26-4141-A3E7-4DBBD0E8A431}"/>
    <cellStyle name="20% - Accent2 4 2 2 5" xfId="9157" xr:uid="{00000000-0005-0000-0000-0000C30A0000}"/>
    <cellStyle name="20% - Accent2 4 2 2 5 2" xfId="17115" xr:uid="{00000000-0005-0000-0000-0000C40A0000}"/>
    <cellStyle name="20% - Accent2 4 2 2 5 2 2" xfId="40955" xr:uid="{2B6D71C1-3534-4DF3-A3A1-CC8C49B3CCC3}"/>
    <cellStyle name="20% - Accent2 4 2 2 5 3" xfId="25059" xr:uid="{00000000-0005-0000-0000-0000C50A0000}"/>
    <cellStyle name="20% - Accent2 4 2 2 5 3 2" xfId="48891" xr:uid="{B114FCC0-7650-40F2-9D5C-079245F732B1}"/>
    <cellStyle name="20% - Accent2 4 2 2 5 4" xfId="33014" xr:uid="{AEC538A4-0F8B-42B5-A90B-6947F221D48B}"/>
    <cellStyle name="20% - Accent2 4 2 2 6" xfId="10053" xr:uid="{00000000-0005-0000-0000-0000C60A0000}"/>
    <cellStyle name="20% - Accent2 4 2 2 6 2" xfId="33902" xr:uid="{16F184B8-6E17-42C0-9C21-A0E3B1CFAF49}"/>
    <cellStyle name="20% - Accent2 4 2 2 7" xfId="18008" xr:uid="{00000000-0005-0000-0000-0000C70A0000}"/>
    <cellStyle name="20% - Accent2 4 2 2 7 2" xfId="41840" xr:uid="{98B26822-7FBA-4221-8F71-4D845FE15628}"/>
    <cellStyle name="20% - Accent2 4 2 2 8" xfId="25960" xr:uid="{186D309C-C1DE-4883-804C-C42E6965D2BE}"/>
    <cellStyle name="20% - Accent2 4 2 2_Exh G" xfId="2131" xr:uid="{00000000-0005-0000-0000-0000C80A0000}"/>
    <cellStyle name="20% - Accent2 4 2 3" xfId="880" xr:uid="{00000000-0005-0000-0000-0000C90A0000}"/>
    <cellStyle name="20% - Accent2 4 2 3 2" xfId="1814" xr:uid="{00000000-0005-0000-0000-0000CA0A0000}"/>
    <cellStyle name="20% - Accent2 4 2 3 2 2" xfId="5332" xr:uid="{00000000-0005-0000-0000-0000CB0A0000}"/>
    <cellStyle name="20% - Accent2 4 2 3 2 2 2" xfId="8923" xr:uid="{00000000-0005-0000-0000-0000CC0A0000}"/>
    <cellStyle name="20% - Accent2 4 2 3 2 2 2 2" xfId="16894" xr:uid="{00000000-0005-0000-0000-0000CD0A0000}"/>
    <cellStyle name="20% - Accent2 4 2 3 2 2 2 2 2" xfId="40736" xr:uid="{787EAA7E-9BB0-488A-829A-25A4D2A97F7D}"/>
    <cellStyle name="20% - Accent2 4 2 3 2 2 2 3" xfId="24840" xr:uid="{00000000-0005-0000-0000-0000CE0A0000}"/>
    <cellStyle name="20% - Accent2 4 2 3 2 2 2 3 2" xfId="48672" xr:uid="{A4C437A9-9DE2-4C99-ACDD-11C8FEB9D4CD}"/>
    <cellStyle name="20% - Accent2 4 2 3 2 2 2 4" xfId="32795" xr:uid="{643B1DBF-FC70-4CF6-B063-EC66935E9821}"/>
    <cellStyle name="20% - Accent2 4 2 3 2 2 3" xfId="13356" xr:uid="{00000000-0005-0000-0000-0000CF0A0000}"/>
    <cellStyle name="20% - Accent2 4 2 3 2 2 3 2" xfId="37205" xr:uid="{CAD68C36-DFD7-4B99-AB00-D88392B79F1A}"/>
    <cellStyle name="20% - Accent2 4 2 3 2 2 4" xfId="21311" xr:uid="{00000000-0005-0000-0000-0000D00A0000}"/>
    <cellStyle name="20% - Accent2 4 2 3 2 2 4 2" xfId="45143" xr:uid="{4DCFBE34-3453-435D-AD9B-EDB58E5B3383}"/>
    <cellStyle name="20% - Accent2 4 2 3 2 2 5" xfId="29264" xr:uid="{0DB5A524-73AC-4B74-8489-06FC52CB99B5}"/>
    <cellStyle name="20% - Accent2 4 2 3 2 3" xfId="7164" xr:uid="{00000000-0005-0000-0000-0000D10A0000}"/>
    <cellStyle name="20% - Accent2 4 2 3 2 3 2" xfId="15136" xr:uid="{00000000-0005-0000-0000-0000D20A0000}"/>
    <cellStyle name="20% - Accent2 4 2 3 2 3 2 2" xfId="38978" xr:uid="{F04FCC7E-41CB-4A21-AFBC-2AF81C90722F}"/>
    <cellStyle name="20% - Accent2 4 2 3 2 3 3" xfId="23083" xr:uid="{00000000-0005-0000-0000-0000D30A0000}"/>
    <cellStyle name="20% - Accent2 4 2 3 2 3 3 2" xfId="46915" xr:uid="{0C930FCD-BFFE-4CC3-8B2C-B11B3D67D110}"/>
    <cellStyle name="20% - Accent2 4 2 3 2 3 4" xfId="31037" xr:uid="{D7DE551E-DA12-4EA8-B51C-90C55E7A6997}"/>
    <cellStyle name="20% - Accent2 4 2 3 2 4" xfId="11600" xr:uid="{00000000-0005-0000-0000-0000D40A0000}"/>
    <cellStyle name="20% - Accent2 4 2 3 2 4 2" xfId="35449" xr:uid="{D001A8E2-5A45-4D58-B7D4-E05F12EFAAD7}"/>
    <cellStyle name="20% - Accent2 4 2 3 2 5" xfId="19555" xr:uid="{00000000-0005-0000-0000-0000D50A0000}"/>
    <cellStyle name="20% - Accent2 4 2 3 2 5 2" xfId="43387" xr:uid="{41C8E076-FCE2-4F18-A60B-C7570F715C1E}"/>
    <cellStyle name="20% - Accent2 4 2 3 2 6" xfId="27507" xr:uid="{31EF162C-BD79-4D30-BB1E-4008800D1773}"/>
    <cellStyle name="20% - Accent2 4 2 3 2_Exh G" xfId="2134" xr:uid="{00000000-0005-0000-0000-0000D60A0000}"/>
    <cellStyle name="20% - Accent2 4 2 3 3" xfId="4453" xr:uid="{00000000-0005-0000-0000-0000D70A0000}"/>
    <cellStyle name="20% - Accent2 4 2 3 3 2" xfId="8045" xr:uid="{00000000-0005-0000-0000-0000D80A0000}"/>
    <cellStyle name="20% - Accent2 4 2 3 3 2 2" xfId="16016" xr:uid="{00000000-0005-0000-0000-0000D90A0000}"/>
    <cellStyle name="20% - Accent2 4 2 3 3 2 2 2" xfId="39858" xr:uid="{93286FDF-7251-4323-AEEB-E2525E00A5B3}"/>
    <cellStyle name="20% - Accent2 4 2 3 3 2 3" xfId="23962" xr:uid="{00000000-0005-0000-0000-0000DA0A0000}"/>
    <cellStyle name="20% - Accent2 4 2 3 3 2 3 2" xfId="47794" xr:uid="{D807FD9A-4CA0-4D3B-80D6-11B95938868A}"/>
    <cellStyle name="20% - Accent2 4 2 3 3 2 4" xfId="31917" xr:uid="{0602C8DC-6E8C-4014-9569-5C035F65335A}"/>
    <cellStyle name="20% - Accent2 4 2 3 3 3" xfId="12478" xr:uid="{00000000-0005-0000-0000-0000DB0A0000}"/>
    <cellStyle name="20% - Accent2 4 2 3 3 3 2" xfId="36327" xr:uid="{8C72436B-4FAB-46DB-9EA6-B3851637B025}"/>
    <cellStyle name="20% - Accent2 4 2 3 3 4" xfId="20433" xr:uid="{00000000-0005-0000-0000-0000DC0A0000}"/>
    <cellStyle name="20% - Accent2 4 2 3 3 4 2" xfId="44265" xr:uid="{97271703-F674-4541-9877-52D5368175F8}"/>
    <cellStyle name="20% - Accent2 4 2 3 3 5" xfId="28386" xr:uid="{1C35A5E3-95BD-4E45-A1DC-A44D3A70329B}"/>
    <cellStyle name="20% - Accent2 4 2 3 4" xfId="6283" xr:uid="{00000000-0005-0000-0000-0000DD0A0000}"/>
    <cellStyle name="20% - Accent2 4 2 3 4 2" xfId="14258" xr:uid="{00000000-0005-0000-0000-0000DE0A0000}"/>
    <cellStyle name="20% - Accent2 4 2 3 4 2 2" xfId="38100" xr:uid="{86AB7F0D-9E5E-4879-89C1-EF8E0B657EC4}"/>
    <cellStyle name="20% - Accent2 4 2 3 4 3" xfId="22205" xr:uid="{00000000-0005-0000-0000-0000DF0A0000}"/>
    <cellStyle name="20% - Accent2 4 2 3 4 3 2" xfId="46037" xr:uid="{95B7A735-0456-4A1D-B670-B6B53FFBCDC5}"/>
    <cellStyle name="20% - Accent2 4 2 3 4 4" xfId="30159" xr:uid="{0D51605E-BD30-4673-92BF-A75C5C543528}"/>
    <cellStyle name="20% - Accent2 4 2 3 5" xfId="9826" xr:uid="{00000000-0005-0000-0000-0000E00A0000}"/>
    <cellStyle name="20% - Accent2 4 2 3 5 2" xfId="17784" xr:uid="{00000000-0005-0000-0000-0000E10A0000}"/>
    <cellStyle name="20% - Accent2 4 2 3 5 2 2" xfId="41624" xr:uid="{48E33C1D-C9DB-4096-928F-7FE30D93E45E}"/>
    <cellStyle name="20% - Accent2 4 2 3 5 3" xfId="25728" xr:uid="{00000000-0005-0000-0000-0000E20A0000}"/>
    <cellStyle name="20% - Accent2 4 2 3 5 3 2" xfId="49560" xr:uid="{45300BB4-318F-4C3F-AFBE-3C3AEC6496E3}"/>
    <cellStyle name="20% - Accent2 4 2 3 5 4" xfId="33683" xr:uid="{BE23B913-59B6-4BC9-9A10-0E581AF35891}"/>
    <cellStyle name="20% - Accent2 4 2 3 6" xfId="10722" xr:uid="{00000000-0005-0000-0000-0000E30A0000}"/>
    <cellStyle name="20% - Accent2 4 2 3 6 2" xfId="34571" xr:uid="{ACD09E15-33D9-40CE-A1BF-60EAEF115402}"/>
    <cellStyle name="20% - Accent2 4 2 3 7" xfId="18677" xr:uid="{00000000-0005-0000-0000-0000E40A0000}"/>
    <cellStyle name="20% - Accent2 4 2 3 7 2" xfId="42509" xr:uid="{468EAFD5-7B34-4DD7-8C87-0ECD08552AC4}"/>
    <cellStyle name="20% - Accent2 4 2 3 8" xfId="26629" xr:uid="{59AB9D80-E34F-40FB-84B5-5DF00B426DA5}"/>
    <cellStyle name="20% - Accent2 4 2 3_Exh G" xfId="2133" xr:uid="{00000000-0005-0000-0000-0000E50A0000}"/>
    <cellStyle name="20% - Accent2 4 2 4" xfId="1132" xr:uid="{00000000-0005-0000-0000-0000E60A0000}"/>
    <cellStyle name="20% - Accent2 4 2 4 2" xfId="4662" xr:uid="{00000000-0005-0000-0000-0000E70A0000}"/>
    <cellStyle name="20% - Accent2 4 2 4 2 2" xfId="8253" xr:uid="{00000000-0005-0000-0000-0000E80A0000}"/>
    <cellStyle name="20% - Accent2 4 2 4 2 2 2" xfId="16224" xr:uid="{00000000-0005-0000-0000-0000E90A0000}"/>
    <cellStyle name="20% - Accent2 4 2 4 2 2 2 2" xfId="40066" xr:uid="{8D0997B0-8CA1-4381-8A84-87337E26F1CC}"/>
    <cellStyle name="20% - Accent2 4 2 4 2 2 3" xfId="24170" xr:uid="{00000000-0005-0000-0000-0000EA0A0000}"/>
    <cellStyle name="20% - Accent2 4 2 4 2 2 3 2" xfId="48002" xr:uid="{DF19D84B-31EE-476C-AC3C-4920C728EE83}"/>
    <cellStyle name="20% - Accent2 4 2 4 2 2 4" xfId="32125" xr:uid="{77FA14E5-5F46-4376-8256-21325D8DBF19}"/>
    <cellStyle name="20% - Accent2 4 2 4 2 3" xfId="12686" xr:uid="{00000000-0005-0000-0000-0000EB0A0000}"/>
    <cellStyle name="20% - Accent2 4 2 4 2 3 2" xfId="36535" xr:uid="{55B61F94-B6A9-4199-94AA-CB2AF02EB72E}"/>
    <cellStyle name="20% - Accent2 4 2 4 2 4" xfId="20641" xr:uid="{00000000-0005-0000-0000-0000EC0A0000}"/>
    <cellStyle name="20% - Accent2 4 2 4 2 4 2" xfId="44473" xr:uid="{C037FE92-138F-496D-BEF6-7ECA7EF88BB8}"/>
    <cellStyle name="20% - Accent2 4 2 4 2 5" xfId="28594" xr:uid="{350D03B6-AEC8-4318-B820-F4134B6AA836}"/>
    <cellStyle name="20% - Accent2 4 2 4 3" xfId="6494" xr:uid="{00000000-0005-0000-0000-0000ED0A0000}"/>
    <cellStyle name="20% - Accent2 4 2 4 3 2" xfId="14466" xr:uid="{00000000-0005-0000-0000-0000EE0A0000}"/>
    <cellStyle name="20% - Accent2 4 2 4 3 2 2" xfId="38308" xr:uid="{004C19FA-F4DE-4E21-A2AE-B95C32D9A917}"/>
    <cellStyle name="20% - Accent2 4 2 4 3 3" xfId="22413" xr:uid="{00000000-0005-0000-0000-0000EF0A0000}"/>
    <cellStyle name="20% - Accent2 4 2 4 3 3 2" xfId="46245" xr:uid="{C37B7FCF-364A-4776-8205-5FCE78B4E26C}"/>
    <cellStyle name="20% - Accent2 4 2 4 3 4" xfId="30367" xr:uid="{3A0B254D-50C3-44E1-9E8A-457360099C7B}"/>
    <cellStyle name="20% - Accent2 4 2 4 4" xfId="10930" xr:uid="{00000000-0005-0000-0000-0000F00A0000}"/>
    <cellStyle name="20% - Accent2 4 2 4 4 2" xfId="34779" xr:uid="{BF994B3B-BFF1-4386-AB6B-0FD7A434F48E}"/>
    <cellStyle name="20% - Accent2 4 2 4 5" xfId="18885" xr:uid="{00000000-0005-0000-0000-0000F10A0000}"/>
    <cellStyle name="20% - Accent2 4 2 4 5 2" xfId="42717" xr:uid="{1647F13B-D19D-4CCA-AF03-E2DF5ABF3E71}"/>
    <cellStyle name="20% - Accent2 4 2 4 6" xfId="26837" xr:uid="{B0F66319-CA59-4B5E-A50D-477B0AAA6518}"/>
    <cellStyle name="20% - Accent2 4 2 4_Exh G" xfId="2135" xr:uid="{00000000-0005-0000-0000-0000F20A0000}"/>
    <cellStyle name="20% - Accent2 4 2 5" xfId="3783" xr:uid="{00000000-0005-0000-0000-0000F30A0000}"/>
    <cellStyle name="20% - Accent2 4 2 5 2" xfId="7375" xr:uid="{00000000-0005-0000-0000-0000F40A0000}"/>
    <cellStyle name="20% - Accent2 4 2 5 2 2" xfId="15346" xr:uid="{00000000-0005-0000-0000-0000F50A0000}"/>
    <cellStyle name="20% - Accent2 4 2 5 2 2 2" xfId="39188" xr:uid="{96EB0141-7017-4104-B347-73BC49B0100F}"/>
    <cellStyle name="20% - Accent2 4 2 5 2 3" xfId="23292" xr:uid="{00000000-0005-0000-0000-0000F60A0000}"/>
    <cellStyle name="20% - Accent2 4 2 5 2 3 2" xfId="47124" xr:uid="{0B45C978-8446-4A4E-AF76-566C363088B3}"/>
    <cellStyle name="20% - Accent2 4 2 5 2 4" xfId="31247" xr:uid="{B8E48757-C324-49D5-9786-5B5CD915700C}"/>
    <cellStyle name="20% - Accent2 4 2 5 3" xfId="11808" xr:uid="{00000000-0005-0000-0000-0000F70A0000}"/>
    <cellStyle name="20% - Accent2 4 2 5 3 2" xfId="35657" xr:uid="{85617E5A-59F2-4B2D-A3FC-4D3D0FAD20B5}"/>
    <cellStyle name="20% - Accent2 4 2 5 4" xfId="19763" xr:uid="{00000000-0005-0000-0000-0000F80A0000}"/>
    <cellStyle name="20% - Accent2 4 2 5 4 2" xfId="43595" xr:uid="{B2579C77-476E-4E9E-A6D9-6E297ECD5A78}"/>
    <cellStyle name="20% - Accent2 4 2 5 5" xfId="27716" xr:uid="{929338B4-25B7-4B35-9D2B-C461D6A3B046}"/>
    <cellStyle name="20% - Accent2 4 2 6" xfId="5603" xr:uid="{00000000-0005-0000-0000-0000F90A0000}"/>
    <cellStyle name="20% - Accent2 4 2 6 2" xfId="13587" xr:uid="{00000000-0005-0000-0000-0000FA0A0000}"/>
    <cellStyle name="20% - Accent2 4 2 6 2 2" xfId="37430" xr:uid="{D9C1FAE8-97F0-49BB-B43C-2B0B423AFA78}"/>
    <cellStyle name="20% - Accent2 4 2 6 3" xfId="21535" xr:uid="{00000000-0005-0000-0000-0000FB0A0000}"/>
    <cellStyle name="20% - Accent2 4 2 6 3 2" xfId="45367" xr:uid="{482A33EA-95C5-4A8C-9282-5F0C6A80DBD8}"/>
    <cellStyle name="20% - Accent2 4 2 6 4" xfId="29489" xr:uid="{C3CAD9DE-BD12-4F2F-A6CF-3BB015FA94E6}"/>
    <cellStyle name="20% - Accent2 4 2 7" xfId="9156" xr:uid="{00000000-0005-0000-0000-0000FC0A0000}"/>
    <cellStyle name="20% - Accent2 4 2 7 2" xfId="17114" xr:uid="{00000000-0005-0000-0000-0000FD0A0000}"/>
    <cellStyle name="20% - Accent2 4 2 7 2 2" xfId="40954" xr:uid="{916597D5-C6B6-4708-9DB8-D31DFC0E9670}"/>
    <cellStyle name="20% - Accent2 4 2 7 3" xfId="25058" xr:uid="{00000000-0005-0000-0000-0000FE0A0000}"/>
    <cellStyle name="20% - Accent2 4 2 7 3 2" xfId="48890" xr:uid="{E9ECE8C4-CF61-4CFC-9711-F5F1C6CA08CC}"/>
    <cellStyle name="20% - Accent2 4 2 7 4" xfId="33013" xr:uid="{FA10235E-8D4E-431E-9DB3-C2EFF6F26197}"/>
    <cellStyle name="20% - Accent2 4 2 8" xfId="10052" xr:uid="{00000000-0005-0000-0000-0000FF0A0000}"/>
    <cellStyle name="20% - Accent2 4 2 8 2" xfId="33901" xr:uid="{AF22F9E6-13AC-4084-B198-8FCACA8690BB}"/>
    <cellStyle name="20% - Accent2 4 2 9" xfId="18007" xr:uid="{00000000-0005-0000-0000-0000000B0000}"/>
    <cellStyle name="20% - Accent2 4 2 9 2" xfId="41839" xr:uid="{8B630367-1E35-4A2F-BB89-2BEDE2EBB060}"/>
    <cellStyle name="20% - Accent2 4 2_Exh G" xfId="2130" xr:uid="{00000000-0005-0000-0000-0000010B0000}"/>
    <cellStyle name="20% - Accent2 4 3" xfId="106" xr:uid="{00000000-0005-0000-0000-0000020B0000}"/>
    <cellStyle name="20% - Accent2 4 3 2" xfId="1134" xr:uid="{00000000-0005-0000-0000-0000030B0000}"/>
    <cellStyle name="20% - Accent2 4 3 2 2" xfId="4664" xr:uid="{00000000-0005-0000-0000-0000040B0000}"/>
    <cellStyle name="20% - Accent2 4 3 2 2 2" xfId="8255" xr:uid="{00000000-0005-0000-0000-0000050B0000}"/>
    <cellStyle name="20% - Accent2 4 3 2 2 2 2" xfId="16226" xr:uid="{00000000-0005-0000-0000-0000060B0000}"/>
    <cellStyle name="20% - Accent2 4 3 2 2 2 2 2" xfId="40068" xr:uid="{34497475-C614-488F-A18C-9E1BBC587A96}"/>
    <cellStyle name="20% - Accent2 4 3 2 2 2 3" xfId="24172" xr:uid="{00000000-0005-0000-0000-0000070B0000}"/>
    <cellStyle name="20% - Accent2 4 3 2 2 2 3 2" xfId="48004" xr:uid="{102DBC62-CF44-4631-B014-1C179B7F02B3}"/>
    <cellStyle name="20% - Accent2 4 3 2 2 2 4" xfId="32127" xr:uid="{7119D459-1514-4532-88F9-F5F1A50E8E3E}"/>
    <cellStyle name="20% - Accent2 4 3 2 2 3" xfId="12688" xr:uid="{00000000-0005-0000-0000-0000080B0000}"/>
    <cellStyle name="20% - Accent2 4 3 2 2 3 2" xfId="36537" xr:uid="{E3EC3608-F6B7-42D9-B49B-551DC4356916}"/>
    <cellStyle name="20% - Accent2 4 3 2 2 4" xfId="20643" xr:uid="{00000000-0005-0000-0000-0000090B0000}"/>
    <cellStyle name="20% - Accent2 4 3 2 2 4 2" xfId="44475" xr:uid="{E2B5CFE4-78E0-4118-A2CC-0680AD810358}"/>
    <cellStyle name="20% - Accent2 4 3 2 2 5" xfId="28596" xr:uid="{A921ABA5-769B-453F-9CB7-6A5BFA1467EE}"/>
    <cellStyle name="20% - Accent2 4 3 2 3" xfId="6496" xr:uid="{00000000-0005-0000-0000-00000A0B0000}"/>
    <cellStyle name="20% - Accent2 4 3 2 3 2" xfId="14468" xr:uid="{00000000-0005-0000-0000-00000B0B0000}"/>
    <cellStyle name="20% - Accent2 4 3 2 3 2 2" xfId="38310" xr:uid="{B3C64B0E-71F0-45EE-9B5A-AA54E8F672AC}"/>
    <cellStyle name="20% - Accent2 4 3 2 3 3" xfId="22415" xr:uid="{00000000-0005-0000-0000-00000C0B0000}"/>
    <cellStyle name="20% - Accent2 4 3 2 3 3 2" xfId="46247" xr:uid="{B9F829F3-EAD7-4413-83C0-863209FA568F}"/>
    <cellStyle name="20% - Accent2 4 3 2 3 4" xfId="30369" xr:uid="{EF9381AE-0EA1-4D9B-8D49-74D76D660ABB}"/>
    <cellStyle name="20% - Accent2 4 3 2 4" xfId="10932" xr:uid="{00000000-0005-0000-0000-00000D0B0000}"/>
    <cellStyle name="20% - Accent2 4 3 2 4 2" xfId="34781" xr:uid="{756BA879-6094-4EBF-841C-9ADBD79CBF12}"/>
    <cellStyle name="20% - Accent2 4 3 2 5" xfId="18887" xr:uid="{00000000-0005-0000-0000-00000E0B0000}"/>
    <cellStyle name="20% - Accent2 4 3 2 5 2" xfId="42719" xr:uid="{80DABA56-1318-43FC-ABC1-93AB35346F03}"/>
    <cellStyle name="20% - Accent2 4 3 2 6" xfId="26839" xr:uid="{F9AB388D-A4C4-4584-AACD-1A63D2563904}"/>
    <cellStyle name="20% - Accent2 4 3 2_Exh G" xfId="2137" xr:uid="{00000000-0005-0000-0000-00000F0B0000}"/>
    <cellStyle name="20% - Accent2 4 3 3" xfId="3785" xr:uid="{00000000-0005-0000-0000-0000100B0000}"/>
    <cellStyle name="20% - Accent2 4 3 3 2" xfId="7377" xr:uid="{00000000-0005-0000-0000-0000110B0000}"/>
    <cellStyle name="20% - Accent2 4 3 3 2 2" xfId="15348" xr:uid="{00000000-0005-0000-0000-0000120B0000}"/>
    <cellStyle name="20% - Accent2 4 3 3 2 2 2" xfId="39190" xr:uid="{49A6C9E5-662D-4D46-B789-9C264B534248}"/>
    <cellStyle name="20% - Accent2 4 3 3 2 3" xfId="23294" xr:uid="{00000000-0005-0000-0000-0000130B0000}"/>
    <cellStyle name="20% - Accent2 4 3 3 2 3 2" xfId="47126" xr:uid="{1427C033-7DF4-4DA3-BC17-430B1E8A2372}"/>
    <cellStyle name="20% - Accent2 4 3 3 2 4" xfId="31249" xr:uid="{D39FDFDF-F34A-45D6-8FEA-FEBC53A00AAA}"/>
    <cellStyle name="20% - Accent2 4 3 3 3" xfId="11810" xr:uid="{00000000-0005-0000-0000-0000140B0000}"/>
    <cellStyle name="20% - Accent2 4 3 3 3 2" xfId="35659" xr:uid="{F820B12B-B758-4849-8EEF-0741FBCA04D4}"/>
    <cellStyle name="20% - Accent2 4 3 3 4" xfId="19765" xr:uid="{00000000-0005-0000-0000-0000150B0000}"/>
    <cellStyle name="20% - Accent2 4 3 3 4 2" xfId="43597" xr:uid="{02AA11BC-EDF7-4DEE-AE9A-EBD271F36D73}"/>
    <cellStyle name="20% - Accent2 4 3 3 5" xfId="27718" xr:uid="{D4C1CBFD-9B21-410E-9F85-1CF24F0A6C49}"/>
    <cellStyle name="20% - Accent2 4 3 4" xfId="5605" xr:uid="{00000000-0005-0000-0000-0000160B0000}"/>
    <cellStyle name="20% - Accent2 4 3 4 2" xfId="13589" xr:uid="{00000000-0005-0000-0000-0000170B0000}"/>
    <cellStyle name="20% - Accent2 4 3 4 2 2" xfId="37432" xr:uid="{629E6E60-0AB8-4262-AD7C-F774F36FF942}"/>
    <cellStyle name="20% - Accent2 4 3 4 3" xfId="21537" xr:uid="{00000000-0005-0000-0000-0000180B0000}"/>
    <cellStyle name="20% - Accent2 4 3 4 3 2" xfId="45369" xr:uid="{7F38BB0F-E2B4-4C56-9F9C-DF57EF3970E2}"/>
    <cellStyle name="20% - Accent2 4 3 4 4" xfId="29491" xr:uid="{0824F795-2BA2-44B8-BB16-A445E7014CED}"/>
    <cellStyle name="20% - Accent2 4 3 5" xfId="9158" xr:uid="{00000000-0005-0000-0000-0000190B0000}"/>
    <cellStyle name="20% - Accent2 4 3 5 2" xfId="17116" xr:uid="{00000000-0005-0000-0000-00001A0B0000}"/>
    <cellStyle name="20% - Accent2 4 3 5 2 2" xfId="40956" xr:uid="{21AB7D4F-CED3-4743-8445-CEDFE5F09C85}"/>
    <cellStyle name="20% - Accent2 4 3 5 3" xfId="25060" xr:uid="{00000000-0005-0000-0000-00001B0B0000}"/>
    <cellStyle name="20% - Accent2 4 3 5 3 2" xfId="48892" xr:uid="{5038E684-C9C9-416A-BFCE-C26F7C661222}"/>
    <cellStyle name="20% - Accent2 4 3 5 4" xfId="33015" xr:uid="{A24443BB-66FA-408C-ADF3-AF3C1440E50A}"/>
    <cellStyle name="20% - Accent2 4 3 6" xfId="10054" xr:uid="{00000000-0005-0000-0000-00001C0B0000}"/>
    <cellStyle name="20% - Accent2 4 3 6 2" xfId="33903" xr:uid="{97B61E8D-78DB-462B-A0BB-E98C75E2AD9B}"/>
    <cellStyle name="20% - Accent2 4 3 7" xfId="18009" xr:uid="{00000000-0005-0000-0000-00001D0B0000}"/>
    <cellStyle name="20% - Accent2 4 3 7 2" xfId="41841" xr:uid="{F3998C07-BFB8-42BC-B4E6-E73FF3D527CC}"/>
    <cellStyle name="20% - Accent2 4 3 8" xfId="25961" xr:uid="{ABFE936F-9A4D-40F2-BD3A-BC6ABB3DCC95}"/>
    <cellStyle name="20% - Accent2 4 3_Exh G" xfId="2136" xr:uid="{00000000-0005-0000-0000-00001E0B0000}"/>
    <cellStyle name="20% - Accent2 4 4" xfId="879" xr:uid="{00000000-0005-0000-0000-00001F0B0000}"/>
    <cellStyle name="20% - Accent2 4 4 2" xfId="1813" xr:uid="{00000000-0005-0000-0000-0000200B0000}"/>
    <cellStyle name="20% - Accent2 4 4 2 2" xfId="5331" xr:uid="{00000000-0005-0000-0000-0000210B0000}"/>
    <cellStyle name="20% - Accent2 4 4 2 2 2" xfId="8922" xr:uid="{00000000-0005-0000-0000-0000220B0000}"/>
    <cellStyle name="20% - Accent2 4 4 2 2 2 2" xfId="16893" xr:uid="{00000000-0005-0000-0000-0000230B0000}"/>
    <cellStyle name="20% - Accent2 4 4 2 2 2 2 2" xfId="40735" xr:uid="{62D957D0-6A90-4A9B-9EBF-AC7F8230C148}"/>
    <cellStyle name="20% - Accent2 4 4 2 2 2 3" xfId="24839" xr:uid="{00000000-0005-0000-0000-0000240B0000}"/>
    <cellStyle name="20% - Accent2 4 4 2 2 2 3 2" xfId="48671" xr:uid="{2D8A5475-0D75-4767-9EAD-CD6098367310}"/>
    <cellStyle name="20% - Accent2 4 4 2 2 2 4" xfId="32794" xr:uid="{F800DD78-0BE0-4736-BB05-B033A51E4149}"/>
    <cellStyle name="20% - Accent2 4 4 2 2 3" xfId="13355" xr:uid="{00000000-0005-0000-0000-0000250B0000}"/>
    <cellStyle name="20% - Accent2 4 4 2 2 3 2" xfId="37204" xr:uid="{A8D2A2A1-FFBD-4A40-8640-18825FF9F3C3}"/>
    <cellStyle name="20% - Accent2 4 4 2 2 4" xfId="21310" xr:uid="{00000000-0005-0000-0000-0000260B0000}"/>
    <cellStyle name="20% - Accent2 4 4 2 2 4 2" xfId="45142" xr:uid="{48F32209-C630-4A62-AE9E-68BCB5DA34C0}"/>
    <cellStyle name="20% - Accent2 4 4 2 2 5" xfId="29263" xr:uid="{D9939C6C-4249-4CE4-8691-C0910CA79460}"/>
    <cellStyle name="20% - Accent2 4 4 2 3" xfId="7163" xr:uid="{00000000-0005-0000-0000-0000270B0000}"/>
    <cellStyle name="20% - Accent2 4 4 2 3 2" xfId="15135" xr:uid="{00000000-0005-0000-0000-0000280B0000}"/>
    <cellStyle name="20% - Accent2 4 4 2 3 2 2" xfId="38977" xr:uid="{AB183644-2638-41A2-88D5-9D7BD1E031D3}"/>
    <cellStyle name="20% - Accent2 4 4 2 3 3" xfId="23082" xr:uid="{00000000-0005-0000-0000-0000290B0000}"/>
    <cellStyle name="20% - Accent2 4 4 2 3 3 2" xfId="46914" xr:uid="{3CE61187-A4DF-4E82-80C4-0F0570ED499C}"/>
    <cellStyle name="20% - Accent2 4 4 2 3 4" xfId="31036" xr:uid="{9916593D-219D-4B63-B9DA-AD81167C2E30}"/>
    <cellStyle name="20% - Accent2 4 4 2 4" xfId="11599" xr:uid="{00000000-0005-0000-0000-00002A0B0000}"/>
    <cellStyle name="20% - Accent2 4 4 2 4 2" xfId="35448" xr:uid="{DBB457F7-2DD8-4326-87FF-7C33A3F49D3E}"/>
    <cellStyle name="20% - Accent2 4 4 2 5" xfId="19554" xr:uid="{00000000-0005-0000-0000-00002B0B0000}"/>
    <cellStyle name="20% - Accent2 4 4 2 5 2" xfId="43386" xr:uid="{52C6E9C5-1976-45F0-B14F-9657D40DDB88}"/>
    <cellStyle name="20% - Accent2 4 4 2 6" xfId="27506" xr:uid="{68B6D6DB-4E14-4734-8AFC-FD9980B2EE3F}"/>
    <cellStyle name="20% - Accent2 4 4 2_Exh G" xfId="2139" xr:uid="{00000000-0005-0000-0000-00002C0B0000}"/>
    <cellStyle name="20% - Accent2 4 4 3" xfId="4452" xr:uid="{00000000-0005-0000-0000-00002D0B0000}"/>
    <cellStyle name="20% - Accent2 4 4 3 2" xfId="8044" xr:uid="{00000000-0005-0000-0000-00002E0B0000}"/>
    <cellStyle name="20% - Accent2 4 4 3 2 2" xfId="16015" xr:uid="{00000000-0005-0000-0000-00002F0B0000}"/>
    <cellStyle name="20% - Accent2 4 4 3 2 2 2" xfId="39857" xr:uid="{A962F570-37F4-4D56-A7D4-465E21AA6BE1}"/>
    <cellStyle name="20% - Accent2 4 4 3 2 3" xfId="23961" xr:uid="{00000000-0005-0000-0000-0000300B0000}"/>
    <cellStyle name="20% - Accent2 4 4 3 2 3 2" xfId="47793" xr:uid="{E963DFFA-6AF5-4A53-86A2-A8F155EE80DB}"/>
    <cellStyle name="20% - Accent2 4 4 3 2 4" xfId="31916" xr:uid="{DD48CC7B-2F02-457C-9BD3-26F9346A0747}"/>
    <cellStyle name="20% - Accent2 4 4 3 3" xfId="12477" xr:uid="{00000000-0005-0000-0000-0000310B0000}"/>
    <cellStyle name="20% - Accent2 4 4 3 3 2" xfId="36326" xr:uid="{3F739243-A303-4A87-AC1B-CC1EE44068F2}"/>
    <cellStyle name="20% - Accent2 4 4 3 4" xfId="20432" xr:uid="{00000000-0005-0000-0000-0000320B0000}"/>
    <cellStyle name="20% - Accent2 4 4 3 4 2" xfId="44264" xr:uid="{D82BD764-23D3-4F6F-BC2B-4A1DFC3197C5}"/>
    <cellStyle name="20% - Accent2 4 4 3 5" xfId="28385" xr:uid="{6F26099B-DF43-4E15-94A8-175689391B48}"/>
    <cellStyle name="20% - Accent2 4 4 4" xfId="6282" xr:uid="{00000000-0005-0000-0000-0000330B0000}"/>
    <cellStyle name="20% - Accent2 4 4 4 2" xfId="14257" xr:uid="{00000000-0005-0000-0000-0000340B0000}"/>
    <cellStyle name="20% - Accent2 4 4 4 2 2" xfId="38099" xr:uid="{BA862DCA-05DC-4F66-B0C4-5C25AA878627}"/>
    <cellStyle name="20% - Accent2 4 4 4 3" xfId="22204" xr:uid="{00000000-0005-0000-0000-0000350B0000}"/>
    <cellStyle name="20% - Accent2 4 4 4 3 2" xfId="46036" xr:uid="{167ABAB2-D5DA-4A84-87F6-7B43F83A10EF}"/>
    <cellStyle name="20% - Accent2 4 4 4 4" xfId="30158" xr:uid="{2EB9DD83-8DC2-49BB-8BAE-7F2DE1139087}"/>
    <cellStyle name="20% - Accent2 4 4 5" xfId="9825" xr:uid="{00000000-0005-0000-0000-0000360B0000}"/>
    <cellStyle name="20% - Accent2 4 4 5 2" xfId="17783" xr:uid="{00000000-0005-0000-0000-0000370B0000}"/>
    <cellStyle name="20% - Accent2 4 4 5 2 2" xfId="41623" xr:uid="{5C5633C4-DDBA-41B1-9CE8-05E1BEF024A7}"/>
    <cellStyle name="20% - Accent2 4 4 5 3" xfId="25727" xr:uid="{00000000-0005-0000-0000-0000380B0000}"/>
    <cellStyle name="20% - Accent2 4 4 5 3 2" xfId="49559" xr:uid="{9FBE74E4-4AA9-4B78-8710-F7FE9B01CA78}"/>
    <cellStyle name="20% - Accent2 4 4 5 4" xfId="33682" xr:uid="{2208E90C-2FD8-4336-B640-9E6B8EFE9993}"/>
    <cellStyle name="20% - Accent2 4 4 6" xfId="10721" xr:uid="{00000000-0005-0000-0000-0000390B0000}"/>
    <cellStyle name="20% - Accent2 4 4 6 2" xfId="34570" xr:uid="{A307558D-E8AE-4268-946D-9751462AE74F}"/>
    <cellStyle name="20% - Accent2 4 4 7" xfId="18676" xr:uid="{00000000-0005-0000-0000-00003A0B0000}"/>
    <cellStyle name="20% - Accent2 4 4 7 2" xfId="42508" xr:uid="{1E75B799-3586-4FC0-8E53-418018BE48F3}"/>
    <cellStyle name="20% - Accent2 4 4 8" xfId="26628" xr:uid="{C5CB5E28-0922-4941-8A4E-7DC30A31AF99}"/>
    <cellStyle name="20% - Accent2 4 4_Exh G" xfId="2138" xr:uid="{00000000-0005-0000-0000-00003B0B0000}"/>
    <cellStyle name="20% - Accent2 4 5" xfId="1131" xr:uid="{00000000-0005-0000-0000-00003C0B0000}"/>
    <cellStyle name="20% - Accent2 4 5 2" xfId="4661" xr:uid="{00000000-0005-0000-0000-00003D0B0000}"/>
    <cellStyle name="20% - Accent2 4 5 2 2" xfId="8252" xr:uid="{00000000-0005-0000-0000-00003E0B0000}"/>
    <cellStyle name="20% - Accent2 4 5 2 2 2" xfId="16223" xr:uid="{00000000-0005-0000-0000-00003F0B0000}"/>
    <cellStyle name="20% - Accent2 4 5 2 2 2 2" xfId="40065" xr:uid="{1BF7C059-9591-4DEC-AFD5-00C347245651}"/>
    <cellStyle name="20% - Accent2 4 5 2 2 3" xfId="24169" xr:uid="{00000000-0005-0000-0000-0000400B0000}"/>
    <cellStyle name="20% - Accent2 4 5 2 2 3 2" xfId="48001" xr:uid="{28361B62-E1A3-4235-8BF5-5ED159965CA9}"/>
    <cellStyle name="20% - Accent2 4 5 2 2 4" xfId="32124" xr:uid="{108BEDAC-F528-434C-A503-A3DC535BF6D3}"/>
    <cellStyle name="20% - Accent2 4 5 2 3" xfId="12685" xr:uid="{00000000-0005-0000-0000-0000410B0000}"/>
    <cellStyle name="20% - Accent2 4 5 2 3 2" xfId="36534" xr:uid="{FB9974DE-D9D2-4912-B8F2-3AB0A60A7F51}"/>
    <cellStyle name="20% - Accent2 4 5 2 4" xfId="20640" xr:uid="{00000000-0005-0000-0000-0000420B0000}"/>
    <cellStyle name="20% - Accent2 4 5 2 4 2" xfId="44472" xr:uid="{FF9C139E-5139-4EED-88E3-1B0EDB311C1A}"/>
    <cellStyle name="20% - Accent2 4 5 2 5" xfId="28593" xr:uid="{455F7B16-08BC-439C-AAEA-BD273C2BE256}"/>
    <cellStyle name="20% - Accent2 4 5 3" xfId="6493" xr:uid="{00000000-0005-0000-0000-0000430B0000}"/>
    <cellStyle name="20% - Accent2 4 5 3 2" xfId="14465" xr:uid="{00000000-0005-0000-0000-0000440B0000}"/>
    <cellStyle name="20% - Accent2 4 5 3 2 2" xfId="38307" xr:uid="{D820CD3E-CC71-4F6B-899A-8E86CE75B20A}"/>
    <cellStyle name="20% - Accent2 4 5 3 3" xfId="22412" xr:uid="{00000000-0005-0000-0000-0000450B0000}"/>
    <cellStyle name="20% - Accent2 4 5 3 3 2" xfId="46244" xr:uid="{787342D1-1D50-4F65-8EA3-F0683E40A024}"/>
    <cellStyle name="20% - Accent2 4 5 3 4" xfId="30366" xr:uid="{040EC78B-833E-4A62-918C-0329E8B680A3}"/>
    <cellStyle name="20% - Accent2 4 5 4" xfId="10929" xr:uid="{00000000-0005-0000-0000-0000460B0000}"/>
    <cellStyle name="20% - Accent2 4 5 4 2" xfId="34778" xr:uid="{69504657-D753-45EE-A74A-D482F24B4539}"/>
    <cellStyle name="20% - Accent2 4 5 5" xfId="18884" xr:uid="{00000000-0005-0000-0000-0000470B0000}"/>
    <cellStyle name="20% - Accent2 4 5 5 2" xfId="42716" xr:uid="{26CF4F04-9617-44BC-B5C6-9F5FAA7C58D7}"/>
    <cellStyle name="20% - Accent2 4 5 6" xfId="26836" xr:uid="{A50B3B62-0FC4-4F43-AEFC-466906A10370}"/>
    <cellStyle name="20% - Accent2 4 5_Exh G" xfId="2140" xr:uid="{00000000-0005-0000-0000-0000480B0000}"/>
    <cellStyle name="20% - Accent2 4 6" xfId="3782" xr:uid="{00000000-0005-0000-0000-0000490B0000}"/>
    <cellStyle name="20% - Accent2 4 6 2" xfId="7374" xr:uid="{00000000-0005-0000-0000-00004A0B0000}"/>
    <cellStyle name="20% - Accent2 4 6 2 2" xfId="15345" xr:uid="{00000000-0005-0000-0000-00004B0B0000}"/>
    <cellStyle name="20% - Accent2 4 6 2 2 2" xfId="39187" xr:uid="{4C158336-58D5-4447-9006-484B76E33EBA}"/>
    <cellStyle name="20% - Accent2 4 6 2 3" xfId="23291" xr:uid="{00000000-0005-0000-0000-00004C0B0000}"/>
    <cellStyle name="20% - Accent2 4 6 2 3 2" xfId="47123" xr:uid="{EDCD80F5-AF8C-4A65-888B-A3CF6AACA104}"/>
    <cellStyle name="20% - Accent2 4 6 2 4" xfId="31246" xr:uid="{F68D3CAF-0B72-4099-8CF9-59317DE85CFC}"/>
    <cellStyle name="20% - Accent2 4 6 3" xfId="11807" xr:uid="{00000000-0005-0000-0000-00004D0B0000}"/>
    <cellStyle name="20% - Accent2 4 6 3 2" xfId="35656" xr:uid="{168A9968-A1EA-475B-A7DB-108D688FD796}"/>
    <cellStyle name="20% - Accent2 4 6 4" xfId="19762" xr:uid="{00000000-0005-0000-0000-00004E0B0000}"/>
    <cellStyle name="20% - Accent2 4 6 4 2" xfId="43594" xr:uid="{80F87C50-0549-4713-AD53-B0F8A5532892}"/>
    <cellStyle name="20% - Accent2 4 6 5" xfId="27715" xr:uid="{D8B264B5-F5A8-438D-8EF0-25FE23A76955}"/>
    <cellStyle name="20% - Accent2 4 7" xfId="5602" xr:uid="{00000000-0005-0000-0000-00004F0B0000}"/>
    <cellStyle name="20% - Accent2 4 7 2" xfId="13586" xr:uid="{00000000-0005-0000-0000-0000500B0000}"/>
    <cellStyle name="20% - Accent2 4 7 2 2" xfId="37429" xr:uid="{5B0C2381-4676-4E1D-B78C-745771E051DD}"/>
    <cellStyle name="20% - Accent2 4 7 3" xfId="21534" xr:uid="{00000000-0005-0000-0000-0000510B0000}"/>
    <cellStyle name="20% - Accent2 4 7 3 2" xfId="45366" xr:uid="{466496DB-246E-4FB4-8FF6-5F9910287DB8}"/>
    <cellStyle name="20% - Accent2 4 7 4" xfId="29488" xr:uid="{B6851D21-B09A-4764-B946-1CCD56A5F482}"/>
    <cellStyle name="20% - Accent2 4 8" xfId="9155" xr:uid="{00000000-0005-0000-0000-0000520B0000}"/>
    <cellStyle name="20% - Accent2 4 8 2" xfId="17113" xr:uid="{00000000-0005-0000-0000-0000530B0000}"/>
    <cellStyle name="20% - Accent2 4 8 2 2" xfId="40953" xr:uid="{4729277C-A05D-445C-867A-497A798C4BBC}"/>
    <cellStyle name="20% - Accent2 4 8 3" xfId="25057" xr:uid="{00000000-0005-0000-0000-0000540B0000}"/>
    <cellStyle name="20% - Accent2 4 8 3 2" xfId="48889" xr:uid="{BB804909-F814-4091-AF40-D4D15C7C2BC5}"/>
    <cellStyle name="20% - Accent2 4 8 4" xfId="33012" xr:uid="{DC1BB712-8084-4C4A-8A08-06709E58C71D}"/>
    <cellStyle name="20% - Accent2 4 9" xfId="10051" xr:uid="{00000000-0005-0000-0000-0000550B0000}"/>
    <cellStyle name="20% - Accent2 4 9 2" xfId="33900" xr:uid="{EDEB3C8A-CF9D-4567-9D09-06D5C4AA0409}"/>
    <cellStyle name="20% - Accent2 4_Exh G" xfId="2129" xr:uid="{00000000-0005-0000-0000-0000560B0000}"/>
    <cellStyle name="20% - Accent2 5" xfId="107" xr:uid="{00000000-0005-0000-0000-0000570B0000}"/>
    <cellStyle name="20% - Accent2 5 10" xfId="18010" xr:uid="{00000000-0005-0000-0000-0000580B0000}"/>
    <cellStyle name="20% - Accent2 5 10 2" xfId="41842" xr:uid="{73C4B018-E291-4BA5-86E6-FBEDABE49922}"/>
    <cellStyle name="20% - Accent2 5 11" xfId="25962" xr:uid="{C79CD5BE-1440-4EAF-8DA8-CCEAED75F23F}"/>
    <cellStyle name="20% - Accent2 5 2" xfId="108" xr:uid="{00000000-0005-0000-0000-0000590B0000}"/>
    <cellStyle name="20% - Accent2 5 2 2" xfId="109" xr:uid="{00000000-0005-0000-0000-00005A0B0000}"/>
    <cellStyle name="20% - Accent2 5 2 2 2" xfId="1137" xr:uid="{00000000-0005-0000-0000-00005B0B0000}"/>
    <cellStyle name="20% - Accent2 5 2 2 2 2" xfId="4667" xr:uid="{00000000-0005-0000-0000-00005C0B0000}"/>
    <cellStyle name="20% - Accent2 5 2 2 2 2 2" xfId="8258" xr:uid="{00000000-0005-0000-0000-00005D0B0000}"/>
    <cellStyle name="20% - Accent2 5 2 2 2 2 2 2" xfId="16229" xr:uid="{00000000-0005-0000-0000-00005E0B0000}"/>
    <cellStyle name="20% - Accent2 5 2 2 2 2 2 2 2" xfId="40071" xr:uid="{A5D8D929-BF0F-4013-8704-EECCFA983A4B}"/>
    <cellStyle name="20% - Accent2 5 2 2 2 2 2 3" xfId="24175" xr:uid="{00000000-0005-0000-0000-00005F0B0000}"/>
    <cellStyle name="20% - Accent2 5 2 2 2 2 2 3 2" xfId="48007" xr:uid="{2B1EB3D3-A038-4D0D-ABE2-3AD2C10E91E9}"/>
    <cellStyle name="20% - Accent2 5 2 2 2 2 2 4" xfId="32130" xr:uid="{0143C563-AFB4-49F1-80F6-E10A2F287F59}"/>
    <cellStyle name="20% - Accent2 5 2 2 2 2 3" xfId="12691" xr:uid="{00000000-0005-0000-0000-0000600B0000}"/>
    <cellStyle name="20% - Accent2 5 2 2 2 2 3 2" xfId="36540" xr:uid="{8965B982-9D9C-4C7C-BD37-88538041F38E}"/>
    <cellStyle name="20% - Accent2 5 2 2 2 2 4" xfId="20646" xr:uid="{00000000-0005-0000-0000-0000610B0000}"/>
    <cellStyle name="20% - Accent2 5 2 2 2 2 4 2" xfId="44478" xr:uid="{10417B5A-46F2-4A13-8137-A3B9E2739246}"/>
    <cellStyle name="20% - Accent2 5 2 2 2 2 5" xfId="28599" xr:uid="{47A967F2-ED9F-4D88-8D4F-2D6A8CC714E0}"/>
    <cellStyle name="20% - Accent2 5 2 2 2 3" xfId="6499" xr:uid="{00000000-0005-0000-0000-0000620B0000}"/>
    <cellStyle name="20% - Accent2 5 2 2 2 3 2" xfId="14471" xr:uid="{00000000-0005-0000-0000-0000630B0000}"/>
    <cellStyle name="20% - Accent2 5 2 2 2 3 2 2" xfId="38313" xr:uid="{902C25DB-6FCF-49F6-B6F7-856932EF257D}"/>
    <cellStyle name="20% - Accent2 5 2 2 2 3 3" xfId="22418" xr:uid="{00000000-0005-0000-0000-0000640B0000}"/>
    <cellStyle name="20% - Accent2 5 2 2 2 3 3 2" xfId="46250" xr:uid="{3D213E20-91F5-440D-9DBF-FC63BBE424D7}"/>
    <cellStyle name="20% - Accent2 5 2 2 2 3 4" xfId="30372" xr:uid="{CD1986A0-E219-48F4-B8DD-3EE3EA3FAD83}"/>
    <cellStyle name="20% - Accent2 5 2 2 2 4" xfId="10935" xr:uid="{00000000-0005-0000-0000-0000650B0000}"/>
    <cellStyle name="20% - Accent2 5 2 2 2 4 2" xfId="34784" xr:uid="{7C8FE375-B0CB-4A5C-8C4A-0C73C6C6ED47}"/>
    <cellStyle name="20% - Accent2 5 2 2 2 5" xfId="18890" xr:uid="{00000000-0005-0000-0000-0000660B0000}"/>
    <cellStyle name="20% - Accent2 5 2 2 2 5 2" xfId="42722" xr:uid="{BA9A4B29-B052-4ABD-9683-2C3F504C9BB4}"/>
    <cellStyle name="20% - Accent2 5 2 2 2 6" xfId="26842" xr:uid="{A5B094BC-907B-492E-A48F-47DE1615120C}"/>
    <cellStyle name="20% - Accent2 5 2 2 2_Exh G" xfId="2144" xr:uid="{00000000-0005-0000-0000-0000670B0000}"/>
    <cellStyle name="20% - Accent2 5 2 2 3" xfId="3788" xr:uid="{00000000-0005-0000-0000-0000680B0000}"/>
    <cellStyle name="20% - Accent2 5 2 2 3 2" xfId="7380" xr:uid="{00000000-0005-0000-0000-0000690B0000}"/>
    <cellStyle name="20% - Accent2 5 2 2 3 2 2" xfId="15351" xr:uid="{00000000-0005-0000-0000-00006A0B0000}"/>
    <cellStyle name="20% - Accent2 5 2 2 3 2 2 2" xfId="39193" xr:uid="{FECBAB14-A54A-40FD-A69A-8B0AD931B0CC}"/>
    <cellStyle name="20% - Accent2 5 2 2 3 2 3" xfId="23297" xr:uid="{00000000-0005-0000-0000-00006B0B0000}"/>
    <cellStyle name="20% - Accent2 5 2 2 3 2 3 2" xfId="47129" xr:uid="{7B53245D-A390-404B-9F06-73B1B8667573}"/>
    <cellStyle name="20% - Accent2 5 2 2 3 2 4" xfId="31252" xr:uid="{CFA08CD5-31F1-4D35-9931-DDF8BC9228B7}"/>
    <cellStyle name="20% - Accent2 5 2 2 3 3" xfId="11813" xr:uid="{00000000-0005-0000-0000-00006C0B0000}"/>
    <cellStyle name="20% - Accent2 5 2 2 3 3 2" xfId="35662" xr:uid="{797A8820-5E0C-4A71-A9C0-FA8AEFA29AF6}"/>
    <cellStyle name="20% - Accent2 5 2 2 3 4" xfId="19768" xr:uid="{00000000-0005-0000-0000-00006D0B0000}"/>
    <cellStyle name="20% - Accent2 5 2 2 3 4 2" xfId="43600" xr:uid="{D1C0DA36-AFC7-48DC-B3B2-86D5A7B8902E}"/>
    <cellStyle name="20% - Accent2 5 2 2 3 5" xfId="27721" xr:uid="{24FEE5B3-4F76-4E70-B269-9046D34EC0A5}"/>
    <cellStyle name="20% - Accent2 5 2 2 4" xfId="5608" xr:uid="{00000000-0005-0000-0000-00006E0B0000}"/>
    <cellStyle name="20% - Accent2 5 2 2 4 2" xfId="13592" xr:uid="{00000000-0005-0000-0000-00006F0B0000}"/>
    <cellStyle name="20% - Accent2 5 2 2 4 2 2" xfId="37435" xr:uid="{C2D11988-8BAA-40A3-8ECC-D106E320F5CC}"/>
    <cellStyle name="20% - Accent2 5 2 2 4 3" xfId="21540" xr:uid="{00000000-0005-0000-0000-0000700B0000}"/>
    <cellStyle name="20% - Accent2 5 2 2 4 3 2" xfId="45372" xr:uid="{B22ABE0C-D3FE-45F8-B98E-7F8E5C367506}"/>
    <cellStyle name="20% - Accent2 5 2 2 4 4" xfId="29494" xr:uid="{61FA6312-40FF-4B15-AD13-BFC3263B54DB}"/>
    <cellStyle name="20% - Accent2 5 2 2 5" xfId="9161" xr:uid="{00000000-0005-0000-0000-0000710B0000}"/>
    <cellStyle name="20% - Accent2 5 2 2 5 2" xfId="17119" xr:uid="{00000000-0005-0000-0000-0000720B0000}"/>
    <cellStyle name="20% - Accent2 5 2 2 5 2 2" xfId="40959" xr:uid="{E84FB657-7658-4CF9-A3D8-BF4D9EE28012}"/>
    <cellStyle name="20% - Accent2 5 2 2 5 3" xfId="25063" xr:uid="{00000000-0005-0000-0000-0000730B0000}"/>
    <cellStyle name="20% - Accent2 5 2 2 5 3 2" xfId="48895" xr:uid="{A1E8E56C-1AD9-4948-AA0E-C992449BD321}"/>
    <cellStyle name="20% - Accent2 5 2 2 5 4" xfId="33018" xr:uid="{785A1012-7B12-4A40-B7BF-C42D80D470A2}"/>
    <cellStyle name="20% - Accent2 5 2 2 6" xfId="10057" xr:uid="{00000000-0005-0000-0000-0000740B0000}"/>
    <cellStyle name="20% - Accent2 5 2 2 6 2" xfId="33906" xr:uid="{CCAF495D-9F15-425F-A563-9AA954E59AEB}"/>
    <cellStyle name="20% - Accent2 5 2 2 7" xfId="18012" xr:uid="{00000000-0005-0000-0000-0000750B0000}"/>
    <cellStyle name="20% - Accent2 5 2 2 7 2" xfId="41844" xr:uid="{DE69A84F-4A6A-42E6-944B-5A65FC988140}"/>
    <cellStyle name="20% - Accent2 5 2 2 8" xfId="25964" xr:uid="{448CFB12-56CF-45E7-9AEF-761613A6132B}"/>
    <cellStyle name="20% - Accent2 5 2 2_Exh G" xfId="2143" xr:uid="{00000000-0005-0000-0000-0000760B0000}"/>
    <cellStyle name="20% - Accent2 5 2 3" xfId="1136" xr:uid="{00000000-0005-0000-0000-0000770B0000}"/>
    <cellStyle name="20% - Accent2 5 2 3 2" xfId="4666" xr:uid="{00000000-0005-0000-0000-0000780B0000}"/>
    <cellStyle name="20% - Accent2 5 2 3 2 2" xfId="8257" xr:uid="{00000000-0005-0000-0000-0000790B0000}"/>
    <cellStyle name="20% - Accent2 5 2 3 2 2 2" xfId="16228" xr:uid="{00000000-0005-0000-0000-00007A0B0000}"/>
    <cellStyle name="20% - Accent2 5 2 3 2 2 2 2" xfId="40070" xr:uid="{C5FD7E81-A3D2-4BDD-8086-300C354A057D}"/>
    <cellStyle name="20% - Accent2 5 2 3 2 2 3" xfId="24174" xr:uid="{00000000-0005-0000-0000-00007B0B0000}"/>
    <cellStyle name="20% - Accent2 5 2 3 2 2 3 2" xfId="48006" xr:uid="{CA177743-87D1-4810-B417-119DA951AADA}"/>
    <cellStyle name="20% - Accent2 5 2 3 2 2 4" xfId="32129" xr:uid="{A23AB186-746B-4A45-B3CC-92101E9886B3}"/>
    <cellStyle name="20% - Accent2 5 2 3 2 3" xfId="12690" xr:uid="{00000000-0005-0000-0000-00007C0B0000}"/>
    <cellStyle name="20% - Accent2 5 2 3 2 3 2" xfId="36539" xr:uid="{3FF035A2-2B6F-402E-95ED-635AD10834DF}"/>
    <cellStyle name="20% - Accent2 5 2 3 2 4" xfId="20645" xr:uid="{00000000-0005-0000-0000-00007D0B0000}"/>
    <cellStyle name="20% - Accent2 5 2 3 2 4 2" xfId="44477" xr:uid="{38DCF11D-7791-491D-81FB-B1806BB36506}"/>
    <cellStyle name="20% - Accent2 5 2 3 2 5" xfId="28598" xr:uid="{95AF05F0-CD9F-4A06-8529-C771616CD76A}"/>
    <cellStyle name="20% - Accent2 5 2 3 3" xfId="6498" xr:uid="{00000000-0005-0000-0000-00007E0B0000}"/>
    <cellStyle name="20% - Accent2 5 2 3 3 2" xfId="14470" xr:uid="{00000000-0005-0000-0000-00007F0B0000}"/>
    <cellStyle name="20% - Accent2 5 2 3 3 2 2" xfId="38312" xr:uid="{690CD144-31EE-4E6F-9755-F73E2939CE02}"/>
    <cellStyle name="20% - Accent2 5 2 3 3 3" xfId="22417" xr:uid="{00000000-0005-0000-0000-0000800B0000}"/>
    <cellStyle name="20% - Accent2 5 2 3 3 3 2" xfId="46249" xr:uid="{7BE11A33-BBCF-4A20-86B4-59DCA0295B76}"/>
    <cellStyle name="20% - Accent2 5 2 3 3 4" xfId="30371" xr:uid="{7BB9F2CB-A26D-4814-99B6-071E6C29E739}"/>
    <cellStyle name="20% - Accent2 5 2 3 4" xfId="10934" xr:uid="{00000000-0005-0000-0000-0000810B0000}"/>
    <cellStyle name="20% - Accent2 5 2 3 4 2" xfId="34783" xr:uid="{C2390B7D-DA5A-4D19-83EA-63095FE49EED}"/>
    <cellStyle name="20% - Accent2 5 2 3 5" xfId="18889" xr:uid="{00000000-0005-0000-0000-0000820B0000}"/>
    <cellStyle name="20% - Accent2 5 2 3 5 2" xfId="42721" xr:uid="{582C053C-E857-44B8-95A0-653967700CAE}"/>
    <cellStyle name="20% - Accent2 5 2 3 6" xfId="26841" xr:uid="{9E7D1339-18B2-4AB5-AD20-F45822286C26}"/>
    <cellStyle name="20% - Accent2 5 2 3_Exh G" xfId="2145" xr:uid="{00000000-0005-0000-0000-0000830B0000}"/>
    <cellStyle name="20% - Accent2 5 2 4" xfId="3787" xr:uid="{00000000-0005-0000-0000-0000840B0000}"/>
    <cellStyle name="20% - Accent2 5 2 4 2" xfId="7379" xr:uid="{00000000-0005-0000-0000-0000850B0000}"/>
    <cellStyle name="20% - Accent2 5 2 4 2 2" xfId="15350" xr:uid="{00000000-0005-0000-0000-0000860B0000}"/>
    <cellStyle name="20% - Accent2 5 2 4 2 2 2" xfId="39192" xr:uid="{7D4D5F36-C52D-41F3-98E4-AB141921EA98}"/>
    <cellStyle name="20% - Accent2 5 2 4 2 3" xfId="23296" xr:uid="{00000000-0005-0000-0000-0000870B0000}"/>
    <cellStyle name="20% - Accent2 5 2 4 2 3 2" xfId="47128" xr:uid="{07470D21-C0A2-4168-AFCB-032453E46988}"/>
    <cellStyle name="20% - Accent2 5 2 4 2 4" xfId="31251" xr:uid="{4F4A6D8C-B6C0-453C-84D5-B0D5DB6057AA}"/>
    <cellStyle name="20% - Accent2 5 2 4 3" xfId="11812" xr:uid="{00000000-0005-0000-0000-0000880B0000}"/>
    <cellStyle name="20% - Accent2 5 2 4 3 2" xfId="35661" xr:uid="{7246E44F-8B0D-4CFE-995D-1EC07599B9DA}"/>
    <cellStyle name="20% - Accent2 5 2 4 4" xfId="19767" xr:uid="{00000000-0005-0000-0000-0000890B0000}"/>
    <cellStyle name="20% - Accent2 5 2 4 4 2" xfId="43599" xr:uid="{E8957537-8A09-406D-95C5-5EC6CDD60F1C}"/>
    <cellStyle name="20% - Accent2 5 2 4 5" xfId="27720" xr:uid="{411445EA-B7F5-4CD0-A686-1895062979E9}"/>
    <cellStyle name="20% - Accent2 5 2 5" xfId="5607" xr:uid="{00000000-0005-0000-0000-00008A0B0000}"/>
    <cellStyle name="20% - Accent2 5 2 5 2" xfId="13591" xr:uid="{00000000-0005-0000-0000-00008B0B0000}"/>
    <cellStyle name="20% - Accent2 5 2 5 2 2" xfId="37434" xr:uid="{E084D6FD-81B8-444C-9DB0-724BA45B76EB}"/>
    <cellStyle name="20% - Accent2 5 2 5 3" xfId="21539" xr:uid="{00000000-0005-0000-0000-00008C0B0000}"/>
    <cellStyle name="20% - Accent2 5 2 5 3 2" xfId="45371" xr:uid="{5DEC69E5-4B0C-4D2B-AB47-C265A68B1F0A}"/>
    <cellStyle name="20% - Accent2 5 2 5 4" xfId="29493" xr:uid="{7B862A02-60D5-4658-82EE-C13AE922CFEA}"/>
    <cellStyle name="20% - Accent2 5 2 6" xfId="9160" xr:uid="{00000000-0005-0000-0000-00008D0B0000}"/>
    <cellStyle name="20% - Accent2 5 2 6 2" xfId="17118" xr:uid="{00000000-0005-0000-0000-00008E0B0000}"/>
    <cellStyle name="20% - Accent2 5 2 6 2 2" xfId="40958" xr:uid="{B54FFDF7-D709-428A-9B89-9A909CA37843}"/>
    <cellStyle name="20% - Accent2 5 2 6 3" xfId="25062" xr:uid="{00000000-0005-0000-0000-00008F0B0000}"/>
    <cellStyle name="20% - Accent2 5 2 6 3 2" xfId="48894" xr:uid="{AF246105-5475-46FE-86D9-E0C77A255887}"/>
    <cellStyle name="20% - Accent2 5 2 6 4" xfId="33017" xr:uid="{5B5BBB76-D537-44A2-B6ED-5DEA0EC36124}"/>
    <cellStyle name="20% - Accent2 5 2 7" xfId="10056" xr:uid="{00000000-0005-0000-0000-0000900B0000}"/>
    <cellStyle name="20% - Accent2 5 2 7 2" xfId="33905" xr:uid="{FFDD8E98-6C51-426A-9B8E-25A839D1F914}"/>
    <cellStyle name="20% - Accent2 5 2 8" xfId="18011" xr:uid="{00000000-0005-0000-0000-0000910B0000}"/>
    <cellStyle name="20% - Accent2 5 2 8 2" xfId="41843" xr:uid="{F8BC9D2A-F3AD-4B87-B550-ED6BF3C40810}"/>
    <cellStyle name="20% - Accent2 5 2 9" xfId="25963" xr:uid="{B3A697B4-3ADB-4B98-833C-152D04E5778C}"/>
    <cellStyle name="20% - Accent2 5 2_Exh G" xfId="2142" xr:uid="{00000000-0005-0000-0000-0000920B0000}"/>
    <cellStyle name="20% - Accent2 5 3" xfId="110" xr:uid="{00000000-0005-0000-0000-0000930B0000}"/>
    <cellStyle name="20% - Accent2 5 3 2" xfId="1138" xr:uid="{00000000-0005-0000-0000-0000940B0000}"/>
    <cellStyle name="20% - Accent2 5 3 2 2" xfId="4668" xr:uid="{00000000-0005-0000-0000-0000950B0000}"/>
    <cellStyle name="20% - Accent2 5 3 2 2 2" xfId="8259" xr:uid="{00000000-0005-0000-0000-0000960B0000}"/>
    <cellStyle name="20% - Accent2 5 3 2 2 2 2" xfId="16230" xr:uid="{00000000-0005-0000-0000-0000970B0000}"/>
    <cellStyle name="20% - Accent2 5 3 2 2 2 2 2" xfId="40072" xr:uid="{DE07C57C-41D1-4985-BE91-8285444A8BBB}"/>
    <cellStyle name="20% - Accent2 5 3 2 2 2 3" xfId="24176" xr:uid="{00000000-0005-0000-0000-0000980B0000}"/>
    <cellStyle name="20% - Accent2 5 3 2 2 2 3 2" xfId="48008" xr:uid="{031E837E-EAB7-4F03-83EE-EDB521ED0F91}"/>
    <cellStyle name="20% - Accent2 5 3 2 2 2 4" xfId="32131" xr:uid="{D8DC2D33-9C58-4B5C-B034-2AF7F96D1415}"/>
    <cellStyle name="20% - Accent2 5 3 2 2 3" xfId="12692" xr:uid="{00000000-0005-0000-0000-0000990B0000}"/>
    <cellStyle name="20% - Accent2 5 3 2 2 3 2" xfId="36541" xr:uid="{0A2BFF34-5080-458B-B644-D76EFAE4F44F}"/>
    <cellStyle name="20% - Accent2 5 3 2 2 4" xfId="20647" xr:uid="{00000000-0005-0000-0000-00009A0B0000}"/>
    <cellStyle name="20% - Accent2 5 3 2 2 4 2" xfId="44479" xr:uid="{4247B05D-121A-4D48-931D-372E12DFB32E}"/>
    <cellStyle name="20% - Accent2 5 3 2 2 5" xfId="28600" xr:uid="{254683DD-9D3B-47A7-91E7-128C3EE543A4}"/>
    <cellStyle name="20% - Accent2 5 3 2 3" xfId="6500" xr:uid="{00000000-0005-0000-0000-00009B0B0000}"/>
    <cellStyle name="20% - Accent2 5 3 2 3 2" xfId="14472" xr:uid="{00000000-0005-0000-0000-00009C0B0000}"/>
    <cellStyle name="20% - Accent2 5 3 2 3 2 2" xfId="38314" xr:uid="{CD6ED8FD-1D3F-41B6-8059-B02FFD932E84}"/>
    <cellStyle name="20% - Accent2 5 3 2 3 3" xfId="22419" xr:uid="{00000000-0005-0000-0000-00009D0B0000}"/>
    <cellStyle name="20% - Accent2 5 3 2 3 3 2" xfId="46251" xr:uid="{BFF6AC2A-690D-4BFB-97AD-0BA6DCB086AC}"/>
    <cellStyle name="20% - Accent2 5 3 2 3 4" xfId="30373" xr:uid="{4B5F1932-4DB2-44A2-A553-74EE9C3E4A61}"/>
    <cellStyle name="20% - Accent2 5 3 2 4" xfId="10936" xr:uid="{00000000-0005-0000-0000-00009E0B0000}"/>
    <cellStyle name="20% - Accent2 5 3 2 4 2" xfId="34785" xr:uid="{1ED2109C-F734-46D6-8DB9-F0D88C32F939}"/>
    <cellStyle name="20% - Accent2 5 3 2 5" xfId="18891" xr:uid="{00000000-0005-0000-0000-00009F0B0000}"/>
    <cellStyle name="20% - Accent2 5 3 2 5 2" xfId="42723" xr:uid="{C6125B20-781D-4122-ACB6-D1486130854A}"/>
    <cellStyle name="20% - Accent2 5 3 2 6" xfId="26843" xr:uid="{E582E6F5-278A-4A99-B4F4-71F5BC96EEFF}"/>
    <cellStyle name="20% - Accent2 5 3 2_Exh G" xfId="2147" xr:uid="{00000000-0005-0000-0000-0000A00B0000}"/>
    <cellStyle name="20% - Accent2 5 3 3" xfId="3789" xr:uid="{00000000-0005-0000-0000-0000A10B0000}"/>
    <cellStyle name="20% - Accent2 5 3 3 2" xfId="7381" xr:uid="{00000000-0005-0000-0000-0000A20B0000}"/>
    <cellStyle name="20% - Accent2 5 3 3 2 2" xfId="15352" xr:uid="{00000000-0005-0000-0000-0000A30B0000}"/>
    <cellStyle name="20% - Accent2 5 3 3 2 2 2" xfId="39194" xr:uid="{3B3FE30D-9006-4A17-94DD-DE3D0058EC5C}"/>
    <cellStyle name="20% - Accent2 5 3 3 2 3" xfId="23298" xr:uid="{00000000-0005-0000-0000-0000A40B0000}"/>
    <cellStyle name="20% - Accent2 5 3 3 2 3 2" xfId="47130" xr:uid="{E12FC9E7-ABCA-4DC3-B3D3-209E4A9DDD40}"/>
    <cellStyle name="20% - Accent2 5 3 3 2 4" xfId="31253" xr:uid="{BE5A05CB-C8E2-46F2-A117-6C0DCBF80913}"/>
    <cellStyle name="20% - Accent2 5 3 3 3" xfId="11814" xr:uid="{00000000-0005-0000-0000-0000A50B0000}"/>
    <cellStyle name="20% - Accent2 5 3 3 3 2" xfId="35663" xr:uid="{BA620F8C-FA6F-45E1-AE2A-A75766C4C0AF}"/>
    <cellStyle name="20% - Accent2 5 3 3 4" xfId="19769" xr:uid="{00000000-0005-0000-0000-0000A60B0000}"/>
    <cellStyle name="20% - Accent2 5 3 3 4 2" xfId="43601" xr:uid="{6B274C66-BBCD-4CE4-8D42-38CCC7BAB522}"/>
    <cellStyle name="20% - Accent2 5 3 3 5" xfId="27722" xr:uid="{2D0A1ED2-4556-42DF-B98F-A14B5889EB8E}"/>
    <cellStyle name="20% - Accent2 5 3 4" xfId="5609" xr:uid="{00000000-0005-0000-0000-0000A70B0000}"/>
    <cellStyle name="20% - Accent2 5 3 4 2" xfId="13593" xr:uid="{00000000-0005-0000-0000-0000A80B0000}"/>
    <cellStyle name="20% - Accent2 5 3 4 2 2" xfId="37436" xr:uid="{2E8716C3-5B23-471D-B11E-7BBB94D69161}"/>
    <cellStyle name="20% - Accent2 5 3 4 3" xfId="21541" xr:uid="{00000000-0005-0000-0000-0000A90B0000}"/>
    <cellStyle name="20% - Accent2 5 3 4 3 2" xfId="45373" xr:uid="{FE739D64-9B0C-4E96-9110-4DFBF99D65E4}"/>
    <cellStyle name="20% - Accent2 5 3 4 4" xfId="29495" xr:uid="{610F258A-8281-4FF9-A47B-369F6D1068C7}"/>
    <cellStyle name="20% - Accent2 5 3 5" xfId="9162" xr:uid="{00000000-0005-0000-0000-0000AA0B0000}"/>
    <cellStyle name="20% - Accent2 5 3 5 2" xfId="17120" xr:uid="{00000000-0005-0000-0000-0000AB0B0000}"/>
    <cellStyle name="20% - Accent2 5 3 5 2 2" xfId="40960" xr:uid="{00719A62-C29D-4C87-A8CD-6CA5BC32D887}"/>
    <cellStyle name="20% - Accent2 5 3 5 3" xfId="25064" xr:uid="{00000000-0005-0000-0000-0000AC0B0000}"/>
    <cellStyle name="20% - Accent2 5 3 5 3 2" xfId="48896" xr:uid="{2B4B20E3-9648-4A36-AB7C-8AA8AA674C84}"/>
    <cellStyle name="20% - Accent2 5 3 5 4" xfId="33019" xr:uid="{FE11ECF7-C62D-49F3-8857-D4144C2B4A36}"/>
    <cellStyle name="20% - Accent2 5 3 6" xfId="10058" xr:uid="{00000000-0005-0000-0000-0000AD0B0000}"/>
    <cellStyle name="20% - Accent2 5 3 6 2" xfId="33907" xr:uid="{A0F37D89-CD08-49AC-8E8A-E7805ED190F4}"/>
    <cellStyle name="20% - Accent2 5 3 7" xfId="18013" xr:uid="{00000000-0005-0000-0000-0000AE0B0000}"/>
    <cellStyle name="20% - Accent2 5 3 7 2" xfId="41845" xr:uid="{AA15363C-81BD-43EB-B251-375444BDCCD3}"/>
    <cellStyle name="20% - Accent2 5 3 8" xfId="25965" xr:uid="{6E0CC1A4-6366-425B-A7B2-B025FACAA853}"/>
    <cellStyle name="20% - Accent2 5 3_Exh G" xfId="2146" xr:uid="{00000000-0005-0000-0000-0000AF0B0000}"/>
    <cellStyle name="20% - Accent2 5 4" xfId="881" xr:uid="{00000000-0005-0000-0000-0000B00B0000}"/>
    <cellStyle name="20% - Accent2 5 5" xfId="1135" xr:uid="{00000000-0005-0000-0000-0000B10B0000}"/>
    <cellStyle name="20% - Accent2 5 5 2" xfId="4665" xr:uid="{00000000-0005-0000-0000-0000B20B0000}"/>
    <cellStyle name="20% - Accent2 5 5 2 2" xfId="8256" xr:uid="{00000000-0005-0000-0000-0000B30B0000}"/>
    <cellStyle name="20% - Accent2 5 5 2 2 2" xfId="16227" xr:uid="{00000000-0005-0000-0000-0000B40B0000}"/>
    <cellStyle name="20% - Accent2 5 5 2 2 2 2" xfId="40069" xr:uid="{DB8E850E-1849-45AC-A000-69F778FB7453}"/>
    <cellStyle name="20% - Accent2 5 5 2 2 3" xfId="24173" xr:uid="{00000000-0005-0000-0000-0000B50B0000}"/>
    <cellStyle name="20% - Accent2 5 5 2 2 3 2" xfId="48005" xr:uid="{5EFE7ACA-C31C-492F-A8C4-B048AF754699}"/>
    <cellStyle name="20% - Accent2 5 5 2 2 4" xfId="32128" xr:uid="{B2CA9C6A-F63A-4385-A36F-73DA22FF45AB}"/>
    <cellStyle name="20% - Accent2 5 5 2 3" xfId="12689" xr:uid="{00000000-0005-0000-0000-0000B60B0000}"/>
    <cellStyle name="20% - Accent2 5 5 2 3 2" xfId="36538" xr:uid="{E055D0A9-742B-4849-BB60-D49605DF2F47}"/>
    <cellStyle name="20% - Accent2 5 5 2 4" xfId="20644" xr:uid="{00000000-0005-0000-0000-0000B70B0000}"/>
    <cellStyle name="20% - Accent2 5 5 2 4 2" xfId="44476" xr:uid="{A85D02F7-EE06-48EF-86BF-B50C3B62D03B}"/>
    <cellStyle name="20% - Accent2 5 5 2 5" xfId="28597" xr:uid="{E44D9BE7-422C-4209-B51A-ADCD16F13991}"/>
    <cellStyle name="20% - Accent2 5 5 3" xfId="6497" xr:uid="{00000000-0005-0000-0000-0000B80B0000}"/>
    <cellStyle name="20% - Accent2 5 5 3 2" xfId="14469" xr:uid="{00000000-0005-0000-0000-0000B90B0000}"/>
    <cellStyle name="20% - Accent2 5 5 3 2 2" xfId="38311" xr:uid="{BE28F3CF-4527-4AB2-B49C-A8E50988B140}"/>
    <cellStyle name="20% - Accent2 5 5 3 3" xfId="22416" xr:uid="{00000000-0005-0000-0000-0000BA0B0000}"/>
    <cellStyle name="20% - Accent2 5 5 3 3 2" xfId="46248" xr:uid="{977AA1A4-D499-499E-A5C3-DFDB151EFF7D}"/>
    <cellStyle name="20% - Accent2 5 5 3 4" xfId="30370" xr:uid="{0DCA061A-9467-4AEF-AACD-15576DE87754}"/>
    <cellStyle name="20% - Accent2 5 5 4" xfId="10933" xr:uid="{00000000-0005-0000-0000-0000BB0B0000}"/>
    <cellStyle name="20% - Accent2 5 5 4 2" xfId="34782" xr:uid="{E5667430-6F4B-43A6-B99F-30859C962710}"/>
    <cellStyle name="20% - Accent2 5 5 5" xfId="18888" xr:uid="{00000000-0005-0000-0000-0000BC0B0000}"/>
    <cellStyle name="20% - Accent2 5 5 5 2" xfId="42720" xr:uid="{5A7BEB6E-1109-4D4E-9A4F-48EC2A3BC432}"/>
    <cellStyle name="20% - Accent2 5 5 6" xfId="26840" xr:uid="{4D3DE87D-4AC5-4D60-B640-4C0777EDDCF9}"/>
    <cellStyle name="20% - Accent2 5 5_Exh G" xfId="2148" xr:uid="{00000000-0005-0000-0000-0000BD0B0000}"/>
    <cellStyle name="20% - Accent2 5 6" xfId="3786" xr:uid="{00000000-0005-0000-0000-0000BE0B0000}"/>
    <cellStyle name="20% - Accent2 5 6 2" xfId="7378" xr:uid="{00000000-0005-0000-0000-0000BF0B0000}"/>
    <cellStyle name="20% - Accent2 5 6 2 2" xfId="15349" xr:uid="{00000000-0005-0000-0000-0000C00B0000}"/>
    <cellStyle name="20% - Accent2 5 6 2 2 2" xfId="39191" xr:uid="{2CC15F4E-7F92-47D7-9949-F4157753BE07}"/>
    <cellStyle name="20% - Accent2 5 6 2 3" xfId="23295" xr:uid="{00000000-0005-0000-0000-0000C10B0000}"/>
    <cellStyle name="20% - Accent2 5 6 2 3 2" xfId="47127" xr:uid="{83463516-5ADF-4147-99A2-970DA6F7417C}"/>
    <cellStyle name="20% - Accent2 5 6 2 4" xfId="31250" xr:uid="{54F92A9E-1BBF-41AA-818F-8EE93758C1A6}"/>
    <cellStyle name="20% - Accent2 5 6 3" xfId="11811" xr:uid="{00000000-0005-0000-0000-0000C20B0000}"/>
    <cellStyle name="20% - Accent2 5 6 3 2" xfId="35660" xr:uid="{C7DD6D81-4616-42B1-B08C-82B53CB8A4FB}"/>
    <cellStyle name="20% - Accent2 5 6 4" xfId="19766" xr:uid="{00000000-0005-0000-0000-0000C30B0000}"/>
    <cellStyle name="20% - Accent2 5 6 4 2" xfId="43598" xr:uid="{568859BD-DD68-489B-AB90-0E4D06B549C4}"/>
    <cellStyle name="20% - Accent2 5 6 5" xfId="27719" xr:uid="{49B4A9CD-E976-4DA1-8398-582A187FDAAB}"/>
    <cellStyle name="20% - Accent2 5 7" xfId="5606" xr:uid="{00000000-0005-0000-0000-0000C40B0000}"/>
    <cellStyle name="20% - Accent2 5 7 2" xfId="13590" xr:uid="{00000000-0005-0000-0000-0000C50B0000}"/>
    <cellStyle name="20% - Accent2 5 7 2 2" xfId="37433" xr:uid="{AD63C1CC-8876-4502-9D97-1D720BA5AD40}"/>
    <cellStyle name="20% - Accent2 5 7 3" xfId="21538" xr:uid="{00000000-0005-0000-0000-0000C60B0000}"/>
    <cellStyle name="20% - Accent2 5 7 3 2" xfId="45370" xr:uid="{A166DDAD-D64F-452E-827F-55052282334F}"/>
    <cellStyle name="20% - Accent2 5 7 4" xfId="29492" xr:uid="{34143261-A2F1-4C94-9294-D278807D0FBB}"/>
    <cellStyle name="20% - Accent2 5 8" xfId="9159" xr:uid="{00000000-0005-0000-0000-0000C70B0000}"/>
    <cellStyle name="20% - Accent2 5 8 2" xfId="17117" xr:uid="{00000000-0005-0000-0000-0000C80B0000}"/>
    <cellStyle name="20% - Accent2 5 8 2 2" xfId="40957" xr:uid="{6CCA0737-544A-4F58-B656-AD4EA625A29E}"/>
    <cellStyle name="20% - Accent2 5 8 3" xfId="25061" xr:uid="{00000000-0005-0000-0000-0000C90B0000}"/>
    <cellStyle name="20% - Accent2 5 8 3 2" xfId="48893" xr:uid="{98A76F01-97FF-4B4C-B864-1C592C1759F8}"/>
    <cellStyle name="20% - Accent2 5 8 4" xfId="33016" xr:uid="{F469FCB7-6891-4D8A-988F-87A9797AB724}"/>
    <cellStyle name="20% - Accent2 5 9" xfId="10055" xr:uid="{00000000-0005-0000-0000-0000CA0B0000}"/>
    <cellStyle name="20% - Accent2 5 9 2" xfId="33904" xr:uid="{1AA656C4-D0D1-4F7D-A9D2-6F6F45F13A9D}"/>
    <cellStyle name="20% - Accent2 5_Exh G" xfId="2141" xr:uid="{00000000-0005-0000-0000-0000CB0B0000}"/>
    <cellStyle name="20% - Accent2 6" xfId="111" xr:uid="{00000000-0005-0000-0000-0000CC0B0000}"/>
    <cellStyle name="20% - Accent2 6 10" xfId="18014" xr:uid="{00000000-0005-0000-0000-0000CD0B0000}"/>
    <cellStyle name="20% - Accent2 6 10 2" xfId="41846" xr:uid="{4E1A2A8D-2D17-43D7-92CA-6F9AB6909634}"/>
    <cellStyle name="20% - Accent2 6 11" xfId="25966" xr:uid="{FC587D53-42B0-46AA-9CDF-DC868D4957B8}"/>
    <cellStyle name="20% - Accent2 6 2" xfId="112" xr:uid="{00000000-0005-0000-0000-0000CE0B0000}"/>
    <cellStyle name="20% - Accent2 6 2 2" xfId="113" xr:uid="{00000000-0005-0000-0000-0000CF0B0000}"/>
    <cellStyle name="20% - Accent2 6 2 2 2" xfId="1141" xr:uid="{00000000-0005-0000-0000-0000D00B0000}"/>
    <cellStyle name="20% - Accent2 6 2 2 2 2" xfId="4671" xr:uid="{00000000-0005-0000-0000-0000D10B0000}"/>
    <cellStyle name="20% - Accent2 6 2 2 2 2 2" xfId="8262" xr:uid="{00000000-0005-0000-0000-0000D20B0000}"/>
    <cellStyle name="20% - Accent2 6 2 2 2 2 2 2" xfId="16233" xr:uid="{00000000-0005-0000-0000-0000D30B0000}"/>
    <cellStyle name="20% - Accent2 6 2 2 2 2 2 2 2" xfId="40075" xr:uid="{74788208-2934-4F87-940E-A199BD575AC4}"/>
    <cellStyle name="20% - Accent2 6 2 2 2 2 2 3" xfId="24179" xr:uid="{00000000-0005-0000-0000-0000D40B0000}"/>
    <cellStyle name="20% - Accent2 6 2 2 2 2 2 3 2" xfId="48011" xr:uid="{92CE8A66-D91E-4B16-8284-7EF1B324E506}"/>
    <cellStyle name="20% - Accent2 6 2 2 2 2 2 4" xfId="32134" xr:uid="{E6E7A39E-7BFF-404B-AEF7-913D4E6773CF}"/>
    <cellStyle name="20% - Accent2 6 2 2 2 2 3" xfId="12695" xr:uid="{00000000-0005-0000-0000-0000D50B0000}"/>
    <cellStyle name="20% - Accent2 6 2 2 2 2 3 2" xfId="36544" xr:uid="{25410E85-B972-4C04-A0FD-B1B8A3486AF6}"/>
    <cellStyle name="20% - Accent2 6 2 2 2 2 4" xfId="20650" xr:uid="{00000000-0005-0000-0000-0000D60B0000}"/>
    <cellStyle name="20% - Accent2 6 2 2 2 2 4 2" xfId="44482" xr:uid="{3CAFBBE1-79A0-4752-946B-36157B35CB4D}"/>
    <cellStyle name="20% - Accent2 6 2 2 2 2 5" xfId="28603" xr:uid="{1C9E29AE-090B-43AC-8C94-7C52D332F80E}"/>
    <cellStyle name="20% - Accent2 6 2 2 2 3" xfId="6503" xr:uid="{00000000-0005-0000-0000-0000D70B0000}"/>
    <cellStyle name="20% - Accent2 6 2 2 2 3 2" xfId="14475" xr:uid="{00000000-0005-0000-0000-0000D80B0000}"/>
    <cellStyle name="20% - Accent2 6 2 2 2 3 2 2" xfId="38317" xr:uid="{CDCF9B69-BAF2-4311-8939-4DF16AC3293E}"/>
    <cellStyle name="20% - Accent2 6 2 2 2 3 3" xfId="22422" xr:uid="{00000000-0005-0000-0000-0000D90B0000}"/>
    <cellStyle name="20% - Accent2 6 2 2 2 3 3 2" xfId="46254" xr:uid="{36257A18-ED99-49CC-889D-F8AC25D40A85}"/>
    <cellStyle name="20% - Accent2 6 2 2 2 3 4" xfId="30376" xr:uid="{14CC1119-0FCB-492D-8AA1-4CDE9643B39E}"/>
    <cellStyle name="20% - Accent2 6 2 2 2 4" xfId="10939" xr:uid="{00000000-0005-0000-0000-0000DA0B0000}"/>
    <cellStyle name="20% - Accent2 6 2 2 2 4 2" xfId="34788" xr:uid="{7D5FA303-8029-4D29-916E-4A3FCEE495D2}"/>
    <cellStyle name="20% - Accent2 6 2 2 2 5" xfId="18894" xr:uid="{00000000-0005-0000-0000-0000DB0B0000}"/>
    <cellStyle name="20% - Accent2 6 2 2 2 5 2" xfId="42726" xr:uid="{933D9AA3-84F9-4245-836B-E1A211645A0A}"/>
    <cellStyle name="20% - Accent2 6 2 2 2 6" xfId="26846" xr:uid="{8691C318-A8EB-43C4-8918-9F05F34B3453}"/>
    <cellStyle name="20% - Accent2 6 2 2 2_Exh G" xfId="2152" xr:uid="{00000000-0005-0000-0000-0000DC0B0000}"/>
    <cellStyle name="20% - Accent2 6 2 2 3" xfId="3792" xr:uid="{00000000-0005-0000-0000-0000DD0B0000}"/>
    <cellStyle name="20% - Accent2 6 2 2 3 2" xfId="7384" xr:uid="{00000000-0005-0000-0000-0000DE0B0000}"/>
    <cellStyle name="20% - Accent2 6 2 2 3 2 2" xfId="15355" xr:uid="{00000000-0005-0000-0000-0000DF0B0000}"/>
    <cellStyle name="20% - Accent2 6 2 2 3 2 2 2" xfId="39197" xr:uid="{7ED31645-64C4-4E41-BF0D-475ADD990294}"/>
    <cellStyle name="20% - Accent2 6 2 2 3 2 3" xfId="23301" xr:uid="{00000000-0005-0000-0000-0000E00B0000}"/>
    <cellStyle name="20% - Accent2 6 2 2 3 2 3 2" xfId="47133" xr:uid="{3F22B487-4A19-4E48-AE8F-37F0CAC9BDD4}"/>
    <cellStyle name="20% - Accent2 6 2 2 3 2 4" xfId="31256" xr:uid="{EAC2B9FB-9223-4471-8447-CAD949533C3B}"/>
    <cellStyle name="20% - Accent2 6 2 2 3 3" xfId="11817" xr:uid="{00000000-0005-0000-0000-0000E10B0000}"/>
    <cellStyle name="20% - Accent2 6 2 2 3 3 2" xfId="35666" xr:uid="{E23AFF06-DF63-4D55-B482-143B3B301656}"/>
    <cellStyle name="20% - Accent2 6 2 2 3 4" xfId="19772" xr:uid="{00000000-0005-0000-0000-0000E20B0000}"/>
    <cellStyle name="20% - Accent2 6 2 2 3 4 2" xfId="43604" xr:uid="{86B435D1-D2EB-4AD4-A3ED-DD2D5F9C1D28}"/>
    <cellStyle name="20% - Accent2 6 2 2 3 5" xfId="27725" xr:uid="{69537D67-AD8E-4FEA-B8BB-45B76DC94AD9}"/>
    <cellStyle name="20% - Accent2 6 2 2 4" xfId="5612" xr:uid="{00000000-0005-0000-0000-0000E30B0000}"/>
    <cellStyle name="20% - Accent2 6 2 2 4 2" xfId="13596" xr:uid="{00000000-0005-0000-0000-0000E40B0000}"/>
    <cellStyle name="20% - Accent2 6 2 2 4 2 2" xfId="37439" xr:uid="{8B1F4C50-52BC-4EC7-AC98-1686B0D21ABE}"/>
    <cellStyle name="20% - Accent2 6 2 2 4 3" xfId="21544" xr:uid="{00000000-0005-0000-0000-0000E50B0000}"/>
    <cellStyle name="20% - Accent2 6 2 2 4 3 2" xfId="45376" xr:uid="{6AA3E2E6-5EAB-4401-8FF0-6231B6C49355}"/>
    <cellStyle name="20% - Accent2 6 2 2 4 4" xfId="29498" xr:uid="{4C4840AD-3BCA-4CD2-867F-C3555439B52F}"/>
    <cellStyle name="20% - Accent2 6 2 2 5" xfId="9165" xr:uid="{00000000-0005-0000-0000-0000E60B0000}"/>
    <cellStyle name="20% - Accent2 6 2 2 5 2" xfId="17123" xr:uid="{00000000-0005-0000-0000-0000E70B0000}"/>
    <cellStyle name="20% - Accent2 6 2 2 5 2 2" xfId="40963" xr:uid="{7F430466-16A2-43A8-B012-3F3642D65864}"/>
    <cellStyle name="20% - Accent2 6 2 2 5 3" xfId="25067" xr:uid="{00000000-0005-0000-0000-0000E80B0000}"/>
    <cellStyle name="20% - Accent2 6 2 2 5 3 2" xfId="48899" xr:uid="{765584C8-8B69-4CE1-BF81-0BB8193D384F}"/>
    <cellStyle name="20% - Accent2 6 2 2 5 4" xfId="33022" xr:uid="{C690C2A4-F0FD-4C7B-BEF9-D3D90CD9EB33}"/>
    <cellStyle name="20% - Accent2 6 2 2 6" xfId="10061" xr:uid="{00000000-0005-0000-0000-0000E90B0000}"/>
    <cellStyle name="20% - Accent2 6 2 2 6 2" xfId="33910" xr:uid="{D83F041C-64FF-4305-BF08-F6E7C2159435}"/>
    <cellStyle name="20% - Accent2 6 2 2 7" xfId="18016" xr:uid="{00000000-0005-0000-0000-0000EA0B0000}"/>
    <cellStyle name="20% - Accent2 6 2 2 7 2" xfId="41848" xr:uid="{2BA044A4-5D7D-4688-9313-474EB47300C8}"/>
    <cellStyle name="20% - Accent2 6 2 2 8" xfId="25968" xr:uid="{0472172D-56DC-4471-A58A-69C4A6D84C5E}"/>
    <cellStyle name="20% - Accent2 6 2 2_Exh G" xfId="2151" xr:uid="{00000000-0005-0000-0000-0000EB0B0000}"/>
    <cellStyle name="20% - Accent2 6 2 3" xfId="1140" xr:uid="{00000000-0005-0000-0000-0000EC0B0000}"/>
    <cellStyle name="20% - Accent2 6 2 3 2" xfId="4670" xr:uid="{00000000-0005-0000-0000-0000ED0B0000}"/>
    <cellStyle name="20% - Accent2 6 2 3 2 2" xfId="8261" xr:uid="{00000000-0005-0000-0000-0000EE0B0000}"/>
    <cellStyle name="20% - Accent2 6 2 3 2 2 2" xfId="16232" xr:uid="{00000000-0005-0000-0000-0000EF0B0000}"/>
    <cellStyle name="20% - Accent2 6 2 3 2 2 2 2" xfId="40074" xr:uid="{3C5A23B9-1DB1-4606-A26A-61F7051154F8}"/>
    <cellStyle name="20% - Accent2 6 2 3 2 2 3" xfId="24178" xr:uid="{00000000-0005-0000-0000-0000F00B0000}"/>
    <cellStyle name="20% - Accent2 6 2 3 2 2 3 2" xfId="48010" xr:uid="{404DC781-8B25-4FA4-B55E-B2AC4133A544}"/>
    <cellStyle name="20% - Accent2 6 2 3 2 2 4" xfId="32133" xr:uid="{B803A046-A3EE-42D2-A36C-D421C3705BD0}"/>
    <cellStyle name="20% - Accent2 6 2 3 2 3" xfId="12694" xr:uid="{00000000-0005-0000-0000-0000F10B0000}"/>
    <cellStyle name="20% - Accent2 6 2 3 2 3 2" xfId="36543" xr:uid="{552B895C-A38B-4D76-9001-E4000C9C99AB}"/>
    <cellStyle name="20% - Accent2 6 2 3 2 4" xfId="20649" xr:uid="{00000000-0005-0000-0000-0000F20B0000}"/>
    <cellStyle name="20% - Accent2 6 2 3 2 4 2" xfId="44481" xr:uid="{EB963F03-AFFD-4F80-B4CC-9A4558D24571}"/>
    <cellStyle name="20% - Accent2 6 2 3 2 5" xfId="28602" xr:uid="{05E02FDF-E6A1-40CA-A82F-1F3E126DCFEB}"/>
    <cellStyle name="20% - Accent2 6 2 3 3" xfId="6502" xr:uid="{00000000-0005-0000-0000-0000F30B0000}"/>
    <cellStyle name="20% - Accent2 6 2 3 3 2" xfId="14474" xr:uid="{00000000-0005-0000-0000-0000F40B0000}"/>
    <cellStyle name="20% - Accent2 6 2 3 3 2 2" xfId="38316" xr:uid="{CB72C2CE-B20E-4777-967E-4CF6AC9F24A5}"/>
    <cellStyle name="20% - Accent2 6 2 3 3 3" xfId="22421" xr:uid="{00000000-0005-0000-0000-0000F50B0000}"/>
    <cellStyle name="20% - Accent2 6 2 3 3 3 2" xfId="46253" xr:uid="{B3020C40-AA4F-4C18-B0B9-3F8D2B446BB3}"/>
    <cellStyle name="20% - Accent2 6 2 3 3 4" xfId="30375" xr:uid="{5543938E-3966-44DA-9178-A98FED26E3D4}"/>
    <cellStyle name="20% - Accent2 6 2 3 4" xfId="10938" xr:uid="{00000000-0005-0000-0000-0000F60B0000}"/>
    <cellStyle name="20% - Accent2 6 2 3 4 2" xfId="34787" xr:uid="{D65EC0A7-1E2E-4F44-9909-172B12DC6EF5}"/>
    <cellStyle name="20% - Accent2 6 2 3 5" xfId="18893" xr:uid="{00000000-0005-0000-0000-0000F70B0000}"/>
    <cellStyle name="20% - Accent2 6 2 3 5 2" xfId="42725" xr:uid="{441DEABD-CFDC-482A-93E8-3F6455F6EDD5}"/>
    <cellStyle name="20% - Accent2 6 2 3 6" xfId="26845" xr:uid="{6EBC9FE9-2435-4A51-B946-62EB781DB410}"/>
    <cellStyle name="20% - Accent2 6 2 3_Exh G" xfId="2153" xr:uid="{00000000-0005-0000-0000-0000F80B0000}"/>
    <cellStyle name="20% - Accent2 6 2 4" xfId="3791" xr:uid="{00000000-0005-0000-0000-0000F90B0000}"/>
    <cellStyle name="20% - Accent2 6 2 4 2" xfId="7383" xr:uid="{00000000-0005-0000-0000-0000FA0B0000}"/>
    <cellStyle name="20% - Accent2 6 2 4 2 2" xfId="15354" xr:uid="{00000000-0005-0000-0000-0000FB0B0000}"/>
    <cellStyle name="20% - Accent2 6 2 4 2 2 2" xfId="39196" xr:uid="{9415A5D4-1808-4B78-A59B-954BEB6BE093}"/>
    <cellStyle name="20% - Accent2 6 2 4 2 3" xfId="23300" xr:uid="{00000000-0005-0000-0000-0000FC0B0000}"/>
    <cellStyle name="20% - Accent2 6 2 4 2 3 2" xfId="47132" xr:uid="{4B93888C-44B4-4AB6-AC02-EBBACAC6D267}"/>
    <cellStyle name="20% - Accent2 6 2 4 2 4" xfId="31255" xr:uid="{5D2A98F3-5C94-4906-84B8-D153B32FF5DB}"/>
    <cellStyle name="20% - Accent2 6 2 4 3" xfId="11816" xr:uid="{00000000-0005-0000-0000-0000FD0B0000}"/>
    <cellStyle name="20% - Accent2 6 2 4 3 2" xfId="35665" xr:uid="{C278E1C7-F415-42D1-B507-5182818E8B7F}"/>
    <cellStyle name="20% - Accent2 6 2 4 4" xfId="19771" xr:uid="{00000000-0005-0000-0000-0000FE0B0000}"/>
    <cellStyle name="20% - Accent2 6 2 4 4 2" xfId="43603" xr:uid="{74B69A6F-AB3E-4823-B5B9-6430E15F5ED2}"/>
    <cellStyle name="20% - Accent2 6 2 4 5" xfId="27724" xr:uid="{65A829FA-FFAB-454D-A452-6E5288E9FECE}"/>
    <cellStyle name="20% - Accent2 6 2 5" xfId="5611" xr:uid="{00000000-0005-0000-0000-0000FF0B0000}"/>
    <cellStyle name="20% - Accent2 6 2 5 2" xfId="13595" xr:uid="{00000000-0005-0000-0000-0000000C0000}"/>
    <cellStyle name="20% - Accent2 6 2 5 2 2" xfId="37438" xr:uid="{49919122-26EF-4788-8350-BBE5F9C0A1F4}"/>
    <cellStyle name="20% - Accent2 6 2 5 3" xfId="21543" xr:uid="{00000000-0005-0000-0000-0000010C0000}"/>
    <cellStyle name="20% - Accent2 6 2 5 3 2" xfId="45375" xr:uid="{E6368992-B1CF-48E9-9D54-A66E1659CDFF}"/>
    <cellStyle name="20% - Accent2 6 2 5 4" xfId="29497" xr:uid="{96A1821C-2108-4DBE-AAE3-07446743307F}"/>
    <cellStyle name="20% - Accent2 6 2 6" xfId="9164" xr:uid="{00000000-0005-0000-0000-0000020C0000}"/>
    <cellStyle name="20% - Accent2 6 2 6 2" xfId="17122" xr:uid="{00000000-0005-0000-0000-0000030C0000}"/>
    <cellStyle name="20% - Accent2 6 2 6 2 2" xfId="40962" xr:uid="{813DC7E2-ECD3-44A0-AE2B-BDE077904AD9}"/>
    <cellStyle name="20% - Accent2 6 2 6 3" xfId="25066" xr:uid="{00000000-0005-0000-0000-0000040C0000}"/>
    <cellStyle name="20% - Accent2 6 2 6 3 2" xfId="48898" xr:uid="{A20F0172-04D0-4384-A2E8-12905E9DE3A7}"/>
    <cellStyle name="20% - Accent2 6 2 6 4" xfId="33021" xr:uid="{E4AAA2DA-E6C3-4D95-9C0B-20A725EB8D67}"/>
    <cellStyle name="20% - Accent2 6 2 7" xfId="10060" xr:uid="{00000000-0005-0000-0000-0000050C0000}"/>
    <cellStyle name="20% - Accent2 6 2 7 2" xfId="33909" xr:uid="{E9D67EA1-CA4A-4ED6-B266-3847E8C01704}"/>
    <cellStyle name="20% - Accent2 6 2 8" xfId="18015" xr:uid="{00000000-0005-0000-0000-0000060C0000}"/>
    <cellStyle name="20% - Accent2 6 2 8 2" xfId="41847" xr:uid="{926F65A7-4774-4B99-BEF1-1D1D88876827}"/>
    <cellStyle name="20% - Accent2 6 2 9" xfId="25967" xr:uid="{98D16D82-DA3E-4860-A405-64275FACDD09}"/>
    <cellStyle name="20% - Accent2 6 2_Exh G" xfId="2150" xr:uid="{00000000-0005-0000-0000-0000070C0000}"/>
    <cellStyle name="20% - Accent2 6 3" xfId="114" xr:uid="{00000000-0005-0000-0000-0000080C0000}"/>
    <cellStyle name="20% - Accent2 6 3 2" xfId="1142" xr:uid="{00000000-0005-0000-0000-0000090C0000}"/>
    <cellStyle name="20% - Accent2 6 3 2 2" xfId="4672" xr:uid="{00000000-0005-0000-0000-00000A0C0000}"/>
    <cellStyle name="20% - Accent2 6 3 2 2 2" xfId="8263" xr:uid="{00000000-0005-0000-0000-00000B0C0000}"/>
    <cellStyle name="20% - Accent2 6 3 2 2 2 2" xfId="16234" xr:uid="{00000000-0005-0000-0000-00000C0C0000}"/>
    <cellStyle name="20% - Accent2 6 3 2 2 2 2 2" xfId="40076" xr:uid="{63FEA3D8-1436-489F-B10C-4FFCC4755FE4}"/>
    <cellStyle name="20% - Accent2 6 3 2 2 2 3" xfId="24180" xr:uid="{00000000-0005-0000-0000-00000D0C0000}"/>
    <cellStyle name="20% - Accent2 6 3 2 2 2 3 2" xfId="48012" xr:uid="{68B6EF15-C57A-4610-B7C3-235E4B57F004}"/>
    <cellStyle name="20% - Accent2 6 3 2 2 2 4" xfId="32135" xr:uid="{A275864E-7D27-47E1-BE53-55EA120B4E10}"/>
    <cellStyle name="20% - Accent2 6 3 2 2 3" xfId="12696" xr:uid="{00000000-0005-0000-0000-00000E0C0000}"/>
    <cellStyle name="20% - Accent2 6 3 2 2 3 2" xfId="36545" xr:uid="{035745A7-93DE-46B9-8547-69E81326DB86}"/>
    <cellStyle name="20% - Accent2 6 3 2 2 4" xfId="20651" xr:uid="{00000000-0005-0000-0000-00000F0C0000}"/>
    <cellStyle name="20% - Accent2 6 3 2 2 4 2" xfId="44483" xr:uid="{D817AF46-42AE-44B4-A7EE-3F23D42DD966}"/>
    <cellStyle name="20% - Accent2 6 3 2 2 5" xfId="28604" xr:uid="{AE046255-B330-4C8C-9AC2-3F0956677A3B}"/>
    <cellStyle name="20% - Accent2 6 3 2 3" xfId="6504" xr:uid="{00000000-0005-0000-0000-0000100C0000}"/>
    <cellStyle name="20% - Accent2 6 3 2 3 2" xfId="14476" xr:uid="{00000000-0005-0000-0000-0000110C0000}"/>
    <cellStyle name="20% - Accent2 6 3 2 3 2 2" xfId="38318" xr:uid="{1AE5D3E5-6DF4-4980-B144-46B11207C1E0}"/>
    <cellStyle name="20% - Accent2 6 3 2 3 3" xfId="22423" xr:uid="{00000000-0005-0000-0000-0000120C0000}"/>
    <cellStyle name="20% - Accent2 6 3 2 3 3 2" xfId="46255" xr:uid="{B325A738-D845-46D9-A56F-E6269AC4E325}"/>
    <cellStyle name="20% - Accent2 6 3 2 3 4" xfId="30377" xr:uid="{89048035-4E45-4394-B958-0CE043F98B6C}"/>
    <cellStyle name="20% - Accent2 6 3 2 4" xfId="10940" xr:uid="{00000000-0005-0000-0000-0000130C0000}"/>
    <cellStyle name="20% - Accent2 6 3 2 4 2" xfId="34789" xr:uid="{CA6D0D39-17A1-4470-B6AA-1EB42BCFF141}"/>
    <cellStyle name="20% - Accent2 6 3 2 5" xfId="18895" xr:uid="{00000000-0005-0000-0000-0000140C0000}"/>
    <cellStyle name="20% - Accent2 6 3 2 5 2" xfId="42727" xr:uid="{5977C4F5-296F-443E-A3A9-90F51ACB9A0D}"/>
    <cellStyle name="20% - Accent2 6 3 2 6" xfId="26847" xr:uid="{751A2098-0DB7-4B2C-8A9C-9247C2FE305D}"/>
    <cellStyle name="20% - Accent2 6 3 2_Exh G" xfId="2155" xr:uid="{00000000-0005-0000-0000-0000150C0000}"/>
    <cellStyle name="20% - Accent2 6 3 3" xfId="3793" xr:uid="{00000000-0005-0000-0000-0000160C0000}"/>
    <cellStyle name="20% - Accent2 6 3 3 2" xfId="7385" xr:uid="{00000000-0005-0000-0000-0000170C0000}"/>
    <cellStyle name="20% - Accent2 6 3 3 2 2" xfId="15356" xr:uid="{00000000-0005-0000-0000-0000180C0000}"/>
    <cellStyle name="20% - Accent2 6 3 3 2 2 2" xfId="39198" xr:uid="{A1F923BC-A7F1-4B1C-A0AE-324951094772}"/>
    <cellStyle name="20% - Accent2 6 3 3 2 3" xfId="23302" xr:uid="{00000000-0005-0000-0000-0000190C0000}"/>
    <cellStyle name="20% - Accent2 6 3 3 2 3 2" xfId="47134" xr:uid="{0FBE9A1D-E65E-446D-B37B-775EC7F75276}"/>
    <cellStyle name="20% - Accent2 6 3 3 2 4" xfId="31257" xr:uid="{83A26F5D-96B0-44F7-92A6-B743854F8E0E}"/>
    <cellStyle name="20% - Accent2 6 3 3 3" xfId="11818" xr:uid="{00000000-0005-0000-0000-00001A0C0000}"/>
    <cellStyle name="20% - Accent2 6 3 3 3 2" xfId="35667" xr:uid="{59747A19-8316-4515-A6A5-74070ACC6F85}"/>
    <cellStyle name="20% - Accent2 6 3 3 4" xfId="19773" xr:uid="{00000000-0005-0000-0000-00001B0C0000}"/>
    <cellStyle name="20% - Accent2 6 3 3 4 2" xfId="43605" xr:uid="{7F149BFA-407D-4282-A2DB-2846A362E9E2}"/>
    <cellStyle name="20% - Accent2 6 3 3 5" xfId="27726" xr:uid="{2C8E91E8-262E-4930-B68A-921A286E2545}"/>
    <cellStyle name="20% - Accent2 6 3 4" xfId="5613" xr:uid="{00000000-0005-0000-0000-00001C0C0000}"/>
    <cellStyle name="20% - Accent2 6 3 4 2" xfId="13597" xr:uid="{00000000-0005-0000-0000-00001D0C0000}"/>
    <cellStyle name="20% - Accent2 6 3 4 2 2" xfId="37440" xr:uid="{07B4B4FD-3AA6-4AF0-97D1-1E776A6E564B}"/>
    <cellStyle name="20% - Accent2 6 3 4 3" xfId="21545" xr:uid="{00000000-0005-0000-0000-00001E0C0000}"/>
    <cellStyle name="20% - Accent2 6 3 4 3 2" xfId="45377" xr:uid="{34A55591-52D8-4200-96D1-012109C61B71}"/>
    <cellStyle name="20% - Accent2 6 3 4 4" xfId="29499" xr:uid="{B2FC53F5-7CFF-4381-84EB-0EC32B8C740A}"/>
    <cellStyle name="20% - Accent2 6 3 5" xfId="9166" xr:uid="{00000000-0005-0000-0000-00001F0C0000}"/>
    <cellStyle name="20% - Accent2 6 3 5 2" xfId="17124" xr:uid="{00000000-0005-0000-0000-0000200C0000}"/>
    <cellStyle name="20% - Accent2 6 3 5 2 2" xfId="40964" xr:uid="{F4832575-7B55-4674-881B-E58E578DF56D}"/>
    <cellStyle name="20% - Accent2 6 3 5 3" xfId="25068" xr:uid="{00000000-0005-0000-0000-0000210C0000}"/>
    <cellStyle name="20% - Accent2 6 3 5 3 2" xfId="48900" xr:uid="{8E4394AF-7744-4FB7-A057-F82A56BF7DDC}"/>
    <cellStyle name="20% - Accent2 6 3 5 4" xfId="33023" xr:uid="{719594AD-834E-4904-BBA9-C2EC3CBDAEE6}"/>
    <cellStyle name="20% - Accent2 6 3 6" xfId="10062" xr:uid="{00000000-0005-0000-0000-0000220C0000}"/>
    <cellStyle name="20% - Accent2 6 3 6 2" xfId="33911" xr:uid="{873F653E-9AD2-4AF3-9FE4-6AA786276D79}"/>
    <cellStyle name="20% - Accent2 6 3 7" xfId="18017" xr:uid="{00000000-0005-0000-0000-0000230C0000}"/>
    <cellStyle name="20% - Accent2 6 3 7 2" xfId="41849" xr:uid="{7F339D36-C55F-4C61-98EB-777222317ECA}"/>
    <cellStyle name="20% - Accent2 6 3 8" xfId="25969" xr:uid="{210E58E8-A8FC-4521-A026-1E96B5AD6A36}"/>
    <cellStyle name="20% - Accent2 6 3_Exh G" xfId="2154" xr:uid="{00000000-0005-0000-0000-0000240C0000}"/>
    <cellStyle name="20% - Accent2 6 4" xfId="882" xr:uid="{00000000-0005-0000-0000-0000250C0000}"/>
    <cellStyle name="20% - Accent2 6 4 2" xfId="1815" xr:uid="{00000000-0005-0000-0000-0000260C0000}"/>
    <cellStyle name="20% - Accent2 6 4 2 2" xfId="5333" xr:uid="{00000000-0005-0000-0000-0000270C0000}"/>
    <cellStyle name="20% - Accent2 6 4 2 2 2" xfId="8924" xr:uid="{00000000-0005-0000-0000-0000280C0000}"/>
    <cellStyle name="20% - Accent2 6 4 2 2 2 2" xfId="16895" xr:uid="{00000000-0005-0000-0000-0000290C0000}"/>
    <cellStyle name="20% - Accent2 6 4 2 2 2 2 2" xfId="40737" xr:uid="{E52CF486-8C7E-459F-86AC-07BA10E73290}"/>
    <cellStyle name="20% - Accent2 6 4 2 2 2 3" xfId="24841" xr:uid="{00000000-0005-0000-0000-00002A0C0000}"/>
    <cellStyle name="20% - Accent2 6 4 2 2 2 3 2" xfId="48673" xr:uid="{F9D5D8F6-4640-4415-BBC0-E6DEA7AE9C63}"/>
    <cellStyle name="20% - Accent2 6 4 2 2 2 4" xfId="32796" xr:uid="{B6B6BBB8-948A-4E57-B362-9910FA535DB7}"/>
    <cellStyle name="20% - Accent2 6 4 2 2 3" xfId="13357" xr:uid="{00000000-0005-0000-0000-00002B0C0000}"/>
    <cellStyle name="20% - Accent2 6 4 2 2 3 2" xfId="37206" xr:uid="{2F38D8BD-1269-491B-B509-9D1B04FA1384}"/>
    <cellStyle name="20% - Accent2 6 4 2 2 4" xfId="21312" xr:uid="{00000000-0005-0000-0000-00002C0C0000}"/>
    <cellStyle name="20% - Accent2 6 4 2 2 4 2" xfId="45144" xr:uid="{C24A6338-6842-4E5C-96E6-0F2DE8A9D9AC}"/>
    <cellStyle name="20% - Accent2 6 4 2 2 5" xfId="29265" xr:uid="{85981997-1327-415A-85C1-C00E20DE5FBF}"/>
    <cellStyle name="20% - Accent2 6 4 2 3" xfId="7165" xr:uid="{00000000-0005-0000-0000-00002D0C0000}"/>
    <cellStyle name="20% - Accent2 6 4 2 3 2" xfId="15137" xr:uid="{00000000-0005-0000-0000-00002E0C0000}"/>
    <cellStyle name="20% - Accent2 6 4 2 3 2 2" xfId="38979" xr:uid="{6730F9A8-B85D-4E4E-B1A6-42B3D80500AD}"/>
    <cellStyle name="20% - Accent2 6 4 2 3 3" xfId="23084" xr:uid="{00000000-0005-0000-0000-00002F0C0000}"/>
    <cellStyle name="20% - Accent2 6 4 2 3 3 2" xfId="46916" xr:uid="{0A928EEA-7C23-40AB-B0FB-2B11B3293363}"/>
    <cellStyle name="20% - Accent2 6 4 2 3 4" xfId="31038" xr:uid="{F0B869B8-8AEC-4D7A-BA16-2A87480943ED}"/>
    <cellStyle name="20% - Accent2 6 4 2 4" xfId="11601" xr:uid="{00000000-0005-0000-0000-0000300C0000}"/>
    <cellStyle name="20% - Accent2 6 4 2 4 2" xfId="35450" xr:uid="{E1F0D004-EA19-4192-8062-B7F7631D9A90}"/>
    <cellStyle name="20% - Accent2 6 4 2 5" xfId="19556" xr:uid="{00000000-0005-0000-0000-0000310C0000}"/>
    <cellStyle name="20% - Accent2 6 4 2 5 2" xfId="43388" xr:uid="{BE13CEC4-6190-4FE9-84F8-96BA8BA45211}"/>
    <cellStyle name="20% - Accent2 6 4 2 6" xfId="27508" xr:uid="{BF19BA41-A617-4C3D-BA6C-ADF8E399CFFC}"/>
    <cellStyle name="20% - Accent2 6 4 2_Exh G" xfId="2157" xr:uid="{00000000-0005-0000-0000-0000320C0000}"/>
    <cellStyle name="20% - Accent2 6 4 3" xfId="4454" xr:uid="{00000000-0005-0000-0000-0000330C0000}"/>
    <cellStyle name="20% - Accent2 6 4 3 2" xfId="8046" xr:uid="{00000000-0005-0000-0000-0000340C0000}"/>
    <cellStyle name="20% - Accent2 6 4 3 2 2" xfId="16017" xr:uid="{00000000-0005-0000-0000-0000350C0000}"/>
    <cellStyle name="20% - Accent2 6 4 3 2 2 2" xfId="39859" xr:uid="{E0B25F0A-0663-415A-8593-D54AA8468A54}"/>
    <cellStyle name="20% - Accent2 6 4 3 2 3" xfId="23963" xr:uid="{00000000-0005-0000-0000-0000360C0000}"/>
    <cellStyle name="20% - Accent2 6 4 3 2 3 2" xfId="47795" xr:uid="{D1B7A68C-0396-4F60-9AA8-BC43D9433912}"/>
    <cellStyle name="20% - Accent2 6 4 3 2 4" xfId="31918" xr:uid="{DB2BE462-2213-4EFA-82E6-25A06D5DB8A8}"/>
    <cellStyle name="20% - Accent2 6 4 3 3" xfId="12479" xr:uid="{00000000-0005-0000-0000-0000370C0000}"/>
    <cellStyle name="20% - Accent2 6 4 3 3 2" xfId="36328" xr:uid="{0E8E7018-F284-46D9-A35F-3050D6F0386E}"/>
    <cellStyle name="20% - Accent2 6 4 3 4" xfId="20434" xr:uid="{00000000-0005-0000-0000-0000380C0000}"/>
    <cellStyle name="20% - Accent2 6 4 3 4 2" xfId="44266" xr:uid="{1865ACD4-6AF3-471A-ADA9-47922478F3F0}"/>
    <cellStyle name="20% - Accent2 6 4 3 5" xfId="28387" xr:uid="{1B0161A1-2E19-4C3F-8082-DE22B6FE5B11}"/>
    <cellStyle name="20% - Accent2 6 4 4" xfId="6284" xr:uid="{00000000-0005-0000-0000-0000390C0000}"/>
    <cellStyle name="20% - Accent2 6 4 4 2" xfId="14259" xr:uid="{00000000-0005-0000-0000-00003A0C0000}"/>
    <cellStyle name="20% - Accent2 6 4 4 2 2" xfId="38101" xr:uid="{F396255C-2338-4CEC-97B4-26842402DEDA}"/>
    <cellStyle name="20% - Accent2 6 4 4 3" xfId="22206" xr:uid="{00000000-0005-0000-0000-00003B0C0000}"/>
    <cellStyle name="20% - Accent2 6 4 4 3 2" xfId="46038" xr:uid="{CE39650F-008B-4790-8D1E-46E374BECAD9}"/>
    <cellStyle name="20% - Accent2 6 4 4 4" xfId="30160" xr:uid="{4F2F4FFF-3167-47FF-A9D6-63C2FEC60A6E}"/>
    <cellStyle name="20% - Accent2 6 4 5" xfId="9827" xr:uid="{00000000-0005-0000-0000-00003C0C0000}"/>
    <cellStyle name="20% - Accent2 6 4 5 2" xfId="17785" xr:uid="{00000000-0005-0000-0000-00003D0C0000}"/>
    <cellStyle name="20% - Accent2 6 4 5 2 2" xfId="41625" xr:uid="{FB96E43E-981F-49D5-AF28-4BEC9A0F22AD}"/>
    <cellStyle name="20% - Accent2 6 4 5 3" xfId="25729" xr:uid="{00000000-0005-0000-0000-00003E0C0000}"/>
    <cellStyle name="20% - Accent2 6 4 5 3 2" xfId="49561" xr:uid="{46A107BF-3E40-441F-A98C-1C5EE658BC8B}"/>
    <cellStyle name="20% - Accent2 6 4 5 4" xfId="33684" xr:uid="{B5B91906-FE87-4AD3-9177-88E23E46940B}"/>
    <cellStyle name="20% - Accent2 6 4 6" xfId="10723" xr:uid="{00000000-0005-0000-0000-00003F0C0000}"/>
    <cellStyle name="20% - Accent2 6 4 6 2" xfId="34572" xr:uid="{7C6EAF35-869F-4CC1-9776-67EB92CD8A48}"/>
    <cellStyle name="20% - Accent2 6 4 7" xfId="18678" xr:uid="{00000000-0005-0000-0000-0000400C0000}"/>
    <cellStyle name="20% - Accent2 6 4 7 2" xfId="42510" xr:uid="{3981893A-CD6F-4895-B889-105DE35BDDED}"/>
    <cellStyle name="20% - Accent2 6 4 8" xfId="26630" xr:uid="{C18FC513-3864-45C5-B93F-0C284D35D955}"/>
    <cellStyle name="20% - Accent2 6 4_Exh G" xfId="2156" xr:uid="{00000000-0005-0000-0000-0000410C0000}"/>
    <cellStyle name="20% - Accent2 6 5" xfId="1139" xr:uid="{00000000-0005-0000-0000-0000420C0000}"/>
    <cellStyle name="20% - Accent2 6 5 2" xfId="4669" xr:uid="{00000000-0005-0000-0000-0000430C0000}"/>
    <cellStyle name="20% - Accent2 6 5 2 2" xfId="8260" xr:uid="{00000000-0005-0000-0000-0000440C0000}"/>
    <cellStyle name="20% - Accent2 6 5 2 2 2" xfId="16231" xr:uid="{00000000-0005-0000-0000-0000450C0000}"/>
    <cellStyle name="20% - Accent2 6 5 2 2 2 2" xfId="40073" xr:uid="{AFBDC77E-ACBA-4F60-8EA4-918E34D8B0CF}"/>
    <cellStyle name="20% - Accent2 6 5 2 2 3" xfId="24177" xr:uid="{00000000-0005-0000-0000-0000460C0000}"/>
    <cellStyle name="20% - Accent2 6 5 2 2 3 2" xfId="48009" xr:uid="{CC77224A-07F7-4A5A-8841-FCF2318EB57B}"/>
    <cellStyle name="20% - Accent2 6 5 2 2 4" xfId="32132" xr:uid="{F1BB71F0-AFF4-46EF-8D61-60B9C4A04567}"/>
    <cellStyle name="20% - Accent2 6 5 2 3" xfId="12693" xr:uid="{00000000-0005-0000-0000-0000470C0000}"/>
    <cellStyle name="20% - Accent2 6 5 2 3 2" xfId="36542" xr:uid="{71E430A7-8F36-48C5-833F-E6410152A3A6}"/>
    <cellStyle name="20% - Accent2 6 5 2 4" xfId="20648" xr:uid="{00000000-0005-0000-0000-0000480C0000}"/>
    <cellStyle name="20% - Accent2 6 5 2 4 2" xfId="44480" xr:uid="{078D04AF-4A40-4BB6-8A2D-ED219C85B32D}"/>
    <cellStyle name="20% - Accent2 6 5 2 5" xfId="28601" xr:uid="{3B7B9D74-C56D-4A30-97BC-9D791A76FFC4}"/>
    <cellStyle name="20% - Accent2 6 5 3" xfId="6501" xr:uid="{00000000-0005-0000-0000-0000490C0000}"/>
    <cellStyle name="20% - Accent2 6 5 3 2" xfId="14473" xr:uid="{00000000-0005-0000-0000-00004A0C0000}"/>
    <cellStyle name="20% - Accent2 6 5 3 2 2" xfId="38315" xr:uid="{55848DAE-DCF0-409E-BBF3-8822A0B1777F}"/>
    <cellStyle name="20% - Accent2 6 5 3 3" xfId="22420" xr:uid="{00000000-0005-0000-0000-00004B0C0000}"/>
    <cellStyle name="20% - Accent2 6 5 3 3 2" xfId="46252" xr:uid="{B22CADC4-C527-4527-9406-2FB6888EAF78}"/>
    <cellStyle name="20% - Accent2 6 5 3 4" xfId="30374" xr:uid="{6132A121-8003-4D48-BF1A-2A2F617E98E8}"/>
    <cellStyle name="20% - Accent2 6 5 4" xfId="10937" xr:uid="{00000000-0005-0000-0000-00004C0C0000}"/>
    <cellStyle name="20% - Accent2 6 5 4 2" xfId="34786" xr:uid="{8B9543A5-445A-4645-9D78-EDF9104BADCC}"/>
    <cellStyle name="20% - Accent2 6 5 5" xfId="18892" xr:uid="{00000000-0005-0000-0000-00004D0C0000}"/>
    <cellStyle name="20% - Accent2 6 5 5 2" xfId="42724" xr:uid="{F8A079D7-2130-4FD2-AFE3-75E31D0FACF7}"/>
    <cellStyle name="20% - Accent2 6 5 6" xfId="26844" xr:uid="{F8317AF9-4D21-4108-9471-96D01E442344}"/>
    <cellStyle name="20% - Accent2 6 5_Exh G" xfId="2158" xr:uid="{00000000-0005-0000-0000-00004E0C0000}"/>
    <cellStyle name="20% - Accent2 6 6" xfId="3790" xr:uid="{00000000-0005-0000-0000-00004F0C0000}"/>
    <cellStyle name="20% - Accent2 6 6 2" xfId="7382" xr:uid="{00000000-0005-0000-0000-0000500C0000}"/>
    <cellStyle name="20% - Accent2 6 6 2 2" xfId="15353" xr:uid="{00000000-0005-0000-0000-0000510C0000}"/>
    <cellStyle name="20% - Accent2 6 6 2 2 2" xfId="39195" xr:uid="{145A655B-E2F5-43B5-A935-296D8669A112}"/>
    <cellStyle name="20% - Accent2 6 6 2 3" xfId="23299" xr:uid="{00000000-0005-0000-0000-0000520C0000}"/>
    <cellStyle name="20% - Accent2 6 6 2 3 2" xfId="47131" xr:uid="{121C5970-1271-4CB9-8CD4-E3BCE57FB340}"/>
    <cellStyle name="20% - Accent2 6 6 2 4" xfId="31254" xr:uid="{EEA7F0FD-13B9-42A3-9EAC-5FFA2359C67C}"/>
    <cellStyle name="20% - Accent2 6 6 3" xfId="11815" xr:uid="{00000000-0005-0000-0000-0000530C0000}"/>
    <cellStyle name="20% - Accent2 6 6 3 2" xfId="35664" xr:uid="{79EDC1BE-DC8A-448F-BB17-1212CD0DF922}"/>
    <cellStyle name="20% - Accent2 6 6 4" xfId="19770" xr:uid="{00000000-0005-0000-0000-0000540C0000}"/>
    <cellStyle name="20% - Accent2 6 6 4 2" xfId="43602" xr:uid="{E6148975-2055-4661-9EC3-A8A7154199DE}"/>
    <cellStyle name="20% - Accent2 6 6 5" xfId="27723" xr:uid="{1D7240DB-CF84-40D3-B8C5-F1241B1BB185}"/>
    <cellStyle name="20% - Accent2 6 7" xfId="5610" xr:uid="{00000000-0005-0000-0000-0000550C0000}"/>
    <cellStyle name="20% - Accent2 6 7 2" xfId="13594" xr:uid="{00000000-0005-0000-0000-0000560C0000}"/>
    <cellStyle name="20% - Accent2 6 7 2 2" xfId="37437" xr:uid="{B639A273-9520-4AD8-B58D-A43E312BF4D3}"/>
    <cellStyle name="20% - Accent2 6 7 3" xfId="21542" xr:uid="{00000000-0005-0000-0000-0000570C0000}"/>
    <cellStyle name="20% - Accent2 6 7 3 2" xfId="45374" xr:uid="{ADDD73EF-9647-40C9-AEDF-0D71032B3008}"/>
    <cellStyle name="20% - Accent2 6 7 4" xfId="29496" xr:uid="{19D41192-B705-4057-92CA-142776B510AF}"/>
    <cellStyle name="20% - Accent2 6 8" xfId="9163" xr:uid="{00000000-0005-0000-0000-0000580C0000}"/>
    <cellStyle name="20% - Accent2 6 8 2" xfId="17121" xr:uid="{00000000-0005-0000-0000-0000590C0000}"/>
    <cellStyle name="20% - Accent2 6 8 2 2" xfId="40961" xr:uid="{49750992-8D45-4158-8894-63FA08DD27BD}"/>
    <cellStyle name="20% - Accent2 6 8 3" xfId="25065" xr:uid="{00000000-0005-0000-0000-00005A0C0000}"/>
    <cellStyle name="20% - Accent2 6 8 3 2" xfId="48897" xr:uid="{50C40D9D-DFFE-4F60-80E5-AB1A8F57312F}"/>
    <cellStyle name="20% - Accent2 6 8 4" xfId="33020" xr:uid="{1556CD18-3230-4D4D-ADA1-3B0F5B68FFF9}"/>
    <cellStyle name="20% - Accent2 6 9" xfId="10059" xr:uid="{00000000-0005-0000-0000-00005B0C0000}"/>
    <cellStyle name="20% - Accent2 6 9 2" xfId="33908" xr:uid="{EBB03102-713F-4D3F-AF04-4114F82FF85B}"/>
    <cellStyle name="20% - Accent2 6_Exh G" xfId="2149" xr:uid="{00000000-0005-0000-0000-00005C0C0000}"/>
    <cellStyle name="20% - Accent2 7" xfId="115" xr:uid="{00000000-0005-0000-0000-00005D0C0000}"/>
    <cellStyle name="20% - Accent2 7 10" xfId="18018" xr:uid="{00000000-0005-0000-0000-00005E0C0000}"/>
    <cellStyle name="20% - Accent2 7 10 2" xfId="41850" xr:uid="{02466E02-4735-44C4-BA0D-20E168547407}"/>
    <cellStyle name="20% - Accent2 7 11" xfId="25970" xr:uid="{9C41E04B-4BFD-4FB4-9C78-836D321B3864}"/>
    <cellStyle name="20% - Accent2 7 2" xfId="116" xr:uid="{00000000-0005-0000-0000-00005F0C0000}"/>
    <cellStyle name="20% - Accent2 7 2 2" xfId="117" xr:uid="{00000000-0005-0000-0000-0000600C0000}"/>
    <cellStyle name="20% - Accent2 7 2 2 2" xfId="1145" xr:uid="{00000000-0005-0000-0000-0000610C0000}"/>
    <cellStyle name="20% - Accent2 7 2 2 2 2" xfId="4675" xr:uid="{00000000-0005-0000-0000-0000620C0000}"/>
    <cellStyle name="20% - Accent2 7 2 2 2 2 2" xfId="8266" xr:uid="{00000000-0005-0000-0000-0000630C0000}"/>
    <cellStyle name="20% - Accent2 7 2 2 2 2 2 2" xfId="16237" xr:uid="{00000000-0005-0000-0000-0000640C0000}"/>
    <cellStyle name="20% - Accent2 7 2 2 2 2 2 2 2" xfId="40079" xr:uid="{12DFACA3-623A-4586-8FEC-08EFD44268E6}"/>
    <cellStyle name="20% - Accent2 7 2 2 2 2 2 3" xfId="24183" xr:uid="{00000000-0005-0000-0000-0000650C0000}"/>
    <cellStyle name="20% - Accent2 7 2 2 2 2 2 3 2" xfId="48015" xr:uid="{7AB019B8-42AD-453B-9035-0ED3599B4E0C}"/>
    <cellStyle name="20% - Accent2 7 2 2 2 2 2 4" xfId="32138" xr:uid="{CC99C915-EC89-473F-884E-BD4A0D394A52}"/>
    <cellStyle name="20% - Accent2 7 2 2 2 2 3" xfId="12699" xr:uid="{00000000-0005-0000-0000-0000660C0000}"/>
    <cellStyle name="20% - Accent2 7 2 2 2 2 3 2" xfId="36548" xr:uid="{DF9BD85A-550E-49F6-8ECB-F5E00B54F1DB}"/>
    <cellStyle name="20% - Accent2 7 2 2 2 2 4" xfId="20654" xr:uid="{00000000-0005-0000-0000-0000670C0000}"/>
    <cellStyle name="20% - Accent2 7 2 2 2 2 4 2" xfId="44486" xr:uid="{54A0EF41-D13E-44F4-BA10-C7E6437BCD15}"/>
    <cellStyle name="20% - Accent2 7 2 2 2 2 5" xfId="28607" xr:uid="{3F9B36A3-DB4A-4AD1-9284-AD66F190275A}"/>
    <cellStyle name="20% - Accent2 7 2 2 2 3" xfId="6507" xr:uid="{00000000-0005-0000-0000-0000680C0000}"/>
    <cellStyle name="20% - Accent2 7 2 2 2 3 2" xfId="14479" xr:uid="{00000000-0005-0000-0000-0000690C0000}"/>
    <cellStyle name="20% - Accent2 7 2 2 2 3 2 2" xfId="38321" xr:uid="{975EB476-7D2D-4262-87AE-B833CEE01918}"/>
    <cellStyle name="20% - Accent2 7 2 2 2 3 3" xfId="22426" xr:uid="{00000000-0005-0000-0000-00006A0C0000}"/>
    <cellStyle name="20% - Accent2 7 2 2 2 3 3 2" xfId="46258" xr:uid="{E389E574-7E24-44B4-8380-7AD4DBD41006}"/>
    <cellStyle name="20% - Accent2 7 2 2 2 3 4" xfId="30380" xr:uid="{022133B5-E849-4CB3-83C0-8F742546EEF9}"/>
    <cellStyle name="20% - Accent2 7 2 2 2 4" xfId="10943" xr:uid="{00000000-0005-0000-0000-00006B0C0000}"/>
    <cellStyle name="20% - Accent2 7 2 2 2 4 2" xfId="34792" xr:uid="{291BF0CA-0598-4292-97FD-DA299FBE93EE}"/>
    <cellStyle name="20% - Accent2 7 2 2 2 5" xfId="18898" xr:uid="{00000000-0005-0000-0000-00006C0C0000}"/>
    <cellStyle name="20% - Accent2 7 2 2 2 5 2" xfId="42730" xr:uid="{FEB7D144-9A7B-4E7B-A181-DE6CD0E714CE}"/>
    <cellStyle name="20% - Accent2 7 2 2 2 6" xfId="26850" xr:uid="{94046AA7-D78E-412E-B59D-6C86010D1AE3}"/>
    <cellStyle name="20% - Accent2 7 2 2 2_Exh G" xfId="2162" xr:uid="{00000000-0005-0000-0000-00006D0C0000}"/>
    <cellStyle name="20% - Accent2 7 2 2 3" xfId="3796" xr:uid="{00000000-0005-0000-0000-00006E0C0000}"/>
    <cellStyle name="20% - Accent2 7 2 2 3 2" xfId="7388" xr:uid="{00000000-0005-0000-0000-00006F0C0000}"/>
    <cellStyle name="20% - Accent2 7 2 2 3 2 2" xfId="15359" xr:uid="{00000000-0005-0000-0000-0000700C0000}"/>
    <cellStyle name="20% - Accent2 7 2 2 3 2 2 2" xfId="39201" xr:uid="{13363617-33B4-4995-979F-1BB8068F237B}"/>
    <cellStyle name="20% - Accent2 7 2 2 3 2 3" xfId="23305" xr:uid="{00000000-0005-0000-0000-0000710C0000}"/>
    <cellStyle name="20% - Accent2 7 2 2 3 2 3 2" xfId="47137" xr:uid="{DB4354A6-C0D7-4A12-BCDD-C5FB1782C945}"/>
    <cellStyle name="20% - Accent2 7 2 2 3 2 4" xfId="31260" xr:uid="{BD2411E9-FD72-458C-835E-D3F2CB732795}"/>
    <cellStyle name="20% - Accent2 7 2 2 3 3" xfId="11821" xr:uid="{00000000-0005-0000-0000-0000720C0000}"/>
    <cellStyle name="20% - Accent2 7 2 2 3 3 2" xfId="35670" xr:uid="{E01EEEEA-A59D-4918-B503-22B05A86CB04}"/>
    <cellStyle name="20% - Accent2 7 2 2 3 4" xfId="19776" xr:uid="{00000000-0005-0000-0000-0000730C0000}"/>
    <cellStyle name="20% - Accent2 7 2 2 3 4 2" xfId="43608" xr:uid="{1D1123FA-F37A-4E4B-B2EC-FDBC1CD9A48D}"/>
    <cellStyle name="20% - Accent2 7 2 2 3 5" xfId="27729" xr:uid="{D8FC8BB4-F96B-4140-AB38-ADB012F28A68}"/>
    <cellStyle name="20% - Accent2 7 2 2 4" xfId="5616" xr:uid="{00000000-0005-0000-0000-0000740C0000}"/>
    <cellStyle name="20% - Accent2 7 2 2 4 2" xfId="13600" xr:uid="{00000000-0005-0000-0000-0000750C0000}"/>
    <cellStyle name="20% - Accent2 7 2 2 4 2 2" xfId="37443" xr:uid="{B9541C72-FD4E-47C5-BDA7-584096C6B8E7}"/>
    <cellStyle name="20% - Accent2 7 2 2 4 3" xfId="21548" xr:uid="{00000000-0005-0000-0000-0000760C0000}"/>
    <cellStyle name="20% - Accent2 7 2 2 4 3 2" xfId="45380" xr:uid="{3032611F-D7A7-4DEB-A129-E31303846BD5}"/>
    <cellStyle name="20% - Accent2 7 2 2 4 4" xfId="29502" xr:uid="{99723820-F0A8-4D19-AC06-FA0EC700D557}"/>
    <cellStyle name="20% - Accent2 7 2 2 5" xfId="9169" xr:uid="{00000000-0005-0000-0000-0000770C0000}"/>
    <cellStyle name="20% - Accent2 7 2 2 5 2" xfId="17127" xr:uid="{00000000-0005-0000-0000-0000780C0000}"/>
    <cellStyle name="20% - Accent2 7 2 2 5 2 2" xfId="40967" xr:uid="{D3D8B4D2-1BC2-4A08-B0C8-F7CB902E3A21}"/>
    <cellStyle name="20% - Accent2 7 2 2 5 3" xfId="25071" xr:uid="{00000000-0005-0000-0000-0000790C0000}"/>
    <cellStyle name="20% - Accent2 7 2 2 5 3 2" xfId="48903" xr:uid="{698ED7EB-8B56-470E-B784-EA4B85CA2C3D}"/>
    <cellStyle name="20% - Accent2 7 2 2 5 4" xfId="33026" xr:uid="{1C043BA2-D03E-40B2-A7FC-E78046E6F484}"/>
    <cellStyle name="20% - Accent2 7 2 2 6" xfId="10065" xr:uid="{00000000-0005-0000-0000-00007A0C0000}"/>
    <cellStyle name="20% - Accent2 7 2 2 6 2" xfId="33914" xr:uid="{F4A073D2-7C03-4EE7-ACAA-BDF5E37DF910}"/>
    <cellStyle name="20% - Accent2 7 2 2 7" xfId="18020" xr:uid="{00000000-0005-0000-0000-00007B0C0000}"/>
    <cellStyle name="20% - Accent2 7 2 2 7 2" xfId="41852" xr:uid="{0E64D98A-B7C2-48B9-BE5B-97B47DDCB481}"/>
    <cellStyle name="20% - Accent2 7 2 2 8" xfId="25972" xr:uid="{DCA9A178-4C7A-460D-ACD9-E0FB46E0B524}"/>
    <cellStyle name="20% - Accent2 7 2 2_Exh G" xfId="2161" xr:uid="{00000000-0005-0000-0000-00007C0C0000}"/>
    <cellStyle name="20% - Accent2 7 2 3" xfId="1144" xr:uid="{00000000-0005-0000-0000-00007D0C0000}"/>
    <cellStyle name="20% - Accent2 7 2 3 2" xfId="4674" xr:uid="{00000000-0005-0000-0000-00007E0C0000}"/>
    <cellStyle name="20% - Accent2 7 2 3 2 2" xfId="8265" xr:uid="{00000000-0005-0000-0000-00007F0C0000}"/>
    <cellStyle name="20% - Accent2 7 2 3 2 2 2" xfId="16236" xr:uid="{00000000-0005-0000-0000-0000800C0000}"/>
    <cellStyle name="20% - Accent2 7 2 3 2 2 2 2" xfId="40078" xr:uid="{C10D6A7D-BB80-45BA-AE0D-3006B8C68C23}"/>
    <cellStyle name="20% - Accent2 7 2 3 2 2 3" xfId="24182" xr:uid="{00000000-0005-0000-0000-0000810C0000}"/>
    <cellStyle name="20% - Accent2 7 2 3 2 2 3 2" xfId="48014" xr:uid="{76676CD4-2DC9-44C5-AE86-A5B9ADA51275}"/>
    <cellStyle name="20% - Accent2 7 2 3 2 2 4" xfId="32137" xr:uid="{23B9B65B-918C-4853-BBF7-218105A9DD57}"/>
    <cellStyle name="20% - Accent2 7 2 3 2 3" xfId="12698" xr:uid="{00000000-0005-0000-0000-0000820C0000}"/>
    <cellStyle name="20% - Accent2 7 2 3 2 3 2" xfId="36547" xr:uid="{FCAA6E46-E8C7-493E-A763-AC93B4F4FCA7}"/>
    <cellStyle name="20% - Accent2 7 2 3 2 4" xfId="20653" xr:uid="{00000000-0005-0000-0000-0000830C0000}"/>
    <cellStyle name="20% - Accent2 7 2 3 2 4 2" xfId="44485" xr:uid="{CCA63600-1C16-45EF-BFE2-BEBB966028F8}"/>
    <cellStyle name="20% - Accent2 7 2 3 2 5" xfId="28606" xr:uid="{FE36CE99-F423-4B2F-891F-23B4CDF2CDDC}"/>
    <cellStyle name="20% - Accent2 7 2 3 3" xfId="6506" xr:uid="{00000000-0005-0000-0000-0000840C0000}"/>
    <cellStyle name="20% - Accent2 7 2 3 3 2" xfId="14478" xr:uid="{00000000-0005-0000-0000-0000850C0000}"/>
    <cellStyle name="20% - Accent2 7 2 3 3 2 2" xfId="38320" xr:uid="{5197143D-6168-4263-8A6C-E86254020509}"/>
    <cellStyle name="20% - Accent2 7 2 3 3 3" xfId="22425" xr:uid="{00000000-0005-0000-0000-0000860C0000}"/>
    <cellStyle name="20% - Accent2 7 2 3 3 3 2" xfId="46257" xr:uid="{BD1A35ED-32A1-4545-9CE1-39DBC283CF6B}"/>
    <cellStyle name="20% - Accent2 7 2 3 3 4" xfId="30379" xr:uid="{2456DEE1-270A-4065-8EB1-337C1114F786}"/>
    <cellStyle name="20% - Accent2 7 2 3 4" xfId="10942" xr:uid="{00000000-0005-0000-0000-0000870C0000}"/>
    <cellStyle name="20% - Accent2 7 2 3 4 2" xfId="34791" xr:uid="{4EFFC89D-6CA6-4D3D-BBA6-E6C3A4DD238B}"/>
    <cellStyle name="20% - Accent2 7 2 3 5" xfId="18897" xr:uid="{00000000-0005-0000-0000-0000880C0000}"/>
    <cellStyle name="20% - Accent2 7 2 3 5 2" xfId="42729" xr:uid="{1C7291DD-4287-40D6-8116-0B76075165BB}"/>
    <cellStyle name="20% - Accent2 7 2 3 6" xfId="26849" xr:uid="{52745342-EB27-47F5-BA9C-907147D39D9F}"/>
    <cellStyle name="20% - Accent2 7 2 3_Exh G" xfId="2163" xr:uid="{00000000-0005-0000-0000-0000890C0000}"/>
    <cellStyle name="20% - Accent2 7 2 4" xfId="3795" xr:uid="{00000000-0005-0000-0000-00008A0C0000}"/>
    <cellStyle name="20% - Accent2 7 2 4 2" xfId="7387" xr:uid="{00000000-0005-0000-0000-00008B0C0000}"/>
    <cellStyle name="20% - Accent2 7 2 4 2 2" xfId="15358" xr:uid="{00000000-0005-0000-0000-00008C0C0000}"/>
    <cellStyle name="20% - Accent2 7 2 4 2 2 2" xfId="39200" xr:uid="{0BB36994-826A-4BAA-AC9D-F7C0FB1DF6F7}"/>
    <cellStyle name="20% - Accent2 7 2 4 2 3" xfId="23304" xr:uid="{00000000-0005-0000-0000-00008D0C0000}"/>
    <cellStyle name="20% - Accent2 7 2 4 2 3 2" xfId="47136" xr:uid="{6AE780BE-A37C-4E53-8B07-CA6DD1215E2B}"/>
    <cellStyle name="20% - Accent2 7 2 4 2 4" xfId="31259" xr:uid="{1979A817-355F-4412-9AF8-C98B96341DA0}"/>
    <cellStyle name="20% - Accent2 7 2 4 3" xfId="11820" xr:uid="{00000000-0005-0000-0000-00008E0C0000}"/>
    <cellStyle name="20% - Accent2 7 2 4 3 2" xfId="35669" xr:uid="{5023C302-2E0E-48D6-9E53-60AD7860AAE7}"/>
    <cellStyle name="20% - Accent2 7 2 4 4" xfId="19775" xr:uid="{00000000-0005-0000-0000-00008F0C0000}"/>
    <cellStyle name="20% - Accent2 7 2 4 4 2" xfId="43607" xr:uid="{69F817FB-05FE-4B59-90A0-46785C63C80A}"/>
    <cellStyle name="20% - Accent2 7 2 4 5" xfId="27728" xr:uid="{625B6349-576E-4FFE-936E-DCCCFFEF47B0}"/>
    <cellStyle name="20% - Accent2 7 2 5" xfId="5615" xr:uid="{00000000-0005-0000-0000-0000900C0000}"/>
    <cellStyle name="20% - Accent2 7 2 5 2" xfId="13599" xr:uid="{00000000-0005-0000-0000-0000910C0000}"/>
    <cellStyle name="20% - Accent2 7 2 5 2 2" xfId="37442" xr:uid="{2B57EE3C-D43B-485B-BE46-6D31D9EAC5EE}"/>
    <cellStyle name="20% - Accent2 7 2 5 3" xfId="21547" xr:uid="{00000000-0005-0000-0000-0000920C0000}"/>
    <cellStyle name="20% - Accent2 7 2 5 3 2" xfId="45379" xr:uid="{C6A8F852-7323-4E1D-9E49-2609BFF2C42F}"/>
    <cellStyle name="20% - Accent2 7 2 5 4" xfId="29501" xr:uid="{6BAC45F8-3531-4F03-8714-94FEB8A0E576}"/>
    <cellStyle name="20% - Accent2 7 2 6" xfId="9168" xr:uid="{00000000-0005-0000-0000-0000930C0000}"/>
    <cellStyle name="20% - Accent2 7 2 6 2" xfId="17126" xr:uid="{00000000-0005-0000-0000-0000940C0000}"/>
    <cellStyle name="20% - Accent2 7 2 6 2 2" xfId="40966" xr:uid="{FEA4960A-3B69-4277-92A3-20FFB432E03D}"/>
    <cellStyle name="20% - Accent2 7 2 6 3" xfId="25070" xr:uid="{00000000-0005-0000-0000-0000950C0000}"/>
    <cellStyle name="20% - Accent2 7 2 6 3 2" xfId="48902" xr:uid="{300E2879-7BEF-4E39-AEB3-B4C64F700E09}"/>
    <cellStyle name="20% - Accent2 7 2 6 4" xfId="33025" xr:uid="{534E5BB1-3D6A-4B63-8DCC-9DAAD3ED331D}"/>
    <cellStyle name="20% - Accent2 7 2 7" xfId="10064" xr:uid="{00000000-0005-0000-0000-0000960C0000}"/>
    <cellStyle name="20% - Accent2 7 2 7 2" xfId="33913" xr:uid="{A8A83ACC-FBB2-4679-8B88-C753F28B2956}"/>
    <cellStyle name="20% - Accent2 7 2 8" xfId="18019" xr:uid="{00000000-0005-0000-0000-0000970C0000}"/>
    <cellStyle name="20% - Accent2 7 2 8 2" xfId="41851" xr:uid="{02874BC8-8CD4-41F5-B21C-7D2BE881EBD3}"/>
    <cellStyle name="20% - Accent2 7 2 9" xfId="25971" xr:uid="{CA1276F8-DC63-48F8-BFD1-844198609303}"/>
    <cellStyle name="20% - Accent2 7 2_Exh G" xfId="2160" xr:uid="{00000000-0005-0000-0000-0000980C0000}"/>
    <cellStyle name="20% - Accent2 7 3" xfId="118" xr:uid="{00000000-0005-0000-0000-0000990C0000}"/>
    <cellStyle name="20% - Accent2 7 3 2" xfId="1146" xr:uid="{00000000-0005-0000-0000-00009A0C0000}"/>
    <cellStyle name="20% - Accent2 7 3 2 2" xfId="4676" xr:uid="{00000000-0005-0000-0000-00009B0C0000}"/>
    <cellStyle name="20% - Accent2 7 3 2 2 2" xfId="8267" xr:uid="{00000000-0005-0000-0000-00009C0C0000}"/>
    <cellStyle name="20% - Accent2 7 3 2 2 2 2" xfId="16238" xr:uid="{00000000-0005-0000-0000-00009D0C0000}"/>
    <cellStyle name="20% - Accent2 7 3 2 2 2 2 2" xfId="40080" xr:uid="{35E783F4-A24F-4015-8EDC-691E301D9463}"/>
    <cellStyle name="20% - Accent2 7 3 2 2 2 3" xfId="24184" xr:uid="{00000000-0005-0000-0000-00009E0C0000}"/>
    <cellStyle name="20% - Accent2 7 3 2 2 2 3 2" xfId="48016" xr:uid="{D92C2F38-1FF1-4B9B-BC92-9DD6A1B96907}"/>
    <cellStyle name="20% - Accent2 7 3 2 2 2 4" xfId="32139" xr:uid="{DE611773-5C70-439B-BC9A-C4059BB2BFC6}"/>
    <cellStyle name="20% - Accent2 7 3 2 2 3" xfId="12700" xr:uid="{00000000-0005-0000-0000-00009F0C0000}"/>
    <cellStyle name="20% - Accent2 7 3 2 2 3 2" xfId="36549" xr:uid="{4C403768-778C-40A0-AEC1-4900C156CDC2}"/>
    <cellStyle name="20% - Accent2 7 3 2 2 4" xfId="20655" xr:uid="{00000000-0005-0000-0000-0000A00C0000}"/>
    <cellStyle name="20% - Accent2 7 3 2 2 4 2" xfId="44487" xr:uid="{BF580222-4F53-4C91-B649-8F1EE92F39BA}"/>
    <cellStyle name="20% - Accent2 7 3 2 2 5" xfId="28608" xr:uid="{1A3F76D0-FD29-423A-81FB-0A60C7849CE7}"/>
    <cellStyle name="20% - Accent2 7 3 2 3" xfId="6508" xr:uid="{00000000-0005-0000-0000-0000A10C0000}"/>
    <cellStyle name="20% - Accent2 7 3 2 3 2" xfId="14480" xr:uid="{00000000-0005-0000-0000-0000A20C0000}"/>
    <cellStyle name="20% - Accent2 7 3 2 3 2 2" xfId="38322" xr:uid="{C7BBAB7E-E1E4-4305-BBD9-C334E3AFC9A1}"/>
    <cellStyle name="20% - Accent2 7 3 2 3 3" xfId="22427" xr:uid="{00000000-0005-0000-0000-0000A30C0000}"/>
    <cellStyle name="20% - Accent2 7 3 2 3 3 2" xfId="46259" xr:uid="{DF1B7C6F-3A81-4C6A-985A-387FF0177BD2}"/>
    <cellStyle name="20% - Accent2 7 3 2 3 4" xfId="30381" xr:uid="{ADB0FE6D-5FDE-4FFA-86B5-F56C0D09356E}"/>
    <cellStyle name="20% - Accent2 7 3 2 4" xfId="10944" xr:uid="{00000000-0005-0000-0000-0000A40C0000}"/>
    <cellStyle name="20% - Accent2 7 3 2 4 2" xfId="34793" xr:uid="{41F95A1B-97F6-4F85-A108-AB9F3FDC988D}"/>
    <cellStyle name="20% - Accent2 7 3 2 5" xfId="18899" xr:uid="{00000000-0005-0000-0000-0000A50C0000}"/>
    <cellStyle name="20% - Accent2 7 3 2 5 2" xfId="42731" xr:uid="{297A1DC9-72BF-4D6F-98F3-B65697FC41C6}"/>
    <cellStyle name="20% - Accent2 7 3 2 6" xfId="26851" xr:uid="{74DF31CB-4836-4D98-80E5-B918F52253BD}"/>
    <cellStyle name="20% - Accent2 7 3 2_Exh G" xfId="2165" xr:uid="{00000000-0005-0000-0000-0000A60C0000}"/>
    <cellStyle name="20% - Accent2 7 3 3" xfId="3797" xr:uid="{00000000-0005-0000-0000-0000A70C0000}"/>
    <cellStyle name="20% - Accent2 7 3 3 2" xfId="7389" xr:uid="{00000000-0005-0000-0000-0000A80C0000}"/>
    <cellStyle name="20% - Accent2 7 3 3 2 2" xfId="15360" xr:uid="{00000000-0005-0000-0000-0000A90C0000}"/>
    <cellStyle name="20% - Accent2 7 3 3 2 2 2" xfId="39202" xr:uid="{B87A63C9-2EAC-4737-BDCD-329AF1FF3649}"/>
    <cellStyle name="20% - Accent2 7 3 3 2 3" xfId="23306" xr:uid="{00000000-0005-0000-0000-0000AA0C0000}"/>
    <cellStyle name="20% - Accent2 7 3 3 2 3 2" xfId="47138" xr:uid="{BC1E4A43-C056-4B9F-A6AF-ACE71D407F31}"/>
    <cellStyle name="20% - Accent2 7 3 3 2 4" xfId="31261" xr:uid="{7E2D8A73-6DC7-45F0-8521-CA990E664150}"/>
    <cellStyle name="20% - Accent2 7 3 3 3" xfId="11822" xr:uid="{00000000-0005-0000-0000-0000AB0C0000}"/>
    <cellStyle name="20% - Accent2 7 3 3 3 2" xfId="35671" xr:uid="{4932C265-BA60-4269-B6CF-45707B8F82FE}"/>
    <cellStyle name="20% - Accent2 7 3 3 4" xfId="19777" xr:uid="{00000000-0005-0000-0000-0000AC0C0000}"/>
    <cellStyle name="20% - Accent2 7 3 3 4 2" xfId="43609" xr:uid="{7BB9172F-F46F-4FC2-A57D-41D2D89B2966}"/>
    <cellStyle name="20% - Accent2 7 3 3 5" xfId="27730" xr:uid="{E89B64F4-AE27-41AA-9A29-FA8828BC5B2B}"/>
    <cellStyle name="20% - Accent2 7 3 4" xfId="5617" xr:uid="{00000000-0005-0000-0000-0000AD0C0000}"/>
    <cellStyle name="20% - Accent2 7 3 4 2" xfId="13601" xr:uid="{00000000-0005-0000-0000-0000AE0C0000}"/>
    <cellStyle name="20% - Accent2 7 3 4 2 2" xfId="37444" xr:uid="{C87517B4-20E8-4336-A373-21A1E7E440BC}"/>
    <cellStyle name="20% - Accent2 7 3 4 3" xfId="21549" xr:uid="{00000000-0005-0000-0000-0000AF0C0000}"/>
    <cellStyle name="20% - Accent2 7 3 4 3 2" xfId="45381" xr:uid="{4064B4CE-42BC-4489-89DF-D77ADE6AD885}"/>
    <cellStyle name="20% - Accent2 7 3 4 4" xfId="29503" xr:uid="{716764B7-8516-4245-9C7C-47985A0652C5}"/>
    <cellStyle name="20% - Accent2 7 3 5" xfId="9170" xr:uid="{00000000-0005-0000-0000-0000B00C0000}"/>
    <cellStyle name="20% - Accent2 7 3 5 2" xfId="17128" xr:uid="{00000000-0005-0000-0000-0000B10C0000}"/>
    <cellStyle name="20% - Accent2 7 3 5 2 2" xfId="40968" xr:uid="{7A10EDCD-3CF7-4549-84B8-85985E5DD66C}"/>
    <cellStyle name="20% - Accent2 7 3 5 3" xfId="25072" xr:uid="{00000000-0005-0000-0000-0000B20C0000}"/>
    <cellStyle name="20% - Accent2 7 3 5 3 2" xfId="48904" xr:uid="{4C2E90BA-4B61-436E-B49C-715D79422438}"/>
    <cellStyle name="20% - Accent2 7 3 5 4" xfId="33027" xr:uid="{D98E66F4-1846-42CF-BC2A-7A1AEF5403F5}"/>
    <cellStyle name="20% - Accent2 7 3 6" xfId="10066" xr:uid="{00000000-0005-0000-0000-0000B30C0000}"/>
    <cellStyle name="20% - Accent2 7 3 6 2" xfId="33915" xr:uid="{8B000DDA-2E46-4CDB-AFBE-4B9BDE0FA924}"/>
    <cellStyle name="20% - Accent2 7 3 7" xfId="18021" xr:uid="{00000000-0005-0000-0000-0000B40C0000}"/>
    <cellStyle name="20% - Accent2 7 3 7 2" xfId="41853" xr:uid="{63F64516-949F-41DF-A210-8EA252F85F50}"/>
    <cellStyle name="20% - Accent2 7 3 8" xfId="25973" xr:uid="{C2A33086-5331-4590-A7C6-C77CA7B67F17}"/>
    <cellStyle name="20% - Accent2 7 3_Exh G" xfId="2164" xr:uid="{00000000-0005-0000-0000-0000B50C0000}"/>
    <cellStyle name="20% - Accent2 7 4" xfId="883" xr:uid="{00000000-0005-0000-0000-0000B60C0000}"/>
    <cellStyle name="20% - Accent2 7 4 2" xfId="1816" xr:uid="{00000000-0005-0000-0000-0000B70C0000}"/>
    <cellStyle name="20% - Accent2 7 4 2 2" xfId="5334" xr:uid="{00000000-0005-0000-0000-0000B80C0000}"/>
    <cellStyle name="20% - Accent2 7 4 2 2 2" xfId="8925" xr:uid="{00000000-0005-0000-0000-0000B90C0000}"/>
    <cellStyle name="20% - Accent2 7 4 2 2 2 2" xfId="16896" xr:uid="{00000000-0005-0000-0000-0000BA0C0000}"/>
    <cellStyle name="20% - Accent2 7 4 2 2 2 2 2" xfId="40738" xr:uid="{135627AE-38FA-40C6-AF8E-199B5097611F}"/>
    <cellStyle name="20% - Accent2 7 4 2 2 2 3" xfId="24842" xr:uid="{00000000-0005-0000-0000-0000BB0C0000}"/>
    <cellStyle name="20% - Accent2 7 4 2 2 2 3 2" xfId="48674" xr:uid="{161D725A-6FAF-47DD-9C96-32D4ED8DCAC5}"/>
    <cellStyle name="20% - Accent2 7 4 2 2 2 4" xfId="32797" xr:uid="{EDFD59AD-9B79-4087-9FD7-A3836F65899B}"/>
    <cellStyle name="20% - Accent2 7 4 2 2 3" xfId="13358" xr:uid="{00000000-0005-0000-0000-0000BC0C0000}"/>
    <cellStyle name="20% - Accent2 7 4 2 2 3 2" xfId="37207" xr:uid="{611B9656-5403-45FD-9682-2057805256D9}"/>
    <cellStyle name="20% - Accent2 7 4 2 2 4" xfId="21313" xr:uid="{00000000-0005-0000-0000-0000BD0C0000}"/>
    <cellStyle name="20% - Accent2 7 4 2 2 4 2" xfId="45145" xr:uid="{CFDE6EC9-24F7-4541-B040-476F99CD8926}"/>
    <cellStyle name="20% - Accent2 7 4 2 2 5" xfId="29266" xr:uid="{FBF095A1-EE6D-42D1-BBF3-1220F55D8494}"/>
    <cellStyle name="20% - Accent2 7 4 2 3" xfId="7166" xr:uid="{00000000-0005-0000-0000-0000BE0C0000}"/>
    <cellStyle name="20% - Accent2 7 4 2 3 2" xfId="15138" xr:uid="{00000000-0005-0000-0000-0000BF0C0000}"/>
    <cellStyle name="20% - Accent2 7 4 2 3 2 2" xfId="38980" xr:uid="{A69A97C0-7279-4987-9CAD-A7CEB9506137}"/>
    <cellStyle name="20% - Accent2 7 4 2 3 3" xfId="23085" xr:uid="{00000000-0005-0000-0000-0000C00C0000}"/>
    <cellStyle name="20% - Accent2 7 4 2 3 3 2" xfId="46917" xr:uid="{E84AD352-CAA4-4574-B9A1-8CC34BA54B33}"/>
    <cellStyle name="20% - Accent2 7 4 2 3 4" xfId="31039" xr:uid="{1ED1A566-3B6D-4BCB-B2F6-49DD607207B7}"/>
    <cellStyle name="20% - Accent2 7 4 2 4" xfId="11602" xr:uid="{00000000-0005-0000-0000-0000C10C0000}"/>
    <cellStyle name="20% - Accent2 7 4 2 4 2" xfId="35451" xr:uid="{CA10137A-1851-4F75-9A19-298AF17486DD}"/>
    <cellStyle name="20% - Accent2 7 4 2 5" xfId="19557" xr:uid="{00000000-0005-0000-0000-0000C20C0000}"/>
    <cellStyle name="20% - Accent2 7 4 2 5 2" xfId="43389" xr:uid="{F275B0EF-FE6D-4EBE-A843-440ED9E98805}"/>
    <cellStyle name="20% - Accent2 7 4 2 6" xfId="27509" xr:uid="{9FAAFBFE-4211-4484-8F4B-80188872C5EC}"/>
    <cellStyle name="20% - Accent2 7 4 2_Exh G" xfId="2167" xr:uid="{00000000-0005-0000-0000-0000C30C0000}"/>
    <cellStyle name="20% - Accent2 7 4 3" xfId="4455" xr:uid="{00000000-0005-0000-0000-0000C40C0000}"/>
    <cellStyle name="20% - Accent2 7 4 3 2" xfId="8047" xr:uid="{00000000-0005-0000-0000-0000C50C0000}"/>
    <cellStyle name="20% - Accent2 7 4 3 2 2" xfId="16018" xr:uid="{00000000-0005-0000-0000-0000C60C0000}"/>
    <cellStyle name="20% - Accent2 7 4 3 2 2 2" xfId="39860" xr:uid="{21C284B1-805A-4044-A4CE-9174C96C70D4}"/>
    <cellStyle name="20% - Accent2 7 4 3 2 3" xfId="23964" xr:uid="{00000000-0005-0000-0000-0000C70C0000}"/>
    <cellStyle name="20% - Accent2 7 4 3 2 3 2" xfId="47796" xr:uid="{9D548983-6EE8-4640-A126-A2A1CA01D989}"/>
    <cellStyle name="20% - Accent2 7 4 3 2 4" xfId="31919" xr:uid="{FCC17E8D-B417-4D39-A9EF-7C378841EFEE}"/>
    <cellStyle name="20% - Accent2 7 4 3 3" xfId="12480" xr:uid="{00000000-0005-0000-0000-0000C80C0000}"/>
    <cellStyle name="20% - Accent2 7 4 3 3 2" xfId="36329" xr:uid="{7BA890D7-B441-47A6-8728-4B797B43746D}"/>
    <cellStyle name="20% - Accent2 7 4 3 4" xfId="20435" xr:uid="{00000000-0005-0000-0000-0000C90C0000}"/>
    <cellStyle name="20% - Accent2 7 4 3 4 2" xfId="44267" xr:uid="{1ECB392E-9BFE-4935-AC7E-8C27CB3E8723}"/>
    <cellStyle name="20% - Accent2 7 4 3 5" xfId="28388" xr:uid="{72A62A07-6458-4827-A51E-87817F3346C5}"/>
    <cellStyle name="20% - Accent2 7 4 4" xfId="6285" xr:uid="{00000000-0005-0000-0000-0000CA0C0000}"/>
    <cellStyle name="20% - Accent2 7 4 4 2" xfId="14260" xr:uid="{00000000-0005-0000-0000-0000CB0C0000}"/>
    <cellStyle name="20% - Accent2 7 4 4 2 2" xfId="38102" xr:uid="{19295D53-D664-4BAC-853B-026EF41B2C1B}"/>
    <cellStyle name="20% - Accent2 7 4 4 3" xfId="22207" xr:uid="{00000000-0005-0000-0000-0000CC0C0000}"/>
    <cellStyle name="20% - Accent2 7 4 4 3 2" xfId="46039" xr:uid="{356F5C59-7190-43F4-BAEE-40D486AB342B}"/>
    <cellStyle name="20% - Accent2 7 4 4 4" xfId="30161" xr:uid="{B06DEEE2-0823-4B25-B1CE-09262B65A030}"/>
    <cellStyle name="20% - Accent2 7 4 5" xfId="9828" xr:uid="{00000000-0005-0000-0000-0000CD0C0000}"/>
    <cellStyle name="20% - Accent2 7 4 5 2" xfId="17786" xr:uid="{00000000-0005-0000-0000-0000CE0C0000}"/>
    <cellStyle name="20% - Accent2 7 4 5 2 2" xfId="41626" xr:uid="{14268896-AF1D-49B7-ADA1-EF8C14ACB6AB}"/>
    <cellStyle name="20% - Accent2 7 4 5 3" xfId="25730" xr:uid="{00000000-0005-0000-0000-0000CF0C0000}"/>
    <cellStyle name="20% - Accent2 7 4 5 3 2" xfId="49562" xr:uid="{A9EAC33D-BF27-4BD7-B328-AA40BD5195C8}"/>
    <cellStyle name="20% - Accent2 7 4 5 4" xfId="33685" xr:uid="{C2FB1686-3414-439A-8E52-FACF1839E441}"/>
    <cellStyle name="20% - Accent2 7 4 6" xfId="10724" xr:uid="{00000000-0005-0000-0000-0000D00C0000}"/>
    <cellStyle name="20% - Accent2 7 4 6 2" xfId="34573" xr:uid="{421C66B3-A1BD-4E6B-B287-6E41B09A5754}"/>
    <cellStyle name="20% - Accent2 7 4 7" xfId="18679" xr:uid="{00000000-0005-0000-0000-0000D10C0000}"/>
    <cellStyle name="20% - Accent2 7 4 7 2" xfId="42511" xr:uid="{AA99946C-D860-4A80-9652-670E0E2325A4}"/>
    <cellStyle name="20% - Accent2 7 4 8" xfId="26631" xr:uid="{F56EDF74-66F8-4245-B36A-D6ED9FB0527B}"/>
    <cellStyle name="20% - Accent2 7 4_Exh G" xfId="2166" xr:uid="{00000000-0005-0000-0000-0000D20C0000}"/>
    <cellStyle name="20% - Accent2 7 5" xfId="1143" xr:uid="{00000000-0005-0000-0000-0000D30C0000}"/>
    <cellStyle name="20% - Accent2 7 5 2" xfId="4673" xr:uid="{00000000-0005-0000-0000-0000D40C0000}"/>
    <cellStyle name="20% - Accent2 7 5 2 2" xfId="8264" xr:uid="{00000000-0005-0000-0000-0000D50C0000}"/>
    <cellStyle name="20% - Accent2 7 5 2 2 2" xfId="16235" xr:uid="{00000000-0005-0000-0000-0000D60C0000}"/>
    <cellStyle name="20% - Accent2 7 5 2 2 2 2" xfId="40077" xr:uid="{172207B8-D42A-4810-A15D-D1A5B1307D7B}"/>
    <cellStyle name="20% - Accent2 7 5 2 2 3" xfId="24181" xr:uid="{00000000-0005-0000-0000-0000D70C0000}"/>
    <cellStyle name="20% - Accent2 7 5 2 2 3 2" xfId="48013" xr:uid="{166E9E86-2AB2-44CD-9CE7-1BAABB8CB34C}"/>
    <cellStyle name="20% - Accent2 7 5 2 2 4" xfId="32136" xr:uid="{A67C38DD-6597-47FF-B3DE-613E6B758D1C}"/>
    <cellStyle name="20% - Accent2 7 5 2 3" xfId="12697" xr:uid="{00000000-0005-0000-0000-0000D80C0000}"/>
    <cellStyle name="20% - Accent2 7 5 2 3 2" xfId="36546" xr:uid="{26DFCE2F-8F8B-4395-BB0B-84C140038C58}"/>
    <cellStyle name="20% - Accent2 7 5 2 4" xfId="20652" xr:uid="{00000000-0005-0000-0000-0000D90C0000}"/>
    <cellStyle name="20% - Accent2 7 5 2 4 2" xfId="44484" xr:uid="{BDBDC2B3-8A1C-44DA-A38A-56EF6FBA0DDB}"/>
    <cellStyle name="20% - Accent2 7 5 2 5" xfId="28605" xr:uid="{AA82DDDC-0509-45E0-94C9-6E3DA3D35AAF}"/>
    <cellStyle name="20% - Accent2 7 5 3" xfId="6505" xr:uid="{00000000-0005-0000-0000-0000DA0C0000}"/>
    <cellStyle name="20% - Accent2 7 5 3 2" xfId="14477" xr:uid="{00000000-0005-0000-0000-0000DB0C0000}"/>
    <cellStyle name="20% - Accent2 7 5 3 2 2" xfId="38319" xr:uid="{5185B5E3-7064-45D3-982F-2F867DEB2E7D}"/>
    <cellStyle name="20% - Accent2 7 5 3 3" xfId="22424" xr:uid="{00000000-0005-0000-0000-0000DC0C0000}"/>
    <cellStyle name="20% - Accent2 7 5 3 3 2" xfId="46256" xr:uid="{99DF88BA-6AA4-4AF7-9051-C701E5B0A982}"/>
    <cellStyle name="20% - Accent2 7 5 3 4" xfId="30378" xr:uid="{3624AF52-9685-4CFC-B148-78A9BA51093E}"/>
    <cellStyle name="20% - Accent2 7 5 4" xfId="10941" xr:uid="{00000000-0005-0000-0000-0000DD0C0000}"/>
    <cellStyle name="20% - Accent2 7 5 4 2" xfId="34790" xr:uid="{55B028DF-B457-44FF-BCB4-96744B620926}"/>
    <cellStyle name="20% - Accent2 7 5 5" xfId="18896" xr:uid="{00000000-0005-0000-0000-0000DE0C0000}"/>
    <cellStyle name="20% - Accent2 7 5 5 2" xfId="42728" xr:uid="{80AD0585-317E-4228-9AAD-FED281A8B4B9}"/>
    <cellStyle name="20% - Accent2 7 5 6" xfId="26848" xr:uid="{CDD5E3A7-7E33-4DBB-8808-CC5D4E576E26}"/>
    <cellStyle name="20% - Accent2 7 5_Exh G" xfId="2168" xr:uid="{00000000-0005-0000-0000-0000DF0C0000}"/>
    <cellStyle name="20% - Accent2 7 6" xfId="3794" xr:uid="{00000000-0005-0000-0000-0000E00C0000}"/>
    <cellStyle name="20% - Accent2 7 6 2" xfId="7386" xr:uid="{00000000-0005-0000-0000-0000E10C0000}"/>
    <cellStyle name="20% - Accent2 7 6 2 2" xfId="15357" xr:uid="{00000000-0005-0000-0000-0000E20C0000}"/>
    <cellStyle name="20% - Accent2 7 6 2 2 2" xfId="39199" xr:uid="{F1EB0200-4D39-44DE-9877-C44E6AD48CD8}"/>
    <cellStyle name="20% - Accent2 7 6 2 3" xfId="23303" xr:uid="{00000000-0005-0000-0000-0000E30C0000}"/>
    <cellStyle name="20% - Accent2 7 6 2 3 2" xfId="47135" xr:uid="{1C51EB1E-15DA-4A74-9245-C324F9F27AAE}"/>
    <cellStyle name="20% - Accent2 7 6 2 4" xfId="31258" xr:uid="{9E52163F-0290-4DA6-8542-3C7D63F522AF}"/>
    <cellStyle name="20% - Accent2 7 6 3" xfId="11819" xr:uid="{00000000-0005-0000-0000-0000E40C0000}"/>
    <cellStyle name="20% - Accent2 7 6 3 2" xfId="35668" xr:uid="{68394077-111D-4E6B-9561-08C9ED288C7C}"/>
    <cellStyle name="20% - Accent2 7 6 4" xfId="19774" xr:uid="{00000000-0005-0000-0000-0000E50C0000}"/>
    <cellStyle name="20% - Accent2 7 6 4 2" xfId="43606" xr:uid="{FAE19F53-80B6-436B-A58F-B60EE6FDA184}"/>
    <cellStyle name="20% - Accent2 7 6 5" xfId="27727" xr:uid="{A5527079-224D-4C5E-994E-B28EC70F612C}"/>
    <cellStyle name="20% - Accent2 7 7" xfId="5614" xr:uid="{00000000-0005-0000-0000-0000E60C0000}"/>
    <cellStyle name="20% - Accent2 7 7 2" xfId="13598" xr:uid="{00000000-0005-0000-0000-0000E70C0000}"/>
    <cellStyle name="20% - Accent2 7 7 2 2" xfId="37441" xr:uid="{AA317410-9C6B-46FD-A134-86B18F672E6B}"/>
    <cellStyle name="20% - Accent2 7 7 3" xfId="21546" xr:uid="{00000000-0005-0000-0000-0000E80C0000}"/>
    <cellStyle name="20% - Accent2 7 7 3 2" xfId="45378" xr:uid="{54C9D09A-351B-4FA4-A33E-81F452503A6F}"/>
    <cellStyle name="20% - Accent2 7 7 4" xfId="29500" xr:uid="{CCF4426E-BB85-4761-86EE-1BA93C46C0FE}"/>
    <cellStyle name="20% - Accent2 7 8" xfId="9167" xr:uid="{00000000-0005-0000-0000-0000E90C0000}"/>
    <cellStyle name="20% - Accent2 7 8 2" xfId="17125" xr:uid="{00000000-0005-0000-0000-0000EA0C0000}"/>
    <cellStyle name="20% - Accent2 7 8 2 2" xfId="40965" xr:uid="{5FE87E09-72B9-4543-AB4D-7D134742CEDE}"/>
    <cellStyle name="20% - Accent2 7 8 3" xfId="25069" xr:uid="{00000000-0005-0000-0000-0000EB0C0000}"/>
    <cellStyle name="20% - Accent2 7 8 3 2" xfId="48901" xr:uid="{A2BD0013-0932-4CD8-A86C-C106599CF580}"/>
    <cellStyle name="20% - Accent2 7 8 4" xfId="33024" xr:uid="{078EE1EB-1CA2-4FB9-9E1A-DA369E457023}"/>
    <cellStyle name="20% - Accent2 7 9" xfId="10063" xr:uid="{00000000-0005-0000-0000-0000EC0C0000}"/>
    <cellStyle name="20% - Accent2 7 9 2" xfId="33912" xr:uid="{F88E5B83-1FDE-4D3A-835B-B174FCA7BDED}"/>
    <cellStyle name="20% - Accent2 7_Exh G" xfId="2159" xr:uid="{00000000-0005-0000-0000-0000ED0C0000}"/>
    <cellStyle name="20% - Accent2 8" xfId="119" xr:uid="{00000000-0005-0000-0000-0000EE0C0000}"/>
    <cellStyle name="20% - Accent2 8 10" xfId="18022" xr:uid="{00000000-0005-0000-0000-0000EF0C0000}"/>
    <cellStyle name="20% - Accent2 8 10 2" xfId="41854" xr:uid="{76642124-33D8-4E0D-A231-0AD9C23D304D}"/>
    <cellStyle name="20% - Accent2 8 11" xfId="25974" xr:uid="{025AB490-A20F-4E70-B8B8-DEF9F7BB675E}"/>
    <cellStyle name="20% - Accent2 8 2" xfId="120" xr:uid="{00000000-0005-0000-0000-0000F00C0000}"/>
    <cellStyle name="20% - Accent2 8 2 2" xfId="121" xr:uid="{00000000-0005-0000-0000-0000F10C0000}"/>
    <cellStyle name="20% - Accent2 8 2 2 2" xfId="1149" xr:uid="{00000000-0005-0000-0000-0000F20C0000}"/>
    <cellStyle name="20% - Accent2 8 2 2 2 2" xfId="4679" xr:uid="{00000000-0005-0000-0000-0000F30C0000}"/>
    <cellStyle name="20% - Accent2 8 2 2 2 2 2" xfId="8270" xr:uid="{00000000-0005-0000-0000-0000F40C0000}"/>
    <cellStyle name="20% - Accent2 8 2 2 2 2 2 2" xfId="16241" xr:uid="{00000000-0005-0000-0000-0000F50C0000}"/>
    <cellStyle name="20% - Accent2 8 2 2 2 2 2 2 2" xfId="40083" xr:uid="{98E4C55D-FB7E-49C3-9609-73605BA7AB85}"/>
    <cellStyle name="20% - Accent2 8 2 2 2 2 2 3" xfId="24187" xr:uid="{00000000-0005-0000-0000-0000F60C0000}"/>
    <cellStyle name="20% - Accent2 8 2 2 2 2 2 3 2" xfId="48019" xr:uid="{E607675E-3AD5-4A5F-9C17-12C9492397F0}"/>
    <cellStyle name="20% - Accent2 8 2 2 2 2 2 4" xfId="32142" xr:uid="{C5C3F718-5CD3-4F4A-B54A-9069517DEAB3}"/>
    <cellStyle name="20% - Accent2 8 2 2 2 2 3" xfId="12703" xr:uid="{00000000-0005-0000-0000-0000F70C0000}"/>
    <cellStyle name="20% - Accent2 8 2 2 2 2 3 2" xfId="36552" xr:uid="{DF70BAA7-E455-4376-8CC4-8BDE1586927A}"/>
    <cellStyle name="20% - Accent2 8 2 2 2 2 4" xfId="20658" xr:uid="{00000000-0005-0000-0000-0000F80C0000}"/>
    <cellStyle name="20% - Accent2 8 2 2 2 2 4 2" xfId="44490" xr:uid="{8F7392FE-DD0E-4F4D-ACF4-5CC7CC502815}"/>
    <cellStyle name="20% - Accent2 8 2 2 2 2 5" xfId="28611" xr:uid="{F3CCA7E6-7249-44CE-8C8A-6F5394C9F2FC}"/>
    <cellStyle name="20% - Accent2 8 2 2 2 3" xfId="6511" xr:uid="{00000000-0005-0000-0000-0000F90C0000}"/>
    <cellStyle name="20% - Accent2 8 2 2 2 3 2" xfId="14483" xr:uid="{00000000-0005-0000-0000-0000FA0C0000}"/>
    <cellStyle name="20% - Accent2 8 2 2 2 3 2 2" xfId="38325" xr:uid="{1298E9C1-1833-4019-90F8-73F4BD592E4F}"/>
    <cellStyle name="20% - Accent2 8 2 2 2 3 3" xfId="22430" xr:uid="{00000000-0005-0000-0000-0000FB0C0000}"/>
    <cellStyle name="20% - Accent2 8 2 2 2 3 3 2" xfId="46262" xr:uid="{6A2E45CC-6079-4041-A923-E3EBC0FB333D}"/>
    <cellStyle name="20% - Accent2 8 2 2 2 3 4" xfId="30384" xr:uid="{C3CDCDAC-618B-4A50-8592-ED8EC2B7514C}"/>
    <cellStyle name="20% - Accent2 8 2 2 2 4" xfId="10947" xr:uid="{00000000-0005-0000-0000-0000FC0C0000}"/>
    <cellStyle name="20% - Accent2 8 2 2 2 4 2" xfId="34796" xr:uid="{E085723B-CFB5-4DB1-8EB5-FCFCAAA3FEC9}"/>
    <cellStyle name="20% - Accent2 8 2 2 2 5" xfId="18902" xr:uid="{00000000-0005-0000-0000-0000FD0C0000}"/>
    <cellStyle name="20% - Accent2 8 2 2 2 5 2" xfId="42734" xr:uid="{76682270-AA6C-4FAE-B87F-BF2A5E1BFA74}"/>
    <cellStyle name="20% - Accent2 8 2 2 2 6" xfId="26854" xr:uid="{82F8BC75-5DA9-46A9-99FA-3A4D7ED04F30}"/>
    <cellStyle name="20% - Accent2 8 2 2 2_Exh G" xfId="2172" xr:uid="{00000000-0005-0000-0000-0000FE0C0000}"/>
    <cellStyle name="20% - Accent2 8 2 2 3" xfId="3800" xr:uid="{00000000-0005-0000-0000-0000FF0C0000}"/>
    <cellStyle name="20% - Accent2 8 2 2 3 2" xfId="7392" xr:uid="{00000000-0005-0000-0000-0000000D0000}"/>
    <cellStyle name="20% - Accent2 8 2 2 3 2 2" xfId="15363" xr:uid="{00000000-0005-0000-0000-0000010D0000}"/>
    <cellStyle name="20% - Accent2 8 2 2 3 2 2 2" xfId="39205" xr:uid="{F63E782B-4AAE-4F0E-8A31-271EF7E8E629}"/>
    <cellStyle name="20% - Accent2 8 2 2 3 2 3" xfId="23309" xr:uid="{00000000-0005-0000-0000-0000020D0000}"/>
    <cellStyle name="20% - Accent2 8 2 2 3 2 3 2" xfId="47141" xr:uid="{AA2CDD0D-B012-4E01-B108-0CFCB91F19A0}"/>
    <cellStyle name="20% - Accent2 8 2 2 3 2 4" xfId="31264" xr:uid="{6D12E4DB-437A-4655-81E1-09873C64BECF}"/>
    <cellStyle name="20% - Accent2 8 2 2 3 3" xfId="11825" xr:uid="{00000000-0005-0000-0000-0000030D0000}"/>
    <cellStyle name="20% - Accent2 8 2 2 3 3 2" xfId="35674" xr:uid="{9DCCD684-7F94-42BD-88A6-638B73BC6F16}"/>
    <cellStyle name="20% - Accent2 8 2 2 3 4" xfId="19780" xr:uid="{00000000-0005-0000-0000-0000040D0000}"/>
    <cellStyle name="20% - Accent2 8 2 2 3 4 2" xfId="43612" xr:uid="{5A9EB0DA-B409-4A2F-A7F1-30A489837627}"/>
    <cellStyle name="20% - Accent2 8 2 2 3 5" xfId="27733" xr:uid="{F8E6D09E-3060-4D67-A123-862389CB6ED6}"/>
    <cellStyle name="20% - Accent2 8 2 2 4" xfId="5620" xr:uid="{00000000-0005-0000-0000-0000050D0000}"/>
    <cellStyle name="20% - Accent2 8 2 2 4 2" xfId="13604" xr:uid="{00000000-0005-0000-0000-0000060D0000}"/>
    <cellStyle name="20% - Accent2 8 2 2 4 2 2" xfId="37447" xr:uid="{22822929-8E93-4601-9F0F-E70E095464FE}"/>
    <cellStyle name="20% - Accent2 8 2 2 4 3" xfId="21552" xr:uid="{00000000-0005-0000-0000-0000070D0000}"/>
    <cellStyle name="20% - Accent2 8 2 2 4 3 2" xfId="45384" xr:uid="{CBE605F9-A91B-4038-B7B1-EA7326F3AE6B}"/>
    <cellStyle name="20% - Accent2 8 2 2 4 4" xfId="29506" xr:uid="{BD747125-ABF6-4D37-9A63-F0DAA0610512}"/>
    <cellStyle name="20% - Accent2 8 2 2 5" xfId="9173" xr:uid="{00000000-0005-0000-0000-0000080D0000}"/>
    <cellStyle name="20% - Accent2 8 2 2 5 2" xfId="17131" xr:uid="{00000000-0005-0000-0000-0000090D0000}"/>
    <cellStyle name="20% - Accent2 8 2 2 5 2 2" xfId="40971" xr:uid="{60967961-D8E8-4CF6-BCDA-DE4C0C33413F}"/>
    <cellStyle name="20% - Accent2 8 2 2 5 3" xfId="25075" xr:uid="{00000000-0005-0000-0000-00000A0D0000}"/>
    <cellStyle name="20% - Accent2 8 2 2 5 3 2" xfId="48907" xr:uid="{6CCC42B2-C8B2-4A3A-B246-FF40811010E8}"/>
    <cellStyle name="20% - Accent2 8 2 2 5 4" xfId="33030" xr:uid="{16A34608-20F9-4114-A608-D4D864FEDFA0}"/>
    <cellStyle name="20% - Accent2 8 2 2 6" xfId="10069" xr:uid="{00000000-0005-0000-0000-00000B0D0000}"/>
    <cellStyle name="20% - Accent2 8 2 2 6 2" xfId="33918" xr:uid="{8FE0DDED-1195-47DE-AB84-74AC3E8BCD8D}"/>
    <cellStyle name="20% - Accent2 8 2 2 7" xfId="18024" xr:uid="{00000000-0005-0000-0000-00000C0D0000}"/>
    <cellStyle name="20% - Accent2 8 2 2 7 2" xfId="41856" xr:uid="{CAAFB560-631F-4305-A3EB-8D6DE5056D18}"/>
    <cellStyle name="20% - Accent2 8 2 2 8" xfId="25976" xr:uid="{92693498-426D-4247-B27B-47EDD1199F6B}"/>
    <cellStyle name="20% - Accent2 8 2 2_Exh G" xfId="2171" xr:uid="{00000000-0005-0000-0000-00000D0D0000}"/>
    <cellStyle name="20% - Accent2 8 2 3" xfId="1148" xr:uid="{00000000-0005-0000-0000-00000E0D0000}"/>
    <cellStyle name="20% - Accent2 8 2 3 2" xfId="4678" xr:uid="{00000000-0005-0000-0000-00000F0D0000}"/>
    <cellStyle name="20% - Accent2 8 2 3 2 2" xfId="8269" xr:uid="{00000000-0005-0000-0000-0000100D0000}"/>
    <cellStyle name="20% - Accent2 8 2 3 2 2 2" xfId="16240" xr:uid="{00000000-0005-0000-0000-0000110D0000}"/>
    <cellStyle name="20% - Accent2 8 2 3 2 2 2 2" xfId="40082" xr:uid="{3E35D278-5106-4842-B48B-2A1A4E1737E5}"/>
    <cellStyle name="20% - Accent2 8 2 3 2 2 3" xfId="24186" xr:uid="{00000000-0005-0000-0000-0000120D0000}"/>
    <cellStyle name="20% - Accent2 8 2 3 2 2 3 2" xfId="48018" xr:uid="{79BCEDE3-6BCA-495D-8C8C-1E9C9B8B0598}"/>
    <cellStyle name="20% - Accent2 8 2 3 2 2 4" xfId="32141" xr:uid="{0D98F144-91FA-4790-A05F-C56EA80C0F18}"/>
    <cellStyle name="20% - Accent2 8 2 3 2 3" xfId="12702" xr:uid="{00000000-0005-0000-0000-0000130D0000}"/>
    <cellStyle name="20% - Accent2 8 2 3 2 3 2" xfId="36551" xr:uid="{76155279-1DFA-41F2-903F-EC4BB0EF165F}"/>
    <cellStyle name="20% - Accent2 8 2 3 2 4" xfId="20657" xr:uid="{00000000-0005-0000-0000-0000140D0000}"/>
    <cellStyle name="20% - Accent2 8 2 3 2 4 2" xfId="44489" xr:uid="{FC67E286-1568-4402-8D85-02EF22A93B52}"/>
    <cellStyle name="20% - Accent2 8 2 3 2 5" xfId="28610" xr:uid="{2B4EAC58-6215-4FC9-9677-414B75BDC1DF}"/>
    <cellStyle name="20% - Accent2 8 2 3 3" xfId="6510" xr:uid="{00000000-0005-0000-0000-0000150D0000}"/>
    <cellStyle name="20% - Accent2 8 2 3 3 2" xfId="14482" xr:uid="{00000000-0005-0000-0000-0000160D0000}"/>
    <cellStyle name="20% - Accent2 8 2 3 3 2 2" xfId="38324" xr:uid="{A98239D7-26DE-45C0-B7E4-8C59696E346E}"/>
    <cellStyle name="20% - Accent2 8 2 3 3 3" xfId="22429" xr:uid="{00000000-0005-0000-0000-0000170D0000}"/>
    <cellStyle name="20% - Accent2 8 2 3 3 3 2" xfId="46261" xr:uid="{0C84451F-0363-421F-9F45-0DF5E134D30F}"/>
    <cellStyle name="20% - Accent2 8 2 3 3 4" xfId="30383" xr:uid="{33507F4B-0EC5-41CA-9576-2E06CBE20502}"/>
    <cellStyle name="20% - Accent2 8 2 3 4" xfId="10946" xr:uid="{00000000-0005-0000-0000-0000180D0000}"/>
    <cellStyle name="20% - Accent2 8 2 3 4 2" xfId="34795" xr:uid="{64B1EBDE-DAD8-4E8E-B437-53C12281A825}"/>
    <cellStyle name="20% - Accent2 8 2 3 5" xfId="18901" xr:uid="{00000000-0005-0000-0000-0000190D0000}"/>
    <cellStyle name="20% - Accent2 8 2 3 5 2" xfId="42733" xr:uid="{F4074E93-FBAD-41DC-B996-A6DB39B442C4}"/>
    <cellStyle name="20% - Accent2 8 2 3 6" xfId="26853" xr:uid="{4394392D-832F-4D80-9A4A-BE37FD01982F}"/>
    <cellStyle name="20% - Accent2 8 2 3_Exh G" xfId="2173" xr:uid="{00000000-0005-0000-0000-00001A0D0000}"/>
    <cellStyle name="20% - Accent2 8 2 4" xfId="3799" xr:uid="{00000000-0005-0000-0000-00001B0D0000}"/>
    <cellStyle name="20% - Accent2 8 2 4 2" xfId="7391" xr:uid="{00000000-0005-0000-0000-00001C0D0000}"/>
    <cellStyle name="20% - Accent2 8 2 4 2 2" xfId="15362" xr:uid="{00000000-0005-0000-0000-00001D0D0000}"/>
    <cellStyle name="20% - Accent2 8 2 4 2 2 2" xfId="39204" xr:uid="{C00D98E6-9F1B-45E8-96D2-66D1CCD75914}"/>
    <cellStyle name="20% - Accent2 8 2 4 2 3" xfId="23308" xr:uid="{00000000-0005-0000-0000-00001E0D0000}"/>
    <cellStyle name="20% - Accent2 8 2 4 2 3 2" xfId="47140" xr:uid="{3B43B284-8664-4F52-98B6-36DB7AF6B56B}"/>
    <cellStyle name="20% - Accent2 8 2 4 2 4" xfId="31263" xr:uid="{224B78FC-D500-4355-90F9-A0787A7713B9}"/>
    <cellStyle name="20% - Accent2 8 2 4 3" xfId="11824" xr:uid="{00000000-0005-0000-0000-00001F0D0000}"/>
    <cellStyle name="20% - Accent2 8 2 4 3 2" xfId="35673" xr:uid="{1369CC90-6738-4DB8-A3A0-165B932C9680}"/>
    <cellStyle name="20% - Accent2 8 2 4 4" xfId="19779" xr:uid="{00000000-0005-0000-0000-0000200D0000}"/>
    <cellStyle name="20% - Accent2 8 2 4 4 2" xfId="43611" xr:uid="{EC7EBEDF-3918-4293-BF5F-4BB5A6592CF4}"/>
    <cellStyle name="20% - Accent2 8 2 4 5" xfId="27732" xr:uid="{D973F34D-B4FA-45E1-A87B-AD3FE54EF9D1}"/>
    <cellStyle name="20% - Accent2 8 2 5" xfId="5619" xr:uid="{00000000-0005-0000-0000-0000210D0000}"/>
    <cellStyle name="20% - Accent2 8 2 5 2" xfId="13603" xr:uid="{00000000-0005-0000-0000-0000220D0000}"/>
    <cellStyle name="20% - Accent2 8 2 5 2 2" xfId="37446" xr:uid="{5D607C32-0E21-47FB-BF66-EB5A2F268BD3}"/>
    <cellStyle name="20% - Accent2 8 2 5 3" xfId="21551" xr:uid="{00000000-0005-0000-0000-0000230D0000}"/>
    <cellStyle name="20% - Accent2 8 2 5 3 2" xfId="45383" xr:uid="{03E52642-E7FC-4C48-BD75-6BC24C77226B}"/>
    <cellStyle name="20% - Accent2 8 2 5 4" xfId="29505" xr:uid="{52E636A9-B2F7-4BB2-BF74-575C08E13B00}"/>
    <cellStyle name="20% - Accent2 8 2 6" xfId="9172" xr:uid="{00000000-0005-0000-0000-0000240D0000}"/>
    <cellStyle name="20% - Accent2 8 2 6 2" xfId="17130" xr:uid="{00000000-0005-0000-0000-0000250D0000}"/>
    <cellStyle name="20% - Accent2 8 2 6 2 2" xfId="40970" xr:uid="{43E728AD-49D2-4DF3-A7E5-9547E2A1EBB8}"/>
    <cellStyle name="20% - Accent2 8 2 6 3" xfId="25074" xr:uid="{00000000-0005-0000-0000-0000260D0000}"/>
    <cellStyle name="20% - Accent2 8 2 6 3 2" xfId="48906" xr:uid="{902C665D-82F6-409E-8F3C-2000AD7B64FE}"/>
    <cellStyle name="20% - Accent2 8 2 6 4" xfId="33029" xr:uid="{2F2F26AD-BB4E-4D5D-98DF-12371E28CFB4}"/>
    <cellStyle name="20% - Accent2 8 2 7" xfId="10068" xr:uid="{00000000-0005-0000-0000-0000270D0000}"/>
    <cellStyle name="20% - Accent2 8 2 7 2" xfId="33917" xr:uid="{2DE36C2E-C20B-40B9-B38B-C510FBC6F589}"/>
    <cellStyle name="20% - Accent2 8 2 8" xfId="18023" xr:uid="{00000000-0005-0000-0000-0000280D0000}"/>
    <cellStyle name="20% - Accent2 8 2 8 2" xfId="41855" xr:uid="{13338CEC-784D-4AC9-B10F-DF80F26B5E8B}"/>
    <cellStyle name="20% - Accent2 8 2 9" xfId="25975" xr:uid="{C670D294-4725-4C95-B0D0-258A98C9384A}"/>
    <cellStyle name="20% - Accent2 8 2_Exh G" xfId="2170" xr:uid="{00000000-0005-0000-0000-0000290D0000}"/>
    <cellStyle name="20% - Accent2 8 3" xfId="122" xr:uid="{00000000-0005-0000-0000-00002A0D0000}"/>
    <cellStyle name="20% - Accent2 8 3 2" xfId="1150" xr:uid="{00000000-0005-0000-0000-00002B0D0000}"/>
    <cellStyle name="20% - Accent2 8 3 2 2" xfId="4680" xr:uid="{00000000-0005-0000-0000-00002C0D0000}"/>
    <cellStyle name="20% - Accent2 8 3 2 2 2" xfId="8271" xr:uid="{00000000-0005-0000-0000-00002D0D0000}"/>
    <cellStyle name="20% - Accent2 8 3 2 2 2 2" xfId="16242" xr:uid="{00000000-0005-0000-0000-00002E0D0000}"/>
    <cellStyle name="20% - Accent2 8 3 2 2 2 2 2" xfId="40084" xr:uid="{17CBC662-3A31-4D7E-90EF-E8AF630DCE02}"/>
    <cellStyle name="20% - Accent2 8 3 2 2 2 3" xfId="24188" xr:uid="{00000000-0005-0000-0000-00002F0D0000}"/>
    <cellStyle name="20% - Accent2 8 3 2 2 2 3 2" xfId="48020" xr:uid="{151A7CD2-2A59-4DA5-B741-EB8AE8ED87CC}"/>
    <cellStyle name="20% - Accent2 8 3 2 2 2 4" xfId="32143" xr:uid="{28E497D7-20BD-4E11-A63A-C638BD9CC90E}"/>
    <cellStyle name="20% - Accent2 8 3 2 2 3" xfId="12704" xr:uid="{00000000-0005-0000-0000-0000300D0000}"/>
    <cellStyle name="20% - Accent2 8 3 2 2 3 2" xfId="36553" xr:uid="{36EB222E-C33B-4DB5-AD99-990FB12474F0}"/>
    <cellStyle name="20% - Accent2 8 3 2 2 4" xfId="20659" xr:uid="{00000000-0005-0000-0000-0000310D0000}"/>
    <cellStyle name="20% - Accent2 8 3 2 2 4 2" xfId="44491" xr:uid="{D2F8C631-1FE5-4222-BAE4-7E4EB895F7E9}"/>
    <cellStyle name="20% - Accent2 8 3 2 2 5" xfId="28612" xr:uid="{575309FD-F042-4363-9A1B-90092822372E}"/>
    <cellStyle name="20% - Accent2 8 3 2 3" xfId="6512" xr:uid="{00000000-0005-0000-0000-0000320D0000}"/>
    <cellStyle name="20% - Accent2 8 3 2 3 2" xfId="14484" xr:uid="{00000000-0005-0000-0000-0000330D0000}"/>
    <cellStyle name="20% - Accent2 8 3 2 3 2 2" xfId="38326" xr:uid="{4288AC14-AC31-457C-9B8C-F679A834BD32}"/>
    <cellStyle name="20% - Accent2 8 3 2 3 3" xfId="22431" xr:uid="{00000000-0005-0000-0000-0000340D0000}"/>
    <cellStyle name="20% - Accent2 8 3 2 3 3 2" xfId="46263" xr:uid="{375BAAB5-E3C7-45B3-AE05-7434C44563C9}"/>
    <cellStyle name="20% - Accent2 8 3 2 3 4" xfId="30385" xr:uid="{EA6D87E9-584F-4C50-A225-506487A3CE93}"/>
    <cellStyle name="20% - Accent2 8 3 2 4" xfId="10948" xr:uid="{00000000-0005-0000-0000-0000350D0000}"/>
    <cellStyle name="20% - Accent2 8 3 2 4 2" xfId="34797" xr:uid="{B3E711AF-222B-401B-9CCE-AF34B98C40F1}"/>
    <cellStyle name="20% - Accent2 8 3 2 5" xfId="18903" xr:uid="{00000000-0005-0000-0000-0000360D0000}"/>
    <cellStyle name="20% - Accent2 8 3 2 5 2" xfId="42735" xr:uid="{DB38AD33-9419-4032-AE57-2744209F5061}"/>
    <cellStyle name="20% - Accent2 8 3 2 6" xfId="26855" xr:uid="{48EFC853-15C4-4175-B933-528A448C2325}"/>
    <cellStyle name="20% - Accent2 8 3 2_Exh G" xfId="2175" xr:uid="{00000000-0005-0000-0000-0000370D0000}"/>
    <cellStyle name="20% - Accent2 8 3 3" xfId="3801" xr:uid="{00000000-0005-0000-0000-0000380D0000}"/>
    <cellStyle name="20% - Accent2 8 3 3 2" xfId="7393" xr:uid="{00000000-0005-0000-0000-0000390D0000}"/>
    <cellStyle name="20% - Accent2 8 3 3 2 2" xfId="15364" xr:uid="{00000000-0005-0000-0000-00003A0D0000}"/>
    <cellStyle name="20% - Accent2 8 3 3 2 2 2" xfId="39206" xr:uid="{40648471-3D5B-46D6-84D9-932204BAF575}"/>
    <cellStyle name="20% - Accent2 8 3 3 2 3" xfId="23310" xr:uid="{00000000-0005-0000-0000-00003B0D0000}"/>
    <cellStyle name="20% - Accent2 8 3 3 2 3 2" xfId="47142" xr:uid="{678D2470-45D8-4332-905E-CA309B185957}"/>
    <cellStyle name="20% - Accent2 8 3 3 2 4" xfId="31265" xr:uid="{B97059A0-8884-491D-A762-D623DDFE1001}"/>
    <cellStyle name="20% - Accent2 8 3 3 3" xfId="11826" xr:uid="{00000000-0005-0000-0000-00003C0D0000}"/>
    <cellStyle name="20% - Accent2 8 3 3 3 2" xfId="35675" xr:uid="{4BFBE8F3-F70D-4842-979C-E50BD2C49301}"/>
    <cellStyle name="20% - Accent2 8 3 3 4" xfId="19781" xr:uid="{00000000-0005-0000-0000-00003D0D0000}"/>
    <cellStyle name="20% - Accent2 8 3 3 4 2" xfId="43613" xr:uid="{D5B73E77-375B-4744-9C40-070CAF40ADC1}"/>
    <cellStyle name="20% - Accent2 8 3 3 5" xfId="27734" xr:uid="{AB2AADF5-1528-4BC9-88FD-C25428C010C3}"/>
    <cellStyle name="20% - Accent2 8 3 4" xfId="5621" xr:uid="{00000000-0005-0000-0000-00003E0D0000}"/>
    <cellStyle name="20% - Accent2 8 3 4 2" xfId="13605" xr:uid="{00000000-0005-0000-0000-00003F0D0000}"/>
    <cellStyle name="20% - Accent2 8 3 4 2 2" xfId="37448" xr:uid="{65045AF5-61BD-493A-9DE5-BB53A49E328A}"/>
    <cellStyle name="20% - Accent2 8 3 4 3" xfId="21553" xr:uid="{00000000-0005-0000-0000-0000400D0000}"/>
    <cellStyle name="20% - Accent2 8 3 4 3 2" xfId="45385" xr:uid="{510C1E4B-F83E-4CE4-A3D2-38954767DD00}"/>
    <cellStyle name="20% - Accent2 8 3 4 4" xfId="29507" xr:uid="{D1DCF024-A40A-4688-9AAA-FC259D156111}"/>
    <cellStyle name="20% - Accent2 8 3 5" xfId="9174" xr:uid="{00000000-0005-0000-0000-0000410D0000}"/>
    <cellStyle name="20% - Accent2 8 3 5 2" xfId="17132" xr:uid="{00000000-0005-0000-0000-0000420D0000}"/>
    <cellStyle name="20% - Accent2 8 3 5 2 2" xfId="40972" xr:uid="{3B469EE7-A9C8-4C32-A120-263033E79568}"/>
    <cellStyle name="20% - Accent2 8 3 5 3" xfId="25076" xr:uid="{00000000-0005-0000-0000-0000430D0000}"/>
    <cellStyle name="20% - Accent2 8 3 5 3 2" xfId="48908" xr:uid="{460F4FDB-1548-44AE-A9BA-A7C516F2B88E}"/>
    <cellStyle name="20% - Accent2 8 3 5 4" xfId="33031" xr:uid="{DA41E0FC-6FD5-4A4C-B5D7-59CC74FFF223}"/>
    <cellStyle name="20% - Accent2 8 3 6" xfId="10070" xr:uid="{00000000-0005-0000-0000-0000440D0000}"/>
    <cellStyle name="20% - Accent2 8 3 6 2" xfId="33919" xr:uid="{D0691AF6-0F4C-4BDC-B58E-69F8613FFEA8}"/>
    <cellStyle name="20% - Accent2 8 3 7" xfId="18025" xr:uid="{00000000-0005-0000-0000-0000450D0000}"/>
    <cellStyle name="20% - Accent2 8 3 7 2" xfId="41857" xr:uid="{FC2F39F2-251A-42B0-B515-1F40BA217BE9}"/>
    <cellStyle name="20% - Accent2 8 3 8" xfId="25977" xr:uid="{B80A7B71-394C-4805-8DD5-02BF424FD205}"/>
    <cellStyle name="20% - Accent2 8 3_Exh G" xfId="2174" xr:uid="{00000000-0005-0000-0000-0000460D0000}"/>
    <cellStyle name="20% - Accent2 8 4" xfId="884" xr:uid="{00000000-0005-0000-0000-0000470D0000}"/>
    <cellStyle name="20% - Accent2 8 4 2" xfId="1817" xr:uid="{00000000-0005-0000-0000-0000480D0000}"/>
    <cellStyle name="20% - Accent2 8 4 2 2" xfId="5335" xr:uid="{00000000-0005-0000-0000-0000490D0000}"/>
    <cellStyle name="20% - Accent2 8 4 2 2 2" xfId="8926" xr:uid="{00000000-0005-0000-0000-00004A0D0000}"/>
    <cellStyle name="20% - Accent2 8 4 2 2 2 2" xfId="16897" xr:uid="{00000000-0005-0000-0000-00004B0D0000}"/>
    <cellStyle name="20% - Accent2 8 4 2 2 2 2 2" xfId="40739" xr:uid="{34AF2371-90DA-40A2-B722-3EC0E42B8A4C}"/>
    <cellStyle name="20% - Accent2 8 4 2 2 2 3" xfId="24843" xr:uid="{00000000-0005-0000-0000-00004C0D0000}"/>
    <cellStyle name="20% - Accent2 8 4 2 2 2 3 2" xfId="48675" xr:uid="{0F216D5D-6515-42D4-91CB-942A52D6E649}"/>
    <cellStyle name="20% - Accent2 8 4 2 2 2 4" xfId="32798" xr:uid="{FCA1A412-00D2-47E6-BB81-C87292973292}"/>
    <cellStyle name="20% - Accent2 8 4 2 2 3" xfId="13359" xr:uid="{00000000-0005-0000-0000-00004D0D0000}"/>
    <cellStyle name="20% - Accent2 8 4 2 2 3 2" xfId="37208" xr:uid="{33449B50-C21C-457C-9916-13C639206497}"/>
    <cellStyle name="20% - Accent2 8 4 2 2 4" xfId="21314" xr:uid="{00000000-0005-0000-0000-00004E0D0000}"/>
    <cellStyle name="20% - Accent2 8 4 2 2 4 2" xfId="45146" xr:uid="{A9A52950-9E3D-4FC4-8613-9E072E11585B}"/>
    <cellStyle name="20% - Accent2 8 4 2 2 5" xfId="29267" xr:uid="{BC0D5B12-5076-4D61-B425-731451356176}"/>
    <cellStyle name="20% - Accent2 8 4 2 3" xfId="7167" xr:uid="{00000000-0005-0000-0000-00004F0D0000}"/>
    <cellStyle name="20% - Accent2 8 4 2 3 2" xfId="15139" xr:uid="{00000000-0005-0000-0000-0000500D0000}"/>
    <cellStyle name="20% - Accent2 8 4 2 3 2 2" xfId="38981" xr:uid="{4970911F-7C89-4BE0-AEBB-ED4E24B57228}"/>
    <cellStyle name="20% - Accent2 8 4 2 3 3" xfId="23086" xr:uid="{00000000-0005-0000-0000-0000510D0000}"/>
    <cellStyle name="20% - Accent2 8 4 2 3 3 2" xfId="46918" xr:uid="{96AE97F2-AB04-4C37-989A-32FB722D5A08}"/>
    <cellStyle name="20% - Accent2 8 4 2 3 4" xfId="31040" xr:uid="{035E048A-6154-498B-8FB5-C151FC5E721F}"/>
    <cellStyle name="20% - Accent2 8 4 2 4" xfId="11603" xr:uid="{00000000-0005-0000-0000-0000520D0000}"/>
    <cellStyle name="20% - Accent2 8 4 2 4 2" xfId="35452" xr:uid="{46CFBA0E-410A-445D-91A1-77B8698A47E1}"/>
    <cellStyle name="20% - Accent2 8 4 2 5" xfId="19558" xr:uid="{00000000-0005-0000-0000-0000530D0000}"/>
    <cellStyle name="20% - Accent2 8 4 2 5 2" xfId="43390" xr:uid="{FB2BA175-5178-4697-9391-2A00503F7795}"/>
    <cellStyle name="20% - Accent2 8 4 2 6" xfId="27510" xr:uid="{024ADA64-A145-46CE-B355-343EC64D7C7F}"/>
    <cellStyle name="20% - Accent2 8 4 2_Exh G" xfId="2177" xr:uid="{00000000-0005-0000-0000-0000540D0000}"/>
    <cellStyle name="20% - Accent2 8 4 3" xfId="4456" xr:uid="{00000000-0005-0000-0000-0000550D0000}"/>
    <cellStyle name="20% - Accent2 8 4 3 2" xfId="8048" xr:uid="{00000000-0005-0000-0000-0000560D0000}"/>
    <cellStyle name="20% - Accent2 8 4 3 2 2" xfId="16019" xr:uid="{00000000-0005-0000-0000-0000570D0000}"/>
    <cellStyle name="20% - Accent2 8 4 3 2 2 2" xfId="39861" xr:uid="{C3BBFA34-77F6-4986-8CC8-21D99403291A}"/>
    <cellStyle name="20% - Accent2 8 4 3 2 3" xfId="23965" xr:uid="{00000000-0005-0000-0000-0000580D0000}"/>
    <cellStyle name="20% - Accent2 8 4 3 2 3 2" xfId="47797" xr:uid="{15A77B0A-9722-4816-83D1-EBBC2FE01E8B}"/>
    <cellStyle name="20% - Accent2 8 4 3 2 4" xfId="31920" xr:uid="{08C26BE5-DA95-4242-8318-64B843B0C3D9}"/>
    <cellStyle name="20% - Accent2 8 4 3 3" xfId="12481" xr:uid="{00000000-0005-0000-0000-0000590D0000}"/>
    <cellStyle name="20% - Accent2 8 4 3 3 2" xfId="36330" xr:uid="{9F2DC0B9-E3E2-460A-B199-1891BC0252D5}"/>
    <cellStyle name="20% - Accent2 8 4 3 4" xfId="20436" xr:uid="{00000000-0005-0000-0000-00005A0D0000}"/>
    <cellStyle name="20% - Accent2 8 4 3 4 2" xfId="44268" xr:uid="{3FF901E6-FE78-4D86-A20A-23A2B2566280}"/>
    <cellStyle name="20% - Accent2 8 4 3 5" xfId="28389" xr:uid="{0CDD8FA2-0170-422B-A42E-F119615B2924}"/>
    <cellStyle name="20% - Accent2 8 4 4" xfId="6286" xr:uid="{00000000-0005-0000-0000-00005B0D0000}"/>
    <cellStyle name="20% - Accent2 8 4 4 2" xfId="14261" xr:uid="{00000000-0005-0000-0000-00005C0D0000}"/>
    <cellStyle name="20% - Accent2 8 4 4 2 2" xfId="38103" xr:uid="{F69F884C-C3CA-440A-B055-596181830619}"/>
    <cellStyle name="20% - Accent2 8 4 4 3" xfId="22208" xr:uid="{00000000-0005-0000-0000-00005D0D0000}"/>
    <cellStyle name="20% - Accent2 8 4 4 3 2" xfId="46040" xr:uid="{426F1514-4455-422E-B0E5-872916CF18EA}"/>
    <cellStyle name="20% - Accent2 8 4 4 4" xfId="30162" xr:uid="{A0DC582D-04AB-496F-AEBC-A1D7611436BC}"/>
    <cellStyle name="20% - Accent2 8 4 5" xfId="9829" xr:uid="{00000000-0005-0000-0000-00005E0D0000}"/>
    <cellStyle name="20% - Accent2 8 4 5 2" xfId="17787" xr:uid="{00000000-0005-0000-0000-00005F0D0000}"/>
    <cellStyle name="20% - Accent2 8 4 5 2 2" xfId="41627" xr:uid="{02734A81-E9BB-47B3-8F18-35ED44BE8DD8}"/>
    <cellStyle name="20% - Accent2 8 4 5 3" xfId="25731" xr:uid="{00000000-0005-0000-0000-0000600D0000}"/>
    <cellStyle name="20% - Accent2 8 4 5 3 2" xfId="49563" xr:uid="{DAEA4321-F335-4B26-B612-118D52570640}"/>
    <cellStyle name="20% - Accent2 8 4 5 4" xfId="33686" xr:uid="{13AD9546-E98C-415F-B281-728AF1761452}"/>
    <cellStyle name="20% - Accent2 8 4 6" xfId="10725" xr:uid="{00000000-0005-0000-0000-0000610D0000}"/>
    <cellStyle name="20% - Accent2 8 4 6 2" xfId="34574" xr:uid="{A4FA42EE-96CF-4D61-A5B1-970D4011B350}"/>
    <cellStyle name="20% - Accent2 8 4 7" xfId="18680" xr:uid="{00000000-0005-0000-0000-0000620D0000}"/>
    <cellStyle name="20% - Accent2 8 4 7 2" xfId="42512" xr:uid="{777DA295-1F27-4FE9-B28C-7D629603528D}"/>
    <cellStyle name="20% - Accent2 8 4 8" xfId="26632" xr:uid="{94B28AF6-CA70-4961-ACE0-6B5CADAE38FB}"/>
    <cellStyle name="20% - Accent2 8 4_Exh G" xfId="2176" xr:uid="{00000000-0005-0000-0000-0000630D0000}"/>
    <cellStyle name="20% - Accent2 8 5" xfId="1147" xr:uid="{00000000-0005-0000-0000-0000640D0000}"/>
    <cellStyle name="20% - Accent2 8 5 2" xfId="4677" xr:uid="{00000000-0005-0000-0000-0000650D0000}"/>
    <cellStyle name="20% - Accent2 8 5 2 2" xfId="8268" xr:uid="{00000000-0005-0000-0000-0000660D0000}"/>
    <cellStyle name="20% - Accent2 8 5 2 2 2" xfId="16239" xr:uid="{00000000-0005-0000-0000-0000670D0000}"/>
    <cellStyle name="20% - Accent2 8 5 2 2 2 2" xfId="40081" xr:uid="{3EF2C22E-ED91-42A6-BCB1-F9E148E10522}"/>
    <cellStyle name="20% - Accent2 8 5 2 2 3" xfId="24185" xr:uid="{00000000-0005-0000-0000-0000680D0000}"/>
    <cellStyle name="20% - Accent2 8 5 2 2 3 2" xfId="48017" xr:uid="{1485DE29-9F18-444C-A727-D7A654D8C7AC}"/>
    <cellStyle name="20% - Accent2 8 5 2 2 4" xfId="32140" xr:uid="{175D59E5-3FBA-4B67-AA1B-398EE5E02E1F}"/>
    <cellStyle name="20% - Accent2 8 5 2 3" xfId="12701" xr:uid="{00000000-0005-0000-0000-0000690D0000}"/>
    <cellStyle name="20% - Accent2 8 5 2 3 2" xfId="36550" xr:uid="{331E757D-C411-433E-B261-82D2039DBBB9}"/>
    <cellStyle name="20% - Accent2 8 5 2 4" xfId="20656" xr:uid="{00000000-0005-0000-0000-00006A0D0000}"/>
    <cellStyle name="20% - Accent2 8 5 2 4 2" xfId="44488" xr:uid="{E45E3E26-FBCC-48CD-8393-8697BFFC556E}"/>
    <cellStyle name="20% - Accent2 8 5 2 5" xfId="28609" xr:uid="{72614A16-04BF-47F8-AE47-3E0961EE9A5F}"/>
    <cellStyle name="20% - Accent2 8 5 3" xfId="6509" xr:uid="{00000000-0005-0000-0000-00006B0D0000}"/>
    <cellStyle name="20% - Accent2 8 5 3 2" xfId="14481" xr:uid="{00000000-0005-0000-0000-00006C0D0000}"/>
    <cellStyle name="20% - Accent2 8 5 3 2 2" xfId="38323" xr:uid="{5C5947A4-E655-4A0A-AE95-662A3CB85D48}"/>
    <cellStyle name="20% - Accent2 8 5 3 3" xfId="22428" xr:uid="{00000000-0005-0000-0000-00006D0D0000}"/>
    <cellStyle name="20% - Accent2 8 5 3 3 2" xfId="46260" xr:uid="{783B0836-9DDA-4F0F-A9B3-DB9B10156763}"/>
    <cellStyle name="20% - Accent2 8 5 3 4" xfId="30382" xr:uid="{B6ED2B9A-0F97-4109-8FF9-1C440B595A85}"/>
    <cellStyle name="20% - Accent2 8 5 4" xfId="10945" xr:uid="{00000000-0005-0000-0000-00006E0D0000}"/>
    <cellStyle name="20% - Accent2 8 5 4 2" xfId="34794" xr:uid="{16989D95-0583-4333-ACFA-5A12609D3CCB}"/>
    <cellStyle name="20% - Accent2 8 5 5" xfId="18900" xr:uid="{00000000-0005-0000-0000-00006F0D0000}"/>
    <cellStyle name="20% - Accent2 8 5 5 2" xfId="42732" xr:uid="{3B6BB4E4-C54F-459B-8C1A-6ED942B031AC}"/>
    <cellStyle name="20% - Accent2 8 5 6" xfId="26852" xr:uid="{0C07FB5D-6DB1-4A26-8657-45B00F2D3EBA}"/>
    <cellStyle name="20% - Accent2 8 5_Exh G" xfId="2178" xr:uid="{00000000-0005-0000-0000-0000700D0000}"/>
    <cellStyle name="20% - Accent2 8 6" xfId="3798" xr:uid="{00000000-0005-0000-0000-0000710D0000}"/>
    <cellStyle name="20% - Accent2 8 6 2" xfId="7390" xr:uid="{00000000-0005-0000-0000-0000720D0000}"/>
    <cellStyle name="20% - Accent2 8 6 2 2" xfId="15361" xr:uid="{00000000-0005-0000-0000-0000730D0000}"/>
    <cellStyle name="20% - Accent2 8 6 2 2 2" xfId="39203" xr:uid="{24B55CF1-D928-4C56-A7E6-B68A4F6DACA1}"/>
    <cellStyle name="20% - Accent2 8 6 2 3" xfId="23307" xr:uid="{00000000-0005-0000-0000-0000740D0000}"/>
    <cellStyle name="20% - Accent2 8 6 2 3 2" xfId="47139" xr:uid="{9E878E2E-F7D3-415E-A9C5-AECBC20A31A1}"/>
    <cellStyle name="20% - Accent2 8 6 2 4" xfId="31262" xr:uid="{432B474D-BB92-4A96-A4F2-9EBC6399C4EF}"/>
    <cellStyle name="20% - Accent2 8 6 3" xfId="11823" xr:uid="{00000000-0005-0000-0000-0000750D0000}"/>
    <cellStyle name="20% - Accent2 8 6 3 2" xfId="35672" xr:uid="{19B0EFDA-34C3-46B8-8BE4-832FA0CEEE98}"/>
    <cellStyle name="20% - Accent2 8 6 4" xfId="19778" xr:uid="{00000000-0005-0000-0000-0000760D0000}"/>
    <cellStyle name="20% - Accent2 8 6 4 2" xfId="43610" xr:uid="{2F913A22-8AE0-4EF5-B448-A87A09422CBE}"/>
    <cellStyle name="20% - Accent2 8 6 5" xfId="27731" xr:uid="{459D7EAB-1EA5-4E72-B48E-EDF08328CD4F}"/>
    <cellStyle name="20% - Accent2 8 7" xfId="5618" xr:uid="{00000000-0005-0000-0000-0000770D0000}"/>
    <cellStyle name="20% - Accent2 8 7 2" xfId="13602" xr:uid="{00000000-0005-0000-0000-0000780D0000}"/>
    <cellStyle name="20% - Accent2 8 7 2 2" xfId="37445" xr:uid="{9CBF2FA4-77FC-48FA-B27C-19F9CF7FC233}"/>
    <cellStyle name="20% - Accent2 8 7 3" xfId="21550" xr:uid="{00000000-0005-0000-0000-0000790D0000}"/>
    <cellStyle name="20% - Accent2 8 7 3 2" xfId="45382" xr:uid="{33DA3673-3E91-40C0-B364-87E7F677219C}"/>
    <cellStyle name="20% - Accent2 8 7 4" xfId="29504" xr:uid="{5B27044A-970A-4B44-9880-C27CF1C0DBE4}"/>
    <cellStyle name="20% - Accent2 8 8" xfId="9171" xr:uid="{00000000-0005-0000-0000-00007A0D0000}"/>
    <cellStyle name="20% - Accent2 8 8 2" xfId="17129" xr:uid="{00000000-0005-0000-0000-00007B0D0000}"/>
    <cellStyle name="20% - Accent2 8 8 2 2" xfId="40969" xr:uid="{66E93F97-47C4-4210-82B9-AF0174EA3992}"/>
    <cellStyle name="20% - Accent2 8 8 3" xfId="25073" xr:uid="{00000000-0005-0000-0000-00007C0D0000}"/>
    <cellStyle name="20% - Accent2 8 8 3 2" xfId="48905" xr:uid="{2CC3A6A0-BE74-49C6-BD0C-1FFC637B77B8}"/>
    <cellStyle name="20% - Accent2 8 8 4" xfId="33028" xr:uid="{BA406549-49F6-404E-904B-C51224C6518E}"/>
    <cellStyle name="20% - Accent2 8 9" xfId="10067" xr:uid="{00000000-0005-0000-0000-00007D0D0000}"/>
    <cellStyle name="20% - Accent2 8 9 2" xfId="33916" xr:uid="{409BFA3E-0EFA-451D-9F32-BF2C9A708B7B}"/>
    <cellStyle name="20% - Accent2 8_Exh G" xfId="2169" xr:uid="{00000000-0005-0000-0000-00007E0D0000}"/>
    <cellStyle name="20% - Accent2 9" xfId="123" xr:uid="{00000000-0005-0000-0000-00007F0D0000}"/>
    <cellStyle name="20% - Accent2 9 10" xfId="18026" xr:uid="{00000000-0005-0000-0000-0000800D0000}"/>
    <cellStyle name="20% - Accent2 9 10 2" xfId="41858" xr:uid="{C941BED9-C77D-4CDF-89F3-F712FFDE4AF3}"/>
    <cellStyle name="20% - Accent2 9 11" xfId="25978" xr:uid="{6727140E-DAE8-4796-9753-11B672485D0F}"/>
    <cellStyle name="20% - Accent2 9 2" xfId="124" xr:uid="{00000000-0005-0000-0000-0000810D0000}"/>
    <cellStyle name="20% - Accent2 9 2 2" xfId="125" xr:uid="{00000000-0005-0000-0000-0000820D0000}"/>
    <cellStyle name="20% - Accent2 9 2 2 2" xfId="1153" xr:uid="{00000000-0005-0000-0000-0000830D0000}"/>
    <cellStyle name="20% - Accent2 9 2 2 2 2" xfId="4683" xr:uid="{00000000-0005-0000-0000-0000840D0000}"/>
    <cellStyle name="20% - Accent2 9 2 2 2 2 2" xfId="8274" xr:uid="{00000000-0005-0000-0000-0000850D0000}"/>
    <cellStyle name="20% - Accent2 9 2 2 2 2 2 2" xfId="16245" xr:uid="{00000000-0005-0000-0000-0000860D0000}"/>
    <cellStyle name="20% - Accent2 9 2 2 2 2 2 2 2" xfId="40087" xr:uid="{E97F9D27-9961-48EB-912C-ED9D6BDB2420}"/>
    <cellStyle name="20% - Accent2 9 2 2 2 2 2 3" xfId="24191" xr:uid="{00000000-0005-0000-0000-0000870D0000}"/>
    <cellStyle name="20% - Accent2 9 2 2 2 2 2 3 2" xfId="48023" xr:uid="{B088879F-06C0-4327-8056-5DB7B3358C19}"/>
    <cellStyle name="20% - Accent2 9 2 2 2 2 2 4" xfId="32146" xr:uid="{E81162BF-7E59-4320-9CC8-6D14F8BCA1E0}"/>
    <cellStyle name="20% - Accent2 9 2 2 2 2 3" xfId="12707" xr:uid="{00000000-0005-0000-0000-0000880D0000}"/>
    <cellStyle name="20% - Accent2 9 2 2 2 2 3 2" xfId="36556" xr:uid="{A175A32A-EB6C-40E8-BBCF-C6CE99F1D51F}"/>
    <cellStyle name="20% - Accent2 9 2 2 2 2 4" xfId="20662" xr:uid="{00000000-0005-0000-0000-0000890D0000}"/>
    <cellStyle name="20% - Accent2 9 2 2 2 2 4 2" xfId="44494" xr:uid="{D9AD78B3-87CE-4753-A9F4-D7391726EC82}"/>
    <cellStyle name="20% - Accent2 9 2 2 2 2 5" xfId="28615" xr:uid="{A5FF663B-C71A-4C6E-87E3-8AEDA1A6E6FA}"/>
    <cellStyle name="20% - Accent2 9 2 2 2 3" xfId="6515" xr:uid="{00000000-0005-0000-0000-00008A0D0000}"/>
    <cellStyle name="20% - Accent2 9 2 2 2 3 2" xfId="14487" xr:uid="{00000000-0005-0000-0000-00008B0D0000}"/>
    <cellStyle name="20% - Accent2 9 2 2 2 3 2 2" xfId="38329" xr:uid="{AD77F9E3-ADF0-49EF-8711-5C51A3C82D43}"/>
    <cellStyle name="20% - Accent2 9 2 2 2 3 3" xfId="22434" xr:uid="{00000000-0005-0000-0000-00008C0D0000}"/>
    <cellStyle name="20% - Accent2 9 2 2 2 3 3 2" xfId="46266" xr:uid="{62E52691-A709-4055-B1CB-F1A5A89A498A}"/>
    <cellStyle name="20% - Accent2 9 2 2 2 3 4" xfId="30388" xr:uid="{7E87999B-F78B-4FF2-B2D5-CAE0BA31B4E2}"/>
    <cellStyle name="20% - Accent2 9 2 2 2 4" xfId="10951" xr:uid="{00000000-0005-0000-0000-00008D0D0000}"/>
    <cellStyle name="20% - Accent2 9 2 2 2 4 2" xfId="34800" xr:uid="{B38391CD-858F-466F-8972-8C9E5823FBE5}"/>
    <cellStyle name="20% - Accent2 9 2 2 2 5" xfId="18906" xr:uid="{00000000-0005-0000-0000-00008E0D0000}"/>
    <cellStyle name="20% - Accent2 9 2 2 2 5 2" xfId="42738" xr:uid="{96A7AB5C-D96C-4D8D-A4D5-AB2D532F8EAA}"/>
    <cellStyle name="20% - Accent2 9 2 2 2 6" xfId="26858" xr:uid="{69A8EE4E-E1CB-4435-8670-F32BF314C13D}"/>
    <cellStyle name="20% - Accent2 9 2 2 2_Exh G" xfId="2182" xr:uid="{00000000-0005-0000-0000-00008F0D0000}"/>
    <cellStyle name="20% - Accent2 9 2 2 3" xfId="3804" xr:uid="{00000000-0005-0000-0000-0000900D0000}"/>
    <cellStyle name="20% - Accent2 9 2 2 3 2" xfId="7396" xr:uid="{00000000-0005-0000-0000-0000910D0000}"/>
    <cellStyle name="20% - Accent2 9 2 2 3 2 2" xfId="15367" xr:uid="{00000000-0005-0000-0000-0000920D0000}"/>
    <cellStyle name="20% - Accent2 9 2 2 3 2 2 2" xfId="39209" xr:uid="{49592A65-EE57-419A-8331-9D5234A0A059}"/>
    <cellStyle name="20% - Accent2 9 2 2 3 2 3" xfId="23313" xr:uid="{00000000-0005-0000-0000-0000930D0000}"/>
    <cellStyle name="20% - Accent2 9 2 2 3 2 3 2" xfId="47145" xr:uid="{038F7B5F-1530-483D-A69C-02A1873DC262}"/>
    <cellStyle name="20% - Accent2 9 2 2 3 2 4" xfId="31268" xr:uid="{F7940F84-A478-48AB-8028-C99AAC581082}"/>
    <cellStyle name="20% - Accent2 9 2 2 3 3" xfId="11829" xr:uid="{00000000-0005-0000-0000-0000940D0000}"/>
    <cellStyle name="20% - Accent2 9 2 2 3 3 2" xfId="35678" xr:uid="{A3138724-05A9-438F-A855-581172331F2D}"/>
    <cellStyle name="20% - Accent2 9 2 2 3 4" xfId="19784" xr:uid="{00000000-0005-0000-0000-0000950D0000}"/>
    <cellStyle name="20% - Accent2 9 2 2 3 4 2" xfId="43616" xr:uid="{8A829CBC-871D-40D1-A09E-D8F3F84425C3}"/>
    <cellStyle name="20% - Accent2 9 2 2 3 5" xfId="27737" xr:uid="{B910283D-8E16-4A78-8E4B-FF4951699CA7}"/>
    <cellStyle name="20% - Accent2 9 2 2 4" xfId="5624" xr:uid="{00000000-0005-0000-0000-0000960D0000}"/>
    <cellStyle name="20% - Accent2 9 2 2 4 2" xfId="13608" xr:uid="{00000000-0005-0000-0000-0000970D0000}"/>
    <cellStyle name="20% - Accent2 9 2 2 4 2 2" xfId="37451" xr:uid="{D1B4AD03-41DC-4D61-BFE7-91B6BC1E2474}"/>
    <cellStyle name="20% - Accent2 9 2 2 4 3" xfId="21556" xr:uid="{00000000-0005-0000-0000-0000980D0000}"/>
    <cellStyle name="20% - Accent2 9 2 2 4 3 2" xfId="45388" xr:uid="{32482041-642B-49DB-856F-6C6C01EE1EA3}"/>
    <cellStyle name="20% - Accent2 9 2 2 4 4" xfId="29510" xr:uid="{8B9CC86E-2C78-418C-98D6-BC69FB1C0C69}"/>
    <cellStyle name="20% - Accent2 9 2 2 5" xfId="9177" xr:uid="{00000000-0005-0000-0000-0000990D0000}"/>
    <cellStyle name="20% - Accent2 9 2 2 5 2" xfId="17135" xr:uid="{00000000-0005-0000-0000-00009A0D0000}"/>
    <cellStyle name="20% - Accent2 9 2 2 5 2 2" xfId="40975" xr:uid="{6E718AAD-7ED5-47DF-93FF-FC5124415E3F}"/>
    <cellStyle name="20% - Accent2 9 2 2 5 3" xfId="25079" xr:uid="{00000000-0005-0000-0000-00009B0D0000}"/>
    <cellStyle name="20% - Accent2 9 2 2 5 3 2" xfId="48911" xr:uid="{1F7D737F-30DB-4EEA-AE07-C81300F3584C}"/>
    <cellStyle name="20% - Accent2 9 2 2 5 4" xfId="33034" xr:uid="{A372520E-2F48-42DC-9FFB-3C7AE77360FD}"/>
    <cellStyle name="20% - Accent2 9 2 2 6" xfId="10073" xr:uid="{00000000-0005-0000-0000-00009C0D0000}"/>
    <cellStyle name="20% - Accent2 9 2 2 6 2" xfId="33922" xr:uid="{226218CB-A012-4248-A3AA-1154233DA89E}"/>
    <cellStyle name="20% - Accent2 9 2 2 7" xfId="18028" xr:uid="{00000000-0005-0000-0000-00009D0D0000}"/>
    <cellStyle name="20% - Accent2 9 2 2 7 2" xfId="41860" xr:uid="{8F7C2B36-05C4-486B-BDA5-D4B0A7E19987}"/>
    <cellStyle name="20% - Accent2 9 2 2 8" xfId="25980" xr:uid="{229EF98D-E0CC-4B13-A7CB-10CF6CC19F01}"/>
    <cellStyle name="20% - Accent2 9 2 2_Exh G" xfId="2181" xr:uid="{00000000-0005-0000-0000-00009E0D0000}"/>
    <cellStyle name="20% - Accent2 9 2 3" xfId="1152" xr:uid="{00000000-0005-0000-0000-00009F0D0000}"/>
    <cellStyle name="20% - Accent2 9 2 3 2" xfId="4682" xr:uid="{00000000-0005-0000-0000-0000A00D0000}"/>
    <cellStyle name="20% - Accent2 9 2 3 2 2" xfId="8273" xr:uid="{00000000-0005-0000-0000-0000A10D0000}"/>
    <cellStyle name="20% - Accent2 9 2 3 2 2 2" xfId="16244" xr:uid="{00000000-0005-0000-0000-0000A20D0000}"/>
    <cellStyle name="20% - Accent2 9 2 3 2 2 2 2" xfId="40086" xr:uid="{7D916317-74C3-4CC3-9ACB-AA65295D058D}"/>
    <cellStyle name="20% - Accent2 9 2 3 2 2 3" xfId="24190" xr:uid="{00000000-0005-0000-0000-0000A30D0000}"/>
    <cellStyle name="20% - Accent2 9 2 3 2 2 3 2" xfId="48022" xr:uid="{602548BC-A7A9-4978-8398-A8A18673452A}"/>
    <cellStyle name="20% - Accent2 9 2 3 2 2 4" xfId="32145" xr:uid="{1827D43E-A894-4BC2-9976-D7CA94F85EB3}"/>
    <cellStyle name="20% - Accent2 9 2 3 2 3" xfId="12706" xr:uid="{00000000-0005-0000-0000-0000A40D0000}"/>
    <cellStyle name="20% - Accent2 9 2 3 2 3 2" xfId="36555" xr:uid="{EF8514E3-7A8F-4944-B135-5ADD1C93867E}"/>
    <cellStyle name="20% - Accent2 9 2 3 2 4" xfId="20661" xr:uid="{00000000-0005-0000-0000-0000A50D0000}"/>
    <cellStyle name="20% - Accent2 9 2 3 2 4 2" xfId="44493" xr:uid="{608CA598-07F8-487C-8164-B2CF0FEDC4C3}"/>
    <cellStyle name="20% - Accent2 9 2 3 2 5" xfId="28614" xr:uid="{2CDF7BD3-5AF7-49E4-8490-8C5E77CC1BD0}"/>
    <cellStyle name="20% - Accent2 9 2 3 3" xfId="6514" xr:uid="{00000000-0005-0000-0000-0000A60D0000}"/>
    <cellStyle name="20% - Accent2 9 2 3 3 2" xfId="14486" xr:uid="{00000000-0005-0000-0000-0000A70D0000}"/>
    <cellStyle name="20% - Accent2 9 2 3 3 2 2" xfId="38328" xr:uid="{46F38894-4FE8-4E39-B2FF-4BBCC26AE9C9}"/>
    <cellStyle name="20% - Accent2 9 2 3 3 3" xfId="22433" xr:uid="{00000000-0005-0000-0000-0000A80D0000}"/>
    <cellStyle name="20% - Accent2 9 2 3 3 3 2" xfId="46265" xr:uid="{28B5D8E8-9790-40FC-92F5-6E637E40B19C}"/>
    <cellStyle name="20% - Accent2 9 2 3 3 4" xfId="30387" xr:uid="{DDE91804-5944-4FAA-999C-CD642883CC88}"/>
    <cellStyle name="20% - Accent2 9 2 3 4" xfId="10950" xr:uid="{00000000-0005-0000-0000-0000A90D0000}"/>
    <cellStyle name="20% - Accent2 9 2 3 4 2" xfId="34799" xr:uid="{222C14A3-3524-43EA-8EB1-78953D635AC9}"/>
    <cellStyle name="20% - Accent2 9 2 3 5" xfId="18905" xr:uid="{00000000-0005-0000-0000-0000AA0D0000}"/>
    <cellStyle name="20% - Accent2 9 2 3 5 2" xfId="42737" xr:uid="{79A04696-2638-4C17-A764-C5AF90E68453}"/>
    <cellStyle name="20% - Accent2 9 2 3 6" xfId="26857" xr:uid="{5B09119B-7B4B-4DA8-9982-979474CC79D4}"/>
    <cellStyle name="20% - Accent2 9 2 3_Exh G" xfId="2183" xr:uid="{00000000-0005-0000-0000-0000AB0D0000}"/>
    <cellStyle name="20% - Accent2 9 2 4" xfId="3803" xr:uid="{00000000-0005-0000-0000-0000AC0D0000}"/>
    <cellStyle name="20% - Accent2 9 2 4 2" xfId="7395" xr:uid="{00000000-0005-0000-0000-0000AD0D0000}"/>
    <cellStyle name="20% - Accent2 9 2 4 2 2" xfId="15366" xr:uid="{00000000-0005-0000-0000-0000AE0D0000}"/>
    <cellStyle name="20% - Accent2 9 2 4 2 2 2" xfId="39208" xr:uid="{B4331543-FCBB-4402-923F-643AD8E031FF}"/>
    <cellStyle name="20% - Accent2 9 2 4 2 3" xfId="23312" xr:uid="{00000000-0005-0000-0000-0000AF0D0000}"/>
    <cellStyle name="20% - Accent2 9 2 4 2 3 2" xfId="47144" xr:uid="{99776114-B9A6-4434-B9E8-75E5D83EA0E0}"/>
    <cellStyle name="20% - Accent2 9 2 4 2 4" xfId="31267" xr:uid="{1E2C7A0C-61AD-4E0D-9952-5A90747FE627}"/>
    <cellStyle name="20% - Accent2 9 2 4 3" xfId="11828" xr:uid="{00000000-0005-0000-0000-0000B00D0000}"/>
    <cellStyle name="20% - Accent2 9 2 4 3 2" xfId="35677" xr:uid="{6B7D525F-385B-4573-8F20-C867460C5DEB}"/>
    <cellStyle name="20% - Accent2 9 2 4 4" xfId="19783" xr:uid="{00000000-0005-0000-0000-0000B10D0000}"/>
    <cellStyle name="20% - Accent2 9 2 4 4 2" xfId="43615" xr:uid="{E926B0D3-E20F-4A91-90D4-8B1DAE0F1EAB}"/>
    <cellStyle name="20% - Accent2 9 2 4 5" xfId="27736" xr:uid="{A27911C5-D61D-49D6-A0B2-3C9A42935FA7}"/>
    <cellStyle name="20% - Accent2 9 2 5" xfId="5623" xr:uid="{00000000-0005-0000-0000-0000B20D0000}"/>
    <cellStyle name="20% - Accent2 9 2 5 2" xfId="13607" xr:uid="{00000000-0005-0000-0000-0000B30D0000}"/>
    <cellStyle name="20% - Accent2 9 2 5 2 2" xfId="37450" xr:uid="{29D67AD0-4557-4A3D-83B0-5C3DE7B3B7EB}"/>
    <cellStyle name="20% - Accent2 9 2 5 3" xfId="21555" xr:uid="{00000000-0005-0000-0000-0000B40D0000}"/>
    <cellStyle name="20% - Accent2 9 2 5 3 2" xfId="45387" xr:uid="{F1E57235-B9CC-4BDF-BE62-19986028DD63}"/>
    <cellStyle name="20% - Accent2 9 2 5 4" xfId="29509" xr:uid="{5F37A538-E1DB-4F78-8C0D-FF6D05174F0C}"/>
    <cellStyle name="20% - Accent2 9 2 6" xfId="9176" xr:uid="{00000000-0005-0000-0000-0000B50D0000}"/>
    <cellStyle name="20% - Accent2 9 2 6 2" xfId="17134" xr:uid="{00000000-0005-0000-0000-0000B60D0000}"/>
    <cellStyle name="20% - Accent2 9 2 6 2 2" xfId="40974" xr:uid="{D92E7086-B5D2-4B38-98D9-EFFBCB78F3FE}"/>
    <cellStyle name="20% - Accent2 9 2 6 3" xfId="25078" xr:uid="{00000000-0005-0000-0000-0000B70D0000}"/>
    <cellStyle name="20% - Accent2 9 2 6 3 2" xfId="48910" xr:uid="{1AF1397B-ADD8-4BC7-B7B5-CFF3E58AB4D0}"/>
    <cellStyle name="20% - Accent2 9 2 6 4" xfId="33033" xr:uid="{35FFE49E-3BFA-4639-9961-61B4E9089C2D}"/>
    <cellStyle name="20% - Accent2 9 2 7" xfId="10072" xr:uid="{00000000-0005-0000-0000-0000B80D0000}"/>
    <cellStyle name="20% - Accent2 9 2 7 2" xfId="33921" xr:uid="{6A0B60B6-71EA-4C1B-8AD2-7E2E68F686BF}"/>
    <cellStyle name="20% - Accent2 9 2 8" xfId="18027" xr:uid="{00000000-0005-0000-0000-0000B90D0000}"/>
    <cellStyle name="20% - Accent2 9 2 8 2" xfId="41859" xr:uid="{E89325B5-40EB-44DC-A16B-5DFD35C003A5}"/>
    <cellStyle name="20% - Accent2 9 2 9" xfId="25979" xr:uid="{7B4CBDBF-5C34-49B0-851A-A6E33EB4A968}"/>
    <cellStyle name="20% - Accent2 9 2_Exh G" xfId="2180" xr:uid="{00000000-0005-0000-0000-0000BA0D0000}"/>
    <cellStyle name="20% - Accent2 9 3" xfId="126" xr:uid="{00000000-0005-0000-0000-0000BB0D0000}"/>
    <cellStyle name="20% - Accent2 9 3 2" xfId="1154" xr:uid="{00000000-0005-0000-0000-0000BC0D0000}"/>
    <cellStyle name="20% - Accent2 9 3 2 2" xfId="4684" xr:uid="{00000000-0005-0000-0000-0000BD0D0000}"/>
    <cellStyle name="20% - Accent2 9 3 2 2 2" xfId="8275" xr:uid="{00000000-0005-0000-0000-0000BE0D0000}"/>
    <cellStyle name="20% - Accent2 9 3 2 2 2 2" xfId="16246" xr:uid="{00000000-0005-0000-0000-0000BF0D0000}"/>
    <cellStyle name="20% - Accent2 9 3 2 2 2 2 2" xfId="40088" xr:uid="{1A54CE07-E86D-4690-BC06-D4FCA0DED9D9}"/>
    <cellStyle name="20% - Accent2 9 3 2 2 2 3" xfId="24192" xr:uid="{00000000-0005-0000-0000-0000C00D0000}"/>
    <cellStyle name="20% - Accent2 9 3 2 2 2 3 2" xfId="48024" xr:uid="{EC62F35F-9550-4D9F-8039-B1D2FB7B4F02}"/>
    <cellStyle name="20% - Accent2 9 3 2 2 2 4" xfId="32147" xr:uid="{A843F50F-AC80-4284-B4A1-2AA992F4A2B1}"/>
    <cellStyle name="20% - Accent2 9 3 2 2 3" xfId="12708" xr:uid="{00000000-0005-0000-0000-0000C10D0000}"/>
    <cellStyle name="20% - Accent2 9 3 2 2 3 2" xfId="36557" xr:uid="{216341BE-560C-40C9-B8E3-31BB701C3945}"/>
    <cellStyle name="20% - Accent2 9 3 2 2 4" xfId="20663" xr:uid="{00000000-0005-0000-0000-0000C20D0000}"/>
    <cellStyle name="20% - Accent2 9 3 2 2 4 2" xfId="44495" xr:uid="{072ABEC1-6769-4361-A69D-D29B47CE9AAF}"/>
    <cellStyle name="20% - Accent2 9 3 2 2 5" xfId="28616" xr:uid="{19BE960E-D830-443A-AAE5-E71398E245EE}"/>
    <cellStyle name="20% - Accent2 9 3 2 3" xfId="6516" xr:uid="{00000000-0005-0000-0000-0000C30D0000}"/>
    <cellStyle name="20% - Accent2 9 3 2 3 2" xfId="14488" xr:uid="{00000000-0005-0000-0000-0000C40D0000}"/>
    <cellStyle name="20% - Accent2 9 3 2 3 2 2" xfId="38330" xr:uid="{1B79D50D-4304-43C0-8251-2AF7F539345A}"/>
    <cellStyle name="20% - Accent2 9 3 2 3 3" xfId="22435" xr:uid="{00000000-0005-0000-0000-0000C50D0000}"/>
    <cellStyle name="20% - Accent2 9 3 2 3 3 2" xfId="46267" xr:uid="{1855E073-71A7-467E-869A-41E878D71C53}"/>
    <cellStyle name="20% - Accent2 9 3 2 3 4" xfId="30389" xr:uid="{350A8DCA-5E58-4504-9112-98715B326C8B}"/>
    <cellStyle name="20% - Accent2 9 3 2 4" xfId="10952" xr:uid="{00000000-0005-0000-0000-0000C60D0000}"/>
    <cellStyle name="20% - Accent2 9 3 2 4 2" xfId="34801" xr:uid="{96853D6F-D18D-4399-B7E9-C5297E957BFC}"/>
    <cellStyle name="20% - Accent2 9 3 2 5" xfId="18907" xr:uid="{00000000-0005-0000-0000-0000C70D0000}"/>
    <cellStyle name="20% - Accent2 9 3 2 5 2" xfId="42739" xr:uid="{0F9E8426-8D60-41E9-816D-D45E412A58CB}"/>
    <cellStyle name="20% - Accent2 9 3 2 6" xfId="26859" xr:uid="{E2BFAA3B-A7AB-417F-9756-C87706C442B3}"/>
    <cellStyle name="20% - Accent2 9 3 2_Exh G" xfId="2185" xr:uid="{00000000-0005-0000-0000-0000C80D0000}"/>
    <cellStyle name="20% - Accent2 9 3 3" xfId="3805" xr:uid="{00000000-0005-0000-0000-0000C90D0000}"/>
    <cellStyle name="20% - Accent2 9 3 3 2" xfId="7397" xr:uid="{00000000-0005-0000-0000-0000CA0D0000}"/>
    <cellStyle name="20% - Accent2 9 3 3 2 2" xfId="15368" xr:uid="{00000000-0005-0000-0000-0000CB0D0000}"/>
    <cellStyle name="20% - Accent2 9 3 3 2 2 2" xfId="39210" xr:uid="{D49FC7FB-B6D8-4A5C-AB8B-A93B140A9322}"/>
    <cellStyle name="20% - Accent2 9 3 3 2 3" xfId="23314" xr:uid="{00000000-0005-0000-0000-0000CC0D0000}"/>
    <cellStyle name="20% - Accent2 9 3 3 2 3 2" xfId="47146" xr:uid="{4714624A-AAE2-48BF-8A76-5C6F3A0D9152}"/>
    <cellStyle name="20% - Accent2 9 3 3 2 4" xfId="31269" xr:uid="{A824AB4E-22CF-4A6D-9C8F-ED5C575BE905}"/>
    <cellStyle name="20% - Accent2 9 3 3 3" xfId="11830" xr:uid="{00000000-0005-0000-0000-0000CD0D0000}"/>
    <cellStyle name="20% - Accent2 9 3 3 3 2" xfId="35679" xr:uid="{7D2B38E7-6C59-4E8E-B724-613CC5C4F637}"/>
    <cellStyle name="20% - Accent2 9 3 3 4" xfId="19785" xr:uid="{00000000-0005-0000-0000-0000CE0D0000}"/>
    <cellStyle name="20% - Accent2 9 3 3 4 2" xfId="43617" xr:uid="{85047ED3-BD2E-49CF-97D0-1EF3AE349034}"/>
    <cellStyle name="20% - Accent2 9 3 3 5" xfId="27738" xr:uid="{9FE83A2E-319E-46AB-914C-4F071339BE8D}"/>
    <cellStyle name="20% - Accent2 9 3 4" xfId="5625" xr:uid="{00000000-0005-0000-0000-0000CF0D0000}"/>
    <cellStyle name="20% - Accent2 9 3 4 2" xfId="13609" xr:uid="{00000000-0005-0000-0000-0000D00D0000}"/>
    <cellStyle name="20% - Accent2 9 3 4 2 2" xfId="37452" xr:uid="{F7B1DD2F-A2B9-4CEC-83C9-C8365CA5F606}"/>
    <cellStyle name="20% - Accent2 9 3 4 3" xfId="21557" xr:uid="{00000000-0005-0000-0000-0000D10D0000}"/>
    <cellStyle name="20% - Accent2 9 3 4 3 2" xfId="45389" xr:uid="{C8CD360B-027A-427F-9CEC-C59275A40525}"/>
    <cellStyle name="20% - Accent2 9 3 4 4" xfId="29511" xr:uid="{90011BD4-EC2E-4AC8-8C12-F821810B8589}"/>
    <cellStyle name="20% - Accent2 9 3 5" xfId="9178" xr:uid="{00000000-0005-0000-0000-0000D20D0000}"/>
    <cellStyle name="20% - Accent2 9 3 5 2" xfId="17136" xr:uid="{00000000-0005-0000-0000-0000D30D0000}"/>
    <cellStyle name="20% - Accent2 9 3 5 2 2" xfId="40976" xr:uid="{8A4293DD-DF02-4B8E-A741-0043D90F592A}"/>
    <cellStyle name="20% - Accent2 9 3 5 3" xfId="25080" xr:uid="{00000000-0005-0000-0000-0000D40D0000}"/>
    <cellStyle name="20% - Accent2 9 3 5 3 2" xfId="48912" xr:uid="{ADDC7565-7F1F-42D8-8C32-C5F2F52B1C6A}"/>
    <cellStyle name="20% - Accent2 9 3 5 4" xfId="33035" xr:uid="{FADF9F83-F6C7-401E-8F06-0FE22DF9393E}"/>
    <cellStyle name="20% - Accent2 9 3 6" xfId="10074" xr:uid="{00000000-0005-0000-0000-0000D50D0000}"/>
    <cellStyle name="20% - Accent2 9 3 6 2" xfId="33923" xr:uid="{3E80A2F1-084A-472A-B845-08A8F868ADEF}"/>
    <cellStyle name="20% - Accent2 9 3 7" xfId="18029" xr:uid="{00000000-0005-0000-0000-0000D60D0000}"/>
    <cellStyle name="20% - Accent2 9 3 7 2" xfId="41861" xr:uid="{5AE683BB-6680-4691-B17A-9EF90C88BD2F}"/>
    <cellStyle name="20% - Accent2 9 3 8" xfId="25981" xr:uid="{D3FC5DB7-5D16-479F-BC37-A198AB3A06CE}"/>
    <cellStyle name="20% - Accent2 9 3_Exh G" xfId="2184" xr:uid="{00000000-0005-0000-0000-0000D70D0000}"/>
    <cellStyle name="20% - Accent2 9 4" xfId="885" xr:uid="{00000000-0005-0000-0000-0000D80D0000}"/>
    <cellStyle name="20% - Accent2 9 4 2" xfId="1818" xr:uid="{00000000-0005-0000-0000-0000D90D0000}"/>
    <cellStyle name="20% - Accent2 9 4 2 2" xfId="5336" xr:uid="{00000000-0005-0000-0000-0000DA0D0000}"/>
    <cellStyle name="20% - Accent2 9 4 2 2 2" xfId="8927" xr:uid="{00000000-0005-0000-0000-0000DB0D0000}"/>
    <cellStyle name="20% - Accent2 9 4 2 2 2 2" xfId="16898" xr:uid="{00000000-0005-0000-0000-0000DC0D0000}"/>
    <cellStyle name="20% - Accent2 9 4 2 2 2 2 2" xfId="40740" xr:uid="{347E43C5-6ACA-429B-86D9-B0754DAE7849}"/>
    <cellStyle name="20% - Accent2 9 4 2 2 2 3" xfId="24844" xr:uid="{00000000-0005-0000-0000-0000DD0D0000}"/>
    <cellStyle name="20% - Accent2 9 4 2 2 2 3 2" xfId="48676" xr:uid="{7AA2D51C-76EB-4E35-8503-22CF3A6A38EA}"/>
    <cellStyle name="20% - Accent2 9 4 2 2 2 4" xfId="32799" xr:uid="{99E45B63-D53E-4CA1-BA80-F14E97581702}"/>
    <cellStyle name="20% - Accent2 9 4 2 2 3" xfId="13360" xr:uid="{00000000-0005-0000-0000-0000DE0D0000}"/>
    <cellStyle name="20% - Accent2 9 4 2 2 3 2" xfId="37209" xr:uid="{7A263379-4F0A-4079-A0EA-01B79774B84C}"/>
    <cellStyle name="20% - Accent2 9 4 2 2 4" xfId="21315" xr:uid="{00000000-0005-0000-0000-0000DF0D0000}"/>
    <cellStyle name="20% - Accent2 9 4 2 2 4 2" xfId="45147" xr:uid="{75072A74-103A-4117-A385-A44FCAD957CF}"/>
    <cellStyle name="20% - Accent2 9 4 2 2 5" xfId="29268" xr:uid="{C55A29FD-76DF-4B19-AC8F-6471EB9C6355}"/>
    <cellStyle name="20% - Accent2 9 4 2 3" xfId="7168" xr:uid="{00000000-0005-0000-0000-0000E00D0000}"/>
    <cellStyle name="20% - Accent2 9 4 2 3 2" xfId="15140" xr:uid="{00000000-0005-0000-0000-0000E10D0000}"/>
    <cellStyle name="20% - Accent2 9 4 2 3 2 2" xfId="38982" xr:uid="{70125B86-4EB0-427E-AC76-56B64BF0E70F}"/>
    <cellStyle name="20% - Accent2 9 4 2 3 3" xfId="23087" xr:uid="{00000000-0005-0000-0000-0000E20D0000}"/>
    <cellStyle name="20% - Accent2 9 4 2 3 3 2" xfId="46919" xr:uid="{25CDFD88-DBF3-476F-9624-0A1EF2DBBC06}"/>
    <cellStyle name="20% - Accent2 9 4 2 3 4" xfId="31041" xr:uid="{57C3568A-7B48-45BB-9467-D0FBCFEC1E93}"/>
    <cellStyle name="20% - Accent2 9 4 2 4" xfId="11604" xr:uid="{00000000-0005-0000-0000-0000E30D0000}"/>
    <cellStyle name="20% - Accent2 9 4 2 4 2" xfId="35453" xr:uid="{B93C9C83-C198-4A75-844C-C235B1F5F945}"/>
    <cellStyle name="20% - Accent2 9 4 2 5" xfId="19559" xr:uid="{00000000-0005-0000-0000-0000E40D0000}"/>
    <cellStyle name="20% - Accent2 9 4 2 5 2" xfId="43391" xr:uid="{BA8F9FAD-680C-4975-B68C-B572CDFF693B}"/>
    <cellStyle name="20% - Accent2 9 4 2 6" xfId="27511" xr:uid="{120C81FB-57D1-48CC-B7A6-7B5450614397}"/>
    <cellStyle name="20% - Accent2 9 4 2_Exh G" xfId="2187" xr:uid="{00000000-0005-0000-0000-0000E50D0000}"/>
    <cellStyle name="20% - Accent2 9 4 3" xfId="4457" xr:uid="{00000000-0005-0000-0000-0000E60D0000}"/>
    <cellStyle name="20% - Accent2 9 4 3 2" xfId="8049" xr:uid="{00000000-0005-0000-0000-0000E70D0000}"/>
    <cellStyle name="20% - Accent2 9 4 3 2 2" xfId="16020" xr:uid="{00000000-0005-0000-0000-0000E80D0000}"/>
    <cellStyle name="20% - Accent2 9 4 3 2 2 2" xfId="39862" xr:uid="{83F603B0-5E41-458D-AC9F-5D923496F4CF}"/>
    <cellStyle name="20% - Accent2 9 4 3 2 3" xfId="23966" xr:uid="{00000000-0005-0000-0000-0000E90D0000}"/>
    <cellStyle name="20% - Accent2 9 4 3 2 3 2" xfId="47798" xr:uid="{25C87D30-0853-48A0-B447-41E1E36B5269}"/>
    <cellStyle name="20% - Accent2 9 4 3 2 4" xfId="31921" xr:uid="{2F799FAF-A571-453F-90F6-79ACB0C1B687}"/>
    <cellStyle name="20% - Accent2 9 4 3 3" xfId="12482" xr:uid="{00000000-0005-0000-0000-0000EA0D0000}"/>
    <cellStyle name="20% - Accent2 9 4 3 3 2" xfId="36331" xr:uid="{D603DBE4-318E-4D33-935E-93E2C45E4F39}"/>
    <cellStyle name="20% - Accent2 9 4 3 4" xfId="20437" xr:uid="{00000000-0005-0000-0000-0000EB0D0000}"/>
    <cellStyle name="20% - Accent2 9 4 3 4 2" xfId="44269" xr:uid="{C7E86FF8-1CA4-4AC3-907A-A419A9C3FD8E}"/>
    <cellStyle name="20% - Accent2 9 4 3 5" xfId="28390" xr:uid="{D82AB0F4-CDF5-41B2-B32D-6DFEBF8760B5}"/>
    <cellStyle name="20% - Accent2 9 4 4" xfId="6287" xr:uid="{00000000-0005-0000-0000-0000EC0D0000}"/>
    <cellStyle name="20% - Accent2 9 4 4 2" xfId="14262" xr:uid="{00000000-0005-0000-0000-0000ED0D0000}"/>
    <cellStyle name="20% - Accent2 9 4 4 2 2" xfId="38104" xr:uid="{03F6C224-40EA-4343-9A4F-13EE4603E931}"/>
    <cellStyle name="20% - Accent2 9 4 4 3" xfId="22209" xr:uid="{00000000-0005-0000-0000-0000EE0D0000}"/>
    <cellStyle name="20% - Accent2 9 4 4 3 2" xfId="46041" xr:uid="{7DCB32D5-D319-444D-A349-1A5C43BD132F}"/>
    <cellStyle name="20% - Accent2 9 4 4 4" xfId="30163" xr:uid="{32EA5D41-8AA3-4601-8841-560F2C6C3339}"/>
    <cellStyle name="20% - Accent2 9 4 5" xfId="9830" xr:uid="{00000000-0005-0000-0000-0000EF0D0000}"/>
    <cellStyle name="20% - Accent2 9 4 5 2" xfId="17788" xr:uid="{00000000-0005-0000-0000-0000F00D0000}"/>
    <cellStyle name="20% - Accent2 9 4 5 2 2" xfId="41628" xr:uid="{A4DAC697-5312-43EE-8358-E45B204ED733}"/>
    <cellStyle name="20% - Accent2 9 4 5 3" xfId="25732" xr:uid="{00000000-0005-0000-0000-0000F10D0000}"/>
    <cellStyle name="20% - Accent2 9 4 5 3 2" xfId="49564" xr:uid="{600DD84E-674A-434C-A18B-36B22212FA93}"/>
    <cellStyle name="20% - Accent2 9 4 5 4" xfId="33687" xr:uid="{839D98AC-2E8B-4553-A477-DC43795BF8B8}"/>
    <cellStyle name="20% - Accent2 9 4 6" xfId="10726" xr:uid="{00000000-0005-0000-0000-0000F20D0000}"/>
    <cellStyle name="20% - Accent2 9 4 6 2" xfId="34575" xr:uid="{3D22D6E1-63DC-476E-AE59-F21CC333A7F2}"/>
    <cellStyle name="20% - Accent2 9 4 7" xfId="18681" xr:uid="{00000000-0005-0000-0000-0000F30D0000}"/>
    <cellStyle name="20% - Accent2 9 4 7 2" xfId="42513" xr:uid="{D2D96F79-FC8F-466B-9F86-41B6C76E477E}"/>
    <cellStyle name="20% - Accent2 9 4 8" xfId="26633" xr:uid="{D37976C9-031B-48F8-AA9A-593062200256}"/>
    <cellStyle name="20% - Accent2 9 4_Exh G" xfId="2186" xr:uid="{00000000-0005-0000-0000-0000F40D0000}"/>
    <cellStyle name="20% - Accent2 9 5" xfId="1151" xr:uid="{00000000-0005-0000-0000-0000F50D0000}"/>
    <cellStyle name="20% - Accent2 9 5 2" xfId="4681" xr:uid="{00000000-0005-0000-0000-0000F60D0000}"/>
    <cellStyle name="20% - Accent2 9 5 2 2" xfId="8272" xr:uid="{00000000-0005-0000-0000-0000F70D0000}"/>
    <cellStyle name="20% - Accent2 9 5 2 2 2" xfId="16243" xr:uid="{00000000-0005-0000-0000-0000F80D0000}"/>
    <cellStyle name="20% - Accent2 9 5 2 2 2 2" xfId="40085" xr:uid="{7806A9A5-E513-41AC-B45E-2B21EEA9DC2B}"/>
    <cellStyle name="20% - Accent2 9 5 2 2 3" xfId="24189" xr:uid="{00000000-0005-0000-0000-0000F90D0000}"/>
    <cellStyle name="20% - Accent2 9 5 2 2 3 2" xfId="48021" xr:uid="{0C2E647D-E720-4D7E-B7A8-469482ACF7C2}"/>
    <cellStyle name="20% - Accent2 9 5 2 2 4" xfId="32144" xr:uid="{88308990-FB29-42F6-A35C-8D2F4EBA5C8A}"/>
    <cellStyle name="20% - Accent2 9 5 2 3" xfId="12705" xr:uid="{00000000-0005-0000-0000-0000FA0D0000}"/>
    <cellStyle name="20% - Accent2 9 5 2 3 2" xfId="36554" xr:uid="{C1F98048-A2A9-4E6D-8B85-A67E94873172}"/>
    <cellStyle name="20% - Accent2 9 5 2 4" xfId="20660" xr:uid="{00000000-0005-0000-0000-0000FB0D0000}"/>
    <cellStyle name="20% - Accent2 9 5 2 4 2" xfId="44492" xr:uid="{661C8A68-29A7-4C1C-980F-893826AFE561}"/>
    <cellStyle name="20% - Accent2 9 5 2 5" xfId="28613" xr:uid="{E8C96CA7-4C29-41FB-BF03-B8D4ECD39DD6}"/>
    <cellStyle name="20% - Accent2 9 5 3" xfId="6513" xr:uid="{00000000-0005-0000-0000-0000FC0D0000}"/>
    <cellStyle name="20% - Accent2 9 5 3 2" xfId="14485" xr:uid="{00000000-0005-0000-0000-0000FD0D0000}"/>
    <cellStyle name="20% - Accent2 9 5 3 2 2" xfId="38327" xr:uid="{79321B20-26A8-4912-A1E8-E29AC59F9113}"/>
    <cellStyle name="20% - Accent2 9 5 3 3" xfId="22432" xr:uid="{00000000-0005-0000-0000-0000FE0D0000}"/>
    <cellStyle name="20% - Accent2 9 5 3 3 2" xfId="46264" xr:uid="{981D0109-6D71-469E-A111-5F6C9FAB6529}"/>
    <cellStyle name="20% - Accent2 9 5 3 4" xfId="30386" xr:uid="{8376D341-6217-4CC8-9CF6-63982FA54F86}"/>
    <cellStyle name="20% - Accent2 9 5 4" xfId="10949" xr:uid="{00000000-0005-0000-0000-0000FF0D0000}"/>
    <cellStyle name="20% - Accent2 9 5 4 2" xfId="34798" xr:uid="{5A3B7A3B-E974-4748-890A-EDB4AE42F042}"/>
    <cellStyle name="20% - Accent2 9 5 5" xfId="18904" xr:uid="{00000000-0005-0000-0000-0000000E0000}"/>
    <cellStyle name="20% - Accent2 9 5 5 2" xfId="42736" xr:uid="{49D741F7-EEAC-4CA8-A6C6-D90E37614F81}"/>
    <cellStyle name="20% - Accent2 9 5 6" xfId="26856" xr:uid="{7474D710-DBC4-437E-A5BD-9B9ABE743CC6}"/>
    <cellStyle name="20% - Accent2 9 5_Exh G" xfId="2188" xr:uid="{00000000-0005-0000-0000-0000010E0000}"/>
    <cellStyle name="20% - Accent2 9 6" xfId="3802" xr:uid="{00000000-0005-0000-0000-0000020E0000}"/>
    <cellStyle name="20% - Accent2 9 6 2" xfId="7394" xr:uid="{00000000-0005-0000-0000-0000030E0000}"/>
    <cellStyle name="20% - Accent2 9 6 2 2" xfId="15365" xr:uid="{00000000-0005-0000-0000-0000040E0000}"/>
    <cellStyle name="20% - Accent2 9 6 2 2 2" xfId="39207" xr:uid="{FDA1A435-1A97-4A18-BBCE-D6816BA9EE23}"/>
    <cellStyle name="20% - Accent2 9 6 2 3" xfId="23311" xr:uid="{00000000-0005-0000-0000-0000050E0000}"/>
    <cellStyle name="20% - Accent2 9 6 2 3 2" xfId="47143" xr:uid="{740E78B2-62F9-4BDC-B62F-AA6AC1D33623}"/>
    <cellStyle name="20% - Accent2 9 6 2 4" xfId="31266" xr:uid="{D1D27341-6462-48EA-8C20-CF8348828A9F}"/>
    <cellStyle name="20% - Accent2 9 6 3" xfId="11827" xr:uid="{00000000-0005-0000-0000-0000060E0000}"/>
    <cellStyle name="20% - Accent2 9 6 3 2" xfId="35676" xr:uid="{FDDFD414-9489-4F56-95EE-50DBE6EC0C5E}"/>
    <cellStyle name="20% - Accent2 9 6 4" xfId="19782" xr:uid="{00000000-0005-0000-0000-0000070E0000}"/>
    <cellStyle name="20% - Accent2 9 6 4 2" xfId="43614" xr:uid="{8CB8E444-57AF-47D2-9104-095F43FD1714}"/>
    <cellStyle name="20% - Accent2 9 6 5" xfId="27735" xr:uid="{1EEF63E7-1EA4-4871-AE53-4A13C9CDCE7A}"/>
    <cellStyle name="20% - Accent2 9 7" xfId="5622" xr:uid="{00000000-0005-0000-0000-0000080E0000}"/>
    <cellStyle name="20% - Accent2 9 7 2" xfId="13606" xr:uid="{00000000-0005-0000-0000-0000090E0000}"/>
    <cellStyle name="20% - Accent2 9 7 2 2" xfId="37449" xr:uid="{02324F3C-9E86-44FD-ACD7-D54C02070FB6}"/>
    <cellStyle name="20% - Accent2 9 7 3" xfId="21554" xr:uid="{00000000-0005-0000-0000-00000A0E0000}"/>
    <cellStyle name="20% - Accent2 9 7 3 2" xfId="45386" xr:uid="{00C85549-162E-4F58-8040-46572950B9D6}"/>
    <cellStyle name="20% - Accent2 9 7 4" xfId="29508" xr:uid="{DC3EA9BD-D581-4939-939A-65F3E63A572F}"/>
    <cellStyle name="20% - Accent2 9 8" xfId="9175" xr:uid="{00000000-0005-0000-0000-00000B0E0000}"/>
    <cellStyle name="20% - Accent2 9 8 2" xfId="17133" xr:uid="{00000000-0005-0000-0000-00000C0E0000}"/>
    <cellStyle name="20% - Accent2 9 8 2 2" xfId="40973" xr:uid="{B20CFC5B-B773-49CD-BF19-7AF141165A62}"/>
    <cellStyle name="20% - Accent2 9 8 3" xfId="25077" xr:uid="{00000000-0005-0000-0000-00000D0E0000}"/>
    <cellStyle name="20% - Accent2 9 8 3 2" xfId="48909" xr:uid="{584E74C7-1999-4F35-8D3A-C55C98AFF04A}"/>
    <cellStyle name="20% - Accent2 9 8 4" xfId="33032" xr:uid="{38B3F35A-F5F5-44A0-B843-E1E69A48AC80}"/>
    <cellStyle name="20% - Accent2 9 9" xfId="10071" xr:uid="{00000000-0005-0000-0000-00000E0E0000}"/>
    <cellStyle name="20% - Accent2 9 9 2" xfId="33920" xr:uid="{D8517930-7FA2-4ED9-BA30-4ADC32819E87}"/>
    <cellStyle name="20% - Accent2 9_Exh G" xfId="2179" xr:uid="{00000000-0005-0000-0000-00000F0E0000}"/>
    <cellStyle name="20% - Accent3" xfId="49700" builtinId="38" customBuiltin="1"/>
    <cellStyle name="20% - Accent3 10" xfId="127" xr:uid="{00000000-0005-0000-0000-0000100E0000}"/>
    <cellStyle name="20% - Accent3 10 10" xfId="18030" xr:uid="{00000000-0005-0000-0000-0000110E0000}"/>
    <cellStyle name="20% - Accent3 10 10 2" xfId="41862" xr:uid="{B7EBE328-81E5-466F-8D49-6605D0B1BA71}"/>
    <cellStyle name="20% - Accent3 10 11" xfId="25982" xr:uid="{1D52A2F3-31DE-4CF3-B202-E15111EEDB45}"/>
    <cellStyle name="20% - Accent3 10 2" xfId="128" xr:uid="{00000000-0005-0000-0000-0000120E0000}"/>
    <cellStyle name="20% - Accent3 10 2 2" xfId="129" xr:uid="{00000000-0005-0000-0000-0000130E0000}"/>
    <cellStyle name="20% - Accent3 10 2 2 2" xfId="1157" xr:uid="{00000000-0005-0000-0000-0000140E0000}"/>
    <cellStyle name="20% - Accent3 10 2 2 2 2" xfId="4687" xr:uid="{00000000-0005-0000-0000-0000150E0000}"/>
    <cellStyle name="20% - Accent3 10 2 2 2 2 2" xfId="8278" xr:uid="{00000000-0005-0000-0000-0000160E0000}"/>
    <cellStyle name="20% - Accent3 10 2 2 2 2 2 2" xfId="16249" xr:uid="{00000000-0005-0000-0000-0000170E0000}"/>
    <cellStyle name="20% - Accent3 10 2 2 2 2 2 2 2" xfId="40091" xr:uid="{5D92C39E-3D8F-4429-AC7D-6BFD7CD5BEE1}"/>
    <cellStyle name="20% - Accent3 10 2 2 2 2 2 3" xfId="24195" xr:uid="{00000000-0005-0000-0000-0000180E0000}"/>
    <cellStyle name="20% - Accent3 10 2 2 2 2 2 3 2" xfId="48027" xr:uid="{A53ACEEF-87FD-482E-B040-896F31443574}"/>
    <cellStyle name="20% - Accent3 10 2 2 2 2 2 4" xfId="32150" xr:uid="{0475B26A-B346-4F18-9BD7-C2A5AE3653C8}"/>
    <cellStyle name="20% - Accent3 10 2 2 2 2 3" xfId="12711" xr:uid="{00000000-0005-0000-0000-0000190E0000}"/>
    <cellStyle name="20% - Accent3 10 2 2 2 2 3 2" xfId="36560" xr:uid="{E4C49A84-024C-436A-8E2A-5C9FC6155E0E}"/>
    <cellStyle name="20% - Accent3 10 2 2 2 2 4" xfId="20666" xr:uid="{00000000-0005-0000-0000-00001A0E0000}"/>
    <cellStyle name="20% - Accent3 10 2 2 2 2 4 2" xfId="44498" xr:uid="{1BC98692-4283-40F1-A375-0BCFE7A4A0C1}"/>
    <cellStyle name="20% - Accent3 10 2 2 2 2 5" xfId="28619" xr:uid="{F12740FE-8884-48FA-AC22-D188889C1929}"/>
    <cellStyle name="20% - Accent3 10 2 2 2 3" xfId="6519" xr:uid="{00000000-0005-0000-0000-00001B0E0000}"/>
    <cellStyle name="20% - Accent3 10 2 2 2 3 2" xfId="14491" xr:uid="{00000000-0005-0000-0000-00001C0E0000}"/>
    <cellStyle name="20% - Accent3 10 2 2 2 3 2 2" xfId="38333" xr:uid="{B8A9C665-08E8-4654-908C-769B74B8967E}"/>
    <cellStyle name="20% - Accent3 10 2 2 2 3 3" xfId="22438" xr:uid="{00000000-0005-0000-0000-00001D0E0000}"/>
    <cellStyle name="20% - Accent3 10 2 2 2 3 3 2" xfId="46270" xr:uid="{C365A8AF-B501-4E61-B1D6-354C37B29DB9}"/>
    <cellStyle name="20% - Accent3 10 2 2 2 3 4" xfId="30392" xr:uid="{B7F103E2-C58A-412D-9E91-8440FEBA1C21}"/>
    <cellStyle name="20% - Accent3 10 2 2 2 4" xfId="10955" xr:uid="{00000000-0005-0000-0000-00001E0E0000}"/>
    <cellStyle name="20% - Accent3 10 2 2 2 4 2" xfId="34804" xr:uid="{AAC0E790-C613-4EF5-9059-D0B18906615A}"/>
    <cellStyle name="20% - Accent3 10 2 2 2 5" xfId="18910" xr:uid="{00000000-0005-0000-0000-00001F0E0000}"/>
    <cellStyle name="20% - Accent3 10 2 2 2 5 2" xfId="42742" xr:uid="{480CDA6F-8CE9-4048-8FCD-0F53F9670593}"/>
    <cellStyle name="20% - Accent3 10 2 2 2 6" xfId="26862" xr:uid="{3343E50C-6FCD-4753-B6A1-5E0795AD9C1C}"/>
    <cellStyle name="20% - Accent3 10 2 2 2_Exh G" xfId="2192" xr:uid="{00000000-0005-0000-0000-0000200E0000}"/>
    <cellStyle name="20% - Accent3 10 2 2 3" xfId="3808" xr:uid="{00000000-0005-0000-0000-0000210E0000}"/>
    <cellStyle name="20% - Accent3 10 2 2 3 2" xfId="7400" xr:uid="{00000000-0005-0000-0000-0000220E0000}"/>
    <cellStyle name="20% - Accent3 10 2 2 3 2 2" xfId="15371" xr:uid="{00000000-0005-0000-0000-0000230E0000}"/>
    <cellStyle name="20% - Accent3 10 2 2 3 2 2 2" xfId="39213" xr:uid="{199B4876-7449-46EE-A83B-6BDEDC14F5DD}"/>
    <cellStyle name="20% - Accent3 10 2 2 3 2 3" xfId="23317" xr:uid="{00000000-0005-0000-0000-0000240E0000}"/>
    <cellStyle name="20% - Accent3 10 2 2 3 2 3 2" xfId="47149" xr:uid="{3427104E-4366-4732-907B-F22BE06CB9D4}"/>
    <cellStyle name="20% - Accent3 10 2 2 3 2 4" xfId="31272" xr:uid="{473290FB-EF0B-4B32-BB8C-6E256906B91C}"/>
    <cellStyle name="20% - Accent3 10 2 2 3 3" xfId="11833" xr:uid="{00000000-0005-0000-0000-0000250E0000}"/>
    <cellStyle name="20% - Accent3 10 2 2 3 3 2" xfId="35682" xr:uid="{9BDCE42F-418D-418A-AE40-F97CB5ADD992}"/>
    <cellStyle name="20% - Accent3 10 2 2 3 4" xfId="19788" xr:uid="{00000000-0005-0000-0000-0000260E0000}"/>
    <cellStyle name="20% - Accent3 10 2 2 3 4 2" xfId="43620" xr:uid="{8F637815-A938-46FE-B894-9F332EA9AF17}"/>
    <cellStyle name="20% - Accent3 10 2 2 3 5" xfId="27741" xr:uid="{C788E441-4F1E-4FE5-B1D1-2DCE8080C56A}"/>
    <cellStyle name="20% - Accent3 10 2 2 4" xfId="5628" xr:uid="{00000000-0005-0000-0000-0000270E0000}"/>
    <cellStyle name="20% - Accent3 10 2 2 4 2" xfId="13612" xr:uid="{00000000-0005-0000-0000-0000280E0000}"/>
    <cellStyle name="20% - Accent3 10 2 2 4 2 2" xfId="37455" xr:uid="{9FFF3E3F-64C2-4E9E-B8AA-304CE6941FB0}"/>
    <cellStyle name="20% - Accent3 10 2 2 4 3" xfId="21560" xr:uid="{00000000-0005-0000-0000-0000290E0000}"/>
    <cellStyle name="20% - Accent3 10 2 2 4 3 2" xfId="45392" xr:uid="{C605B754-6F3F-489E-99C0-A8933798D66F}"/>
    <cellStyle name="20% - Accent3 10 2 2 4 4" xfId="29514" xr:uid="{873278A2-AA78-4A63-858C-9A0708181BEA}"/>
    <cellStyle name="20% - Accent3 10 2 2 5" xfId="9181" xr:uid="{00000000-0005-0000-0000-00002A0E0000}"/>
    <cellStyle name="20% - Accent3 10 2 2 5 2" xfId="17139" xr:uid="{00000000-0005-0000-0000-00002B0E0000}"/>
    <cellStyle name="20% - Accent3 10 2 2 5 2 2" xfId="40979" xr:uid="{DB9221C2-C45B-4163-B258-2D498A3DBF3C}"/>
    <cellStyle name="20% - Accent3 10 2 2 5 3" xfId="25083" xr:uid="{00000000-0005-0000-0000-00002C0E0000}"/>
    <cellStyle name="20% - Accent3 10 2 2 5 3 2" xfId="48915" xr:uid="{CC80FC22-22B0-46C7-988E-A47F3C6F6807}"/>
    <cellStyle name="20% - Accent3 10 2 2 5 4" xfId="33038" xr:uid="{995A39F7-EE0E-4A17-A5CA-6DD1994CE93C}"/>
    <cellStyle name="20% - Accent3 10 2 2 6" xfId="10077" xr:uid="{00000000-0005-0000-0000-00002D0E0000}"/>
    <cellStyle name="20% - Accent3 10 2 2 6 2" xfId="33926" xr:uid="{6CD9C5C1-5AF9-4DCC-B41D-41E94700F411}"/>
    <cellStyle name="20% - Accent3 10 2 2 7" xfId="18032" xr:uid="{00000000-0005-0000-0000-00002E0E0000}"/>
    <cellStyle name="20% - Accent3 10 2 2 7 2" xfId="41864" xr:uid="{55570B46-CF76-4975-BC6B-D43D07B42439}"/>
    <cellStyle name="20% - Accent3 10 2 2 8" xfId="25984" xr:uid="{79ADE8BB-1F5B-4146-9992-2F9FCB4814EB}"/>
    <cellStyle name="20% - Accent3 10 2 2_Exh G" xfId="2191" xr:uid="{00000000-0005-0000-0000-00002F0E0000}"/>
    <cellStyle name="20% - Accent3 10 2 3" xfId="1156" xr:uid="{00000000-0005-0000-0000-0000300E0000}"/>
    <cellStyle name="20% - Accent3 10 2 3 2" xfId="4686" xr:uid="{00000000-0005-0000-0000-0000310E0000}"/>
    <cellStyle name="20% - Accent3 10 2 3 2 2" xfId="8277" xr:uid="{00000000-0005-0000-0000-0000320E0000}"/>
    <cellStyle name="20% - Accent3 10 2 3 2 2 2" xfId="16248" xr:uid="{00000000-0005-0000-0000-0000330E0000}"/>
    <cellStyle name="20% - Accent3 10 2 3 2 2 2 2" xfId="40090" xr:uid="{5C20CF58-0253-4948-84FC-8579C57F1870}"/>
    <cellStyle name="20% - Accent3 10 2 3 2 2 3" xfId="24194" xr:uid="{00000000-0005-0000-0000-0000340E0000}"/>
    <cellStyle name="20% - Accent3 10 2 3 2 2 3 2" xfId="48026" xr:uid="{E477E5CD-F0E5-4CAF-A9AB-B0C18F8B9E4E}"/>
    <cellStyle name="20% - Accent3 10 2 3 2 2 4" xfId="32149" xr:uid="{B38375DE-B0DA-4827-9765-2C75505AD8A7}"/>
    <cellStyle name="20% - Accent3 10 2 3 2 3" xfId="12710" xr:uid="{00000000-0005-0000-0000-0000350E0000}"/>
    <cellStyle name="20% - Accent3 10 2 3 2 3 2" xfId="36559" xr:uid="{E34AD436-BAFC-48C7-841B-41F4EB407535}"/>
    <cellStyle name="20% - Accent3 10 2 3 2 4" xfId="20665" xr:uid="{00000000-0005-0000-0000-0000360E0000}"/>
    <cellStyle name="20% - Accent3 10 2 3 2 4 2" xfId="44497" xr:uid="{36C3520F-B582-40DE-B5ED-A3D601835FDB}"/>
    <cellStyle name="20% - Accent3 10 2 3 2 5" xfId="28618" xr:uid="{133A4693-9E67-4FDA-BF82-C5846BFD6319}"/>
    <cellStyle name="20% - Accent3 10 2 3 3" xfId="6518" xr:uid="{00000000-0005-0000-0000-0000370E0000}"/>
    <cellStyle name="20% - Accent3 10 2 3 3 2" xfId="14490" xr:uid="{00000000-0005-0000-0000-0000380E0000}"/>
    <cellStyle name="20% - Accent3 10 2 3 3 2 2" xfId="38332" xr:uid="{0D17EE89-8C96-4BCD-88E5-4F76EB0F5C45}"/>
    <cellStyle name="20% - Accent3 10 2 3 3 3" xfId="22437" xr:uid="{00000000-0005-0000-0000-0000390E0000}"/>
    <cellStyle name="20% - Accent3 10 2 3 3 3 2" xfId="46269" xr:uid="{13036CF7-E10A-4573-9B21-2E2675CD6E71}"/>
    <cellStyle name="20% - Accent3 10 2 3 3 4" xfId="30391" xr:uid="{3C3CDD5A-A0EF-4201-9C84-FFC9947E8C7B}"/>
    <cellStyle name="20% - Accent3 10 2 3 4" xfId="10954" xr:uid="{00000000-0005-0000-0000-00003A0E0000}"/>
    <cellStyle name="20% - Accent3 10 2 3 4 2" xfId="34803" xr:uid="{B4F3B22D-5533-4267-A7C0-4FC4B5BA92C5}"/>
    <cellStyle name="20% - Accent3 10 2 3 5" xfId="18909" xr:uid="{00000000-0005-0000-0000-00003B0E0000}"/>
    <cellStyle name="20% - Accent3 10 2 3 5 2" xfId="42741" xr:uid="{F2507D79-6460-4AD2-9987-F4A35F89E8C3}"/>
    <cellStyle name="20% - Accent3 10 2 3 6" xfId="26861" xr:uid="{3A37A60C-FFC6-472E-91CB-1C69B636DF7B}"/>
    <cellStyle name="20% - Accent3 10 2 3_Exh G" xfId="2193" xr:uid="{00000000-0005-0000-0000-00003C0E0000}"/>
    <cellStyle name="20% - Accent3 10 2 4" xfId="3807" xr:uid="{00000000-0005-0000-0000-00003D0E0000}"/>
    <cellStyle name="20% - Accent3 10 2 4 2" xfId="7399" xr:uid="{00000000-0005-0000-0000-00003E0E0000}"/>
    <cellStyle name="20% - Accent3 10 2 4 2 2" xfId="15370" xr:uid="{00000000-0005-0000-0000-00003F0E0000}"/>
    <cellStyle name="20% - Accent3 10 2 4 2 2 2" xfId="39212" xr:uid="{9BEEE539-95BD-43E0-8DEB-86BE98CC9D00}"/>
    <cellStyle name="20% - Accent3 10 2 4 2 3" xfId="23316" xr:uid="{00000000-0005-0000-0000-0000400E0000}"/>
    <cellStyle name="20% - Accent3 10 2 4 2 3 2" xfId="47148" xr:uid="{85727B66-166A-4155-BF71-D7424D4A3FBC}"/>
    <cellStyle name="20% - Accent3 10 2 4 2 4" xfId="31271" xr:uid="{06425BBF-E121-4D64-8754-47F92E88777D}"/>
    <cellStyle name="20% - Accent3 10 2 4 3" xfId="11832" xr:uid="{00000000-0005-0000-0000-0000410E0000}"/>
    <cellStyle name="20% - Accent3 10 2 4 3 2" xfId="35681" xr:uid="{9622324F-CF11-464A-922D-8BEB7D21226E}"/>
    <cellStyle name="20% - Accent3 10 2 4 4" xfId="19787" xr:uid="{00000000-0005-0000-0000-0000420E0000}"/>
    <cellStyle name="20% - Accent3 10 2 4 4 2" xfId="43619" xr:uid="{3695C0EB-53B6-4A87-9C06-11C11D95CEC0}"/>
    <cellStyle name="20% - Accent3 10 2 4 5" xfId="27740" xr:uid="{CC170992-5FBB-4092-8EEB-0BD76F6B1224}"/>
    <cellStyle name="20% - Accent3 10 2 5" xfId="5627" xr:uid="{00000000-0005-0000-0000-0000430E0000}"/>
    <cellStyle name="20% - Accent3 10 2 5 2" xfId="13611" xr:uid="{00000000-0005-0000-0000-0000440E0000}"/>
    <cellStyle name="20% - Accent3 10 2 5 2 2" xfId="37454" xr:uid="{5C4D63A5-4744-494F-8EE2-31D55D13FB72}"/>
    <cellStyle name="20% - Accent3 10 2 5 3" xfId="21559" xr:uid="{00000000-0005-0000-0000-0000450E0000}"/>
    <cellStyle name="20% - Accent3 10 2 5 3 2" xfId="45391" xr:uid="{2EF88FD3-BF0E-4AA2-8D33-16AF56995FC6}"/>
    <cellStyle name="20% - Accent3 10 2 5 4" xfId="29513" xr:uid="{8C15579F-431A-4C93-A373-0A32F1CC1E85}"/>
    <cellStyle name="20% - Accent3 10 2 6" xfId="9180" xr:uid="{00000000-0005-0000-0000-0000460E0000}"/>
    <cellStyle name="20% - Accent3 10 2 6 2" xfId="17138" xr:uid="{00000000-0005-0000-0000-0000470E0000}"/>
    <cellStyle name="20% - Accent3 10 2 6 2 2" xfId="40978" xr:uid="{C2484C64-A9AB-4B33-A9A5-19C4BF89EE78}"/>
    <cellStyle name="20% - Accent3 10 2 6 3" xfId="25082" xr:uid="{00000000-0005-0000-0000-0000480E0000}"/>
    <cellStyle name="20% - Accent3 10 2 6 3 2" xfId="48914" xr:uid="{223247B2-CA2C-4E60-B1EA-2614DF4EF72D}"/>
    <cellStyle name="20% - Accent3 10 2 6 4" xfId="33037" xr:uid="{E8E44D4D-3970-490D-B646-6704968D3D2C}"/>
    <cellStyle name="20% - Accent3 10 2 7" xfId="10076" xr:uid="{00000000-0005-0000-0000-0000490E0000}"/>
    <cellStyle name="20% - Accent3 10 2 7 2" xfId="33925" xr:uid="{8CEE73CC-E94C-4E30-8A7C-94CE1878C035}"/>
    <cellStyle name="20% - Accent3 10 2 8" xfId="18031" xr:uid="{00000000-0005-0000-0000-00004A0E0000}"/>
    <cellStyle name="20% - Accent3 10 2 8 2" xfId="41863" xr:uid="{BC7CAEA2-64FF-45DF-A13A-3E4B36EB6E32}"/>
    <cellStyle name="20% - Accent3 10 2 9" xfId="25983" xr:uid="{C375759F-9744-426B-85D3-14F1BDBB6E47}"/>
    <cellStyle name="20% - Accent3 10 2_Exh G" xfId="2190" xr:uid="{00000000-0005-0000-0000-00004B0E0000}"/>
    <cellStyle name="20% - Accent3 10 3" xfId="130" xr:uid="{00000000-0005-0000-0000-00004C0E0000}"/>
    <cellStyle name="20% - Accent3 10 3 2" xfId="1158" xr:uid="{00000000-0005-0000-0000-00004D0E0000}"/>
    <cellStyle name="20% - Accent3 10 3 2 2" xfId="4688" xr:uid="{00000000-0005-0000-0000-00004E0E0000}"/>
    <cellStyle name="20% - Accent3 10 3 2 2 2" xfId="8279" xr:uid="{00000000-0005-0000-0000-00004F0E0000}"/>
    <cellStyle name="20% - Accent3 10 3 2 2 2 2" xfId="16250" xr:uid="{00000000-0005-0000-0000-0000500E0000}"/>
    <cellStyle name="20% - Accent3 10 3 2 2 2 2 2" xfId="40092" xr:uid="{8D7F4A07-7502-4F72-83E8-A0C10DD58C59}"/>
    <cellStyle name="20% - Accent3 10 3 2 2 2 3" xfId="24196" xr:uid="{00000000-0005-0000-0000-0000510E0000}"/>
    <cellStyle name="20% - Accent3 10 3 2 2 2 3 2" xfId="48028" xr:uid="{BE29FD3A-0A11-4526-91B1-25E5BF8D0C9A}"/>
    <cellStyle name="20% - Accent3 10 3 2 2 2 4" xfId="32151" xr:uid="{4CACA2C9-338F-44ED-BF6D-4D866C61E0BE}"/>
    <cellStyle name="20% - Accent3 10 3 2 2 3" xfId="12712" xr:uid="{00000000-0005-0000-0000-0000520E0000}"/>
    <cellStyle name="20% - Accent3 10 3 2 2 3 2" xfId="36561" xr:uid="{F0FBEC78-80DB-4CEA-BF2E-B5B1116895F3}"/>
    <cellStyle name="20% - Accent3 10 3 2 2 4" xfId="20667" xr:uid="{00000000-0005-0000-0000-0000530E0000}"/>
    <cellStyle name="20% - Accent3 10 3 2 2 4 2" xfId="44499" xr:uid="{EEEAF624-4EE8-411F-817C-F47B90F9E6EA}"/>
    <cellStyle name="20% - Accent3 10 3 2 2 5" xfId="28620" xr:uid="{38658BCA-F434-4ADC-AE28-A6F08B884DF1}"/>
    <cellStyle name="20% - Accent3 10 3 2 3" xfId="6520" xr:uid="{00000000-0005-0000-0000-0000540E0000}"/>
    <cellStyle name="20% - Accent3 10 3 2 3 2" xfId="14492" xr:uid="{00000000-0005-0000-0000-0000550E0000}"/>
    <cellStyle name="20% - Accent3 10 3 2 3 2 2" xfId="38334" xr:uid="{2B0D3FFD-7C2D-4D2D-8CA7-9A4DE6FF8EE8}"/>
    <cellStyle name="20% - Accent3 10 3 2 3 3" xfId="22439" xr:uid="{00000000-0005-0000-0000-0000560E0000}"/>
    <cellStyle name="20% - Accent3 10 3 2 3 3 2" xfId="46271" xr:uid="{B513305B-F7F4-41AD-9BF9-395F482235E3}"/>
    <cellStyle name="20% - Accent3 10 3 2 3 4" xfId="30393" xr:uid="{9301722C-DDDE-4B1C-BD36-83A3EE066F78}"/>
    <cellStyle name="20% - Accent3 10 3 2 4" xfId="10956" xr:uid="{00000000-0005-0000-0000-0000570E0000}"/>
    <cellStyle name="20% - Accent3 10 3 2 4 2" xfId="34805" xr:uid="{4B8DA411-0824-4502-98FC-8A82DD19E497}"/>
    <cellStyle name="20% - Accent3 10 3 2 5" xfId="18911" xr:uid="{00000000-0005-0000-0000-0000580E0000}"/>
    <cellStyle name="20% - Accent3 10 3 2 5 2" xfId="42743" xr:uid="{50BB5C2D-D9A8-4F96-B988-EBA164289794}"/>
    <cellStyle name="20% - Accent3 10 3 2 6" xfId="26863" xr:uid="{9A7E86F2-D6BC-47E2-860E-3EFAF6E79AD0}"/>
    <cellStyle name="20% - Accent3 10 3 2_Exh G" xfId="2195" xr:uid="{00000000-0005-0000-0000-0000590E0000}"/>
    <cellStyle name="20% - Accent3 10 3 3" xfId="3809" xr:uid="{00000000-0005-0000-0000-00005A0E0000}"/>
    <cellStyle name="20% - Accent3 10 3 3 2" xfId="7401" xr:uid="{00000000-0005-0000-0000-00005B0E0000}"/>
    <cellStyle name="20% - Accent3 10 3 3 2 2" xfId="15372" xr:uid="{00000000-0005-0000-0000-00005C0E0000}"/>
    <cellStyle name="20% - Accent3 10 3 3 2 2 2" xfId="39214" xr:uid="{3E20B35A-6EF2-456C-BD87-44F5F3CDE39D}"/>
    <cellStyle name="20% - Accent3 10 3 3 2 3" xfId="23318" xr:uid="{00000000-0005-0000-0000-00005D0E0000}"/>
    <cellStyle name="20% - Accent3 10 3 3 2 3 2" xfId="47150" xr:uid="{79626255-8C53-4582-881A-1060D53385B0}"/>
    <cellStyle name="20% - Accent3 10 3 3 2 4" xfId="31273" xr:uid="{7E0BFBD2-9A1D-4EB4-B131-1AE8FCF57BAE}"/>
    <cellStyle name="20% - Accent3 10 3 3 3" xfId="11834" xr:uid="{00000000-0005-0000-0000-00005E0E0000}"/>
    <cellStyle name="20% - Accent3 10 3 3 3 2" xfId="35683" xr:uid="{A440A173-C7AC-422D-A331-00433CC4200D}"/>
    <cellStyle name="20% - Accent3 10 3 3 4" xfId="19789" xr:uid="{00000000-0005-0000-0000-00005F0E0000}"/>
    <cellStyle name="20% - Accent3 10 3 3 4 2" xfId="43621" xr:uid="{B3DDE22F-E56D-4653-8BAD-38875EAA60DA}"/>
    <cellStyle name="20% - Accent3 10 3 3 5" xfId="27742" xr:uid="{34F937C3-1838-400E-B53C-208D1ADA3D78}"/>
    <cellStyle name="20% - Accent3 10 3 4" xfId="5629" xr:uid="{00000000-0005-0000-0000-0000600E0000}"/>
    <cellStyle name="20% - Accent3 10 3 4 2" xfId="13613" xr:uid="{00000000-0005-0000-0000-0000610E0000}"/>
    <cellStyle name="20% - Accent3 10 3 4 2 2" xfId="37456" xr:uid="{A8168145-B164-4649-BF3E-4B657C5BAE14}"/>
    <cellStyle name="20% - Accent3 10 3 4 3" xfId="21561" xr:uid="{00000000-0005-0000-0000-0000620E0000}"/>
    <cellStyle name="20% - Accent3 10 3 4 3 2" xfId="45393" xr:uid="{EF27572E-C240-46DF-B269-D29DE625970C}"/>
    <cellStyle name="20% - Accent3 10 3 4 4" xfId="29515" xr:uid="{7267FEB1-4F01-4F46-9569-4A4CF28C7FDF}"/>
    <cellStyle name="20% - Accent3 10 3 5" xfId="9182" xr:uid="{00000000-0005-0000-0000-0000630E0000}"/>
    <cellStyle name="20% - Accent3 10 3 5 2" xfId="17140" xr:uid="{00000000-0005-0000-0000-0000640E0000}"/>
    <cellStyle name="20% - Accent3 10 3 5 2 2" xfId="40980" xr:uid="{8D8896AE-6E00-449C-91CE-A6444554FE6A}"/>
    <cellStyle name="20% - Accent3 10 3 5 3" xfId="25084" xr:uid="{00000000-0005-0000-0000-0000650E0000}"/>
    <cellStyle name="20% - Accent3 10 3 5 3 2" xfId="48916" xr:uid="{58463BC3-68C7-4A35-9DA8-8C03D0DDF3C6}"/>
    <cellStyle name="20% - Accent3 10 3 5 4" xfId="33039" xr:uid="{38CDA251-D509-4DBC-9F50-4ECABA6B1C06}"/>
    <cellStyle name="20% - Accent3 10 3 6" xfId="10078" xr:uid="{00000000-0005-0000-0000-0000660E0000}"/>
    <cellStyle name="20% - Accent3 10 3 6 2" xfId="33927" xr:uid="{2981E06A-920E-42BC-9D2D-A393CAB71D09}"/>
    <cellStyle name="20% - Accent3 10 3 7" xfId="18033" xr:uid="{00000000-0005-0000-0000-0000670E0000}"/>
    <cellStyle name="20% - Accent3 10 3 7 2" xfId="41865" xr:uid="{66472314-EC31-4AB2-B516-9F82FC8F4136}"/>
    <cellStyle name="20% - Accent3 10 3 8" xfId="25985" xr:uid="{2BCFECC5-AA6C-4CD0-8CD2-CA93E5527A4F}"/>
    <cellStyle name="20% - Accent3 10 3_Exh G" xfId="2194" xr:uid="{00000000-0005-0000-0000-0000680E0000}"/>
    <cellStyle name="20% - Accent3 10 4" xfId="886" xr:uid="{00000000-0005-0000-0000-0000690E0000}"/>
    <cellStyle name="20% - Accent3 10 5" xfId="1155" xr:uid="{00000000-0005-0000-0000-00006A0E0000}"/>
    <cellStyle name="20% - Accent3 10 5 2" xfId="4685" xr:uid="{00000000-0005-0000-0000-00006B0E0000}"/>
    <cellStyle name="20% - Accent3 10 5 2 2" xfId="8276" xr:uid="{00000000-0005-0000-0000-00006C0E0000}"/>
    <cellStyle name="20% - Accent3 10 5 2 2 2" xfId="16247" xr:uid="{00000000-0005-0000-0000-00006D0E0000}"/>
    <cellStyle name="20% - Accent3 10 5 2 2 2 2" xfId="40089" xr:uid="{90DFC589-8AD8-48F9-8948-D198FD79757E}"/>
    <cellStyle name="20% - Accent3 10 5 2 2 3" xfId="24193" xr:uid="{00000000-0005-0000-0000-00006E0E0000}"/>
    <cellStyle name="20% - Accent3 10 5 2 2 3 2" xfId="48025" xr:uid="{F5206992-C9E7-433F-B639-F8425D6B5471}"/>
    <cellStyle name="20% - Accent3 10 5 2 2 4" xfId="32148" xr:uid="{79D964CA-1E8F-435D-A5BF-97F6BF6B625B}"/>
    <cellStyle name="20% - Accent3 10 5 2 3" xfId="12709" xr:uid="{00000000-0005-0000-0000-00006F0E0000}"/>
    <cellStyle name="20% - Accent3 10 5 2 3 2" xfId="36558" xr:uid="{15FC3E29-1091-4774-AA3D-0096B3F853E4}"/>
    <cellStyle name="20% - Accent3 10 5 2 4" xfId="20664" xr:uid="{00000000-0005-0000-0000-0000700E0000}"/>
    <cellStyle name="20% - Accent3 10 5 2 4 2" xfId="44496" xr:uid="{82FF5EF8-006E-4CF0-A1F1-3B8306742D59}"/>
    <cellStyle name="20% - Accent3 10 5 2 5" xfId="28617" xr:uid="{D1EAC9F7-EE52-403A-846E-2149C4549A3D}"/>
    <cellStyle name="20% - Accent3 10 5 3" xfId="6517" xr:uid="{00000000-0005-0000-0000-0000710E0000}"/>
    <cellStyle name="20% - Accent3 10 5 3 2" xfId="14489" xr:uid="{00000000-0005-0000-0000-0000720E0000}"/>
    <cellStyle name="20% - Accent3 10 5 3 2 2" xfId="38331" xr:uid="{D452E7A5-A953-4188-8B6E-E47849795A29}"/>
    <cellStyle name="20% - Accent3 10 5 3 3" xfId="22436" xr:uid="{00000000-0005-0000-0000-0000730E0000}"/>
    <cellStyle name="20% - Accent3 10 5 3 3 2" xfId="46268" xr:uid="{A3F97825-910D-4E77-9DF9-AEBFDD19DB75}"/>
    <cellStyle name="20% - Accent3 10 5 3 4" xfId="30390" xr:uid="{503E0C34-60EC-483D-8114-31D3A4B0ACB7}"/>
    <cellStyle name="20% - Accent3 10 5 4" xfId="10953" xr:uid="{00000000-0005-0000-0000-0000740E0000}"/>
    <cellStyle name="20% - Accent3 10 5 4 2" xfId="34802" xr:uid="{B1877F30-E410-4836-AEFB-ED818E6F0442}"/>
    <cellStyle name="20% - Accent3 10 5 5" xfId="18908" xr:uid="{00000000-0005-0000-0000-0000750E0000}"/>
    <cellStyle name="20% - Accent3 10 5 5 2" xfId="42740" xr:uid="{70E1107F-6BB3-42D2-BCDD-787BF2B933C1}"/>
    <cellStyle name="20% - Accent3 10 5 6" xfId="26860" xr:uid="{7CE2F8D9-D3E9-49A3-8604-B0AE90A8A688}"/>
    <cellStyle name="20% - Accent3 10 5_Exh G" xfId="2196" xr:uid="{00000000-0005-0000-0000-0000760E0000}"/>
    <cellStyle name="20% - Accent3 10 6" xfId="3806" xr:uid="{00000000-0005-0000-0000-0000770E0000}"/>
    <cellStyle name="20% - Accent3 10 6 2" xfId="7398" xr:uid="{00000000-0005-0000-0000-0000780E0000}"/>
    <cellStyle name="20% - Accent3 10 6 2 2" xfId="15369" xr:uid="{00000000-0005-0000-0000-0000790E0000}"/>
    <cellStyle name="20% - Accent3 10 6 2 2 2" xfId="39211" xr:uid="{FE4DA9D1-32A0-4925-BB9C-AF1038DBDBDF}"/>
    <cellStyle name="20% - Accent3 10 6 2 3" xfId="23315" xr:uid="{00000000-0005-0000-0000-00007A0E0000}"/>
    <cellStyle name="20% - Accent3 10 6 2 3 2" xfId="47147" xr:uid="{E27EB1C6-8259-4B1D-95EE-3504895C102F}"/>
    <cellStyle name="20% - Accent3 10 6 2 4" xfId="31270" xr:uid="{8845ED70-F2A9-4C51-AE4D-D91E2847F56C}"/>
    <cellStyle name="20% - Accent3 10 6 3" xfId="11831" xr:uid="{00000000-0005-0000-0000-00007B0E0000}"/>
    <cellStyle name="20% - Accent3 10 6 3 2" xfId="35680" xr:uid="{870C9DE4-041A-4A7F-B2CE-EB3BAEF556C1}"/>
    <cellStyle name="20% - Accent3 10 6 4" xfId="19786" xr:uid="{00000000-0005-0000-0000-00007C0E0000}"/>
    <cellStyle name="20% - Accent3 10 6 4 2" xfId="43618" xr:uid="{B9EBD6E9-7A2A-4F2E-BFAD-BD030A481940}"/>
    <cellStyle name="20% - Accent3 10 6 5" xfId="27739" xr:uid="{32772542-8D38-4BBA-BAC6-397F512043F1}"/>
    <cellStyle name="20% - Accent3 10 7" xfId="5626" xr:uid="{00000000-0005-0000-0000-00007D0E0000}"/>
    <cellStyle name="20% - Accent3 10 7 2" xfId="13610" xr:uid="{00000000-0005-0000-0000-00007E0E0000}"/>
    <cellStyle name="20% - Accent3 10 7 2 2" xfId="37453" xr:uid="{3D276FD5-4685-46B6-BB32-0B7A757E64BC}"/>
    <cellStyle name="20% - Accent3 10 7 3" xfId="21558" xr:uid="{00000000-0005-0000-0000-00007F0E0000}"/>
    <cellStyle name="20% - Accent3 10 7 3 2" xfId="45390" xr:uid="{6325ED19-6B0E-4089-8C50-67D12E759AA7}"/>
    <cellStyle name="20% - Accent3 10 7 4" xfId="29512" xr:uid="{1D1DD814-EDCC-4E36-B8F2-6772D61E2945}"/>
    <cellStyle name="20% - Accent3 10 8" xfId="9179" xr:uid="{00000000-0005-0000-0000-0000800E0000}"/>
    <cellStyle name="20% - Accent3 10 8 2" xfId="17137" xr:uid="{00000000-0005-0000-0000-0000810E0000}"/>
    <cellStyle name="20% - Accent3 10 8 2 2" xfId="40977" xr:uid="{3C26F5E7-2031-407F-8429-D9F21F2574AE}"/>
    <cellStyle name="20% - Accent3 10 8 3" xfId="25081" xr:uid="{00000000-0005-0000-0000-0000820E0000}"/>
    <cellStyle name="20% - Accent3 10 8 3 2" xfId="48913" xr:uid="{9914AB3F-2F2D-49FC-BB33-EABF6FF665FC}"/>
    <cellStyle name="20% - Accent3 10 8 4" xfId="33036" xr:uid="{EE56B66D-CCAF-41D9-8418-2A14C981DFDC}"/>
    <cellStyle name="20% - Accent3 10 9" xfId="10075" xr:uid="{00000000-0005-0000-0000-0000830E0000}"/>
    <cellStyle name="20% - Accent3 10 9 2" xfId="33924" xr:uid="{52053DE7-6540-49E6-A461-1365C4D07443}"/>
    <cellStyle name="20% - Accent3 10_Exh G" xfId="2189" xr:uid="{00000000-0005-0000-0000-0000840E0000}"/>
    <cellStyle name="20% - Accent3 11" xfId="131" xr:uid="{00000000-0005-0000-0000-0000850E0000}"/>
    <cellStyle name="20% - Accent3 11 10" xfId="25986" xr:uid="{DEDD596E-9FFD-472A-BF6A-2C4511DA7B1C}"/>
    <cellStyle name="20% - Accent3 11 2" xfId="132" xr:uid="{00000000-0005-0000-0000-0000860E0000}"/>
    <cellStyle name="20% - Accent3 11 2 2" xfId="133" xr:uid="{00000000-0005-0000-0000-0000870E0000}"/>
    <cellStyle name="20% - Accent3 11 2 2 2" xfId="1161" xr:uid="{00000000-0005-0000-0000-0000880E0000}"/>
    <cellStyle name="20% - Accent3 11 2 2 2 2" xfId="4691" xr:uid="{00000000-0005-0000-0000-0000890E0000}"/>
    <cellStyle name="20% - Accent3 11 2 2 2 2 2" xfId="8282" xr:uid="{00000000-0005-0000-0000-00008A0E0000}"/>
    <cellStyle name="20% - Accent3 11 2 2 2 2 2 2" xfId="16253" xr:uid="{00000000-0005-0000-0000-00008B0E0000}"/>
    <cellStyle name="20% - Accent3 11 2 2 2 2 2 2 2" xfId="40095" xr:uid="{07D891D3-D23F-47D0-9267-705453506473}"/>
    <cellStyle name="20% - Accent3 11 2 2 2 2 2 3" xfId="24199" xr:uid="{00000000-0005-0000-0000-00008C0E0000}"/>
    <cellStyle name="20% - Accent3 11 2 2 2 2 2 3 2" xfId="48031" xr:uid="{B2CEDCCE-17A9-4799-BA8A-9EFF5E1FEC44}"/>
    <cellStyle name="20% - Accent3 11 2 2 2 2 2 4" xfId="32154" xr:uid="{84E2322F-21A5-4AC2-A757-0399946182E9}"/>
    <cellStyle name="20% - Accent3 11 2 2 2 2 3" xfId="12715" xr:uid="{00000000-0005-0000-0000-00008D0E0000}"/>
    <cellStyle name="20% - Accent3 11 2 2 2 2 3 2" xfId="36564" xr:uid="{EBE2E4E5-D3C0-4ACB-A32B-7C8B2EFDC1D2}"/>
    <cellStyle name="20% - Accent3 11 2 2 2 2 4" xfId="20670" xr:uid="{00000000-0005-0000-0000-00008E0E0000}"/>
    <cellStyle name="20% - Accent3 11 2 2 2 2 4 2" xfId="44502" xr:uid="{4E432C85-A768-48D8-94B6-44D330DC5F2C}"/>
    <cellStyle name="20% - Accent3 11 2 2 2 2 5" xfId="28623" xr:uid="{BF8F2FB7-08C2-466F-945D-45C27E0A3D05}"/>
    <cellStyle name="20% - Accent3 11 2 2 2 3" xfId="6523" xr:uid="{00000000-0005-0000-0000-00008F0E0000}"/>
    <cellStyle name="20% - Accent3 11 2 2 2 3 2" xfId="14495" xr:uid="{00000000-0005-0000-0000-0000900E0000}"/>
    <cellStyle name="20% - Accent3 11 2 2 2 3 2 2" xfId="38337" xr:uid="{2738B2F5-DB6B-4461-B32D-036B22962427}"/>
    <cellStyle name="20% - Accent3 11 2 2 2 3 3" xfId="22442" xr:uid="{00000000-0005-0000-0000-0000910E0000}"/>
    <cellStyle name="20% - Accent3 11 2 2 2 3 3 2" xfId="46274" xr:uid="{D11F779B-3FD7-4B7D-8F9E-C7BBD4096A89}"/>
    <cellStyle name="20% - Accent3 11 2 2 2 3 4" xfId="30396" xr:uid="{097C023B-B34A-47E6-A23A-69EF67A0ED7A}"/>
    <cellStyle name="20% - Accent3 11 2 2 2 4" xfId="10959" xr:uid="{00000000-0005-0000-0000-0000920E0000}"/>
    <cellStyle name="20% - Accent3 11 2 2 2 4 2" xfId="34808" xr:uid="{FF435EC6-13F4-47B2-AC21-6F89117F9DCE}"/>
    <cellStyle name="20% - Accent3 11 2 2 2 5" xfId="18914" xr:uid="{00000000-0005-0000-0000-0000930E0000}"/>
    <cellStyle name="20% - Accent3 11 2 2 2 5 2" xfId="42746" xr:uid="{57C0EA3D-662A-466A-ADEF-A34022E874B6}"/>
    <cellStyle name="20% - Accent3 11 2 2 2 6" xfId="26866" xr:uid="{DAAF3C63-ECD0-42F1-9107-4CE1CEC68110}"/>
    <cellStyle name="20% - Accent3 11 2 2 2_Exh G" xfId="2200" xr:uid="{00000000-0005-0000-0000-0000940E0000}"/>
    <cellStyle name="20% - Accent3 11 2 2 3" xfId="3812" xr:uid="{00000000-0005-0000-0000-0000950E0000}"/>
    <cellStyle name="20% - Accent3 11 2 2 3 2" xfId="7404" xr:uid="{00000000-0005-0000-0000-0000960E0000}"/>
    <cellStyle name="20% - Accent3 11 2 2 3 2 2" xfId="15375" xr:uid="{00000000-0005-0000-0000-0000970E0000}"/>
    <cellStyle name="20% - Accent3 11 2 2 3 2 2 2" xfId="39217" xr:uid="{878D1CFE-91CB-42AC-A700-DACBAECFED15}"/>
    <cellStyle name="20% - Accent3 11 2 2 3 2 3" xfId="23321" xr:uid="{00000000-0005-0000-0000-0000980E0000}"/>
    <cellStyle name="20% - Accent3 11 2 2 3 2 3 2" xfId="47153" xr:uid="{8BE894F0-9698-4D84-9C1F-D82BDC7D1F2E}"/>
    <cellStyle name="20% - Accent3 11 2 2 3 2 4" xfId="31276" xr:uid="{33892D32-0A9B-476A-9481-ED05C498CC6D}"/>
    <cellStyle name="20% - Accent3 11 2 2 3 3" xfId="11837" xr:uid="{00000000-0005-0000-0000-0000990E0000}"/>
    <cellStyle name="20% - Accent3 11 2 2 3 3 2" xfId="35686" xr:uid="{7900F933-3414-4561-9E55-297F3269A8FB}"/>
    <cellStyle name="20% - Accent3 11 2 2 3 4" xfId="19792" xr:uid="{00000000-0005-0000-0000-00009A0E0000}"/>
    <cellStyle name="20% - Accent3 11 2 2 3 4 2" xfId="43624" xr:uid="{06DEC465-4342-41F4-A63B-D0A64D04487C}"/>
    <cellStyle name="20% - Accent3 11 2 2 3 5" xfId="27745" xr:uid="{10AB946A-17FA-4F36-9163-AD9E40A8D47F}"/>
    <cellStyle name="20% - Accent3 11 2 2 4" xfId="5632" xr:uid="{00000000-0005-0000-0000-00009B0E0000}"/>
    <cellStyle name="20% - Accent3 11 2 2 4 2" xfId="13616" xr:uid="{00000000-0005-0000-0000-00009C0E0000}"/>
    <cellStyle name="20% - Accent3 11 2 2 4 2 2" xfId="37459" xr:uid="{3C1969BE-D95E-4A3B-900F-F022BC8B0FE2}"/>
    <cellStyle name="20% - Accent3 11 2 2 4 3" xfId="21564" xr:uid="{00000000-0005-0000-0000-00009D0E0000}"/>
    <cellStyle name="20% - Accent3 11 2 2 4 3 2" xfId="45396" xr:uid="{62048054-1C53-4EB5-BBE5-8635E75EC0E6}"/>
    <cellStyle name="20% - Accent3 11 2 2 4 4" xfId="29518" xr:uid="{9F6502A9-C75D-427B-A706-A77658D0C87A}"/>
    <cellStyle name="20% - Accent3 11 2 2 5" xfId="9185" xr:uid="{00000000-0005-0000-0000-00009E0E0000}"/>
    <cellStyle name="20% - Accent3 11 2 2 5 2" xfId="17143" xr:uid="{00000000-0005-0000-0000-00009F0E0000}"/>
    <cellStyle name="20% - Accent3 11 2 2 5 2 2" xfId="40983" xr:uid="{880D715F-6B67-4639-A9A3-1E858F5FF5F9}"/>
    <cellStyle name="20% - Accent3 11 2 2 5 3" xfId="25087" xr:uid="{00000000-0005-0000-0000-0000A00E0000}"/>
    <cellStyle name="20% - Accent3 11 2 2 5 3 2" xfId="48919" xr:uid="{AFEE00A4-F015-4CFA-915B-9859B75C0CBD}"/>
    <cellStyle name="20% - Accent3 11 2 2 5 4" xfId="33042" xr:uid="{BC14098A-7948-443D-979E-0B24BE79CBDF}"/>
    <cellStyle name="20% - Accent3 11 2 2 6" xfId="10081" xr:uid="{00000000-0005-0000-0000-0000A10E0000}"/>
    <cellStyle name="20% - Accent3 11 2 2 6 2" xfId="33930" xr:uid="{42D9FE21-FFB8-462F-B7B9-471F384B81F9}"/>
    <cellStyle name="20% - Accent3 11 2 2 7" xfId="18036" xr:uid="{00000000-0005-0000-0000-0000A20E0000}"/>
    <cellStyle name="20% - Accent3 11 2 2 7 2" xfId="41868" xr:uid="{F206DB08-0046-4C31-8536-780E6D8DEBCF}"/>
    <cellStyle name="20% - Accent3 11 2 2 8" xfId="25988" xr:uid="{BAA19DFA-8AC0-4DA7-9CA0-C5F82E5DD704}"/>
    <cellStyle name="20% - Accent3 11 2 2_Exh G" xfId="2199" xr:uid="{00000000-0005-0000-0000-0000A30E0000}"/>
    <cellStyle name="20% - Accent3 11 2 3" xfId="1160" xr:uid="{00000000-0005-0000-0000-0000A40E0000}"/>
    <cellStyle name="20% - Accent3 11 2 3 2" xfId="4690" xr:uid="{00000000-0005-0000-0000-0000A50E0000}"/>
    <cellStyle name="20% - Accent3 11 2 3 2 2" xfId="8281" xr:uid="{00000000-0005-0000-0000-0000A60E0000}"/>
    <cellStyle name="20% - Accent3 11 2 3 2 2 2" xfId="16252" xr:uid="{00000000-0005-0000-0000-0000A70E0000}"/>
    <cellStyle name="20% - Accent3 11 2 3 2 2 2 2" xfId="40094" xr:uid="{C253D7A0-3754-4604-8CAE-006B7A3146EC}"/>
    <cellStyle name="20% - Accent3 11 2 3 2 2 3" xfId="24198" xr:uid="{00000000-0005-0000-0000-0000A80E0000}"/>
    <cellStyle name="20% - Accent3 11 2 3 2 2 3 2" xfId="48030" xr:uid="{C754788C-A48F-4DC9-963B-EB9247D8F2FF}"/>
    <cellStyle name="20% - Accent3 11 2 3 2 2 4" xfId="32153" xr:uid="{B4360445-C1D9-4AD5-B9E7-3A67866B959D}"/>
    <cellStyle name="20% - Accent3 11 2 3 2 3" xfId="12714" xr:uid="{00000000-0005-0000-0000-0000A90E0000}"/>
    <cellStyle name="20% - Accent3 11 2 3 2 3 2" xfId="36563" xr:uid="{49FE6EE6-F8A7-411C-B6FF-016C26EA6199}"/>
    <cellStyle name="20% - Accent3 11 2 3 2 4" xfId="20669" xr:uid="{00000000-0005-0000-0000-0000AA0E0000}"/>
    <cellStyle name="20% - Accent3 11 2 3 2 4 2" xfId="44501" xr:uid="{64C52458-A663-4F94-90BA-0CC6984C7AB9}"/>
    <cellStyle name="20% - Accent3 11 2 3 2 5" xfId="28622" xr:uid="{7E58E7EC-3EA2-4D1D-A872-3F6B7D62FB07}"/>
    <cellStyle name="20% - Accent3 11 2 3 3" xfId="6522" xr:uid="{00000000-0005-0000-0000-0000AB0E0000}"/>
    <cellStyle name="20% - Accent3 11 2 3 3 2" xfId="14494" xr:uid="{00000000-0005-0000-0000-0000AC0E0000}"/>
    <cellStyle name="20% - Accent3 11 2 3 3 2 2" xfId="38336" xr:uid="{71F0A7CD-4994-408A-B3FB-E8E4CF9117F5}"/>
    <cellStyle name="20% - Accent3 11 2 3 3 3" xfId="22441" xr:uid="{00000000-0005-0000-0000-0000AD0E0000}"/>
    <cellStyle name="20% - Accent3 11 2 3 3 3 2" xfId="46273" xr:uid="{D58B6ECF-82B9-4109-A922-B2205E4B48D9}"/>
    <cellStyle name="20% - Accent3 11 2 3 3 4" xfId="30395" xr:uid="{BEBA061D-F4E6-4423-A13B-6E9C28EABF9D}"/>
    <cellStyle name="20% - Accent3 11 2 3 4" xfId="10958" xr:uid="{00000000-0005-0000-0000-0000AE0E0000}"/>
    <cellStyle name="20% - Accent3 11 2 3 4 2" xfId="34807" xr:uid="{6E2FDFAB-CADE-4799-B924-3C3B518F6EDF}"/>
    <cellStyle name="20% - Accent3 11 2 3 5" xfId="18913" xr:uid="{00000000-0005-0000-0000-0000AF0E0000}"/>
    <cellStyle name="20% - Accent3 11 2 3 5 2" xfId="42745" xr:uid="{093F094E-6507-4C88-B05B-3D3B6878A8F3}"/>
    <cellStyle name="20% - Accent3 11 2 3 6" xfId="26865" xr:uid="{848576C1-D9D3-4672-A4C3-7BF1B1DC64F8}"/>
    <cellStyle name="20% - Accent3 11 2 3_Exh G" xfId="2201" xr:uid="{00000000-0005-0000-0000-0000B00E0000}"/>
    <cellStyle name="20% - Accent3 11 2 4" xfId="3811" xr:uid="{00000000-0005-0000-0000-0000B10E0000}"/>
    <cellStyle name="20% - Accent3 11 2 4 2" xfId="7403" xr:uid="{00000000-0005-0000-0000-0000B20E0000}"/>
    <cellStyle name="20% - Accent3 11 2 4 2 2" xfId="15374" xr:uid="{00000000-0005-0000-0000-0000B30E0000}"/>
    <cellStyle name="20% - Accent3 11 2 4 2 2 2" xfId="39216" xr:uid="{60164960-5CD4-4EDF-8236-EB782A9DF9D3}"/>
    <cellStyle name="20% - Accent3 11 2 4 2 3" xfId="23320" xr:uid="{00000000-0005-0000-0000-0000B40E0000}"/>
    <cellStyle name="20% - Accent3 11 2 4 2 3 2" xfId="47152" xr:uid="{F8BA81A7-F72D-4E83-9F41-E6B6D26292A7}"/>
    <cellStyle name="20% - Accent3 11 2 4 2 4" xfId="31275" xr:uid="{ADD7BB21-EE21-471F-BA5E-63B38389E2EA}"/>
    <cellStyle name="20% - Accent3 11 2 4 3" xfId="11836" xr:uid="{00000000-0005-0000-0000-0000B50E0000}"/>
    <cellStyle name="20% - Accent3 11 2 4 3 2" xfId="35685" xr:uid="{F4059E6F-B971-48B3-AE81-2CF808FA22F7}"/>
    <cellStyle name="20% - Accent3 11 2 4 4" xfId="19791" xr:uid="{00000000-0005-0000-0000-0000B60E0000}"/>
    <cellStyle name="20% - Accent3 11 2 4 4 2" xfId="43623" xr:uid="{F1FB4F8B-4866-4920-852C-542F5CF918C1}"/>
    <cellStyle name="20% - Accent3 11 2 4 5" xfId="27744" xr:uid="{5A5977B8-1E5B-4B4E-8FC6-FC291BFE68F5}"/>
    <cellStyle name="20% - Accent3 11 2 5" xfId="5631" xr:uid="{00000000-0005-0000-0000-0000B70E0000}"/>
    <cellStyle name="20% - Accent3 11 2 5 2" xfId="13615" xr:uid="{00000000-0005-0000-0000-0000B80E0000}"/>
    <cellStyle name="20% - Accent3 11 2 5 2 2" xfId="37458" xr:uid="{EC0B9A02-FA6E-4759-A13A-EED6DF70FE5A}"/>
    <cellStyle name="20% - Accent3 11 2 5 3" xfId="21563" xr:uid="{00000000-0005-0000-0000-0000B90E0000}"/>
    <cellStyle name="20% - Accent3 11 2 5 3 2" xfId="45395" xr:uid="{52C90475-209C-4F4E-BF1E-F929937D8131}"/>
    <cellStyle name="20% - Accent3 11 2 5 4" xfId="29517" xr:uid="{5A475991-E4CB-4503-9354-B05F5FB8B147}"/>
    <cellStyle name="20% - Accent3 11 2 6" xfId="9184" xr:uid="{00000000-0005-0000-0000-0000BA0E0000}"/>
    <cellStyle name="20% - Accent3 11 2 6 2" xfId="17142" xr:uid="{00000000-0005-0000-0000-0000BB0E0000}"/>
    <cellStyle name="20% - Accent3 11 2 6 2 2" xfId="40982" xr:uid="{7419C38B-8197-4AEE-85DF-25E2260AFD65}"/>
    <cellStyle name="20% - Accent3 11 2 6 3" xfId="25086" xr:uid="{00000000-0005-0000-0000-0000BC0E0000}"/>
    <cellStyle name="20% - Accent3 11 2 6 3 2" xfId="48918" xr:uid="{1AEE3D6F-7655-45F7-8CB1-BCF2EA2D57AD}"/>
    <cellStyle name="20% - Accent3 11 2 6 4" xfId="33041" xr:uid="{B2619499-47A9-40BD-9953-378C5C69A7CE}"/>
    <cellStyle name="20% - Accent3 11 2 7" xfId="10080" xr:uid="{00000000-0005-0000-0000-0000BD0E0000}"/>
    <cellStyle name="20% - Accent3 11 2 7 2" xfId="33929" xr:uid="{2C6F230D-B6D6-40C1-A3A9-88DA9FB6383C}"/>
    <cellStyle name="20% - Accent3 11 2 8" xfId="18035" xr:uid="{00000000-0005-0000-0000-0000BE0E0000}"/>
    <cellStyle name="20% - Accent3 11 2 8 2" xfId="41867" xr:uid="{72603BBE-025A-46DC-B119-2AEE5770272B}"/>
    <cellStyle name="20% - Accent3 11 2 9" xfId="25987" xr:uid="{7141A884-6FB6-4DDF-8A65-F129A5AD3250}"/>
    <cellStyle name="20% - Accent3 11 2_Exh G" xfId="2198" xr:uid="{00000000-0005-0000-0000-0000BF0E0000}"/>
    <cellStyle name="20% - Accent3 11 3" xfId="134" xr:uid="{00000000-0005-0000-0000-0000C00E0000}"/>
    <cellStyle name="20% - Accent3 11 3 2" xfId="1162" xr:uid="{00000000-0005-0000-0000-0000C10E0000}"/>
    <cellStyle name="20% - Accent3 11 3 2 2" xfId="4692" xr:uid="{00000000-0005-0000-0000-0000C20E0000}"/>
    <cellStyle name="20% - Accent3 11 3 2 2 2" xfId="8283" xr:uid="{00000000-0005-0000-0000-0000C30E0000}"/>
    <cellStyle name="20% - Accent3 11 3 2 2 2 2" xfId="16254" xr:uid="{00000000-0005-0000-0000-0000C40E0000}"/>
    <cellStyle name="20% - Accent3 11 3 2 2 2 2 2" xfId="40096" xr:uid="{3088271B-F0D0-4CD4-A348-3376C6B59B1E}"/>
    <cellStyle name="20% - Accent3 11 3 2 2 2 3" xfId="24200" xr:uid="{00000000-0005-0000-0000-0000C50E0000}"/>
    <cellStyle name="20% - Accent3 11 3 2 2 2 3 2" xfId="48032" xr:uid="{8E93E41F-A582-4A4B-87AD-3D7EA0B55455}"/>
    <cellStyle name="20% - Accent3 11 3 2 2 2 4" xfId="32155" xr:uid="{960017C3-BAAB-46D2-A63B-29003EA8D1C5}"/>
    <cellStyle name="20% - Accent3 11 3 2 2 3" xfId="12716" xr:uid="{00000000-0005-0000-0000-0000C60E0000}"/>
    <cellStyle name="20% - Accent3 11 3 2 2 3 2" xfId="36565" xr:uid="{5F05B06C-56D6-4D9A-B955-980550798F06}"/>
    <cellStyle name="20% - Accent3 11 3 2 2 4" xfId="20671" xr:uid="{00000000-0005-0000-0000-0000C70E0000}"/>
    <cellStyle name="20% - Accent3 11 3 2 2 4 2" xfId="44503" xr:uid="{FFC9EF9C-6943-4938-B64C-703B6BD9C683}"/>
    <cellStyle name="20% - Accent3 11 3 2 2 5" xfId="28624" xr:uid="{B55F2A97-D05F-478A-9DE1-7A3904A8C5F0}"/>
    <cellStyle name="20% - Accent3 11 3 2 3" xfId="6524" xr:uid="{00000000-0005-0000-0000-0000C80E0000}"/>
    <cellStyle name="20% - Accent3 11 3 2 3 2" xfId="14496" xr:uid="{00000000-0005-0000-0000-0000C90E0000}"/>
    <cellStyle name="20% - Accent3 11 3 2 3 2 2" xfId="38338" xr:uid="{1445B5E3-0EF3-4750-BAFC-C9CB425ED0AC}"/>
    <cellStyle name="20% - Accent3 11 3 2 3 3" xfId="22443" xr:uid="{00000000-0005-0000-0000-0000CA0E0000}"/>
    <cellStyle name="20% - Accent3 11 3 2 3 3 2" xfId="46275" xr:uid="{317C0771-1858-4434-9D42-6F45EBAF5322}"/>
    <cellStyle name="20% - Accent3 11 3 2 3 4" xfId="30397" xr:uid="{66800000-9586-4129-A17C-EA5B54513C83}"/>
    <cellStyle name="20% - Accent3 11 3 2 4" xfId="10960" xr:uid="{00000000-0005-0000-0000-0000CB0E0000}"/>
    <cellStyle name="20% - Accent3 11 3 2 4 2" xfId="34809" xr:uid="{FBEA62CD-488D-4B66-8DD4-CA2A4004144F}"/>
    <cellStyle name="20% - Accent3 11 3 2 5" xfId="18915" xr:uid="{00000000-0005-0000-0000-0000CC0E0000}"/>
    <cellStyle name="20% - Accent3 11 3 2 5 2" xfId="42747" xr:uid="{4E352B09-C29E-4B0D-B032-93511569F5E0}"/>
    <cellStyle name="20% - Accent3 11 3 2 6" xfId="26867" xr:uid="{4A9D680F-3024-4E78-8F2B-4F9829C4145A}"/>
    <cellStyle name="20% - Accent3 11 3 2_Exh G" xfId="2203" xr:uid="{00000000-0005-0000-0000-0000CD0E0000}"/>
    <cellStyle name="20% - Accent3 11 3 3" xfId="3813" xr:uid="{00000000-0005-0000-0000-0000CE0E0000}"/>
    <cellStyle name="20% - Accent3 11 3 3 2" xfId="7405" xr:uid="{00000000-0005-0000-0000-0000CF0E0000}"/>
    <cellStyle name="20% - Accent3 11 3 3 2 2" xfId="15376" xr:uid="{00000000-0005-0000-0000-0000D00E0000}"/>
    <cellStyle name="20% - Accent3 11 3 3 2 2 2" xfId="39218" xr:uid="{AC17FE91-7935-494D-9280-7165A53587E2}"/>
    <cellStyle name="20% - Accent3 11 3 3 2 3" xfId="23322" xr:uid="{00000000-0005-0000-0000-0000D10E0000}"/>
    <cellStyle name="20% - Accent3 11 3 3 2 3 2" xfId="47154" xr:uid="{E48F2B8C-6AA9-4F59-B214-4E10E5F56E79}"/>
    <cellStyle name="20% - Accent3 11 3 3 2 4" xfId="31277" xr:uid="{C21E6079-511B-41CC-9BAA-4EE085DDDDA7}"/>
    <cellStyle name="20% - Accent3 11 3 3 3" xfId="11838" xr:uid="{00000000-0005-0000-0000-0000D20E0000}"/>
    <cellStyle name="20% - Accent3 11 3 3 3 2" xfId="35687" xr:uid="{98B3C98A-F790-4956-98D3-7CF322A715FB}"/>
    <cellStyle name="20% - Accent3 11 3 3 4" xfId="19793" xr:uid="{00000000-0005-0000-0000-0000D30E0000}"/>
    <cellStyle name="20% - Accent3 11 3 3 4 2" xfId="43625" xr:uid="{7A78CFFB-2D0C-4D9E-8F35-1FFE009DCFE7}"/>
    <cellStyle name="20% - Accent3 11 3 3 5" xfId="27746" xr:uid="{B859855A-0A44-4E05-9D7D-7D582E6DF6C4}"/>
    <cellStyle name="20% - Accent3 11 3 4" xfId="5633" xr:uid="{00000000-0005-0000-0000-0000D40E0000}"/>
    <cellStyle name="20% - Accent3 11 3 4 2" xfId="13617" xr:uid="{00000000-0005-0000-0000-0000D50E0000}"/>
    <cellStyle name="20% - Accent3 11 3 4 2 2" xfId="37460" xr:uid="{51D643C2-5C00-44AA-9EB0-81263CD11F43}"/>
    <cellStyle name="20% - Accent3 11 3 4 3" xfId="21565" xr:uid="{00000000-0005-0000-0000-0000D60E0000}"/>
    <cellStyle name="20% - Accent3 11 3 4 3 2" xfId="45397" xr:uid="{A0CC3216-2686-4246-AAE5-E5CB08A3C2A1}"/>
    <cellStyle name="20% - Accent3 11 3 4 4" xfId="29519" xr:uid="{9CA5C75F-86E3-4287-A9E8-FD2F8397DE9F}"/>
    <cellStyle name="20% - Accent3 11 3 5" xfId="9186" xr:uid="{00000000-0005-0000-0000-0000D70E0000}"/>
    <cellStyle name="20% - Accent3 11 3 5 2" xfId="17144" xr:uid="{00000000-0005-0000-0000-0000D80E0000}"/>
    <cellStyle name="20% - Accent3 11 3 5 2 2" xfId="40984" xr:uid="{56B49C7D-E617-4D88-8C05-3B5A25BFBDFA}"/>
    <cellStyle name="20% - Accent3 11 3 5 3" xfId="25088" xr:uid="{00000000-0005-0000-0000-0000D90E0000}"/>
    <cellStyle name="20% - Accent3 11 3 5 3 2" xfId="48920" xr:uid="{9F812906-6788-444B-8C84-84971E5DAB0B}"/>
    <cellStyle name="20% - Accent3 11 3 5 4" xfId="33043" xr:uid="{B7ECBEA2-4AD8-453E-B7B4-32D991F30CCC}"/>
    <cellStyle name="20% - Accent3 11 3 6" xfId="10082" xr:uid="{00000000-0005-0000-0000-0000DA0E0000}"/>
    <cellStyle name="20% - Accent3 11 3 6 2" xfId="33931" xr:uid="{0BF8BF47-06E6-450D-AEE7-F7FC5EDC86D2}"/>
    <cellStyle name="20% - Accent3 11 3 7" xfId="18037" xr:uid="{00000000-0005-0000-0000-0000DB0E0000}"/>
    <cellStyle name="20% - Accent3 11 3 7 2" xfId="41869" xr:uid="{DD01DD44-34E4-4DF1-B99C-80045245E98B}"/>
    <cellStyle name="20% - Accent3 11 3 8" xfId="25989" xr:uid="{C87E9D1F-8F7D-4E67-8305-96CDE385FD81}"/>
    <cellStyle name="20% - Accent3 11 3_Exh G" xfId="2202" xr:uid="{00000000-0005-0000-0000-0000DC0E0000}"/>
    <cellStyle name="20% - Accent3 11 4" xfId="1159" xr:uid="{00000000-0005-0000-0000-0000DD0E0000}"/>
    <cellStyle name="20% - Accent3 11 4 2" xfId="4689" xr:uid="{00000000-0005-0000-0000-0000DE0E0000}"/>
    <cellStyle name="20% - Accent3 11 4 2 2" xfId="8280" xr:uid="{00000000-0005-0000-0000-0000DF0E0000}"/>
    <cellStyle name="20% - Accent3 11 4 2 2 2" xfId="16251" xr:uid="{00000000-0005-0000-0000-0000E00E0000}"/>
    <cellStyle name="20% - Accent3 11 4 2 2 2 2" xfId="40093" xr:uid="{02EA1351-F8D0-4A76-B1FE-51A3CB7AC525}"/>
    <cellStyle name="20% - Accent3 11 4 2 2 3" xfId="24197" xr:uid="{00000000-0005-0000-0000-0000E10E0000}"/>
    <cellStyle name="20% - Accent3 11 4 2 2 3 2" xfId="48029" xr:uid="{B1EC7C74-C315-469E-8EA5-DD92FC59625D}"/>
    <cellStyle name="20% - Accent3 11 4 2 2 4" xfId="32152" xr:uid="{7ABC91D6-E2DD-4F88-AA54-F1ED1B293EF0}"/>
    <cellStyle name="20% - Accent3 11 4 2 3" xfId="12713" xr:uid="{00000000-0005-0000-0000-0000E20E0000}"/>
    <cellStyle name="20% - Accent3 11 4 2 3 2" xfId="36562" xr:uid="{594B1BE0-EA4E-427F-883D-2C06F835B5F6}"/>
    <cellStyle name="20% - Accent3 11 4 2 4" xfId="20668" xr:uid="{00000000-0005-0000-0000-0000E30E0000}"/>
    <cellStyle name="20% - Accent3 11 4 2 4 2" xfId="44500" xr:uid="{5715CF5D-4524-4138-9CCD-C456244C4C3B}"/>
    <cellStyle name="20% - Accent3 11 4 2 5" xfId="28621" xr:uid="{02152A6A-BBAC-4177-90F2-3D3EB1818FA6}"/>
    <cellStyle name="20% - Accent3 11 4 3" xfId="6521" xr:uid="{00000000-0005-0000-0000-0000E40E0000}"/>
    <cellStyle name="20% - Accent3 11 4 3 2" xfId="14493" xr:uid="{00000000-0005-0000-0000-0000E50E0000}"/>
    <cellStyle name="20% - Accent3 11 4 3 2 2" xfId="38335" xr:uid="{FA26E868-DDF9-4DD9-9FA6-993F14CB753C}"/>
    <cellStyle name="20% - Accent3 11 4 3 3" xfId="22440" xr:uid="{00000000-0005-0000-0000-0000E60E0000}"/>
    <cellStyle name="20% - Accent3 11 4 3 3 2" xfId="46272" xr:uid="{B51C99EF-C814-44E8-A47C-B22AE7686151}"/>
    <cellStyle name="20% - Accent3 11 4 3 4" xfId="30394" xr:uid="{D870BA85-CD6D-42E8-A1A5-6C274D9A0AEB}"/>
    <cellStyle name="20% - Accent3 11 4 4" xfId="10957" xr:uid="{00000000-0005-0000-0000-0000E70E0000}"/>
    <cellStyle name="20% - Accent3 11 4 4 2" xfId="34806" xr:uid="{6927767A-CAEB-441A-A202-E4FA08F7E86A}"/>
    <cellStyle name="20% - Accent3 11 4 5" xfId="18912" xr:uid="{00000000-0005-0000-0000-0000E80E0000}"/>
    <cellStyle name="20% - Accent3 11 4 5 2" xfId="42744" xr:uid="{4FBCBB33-F6BF-471C-8C2C-6909F1D7D3A9}"/>
    <cellStyle name="20% - Accent3 11 4 6" xfId="26864" xr:uid="{1D214E6E-3C20-4878-9713-C960F6441D02}"/>
    <cellStyle name="20% - Accent3 11 4_Exh G" xfId="2204" xr:uid="{00000000-0005-0000-0000-0000E90E0000}"/>
    <cellStyle name="20% - Accent3 11 5" xfId="3810" xr:uid="{00000000-0005-0000-0000-0000EA0E0000}"/>
    <cellStyle name="20% - Accent3 11 5 2" xfId="7402" xr:uid="{00000000-0005-0000-0000-0000EB0E0000}"/>
    <cellStyle name="20% - Accent3 11 5 2 2" xfId="15373" xr:uid="{00000000-0005-0000-0000-0000EC0E0000}"/>
    <cellStyle name="20% - Accent3 11 5 2 2 2" xfId="39215" xr:uid="{7825C172-F82A-4501-BBA8-6F1C725C1FF5}"/>
    <cellStyle name="20% - Accent3 11 5 2 3" xfId="23319" xr:uid="{00000000-0005-0000-0000-0000ED0E0000}"/>
    <cellStyle name="20% - Accent3 11 5 2 3 2" xfId="47151" xr:uid="{63A97654-AB5F-4366-A7A2-23E280B384EC}"/>
    <cellStyle name="20% - Accent3 11 5 2 4" xfId="31274" xr:uid="{CF438BFE-3E7E-457F-A9D2-92E7EC237BDD}"/>
    <cellStyle name="20% - Accent3 11 5 3" xfId="11835" xr:uid="{00000000-0005-0000-0000-0000EE0E0000}"/>
    <cellStyle name="20% - Accent3 11 5 3 2" xfId="35684" xr:uid="{FF929754-E5C9-43C2-9033-B9CA29C7AD63}"/>
    <cellStyle name="20% - Accent3 11 5 4" xfId="19790" xr:uid="{00000000-0005-0000-0000-0000EF0E0000}"/>
    <cellStyle name="20% - Accent3 11 5 4 2" xfId="43622" xr:uid="{D2C8B0A4-76BC-4662-A396-B7703C05B335}"/>
    <cellStyle name="20% - Accent3 11 5 5" xfId="27743" xr:uid="{46219BF2-CCE7-4D7D-A69E-456BD6F3A76C}"/>
    <cellStyle name="20% - Accent3 11 6" xfId="5630" xr:uid="{00000000-0005-0000-0000-0000F00E0000}"/>
    <cellStyle name="20% - Accent3 11 6 2" xfId="13614" xr:uid="{00000000-0005-0000-0000-0000F10E0000}"/>
    <cellStyle name="20% - Accent3 11 6 2 2" xfId="37457" xr:uid="{81933AB6-06E0-4BFF-9003-D2D207616D87}"/>
    <cellStyle name="20% - Accent3 11 6 3" xfId="21562" xr:uid="{00000000-0005-0000-0000-0000F20E0000}"/>
    <cellStyle name="20% - Accent3 11 6 3 2" xfId="45394" xr:uid="{BB22EA99-0528-4A57-BB6C-39672FCF93EC}"/>
    <cellStyle name="20% - Accent3 11 6 4" xfId="29516" xr:uid="{563EF2A6-201B-4E00-944B-5F6E14FA4608}"/>
    <cellStyle name="20% - Accent3 11 7" xfId="9183" xr:uid="{00000000-0005-0000-0000-0000F30E0000}"/>
    <cellStyle name="20% - Accent3 11 7 2" xfId="17141" xr:uid="{00000000-0005-0000-0000-0000F40E0000}"/>
    <cellStyle name="20% - Accent3 11 7 2 2" xfId="40981" xr:uid="{3EAFFB55-6A5A-41D4-A579-59C8EBB82B50}"/>
    <cellStyle name="20% - Accent3 11 7 3" xfId="25085" xr:uid="{00000000-0005-0000-0000-0000F50E0000}"/>
    <cellStyle name="20% - Accent3 11 7 3 2" xfId="48917" xr:uid="{44A74F36-5603-458B-BA1D-EC6757FEA6C0}"/>
    <cellStyle name="20% - Accent3 11 7 4" xfId="33040" xr:uid="{CE55750C-CCE1-4A79-BB05-C8513E7F7F03}"/>
    <cellStyle name="20% - Accent3 11 8" xfId="10079" xr:uid="{00000000-0005-0000-0000-0000F60E0000}"/>
    <cellStyle name="20% - Accent3 11 8 2" xfId="33928" xr:uid="{66D7407C-671D-472F-B9A9-C37775992863}"/>
    <cellStyle name="20% - Accent3 11 9" xfId="18034" xr:uid="{00000000-0005-0000-0000-0000F70E0000}"/>
    <cellStyle name="20% - Accent3 11 9 2" xfId="41866" xr:uid="{877974FC-8FF1-4E71-8982-843397C70982}"/>
    <cellStyle name="20% - Accent3 11_Exh G" xfId="2197" xr:uid="{00000000-0005-0000-0000-0000F80E0000}"/>
    <cellStyle name="20% - Accent3 12" xfId="135" xr:uid="{00000000-0005-0000-0000-0000F90E0000}"/>
    <cellStyle name="20% - Accent3 12 10" xfId="25990" xr:uid="{96AB877A-99E6-428D-BB19-A66BCD76AFB2}"/>
    <cellStyle name="20% - Accent3 12 2" xfId="136" xr:uid="{00000000-0005-0000-0000-0000FA0E0000}"/>
    <cellStyle name="20% - Accent3 12 2 2" xfId="137" xr:uid="{00000000-0005-0000-0000-0000FB0E0000}"/>
    <cellStyle name="20% - Accent3 12 2 2 2" xfId="1165" xr:uid="{00000000-0005-0000-0000-0000FC0E0000}"/>
    <cellStyle name="20% - Accent3 12 2 2 2 2" xfId="4695" xr:uid="{00000000-0005-0000-0000-0000FD0E0000}"/>
    <cellStyle name="20% - Accent3 12 2 2 2 2 2" xfId="8286" xr:uid="{00000000-0005-0000-0000-0000FE0E0000}"/>
    <cellStyle name="20% - Accent3 12 2 2 2 2 2 2" xfId="16257" xr:uid="{00000000-0005-0000-0000-0000FF0E0000}"/>
    <cellStyle name="20% - Accent3 12 2 2 2 2 2 2 2" xfId="40099" xr:uid="{3CAF7EC9-0935-4B36-8AD9-5C8B2A23501E}"/>
    <cellStyle name="20% - Accent3 12 2 2 2 2 2 3" xfId="24203" xr:uid="{00000000-0005-0000-0000-0000000F0000}"/>
    <cellStyle name="20% - Accent3 12 2 2 2 2 2 3 2" xfId="48035" xr:uid="{A2E2392D-AF9E-4CF7-AA10-BBA84CE75838}"/>
    <cellStyle name="20% - Accent3 12 2 2 2 2 2 4" xfId="32158" xr:uid="{466DFFD8-CCDA-4D72-8C11-3C4DA3D029AB}"/>
    <cellStyle name="20% - Accent3 12 2 2 2 2 3" xfId="12719" xr:uid="{00000000-0005-0000-0000-0000010F0000}"/>
    <cellStyle name="20% - Accent3 12 2 2 2 2 3 2" xfId="36568" xr:uid="{FA29CACC-CCA1-4703-AFD5-787940AE16FA}"/>
    <cellStyle name="20% - Accent3 12 2 2 2 2 4" xfId="20674" xr:uid="{00000000-0005-0000-0000-0000020F0000}"/>
    <cellStyle name="20% - Accent3 12 2 2 2 2 4 2" xfId="44506" xr:uid="{7772DE29-266D-48C8-9E0A-C34476C1F8D6}"/>
    <cellStyle name="20% - Accent3 12 2 2 2 2 5" xfId="28627" xr:uid="{CDA5E947-6CDA-465A-87E2-1DCA772CC8C6}"/>
    <cellStyle name="20% - Accent3 12 2 2 2 3" xfId="6527" xr:uid="{00000000-0005-0000-0000-0000030F0000}"/>
    <cellStyle name="20% - Accent3 12 2 2 2 3 2" xfId="14499" xr:uid="{00000000-0005-0000-0000-0000040F0000}"/>
    <cellStyle name="20% - Accent3 12 2 2 2 3 2 2" xfId="38341" xr:uid="{F994D001-CB8E-4C6F-84AA-E2B62E378983}"/>
    <cellStyle name="20% - Accent3 12 2 2 2 3 3" xfId="22446" xr:uid="{00000000-0005-0000-0000-0000050F0000}"/>
    <cellStyle name="20% - Accent3 12 2 2 2 3 3 2" xfId="46278" xr:uid="{F65D0053-D237-42D7-8368-772D69F6D523}"/>
    <cellStyle name="20% - Accent3 12 2 2 2 3 4" xfId="30400" xr:uid="{4A6F48D5-D45B-411E-ABB0-93646917DFBD}"/>
    <cellStyle name="20% - Accent3 12 2 2 2 4" xfId="10963" xr:uid="{00000000-0005-0000-0000-0000060F0000}"/>
    <cellStyle name="20% - Accent3 12 2 2 2 4 2" xfId="34812" xr:uid="{050718E7-A085-4E27-8C2B-CADDD59BCF61}"/>
    <cellStyle name="20% - Accent3 12 2 2 2 5" xfId="18918" xr:uid="{00000000-0005-0000-0000-0000070F0000}"/>
    <cellStyle name="20% - Accent3 12 2 2 2 5 2" xfId="42750" xr:uid="{B8403056-90AB-4735-9ACB-2AFA752C1691}"/>
    <cellStyle name="20% - Accent3 12 2 2 2 6" xfId="26870" xr:uid="{3861667D-EB04-4DDD-914E-F7E67E057E34}"/>
    <cellStyle name="20% - Accent3 12 2 2 2_Exh G" xfId="2208" xr:uid="{00000000-0005-0000-0000-0000080F0000}"/>
    <cellStyle name="20% - Accent3 12 2 2 3" xfId="3816" xr:uid="{00000000-0005-0000-0000-0000090F0000}"/>
    <cellStyle name="20% - Accent3 12 2 2 3 2" xfId="7408" xr:uid="{00000000-0005-0000-0000-00000A0F0000}"/>
    <cellStyle name="20% - Accent3 12 2 2 3 2 2" xfId="15379" xr:uid="{00000000-0005-0000-0000-00000B0F0000}"/>
    <cellStyle name="20% - Accent3 12 2 2 3 2 2 2" xfId="39221" xr:uid="{887A200B-055B-4250-BC35-38B790539A2C}"/>
    <cellStyle name="20% - Accent3 12 2 2 3 2 3" xfId="23325" xr:uid="{00000000-0005-0000-0000-00000C0F0000}"/>
    <cellStyle name="20% - Accent3 12 2 2 3 2 3 2" xfId="47157" xr:uid="{DF8BB230-6287-45F3-80BA-36F8BB1784AB}"/>
    <cellStyle name="20% - Accent3 12 2 2 3 2 4" xfId="31280" xr:uid="{AD00BAB3-8EA8-4501-B980-5B5D5604F542}"/>
    <cellStyle name="20% - Accent3 12 2 2 3 3" xfId="11841" xr:uid="{00000000-0005-0000-0000-00000D0F0000}"/>
    <cellStyle name="20% - Accent3 12 2 2 3 3 2" xfId="35690" xr:uid="{9F8867FA-5D9B-413D-BAE3-DB19D66A3CAF}"/>
    <cellStyle name="20% - Accent3 12 2 2 3 4" xfId="19796" xr:uid="{00000000-0005-0000-0000-00000E0F0000}"/>
    <cellStyle name="20% - Accent3 12 2 2 3 4 2" xfId="43628" xr:uid="{2D495AEF-64CC-4102-8678-18D3DD9E1B0F}"/>
    <cellStyle name="20% - Accent3 12 2 2 3 5" xfId="27749" xr:uid="{1B2C3D28-D6D8-4E37-AE63-242CA1DA84AA}"/>
    <cellStyle name="20% - Accent3 12 2 2 4" xfId="5636" xr:uid="{00000000-0005-0000-0000-00000F0F0000}"/>
    <cellStyle name="20% - Accent3 12 2 2 4 2" xfId="13620" xr:uid="{00000000-0005-0000-0000-0000100F0000}"/>
    <cellStyle name="20% - Accent3 12 2 2 4 2 2" xfId="37463" xr:uid="{DCC55823-FEC5-418A-A539-68656A61899F}"/>
    <cellStyle name="20% - Accent3 12 2 2 4 3" xfId="21568" xr:uid="{00000000-0005-0000-0000-0000110F0000}"/>
    <cellStyle name="20% - Accent3 12 2 2 4 3 2" xfId="45400" xr:uid="{4AA917FC-1FBC-4102-8A89-0A64232E57DE}"/>
    <cellStyle name="20% - Accent3 12 2 2 4 4" xfId="29522" xr:uid="{B5C8827F-6412-4733-A1AD-33BCEC96C734}"/>
    <cellStyle name="20% - Accent3 12 2 2 5" xfId="9189" xr:uid="{00000000-0005-0000-0000-0000120F0000}"/>
    <cellStyle name="20% - Accent3 12 2 2 5 2" xfId="17147" xr:uid="{00000000-0005-0000-0000-0000130F0000}"/>
    <cellStyle name="20% - Accent3 12 2 2 5 2 2" xfId="40987" xr:uid="{5675DF44-4E59-4327-9342-5DC745EF174D}"/>
    <cellStyle name="20% - Accent3 12 2 2 5 3" xfId="25091" xr:uid="{00000000-0005-0000-0000-0000140F0000}"/>
    <cellStyle name="20% - Accent3 12 2 2 5 3 2" xfId="48923" xr:uid="{3DAE673D-B760-4037-A9CE-B41D7E86802A}"/>
    <cellStyle name="20% - Accent3 12 2 2 5 4" xfId="33046" xr:uid="{BA02927B-A1FA-4190-B80B-E12796A872B3}"/>
    <cellStyle name="20% - Accent3 12 2 2 6" xfId="10085" xr:uid="{00000000-0005-0000-0000-0000150F0000}"/>
    <cellStyle name="20% - Accent3 12 2 2 6 2" xfId="33934" xr:uid="{572CBD7A-983B-4E76-ABDF-C9A80D3A30D7}"/>
    <cellStyle name="20% - Accent3 12 2 2 7" xfId="18040" xr:uid="{00000000-0005-0000-0000-0000160F0000}"/>
    <cellStyle name="20% - Accent3 12 2 2 7 2" xfId="41872" xr:uid="{790E1F3F-E19D-49D6-ABD4-79E954780090}"/>
    <cellStyle name="20% - Accent3 12 2 2 8" xfId="25992" xr:uid="{DC35636C-057D-4AC4-8BA3-B8D11C55E7AC}"/>
    <cellStyle name="20% - Accent3 12 2 2_Exh G" xfId="2207" xr:uid="{00000000-0005-0000-0000-0000170F0000}"/>
    <cellStyle name="20% - Accent3 12 2 3" xfId="1164" xr:uid="{00000000-0005-0000-0000-0000180F0000}"/>
    <cellStyle name="20% - Accent3 12 2 3 2" xfId="4694" xr:uid="{00000000-0005-0000-0000-0000190F0000}"/>
    <cellStyle name="20% - Accent3 12 2 3 2 2" xfId="8285" xr:uid="{00000000-0005-0000-0000-00001A0F0000}"/>
    <cellStyle name="20% - Accent3 12 2 3 2 2 2" xfId="16256" xr:uid="{00000000-0005-0000-0000-00001B0F0000}"/>
    <cellStyle name="20% - Accent3 12 2 3 2 2 2 2" xfId="40098" xr:uid="{52FCBF32-E703-4268-8993-706CF5A297B3}"/>
    <cellStyle name="20% - Accent3 12 2 3 2 2 3" xfId="24202" xr:uid="{00000000-0005-0000-0000-00001C0F0000}"/>
    <cellStyle name="20% - Accent3 12 2 3 2 2 3 2" xfId="48034" xr:uid="{FB9256F9-4B90-4445-B6F2-7540D50EDBF1}"/>
    <cellStyle name="20% - Accent3 12 2 3 2 2 4" xfId="32157" xr:uid="{380A0907-EF34-4F13-8616-46D250647B2E}"/>
    <cellStyle name="20% - Accent3 12 2 3 2 3" xfId="12718" xr:uid="{00000000-0005-0000-0000-00001D0F0000}"/>
    <cellStyle name="20% - Accent3 12 2 3 2 3 2" xfId="36567" xr:uid="{67F022E3-255E-4994-9056-3BD60058E8B4}"/>
    <cellStyle name="20% - Accent3 12 2 3 2 4" xfId="20673" xr:uid="{00000000-0005-0000-0000-00001E0F0000}"/>
    <cellStyle name="20% - Accent3 12 2 3 2 4 2" xfId="44505" xr:uid="{F87255DC-04BE-4B7A-B2AB-C55C5EEC1F3B}"/>
    <cellStyle name="20% - Accent3 12 2 3 2 5" xfId="28626" xr:uid="{F6EB4843-0577-4FAA-8421-9AEAC61D9F28}"/>
    <cellStyle name="20% - Accent3 12 2 3 3" xfId="6526" xr:uid="{00000000-0005-0000-0000-00001F0F0000}"/>
    <cellStyle name="20% - Accent3 12 2 3 3 2" xfId="14498" xr:uid="{00000000-0005-0000-0000-0000200F0000}"/>
    <cellStyle name="20% - Accent3 12 2 3 3 2 2" xfId="38340" xr:uid="{5AB9A405-019C-4149-A9B3-4315FEF904DE}"/>
    <cellStyle name="20% - Accent3 12 2 3 3 3" xfId="22445" xr:uid="{00000000-0005-0000-0000-0000210F0000}"/>
    <cellStyle name="20% - Accent3 12 2 3 3 3 2" xfId="46277" xr:uid="{F322A7D5-824F-4509-8BB2-220080FFE85D}"/>
    <cellStyle name="20% - Accent3 12 2 3 3 4" xfId="30399" xr:uid="{88A306E9-E921-48C5-A962-D775E607C84D}"/>
    <cellStyle name="20% - Accent3 12 2 3 4" xfId="10962" xr:uid="{00000000-0005-0000-0000-0000220F0000}"/>
    <cellStyle name="20% - Accent3 12 2 3 4 2" xfId="34811" xr:uid="{334978EC-0A9C-4EFE-9B2D-05885A610259}"/>
    <cellStyle name="20% - Accent3 12 2 3 5" xfId="18917" xr:uid="{00000000-0005-0000-0000-0000230F0000}"/>
    <cellStyle name="20% - Accent3 12 2 3 5 2" xfId="42749" xr:uid="{62439268-F587-4593-8405-F4679B33A416}"/>
    <cellStyle name="20% - Accent3 12 2 3 6" xfId="26869" xr:uid="{57658744-9448-4CCC-9019-95771F48C87E}"/>
    <cellStyle name="20% - Accent3 12 2 3_Exh G" xfId="2209" xr:uid="{00000000-0005-0000-0000-0000240F0000}"/>
    <cellStyle name="20% - Accent3 12 2 4" xfId="3815" xr:uid="{00000000-0005-0000-0000-0000250F0000}"/>
    <cellStyle name="20% - Accent3 12 2 4 2" xfId="7407" xr:uid="{00000000-0005-0000-0000-0000260F0000}"/>
    <cellStyle name="20% - Accent3 12 2 4 2 2" xfId="15378" xr:uid="{00000000-0005-0000-0000-0000270F0000}"/>
    <cellStyle name="20% - Accent3 12 2 4 2 2 2" xfId="39220" xr:uid="{367F23E7-9485-454E-9673-3A04824C687C}"/>
    <cellStyle name="20% - Accent3 12 2 4 2 3" xfId="23324" xr:uid="{00000000-0005-0000-0000-0000280F0000}"/>
    <cellStyle name="20% - Accent3 12 2 4 2 3 2" xfId="47156" xr:uid="{7AFBE97B-5A72-4954-B62C-269F42288F96}"/>
    <cellStyle name="20% - Accent3 12 2 4 2 4" xfId="31279" xr:uid="{6C3EEF5C-9654-406B-8310-30A5AAD2132C}"/>
    <cellStyle name="20% - Accent3 12 2 4 3" xfId="11840" xr:uid="{00000000-0005-0000-0000-0000290F0000}"/>
    <cellStyle name="20% - Accent3 12 2 4 3 2" xfId="35689" xr:uid="{CEED7063-326F-485E-8152-0DFF1B257081}"/>
    <cellStyle name="20% - Accent3 12 2 4 4" xfId="19795" xr:uid="{00000000-0005-0000-0000-00002A0F0000}"/>
    <cellStyle name="20% - Accent3 12 2 4 4 2" xfId="43627" xr:uid="{520BB110-805C-455D-A7FE-421CEEEA819A}"/>
    <cellStyle name="20% - Accent3 12 2 4 5" xfId="27748" xr:uid="{0ED1A3EA-09D7-448C-8360-F9C92C29F178}"/>
    <cellStyle name="20% - Accent3 12 2 5" xfId="5635" xr:uid="{00000000-0005-0000-0000-00002B0F0000}"/>
    <cellStyle name="20% - Accent3 12 2 5 2" xfId="13619" xr:uid="{00000000-0005-0000-0000-00002C0F0000}"/>
    <cellStyle name="20% - Accent3 12 2 5 2 2" xfId="37462" xr:uid="{D0BDB96D-AD52-4541-8833-0F41A592A75E}"/>
    <cellStyle name="20% - Accent3 12 2 5 3" xfId="21567" xr:uid="{00000000-0005-0000-0000-00002D0F0000}"/>
    <cellStyle name="20% - Accent3 12 2 5 3 2" xfId="45399" xr:uid="{63592970-4E6D-432A-8D82-8B17DE11FF89}"/>
    <cellStyle name="20% - Accent3 12 2 5 4" xfId="29521" xr:uid="{F65DC496-FE1B-4609-89F6-F4F4F8BB8E64}"/>
    <cellStyle name="20% - Accent3 12 2 6" xfId="9188" xr:uid="{00000000-0005-0000-0000-00002E0F0000}"/>
    <cellStyle name="20% - Accent3 12 2 6 2" xfId="17146" xr:uid="{00000000-0005-0000-0000-00002F0F0000}"/>
    <cellStyle name="20% - Accent3 12 2 6 2 2" xfId="40986" xr:uid="{543D6A01-9D30-43C2-B7CC-194E83621123}"/>
    <cellStyle name="20% - Accent3 12 2 6 3" xfId="25090" xr:uid="{00000000-0005-0000-0000-0000300F0000}"/>
    <cellStyle name="20% - Accent3 12 2 6 3 2" xfId="48922" xr:uid="{F0455BF2-B9E1-4D59-9ADF-D9D8EB6571A6}"/>
    <cellStyle name="20% - Accent3 12 2 6 4" xfId="33045" xr:uid="{A8651F58-2CC9-42E8-A4E3-1D9052F47F0B}"/>
    <cellStyle name="20% - Accent3 12 2 7" xfId="10084" xr:uid="{00000000-0005-0000-0000-0000310F0000}"/>
    <cellStyle name="20% - Accent3 12 2 7 2" xfId="33933" xr:uid="{D6F2A34C-ED85-4315-B182-A8FA4707389F}"/>
    <cellStyle name="20% - Accent3 12 2 8" xfId="18039" xr:uid="{00000000-0005-0000-0000-0000320F0000}"/>
    <cellStyle name="20% - Accent3 12 2 8 2" xfId="41871" xr:uid="{79DAFD42-E76F-4E51-B000-C9505B9191B4}"/>
    <cellStyle name="20% - Accent3 12 2 9" xfId="25991" xr:uid="{C0B00D61-9F80-4254-8CDF-18688D698C12}"/>
    <cellStyle name="20% - Accent3 12 2_Exh G" xfId="2206" xr:uid="{00000000-0005-0000-0000-0000330F0000}"/>
    <cellStyle name="20% - Accent3 12 3" xfId="138" xr:uid="{00000000-0005-0000-0000-0000340F0000}"/>
    <cellStyle name="20% - Accent3 12 3 2" xfId="1166" xr:uid="{00000000-0005-0000-0000-0000350F0000}"/>
    <cellStyle name="20% - Accent3 12 3 2 2" xfId="4696" xr:uid="{00000000-0005-0000-0000-0000360F0000}"/>
    <cellStyle name="20% - Accent3 12 3 2 2 2" xfId="8287" xr:uid="{00000000-0005-0000-0000-0000370F0000}"/>
    <cellStyle name="20% - Accent3 12 3 2 2 2 2" xfId="16258" xr:uid="{00000000-0005-0000-0000-0000380F0000}"/>
    <cellStyle name="20% - Accent3 12 3 2 2 2 2 2" xfId="40100" xr:uid="{E0720EA9-DD20-46FB-AD6F-5B8C66D60E46}"/>
    <cellStyle name="20% - Accent3 12 3 2 2 2 3" xfId="24204" xr:uid="{00000000-0005-0000-0000-0000390F0000}"/>
    <cellStyle name="20% - Accent3 12 3 2 2 2 3 2" xfId="48036" xr:uid="{D05341E7-E23C-4685-AB60-9A924DFBF796}"/>
    <cellStyle name="20% - Accent3 12 3 2 2 2 4" xfId="32159" xr:uid="{B6A095B7-82BC-4738-9468-DCFF955978CC}"/>
    <cellStyle name="20% - Accent3 12 3 2 2 3" xfId="12720" xr:uid="{00000000-0005-0000-0000-00003A0F0000}"/>
    <cellStyle name="20% - Accent3 12 3 2 2 3 2" xfId="36569" xr:uid="{C8F06757-AEBE-4216-BCB0-DD0A4B31E6D2}"/>
    <cellStyle name="20% - Accent3 12 3 2 2 4" xfId="20675" xr:uid="{00000000-0005-0000-0000-00003B0F0000}"/>
    <cellStyle name="20% - Accent3 12 3 2 2 4 2" xfId="44507" xr:uid="{7DCE7469-95C6-4F32-ABD6-B0B1D50356B7}"/>
    <cellStyle name="20% - Accent3 12 3 2 2 5" xfId="28628" xr:uid="{C6707751-BFF4-4544-A4E4-6D47E7E28B8A}"/>
    <cellStyle name="20% - Accent3 12 3 2 3" xfId="6528" xr:uid="{00000000-0005-0000-0000-00003C0F0000}"/>
    <cellStyle name="20% - Accent3 12 3 2 3 2" xfId="14500" xr:uid="{00000000-0005-0000-0000-00003D0F0000}"/>
    <cellStyle name="20% - Accent3 12 3 2 3 2 2" xfId="38342" xr:uid="{A4665754-16F5-48C0-B59D-08B7CCB41700}"/>
    <cellStyle name="20% - Accent3 12 3 2 3 3" xfId="22447" xr:uid="{00000000-0005-0000-0000-00003E0F0000}"/>
    <cellStyle name="20% - Accent3 12 3 2 3 3 2" xfId="46279" xr:uid="{E2795DB1-040E-4F73-AF7D-0E69B07B217F}"/>
    <cellStyle name="20% - Accent3 12 3 2 3 4" xfId="30401" xr:uid="{528C10F6-963E-4AAB-863C-9A4949DDC348}"/>
    <cellStyle name="20% - Accent3 12 3 2 4" xfId="10964" xr:uid="{00000000-0005-0000-0000-00003F0F0000}"/>
    <cellStyle name="20% - Accent3 12 3 2 4 2" xfId="34813" xr:uid="{5C003975-9D52-4550-BF18-1E259BF597DA}"/>
    <cellStyle name="20% - Accent3 12 3 2 5" xfId="18919" xr:uid="{00000000-0005-0000-0000-0000400F0000}"/>
    <cellStyle name="20% - Accent3 12 3 2 5 2" xfId="42751" xr:uid="{4B1CD3BF-6FEC-402A-8ED4-47BFD5B0EADD}"/>
    <cellStyle name="20% - Accent3 12 3 2 6" xfId="26871" xr:uid="{8D7D02B0-AA15-476F-A89C-FCDB865E3D73}"/>
    <cellStyle name="20% - Accent3 12 3 2_Exh G" xfId="2211" xr:uid="{00000000-0005-0000-0000-0000410F0000}"/>
    <cellStyle name="20% - Accent3 12 3 3" xfId="3817" xr:uid="{00000000-0005-0000-0000-0000420F0000}"/>
    <cellStyle name="20% - Accent3 12 3 3 2" xfId="7409" xr:uid="{00000000-0005-0000-0000-0000430F0000}"/>
    <cellStyle name="20% - Accent3 12 3 3 2 2" xfId="15380" xr:uid="{00000000-0005-0000-0000-0000440F0000}"/>
    <cellStyle name="20% - Accent3 12 3 3 2 2 2" xfId="39222" xr:uid="{DCBC72A5-8BBD-41DB-A710-175E11E4247E}"/>
    <cellStyle name="20% - Accent3 12 3 3 2 3" xfId="23326" xr:uid="{00000000-0005-0000-0000-0000450F0000}"/>
    <cellStyle name="20% - Accent3 12 3 3 2 3 2" xfId="47158" xr:uid="{33B80BD8-B391-4D4F-85F0-DD6E8777979E}"/>
    <cellStyle name="20% - Accent3 12 3 3 2 4" xfId="31281" xr:uid="{C81F3534-2038-42DA-870E-D037FE013F9D}"/>
    <cellStyle name="20% - Accent3 12 3 3 3" xfId="11842" xr:uid="{00000000-0005-0000-0000-0000460F0000}"/>
    <cellStyle name="20% - Accent3 12 3 3 3 2" xfId="35691" xr:uid="{6A1BC841-2E8F-4A9F-A6DB-D71712A40DD3}"/>
    <cellStyle name="20% - Accent3 12 3 3 4" xfId="19797" xr:uid="{00000000-0005-0000-0000-0000470F0000}"/>
    <cellStyle name="20% - Accent3 12 3 3 4 2" xfId="43629" xr:uid="{3886621F-9722-4260-B9D3-E91D061C5FBD}"/>
    <cellStyle name="20% - Accent3 12 3 3 5" xfId="27750" xr:uid="{1C431D04-5DCB-488A-8316-E91030778451}"/>
    <cellStyle name="20% - Accent3 12 3 4" xfId="5637" xr:uid="{00000000-0005-0000-0000-0000480F0000}"/>
    <cellStyle name="20% - Accent3 12 3 4 2" xfId="13621" xr:uid="{00000000-0005-0000-0000-0000490F0000}"/>
    <cellStyle name="20% - Accent3 12 3 4 2 2" xfId="37464" xr:uid="{C7D9049F-ADEA-4A75-AD72-47268D417888}"/>
    <cellStyle name="20% - Accent3 12 3 4 3" xfId="21569" xr:uid="{00000000-0005-0000-0000-00004A0F0000}"/>
    <cellStyle name="20% - Accent3 12 3 4 3 2" xfId="45401" xr:uid="{05EA433F-260E-490B-A321-851A13371D83}"/>
    <cellStyle name="20% - Accent3 12 3 4 4" xfId="29523" xr:uid="{BE8F238C-64F1-4631-9AA1-BAFBA46F8D78}"/>
    <cellStyle name="20% - Accent3 12 3 5" xfId="9190" xr:uid="{00000000-0005-0000-0000-00004B0F0000}"/>
    <cellStyle name="20% - Accent3 12 3 5 2" xfId="17148" xr:uid="{00000000-0005-0000-0000-00004C0F0000}"/>
    <cellStyle name="20% - Accent3 12 3 5 2 2" xfId="40988" xr:uid="{E2C1ED24-C3BB-45C7-8D5D-2012682A0ACF}"/>
    <cellStyle name="20% - Accent3 12 3 5 3" xfId="25092" xr:uid="{00000000-0005-0000-0000-00004D0F0000}"/>
    <cellStyle name="20% - Accent3 12 3 5 3 2" xfId="48924" xr:uid="{F332D264-515B-400A-B07F-59AA26A35312}"/>
    <cellStyle name="20% - Accent3 12 3 5 4" xfId="33047" xr:uid="{A53C850D-B6DE-4E3E-9162-CC1BBA5D2DC0}"/>
    <cellStyle name="20% - Accent3 12 3 6" xfId="10086" xr:uid="{00000000-0005-0000-0000-00004E0F0000}"/>
    <cellStyle name="20% - Accent3 12 3 6 2" xfId="33935" xr:uid="{6B44CE81-CB50-486E-9692-F5A6F149C2C4}"/>
    <cellStyle name="20% - Accent3 12 3 7" xfId="18041" xr:uid="{00000000-0005-0000-0000-00004F0F0000}"/>
    <cellStyle name="20% - Accent3 12 3 7 2" xfId="41873" xr:uid="{E9574ED3-1830-4ABB-BF53-C77491511686}"/>
    <cellStyle name="20% - Accent3 12 3 8" xfId="25993" xr:uid="{E94EE6CC-7FCD-4764-8ED4-0588154C86EA}"/>
    <cellStyle name="20% - Accent3 12 3_Exh G" xfId="2210" xr:uid="{00000000-0005-0000-0000-0000500F0000}"/>
    <cellStyle name="20% - Accent3 12 4" xfId="1163" xr:uid="{00000000-0005-0000-0000-0000510F0000}"/>
    <cellStyle name="20% - Accent3 12 4 2" xfId="4693" xr:uid="{00000000-0005-0000-0000-0000520F0000}"/>
    <cellStyle name="20% - Accent3 12 4 2 2" xfId="8284" xr:uid="{00000000-0005-0000-0000-0000530F0000}"/>
    <cellStyle name="20% - Accent3 12 4 2 2 2" xfId="16255" xr:uid="{00000000-0005-0000-0000-0000540F0000}"/>
    <cellStyle name="20% - Accent3 12 4 2 2 2 2" xfId="40097" xr:uid="{67E06420-51FB-460B-B449-4811BB159CAC}"/>
    <cellStyle name="20% - Accent3 12 4 2 2 3" xfId="24201" xr:uid="{00000000-0005-0000-0000-0000550F0000}"/>
    <cellStyle name="20% - Accent3 12 4 2 2 3 2" xfId="48033" xr:uid="{62982C59-90D1-4DCB-B34D-B627F76A076B}"/>
    <cellStyle name="20% - Accent3 12 4 2 2 4" xfId="32156" xr:uid="{D37ABB03-0E8B-46F1-9A01-F39A981F6D65}"/>
    <cellStyle name="20% - Accent3 12 4 2 3" xfId="12717" xr:uid="{00000000-0005-0000-0000-0000560F0000}"/>
    <cellStyle name="20% - Accent3 12 4 2 3 2" xfId="36566" xr:uid="{6FBE3A7D-F9E9-4896-9BD8-28D106496F1B}"/>
    <cellStyle name="20% - Accent3 12 4 2 4" xfId="20672" xr:uid="{00000000-0005-0000-0000-0000570F0000}"/>
    <cellStyle name="20% - Accent3 12 4 2 4 2" xfId="44504" xr:uid="{14C0D255-3347-4DF1-BAA3-B802AF5A9CD1}"/>
    <cellStyle name="20% - Accent3 12 4 2 5" xfId="28625" xr:uid="{D2D48C71-3A2C-4D22-9B20-9F8458EC7D2D}"/>
    <cellStyle name="20% - Accent3 12 4 3" xfId="6525" xr:uid="{00000000-0005-0000-0000-0000580F0000}"/>
    <cellStyle name="20% - Accent3 12 4 3 2" xfId="14497" xr:uid="{00000000-0005-0000-0000-0000590F0000}"/>
    <cellStyle name="20% - Accent3 12 4 3 2 2" xfId="38339" xr:uid="{4A6F547D-F87A-4115-A19C-C4778BD04F3D}"/>
    <cellStyle name="20% - Accent3 12 4 3 3" xfId="22444" xr:uid="{00000000-0005-0000-0000-00005A0F0000}"/>
    <cellStyle name="20% - Accent3 12 4 3 3 2" xfId="46276" xr:uid="{067FBB1A-C89E-42F4-B453-DA8951F973DC}"/>
    <cellStyle name="20% - Accent3 12 4 3 4" xfId="30398" xr:uid="{5EE017A8-1350-4E0A-A982-4B917F062CD3}"/>
    <cellStyle name="20% - Accent3 12 4 4" xfId="10961" xr:uid="{00000000-0005-0000-0000-00005B0F0000}"/>
    <cellStyle name="20% - Accent3 12 4 4 2" xfId="34810" xr:uid="{9B9CD402-DAB2-41E0-9B67-2D439DBD6E1C}"/>
    <cellStyle name="20% - Accent3 12 4 5" xfId="18916" xr:uid="{00000000-0005-0000-0000-00005C0F0000}"/>
    <cellStyle name="20% - Accent3 12 4 5 2" xfId="42748" xr:uid="{3F246B3A-D1DA-4A8B-AAA5-831BCAD602C3}"/>
    <cellStyle name="20% - Accent3 12 4 6" xfId="26868" xr:uid="{D5AB9024-E8B8-471D-AF81-B7F6961E97CE}"/>
    <cellStyle name="20% - Accent3 12 4_Exh G" xfId="2212" xr:uid="{00000000-0005-0000-0000-00005D0F0000}"/>
    <cellStyle name="20% - Accent3 12 5" xfId="3814" xr:uid="{00000000-0005-0000-0000-00005E0F0000}"/>
    <cellStyle name="20% - Accent3 12 5 2" xfId="7406" xr:uid="{00000000-0005-0000-0000-00005F0F0000}"/>
    <cellStyle name="20% - Accent3 12 5 2 2" xfId="15377" xr:uid="{00000000-0005-0000-0000-0000600F0000}"/>
    <cellStyle name="20% - Accent3 12 5 2 2 2" xfId="39219" xr:uid="{FE0E3E3A-F0E5-4C53-BE19-54E67B701F91}"/>
    <cellStyle name="20% - Accent3 12 5 2 3" xfId="23323" xr:uid="{00000000-0005-0000-0000-0000610F0000}"/>
    <cellStyle name="20% - Accent3 12 5 2 3 2" xfId="47155" xr:uid="{C27B4DD0-7B52-4AFC-816A-B4A618E8207D}"/>
    <cellStyle name="20% - Accent3 12 5 2 4" xfId="31278" xr:uid="{F6004FCD-1DAC-4B6C-A3B6-8C4C8CD6A07D}"/>
    <cellStyle name="20% - Accent3 12 5 3" xfId="11839" xr:uid="{00000000-0005-0000-0000-0000620F0000}"/>
    <cellStyle name="20% - Accent3 12 5 3 2" xfId="35688" xr:uid="{31825A7B-D512-4755-8575-3636F35278BC}"/>
    <cellStyle name="20% - Accent3 12 5 4" xfId="19794" xr:uid="{00000000-0005-0000-0000-0000630F0000}"/>
    <cellStyle name="20% - Accent3 12 5 4 2" xfId="43626" xr:uid="{DA1F457D-4B92-4578-A002-A106419A4075}"/>
    <cellStyle name="20% - Accent3 12 5 5" xfId="27747" xr:uid="{378E93D8-C350-4F97-8563-7AFFFD5A35B4}"/>
    <cellStyle name="20% - Accent3 12 6" xfId="5634" xr:uid="{00000000-0005-0000-0000-0000640F0000}"/>
    <cellStyle name="20% - Accent3 12 6 2" xfId="13618" xr:uid="{00000000-0005-0000-0000-0000650F0000}"/>
    <cellStyle name="20% - Accent3 12 6 2 2" xfId="37461" xr:uid="{B461DAD9-B7DE-4B2F-9EC8-870C6E0FB366}"/>
    <cellStyle name="20% - Accent3 12 6 3" xfId="21566" xr:uid="{00000000-0005-0000-0000-0000660F0000}"/>
    <cellStyle name="20% - Accent3 12 6 3 2" xfId="45398" xr:uid="{B0311834-BADC-45B3-9B7F-021461A54470}"/>
    <cellStyle name="20% - Accent3 12 6 4" xfId="29520" xr:uid="{9BE20DE6-F3D5-434A-9483-0EFE99261475}"/>
    <cellStyle name="20% - Accent3 12 7" xfId="9187" xr:uid="{00000000-0005-0000-0000-0000670F0000}"/>
    <cellStyle name="20% - Accent3 12 7 2" xfId="17145" xr:uid="{00000000-0005-0000-0000-0000680F0000}"/>
    <cellStyle name="20% - Accent3 12 7 2 2" xfId="40985" xr:uid="{D285D9AF-C714-4A6A-95E7-90F26D612889}"/>
    <cellStyle name="20% - Accent3 12 7 3" xfId="25089" xr:uid="{00000000-0005-0000-0000-0000690F0000}"/>
    <cellStyle name="20% - Accent3 12 7 3 2" xfId="48921" xr:uid="{0C3211D7-08B9-46C4-8ED3-219C4A2DE521}"/>
    <cellStyle name="20% - Accent3 12 7 4" xfId="33044" xr:uid="{1E755B30-85A8-49AC-AF36-113BB1B618CE}"/>
    <cellStyle name="20% - Accent3 12 8" xfId="10083" xr:uid="{00000000-0005-0000-0000-00006A0F0000}"/>
    <cellStyle name="20% - Accent3 12 8 2" xfId="33932" xr:uid="{187AADC5-B47A-46D1-B7FB-C96A9CCAF5D8}"/>
    <cellStyle name="20% - Accent3 12 9" xfId="18038" xr:uid="{00000000-0005-0000-0000-00006B0F0000}"/>
    <cellStyle name="20% - Accent3 12 9 2" xfId="41870" xr:uid="{941FC88D-DC64-40E6-922B-AD399CA80896}"/>
    <cellStyle name="20% - Accent3 12_Exh G" xfId="2205" xr:uid="{00000000-0005-0000-0000-00006C0F0000}"/>
    <cellStyle name="20% - Accent3 13" xfId="139" xr:uid="{00000000-0005-0000-0000-00006D0F0000}"/>
    <cellStyle name="20% - Accent3 13 10" xfId="25994" xr:uid="{91F198F5-07A9-45D6-8497-ADFBA58B924F}"/>
    <cellStyle name="20% - Accent3 13 2" xfId="140" xr:uid="{00000000-0005-0000-0000-00006E0F0000}"/>
    <cellStyle name="20% - Accent3 13 2 2" xfId="141" xr:uid="{00000000-0005-0000-0000-00006F0F0000}"/>
    <cellStyle name="20% - Accent3 13 2 2 2" xfId="1169" xr:uid="{00000000-0005-0000-0000-0000700F0000}"/>
    <cellStyle name="20% - Accent3 13 2 2 2 2" xfId="4699" xr:uid="{00000000-0005-0000-0000-0000710F0000}"/>
    <cellStyle name="20% - Accent3 13 2 2 2 2 2" xfId="8290" xr:uid="{00000000-0005-0000-0000-0000720F0000}"/>
    <cellStyle name="20% - Accent3 13 2 2 2 2 2 2" xfId="16261" xr:uid="{00000000-0005-0000-0000-0000730F0000}"/>
    <cellStyle name="20% - Accent3 13 2 2 2 2 2 2 2" xfId="40103" xr:uid="{5849A291-69BD-45A7-ADBC-21161E01D174}"/>
    <cellStyle name="20% - Accent3 13 2 2 2 2 2 3" xfId="24207" xr:uid="{00000000-0005-0000-0000-0000740F0000}"/>
    <cellStyle name="20% - Accent3 13 2 2 2 2 2 3 2" xfId="48039" xr:uid="{D91EABC2-5BAE-428A-A822-1F8B0A18D3EF}"/>
    <cellStyle name="20% - Accent3 13 2 2 2 2 2 4" xfId="32162" xr:uid="{23D3C1F0-7931-4E03-92A9-16218C7AEAA1}"/>
    <cellStyle name="20% - Accent3 13 2 2 2 2 3" xfId="12723" xr:uid="{00000000-0005-0000-0000-0000750F0000}"/>
    <cellStyle name="20% - Accent3 13 2 2 2 2 3 2" xfId="36572" xr:uid="{31E42A53-84D9-4D82-B04A-46C3F2023A0A}"/>
    <cellStyle name="20% - Accent3 13 2 2 2 2 4" xfId="20678" xr:uid="{00000000-0005-0000-0000-0000760F0000}"/>
    <cellStyle name="20% - Accent3 13 2 2 2 2 4 2" xfId="44510" xr:uid="{54F7C2C7-2357-4765-9757-3E50FB29B821}"/>
    <cellStyle name="20% - Accent3 13 2 2 2 2 5" xfId="28631" xr:uid="{561431F5-51FC-4AAE-86A6-641BADBE6E8B}"/>
    <cellStyle name="20% - Accent3 13 2 2 2 3" xfId="6531" xr:uid="{00000000-0005-0000-0000-0000770F0000}"/>
    <cellStyle name="20% - Accent3 13 2 2 2 3 2" xfId="14503" xr:uid="{00000000-0005-0000-0000-0000780F0000}"/>
    <cellStyle name="20% - Accent3 13 2 2 2 3 2 2" xfId="38345" xr:uid="{3804F529-8D04-48DF-9602-A0EA6F448FDD}"/>
    <cellStyle name="20% - Accent3 13 2 2 2 3 3" xfId="22450" xr:uid="{00000000-0005-0000-0000-0000790F0000}"/>
    <cellStyle name="20% - Accent3 13 2 2 2 3 3 2" xfId="46282" xr:uid="{0532154D-8DD0-4E55-B6A4-C795F6887BE2}"/>
    <cellStyle name="20% - Accent3 13 2 2 2 3 4" xfId="30404" xr:uid="{8AC2B4CB-4338-495C-99A4-76CFA77409D3}"/>
    <cellStyle name="20% - Accent3 13 2 2 2 4" xfId="10967" xr:uid="{00000000-0005-0000-0000-00007A0F0000}"/>
    <cellStyle name="20% - Accent3 13 2 2 2 4 2" xfId="34816" xr:uid="{4789ADAC-E2DD-44C4-B939-09B88F00B551}"/>
    <cellStyle name="20% - Accent3 13 2 2 2 5" xfId="18922" xr:uid="{00000000-0005-0000-0000-00007B0F0000}"/>
    <cellStyle name="20% - Accent3 13 2 2 2 5 2" xfId="42754" xr:uid="{7ABFCF41-CE8B-4D90-ACF5-1706F4169CF5}"/>
    <cellStyle name="20% - Accent3 13 2 2 2 6" xfId="26874" xr:uid="{EDB17272-38DF-4B61-A706-1E2E5D54CD94}"/>
    <cellStyle name="20% - Accent3 13 2 2 2_Exh G" xfId="2216" xr:uid="{00000000-0005-0000-0000-00007C0F0000}"/>
    <cellStyle name="20% - Accent3 13 2 2 3" xfId="3820" xr:uid="{00000000-0005-0000-0000-00007D0F0000}"/>
    <cellStyle name="20% - Accent3 13 2 2 3 2" xfId="7412" xr:uid="{00000000-0005-0000-0000-00007E0F0000}"/>
    <cellStyle name="20% - Accent3 13 2 2 3 2 2" xfId="15383" xr:uid="{00000000-0005-0000-0000-00007F0F0000}"/>
    <cellStyle name="20% - Accent3 13 2 2 3 2 2 2" xfId="39225" xr:uid="{E0F24ECF-4026-4614-873A-4089C0E08D34}"/>
    <cellStyle name="20% - Accent3 13 2 2 3 2 3" xfId="23329" xr:uid="{00000000-0005-0000-0000-0000800F0000}"/>
    <cellStyle name="20% - Accent3 13 2 2 3 2 3 2" xfId="47161" xr:uid="{FBE236F1-3A70-457C-BB55-399F34B12322}"/>
    <cellStyle name="20% - Accent3 13 2 2 3 2 4" xfId="31284" xr:uid="{4D847CDA-C9FF-4CFB-829E-EFEA08F9AB9E}"/>
    <cellStyle name="20% - Accent3 13 2 2 3 3" xfId="11845" xr:uid="{00000000-0005-0000-0000-0000810F0000}"/>
    <cellStyle name="20% - Accent3 13 2 2 3 3 2" xfId="35694" xr:uid="{69D41052-FBDD-4C4F-B901-19BDFD466348}"/>
    <cellStyle name="20% - Accent3 13 2 2 3 4" xfId="19800" xr:uid="{00000000-0005-0000-0000-0000820F0000}"/>
    <cellStyle name="20% - Accent3 13 2 2 3 4 2" xfId="43632" xr:uid="{656249BB-9CFD-43F6-B02F-D777C1B539AB}"/>
    <cellStyle name="20% - Accent3 13 2 2 3 5" xfId="27753" xr:uid="{5EFB1AC3-8C53-4497-BF74-F19ABE5699DF}"/>
    <cellStyle name="20% - Accent3 13 2 2 4" xfId="5640" xr:uid="{00000000-0005-0000-0000-0000830F0000}"/>
    <cellStyle name="20% - Accent3 13 2 2 4 2" xfId="13624" xr:uid="{00000000-0005-0000-0000-0000840F0000}"/>
    <cellStyle name="20% - Accent3 13 2 2 4 2 2" xfId="37467" xr:uid="{EF211E80-31CA-42E0-8200-BE5BE0495ED1}"/>
    <cellStyle name="20% - Accent3 13 2 2 4 3" xfId="21572" xr:uid="{00000000-0005-0000-0000-0000850F0000}"/>
    <cellStyle name="20% - Accent3 13 2 2 4 3 2" xfId="45404" xr:uid="{CD8CBFF8-15A7-49EF-9CB9-50BAAAE6B7DA}"/>
    <cellStyle name="20% - Accent3 13 2 2 4 4" xfId="29526" xr:uid="{C1CC9775-A659-497D-8048-17041956A035}"/>
    <cellStyle name="20% - Accent3 13 2 2 5" xfId="9193" xr:uid="{00000000-0005-0000-0000-0000860F0000}"/>
    <cellStyle name="20% - Accent3 13 2 2 5 2" xfId="17151" xr:uid="{00000000-0005-0000-0000-0000870F0000}"/>
    <cellStyle name="20% - Accent3 13 2 2 5 2 2" xfId="40991" xr:uid="{28177CFB-D3BD-4F14-B098-F010CF2AFF73}"/>
    <cellStyle name="20% - Accent3 13 2 2 5 3" xfId="25095" xr:uid="{00000000-0005-0000-0000-0000880F0000}"/>
    <cellStyle name="20% - Accent3 13 2 2 5 3 2" xfId="48927" xr:uid="{22BE77AD-DF08-4E54-8F6E-55BEAE24946D}"/>
    <cellStyle name="20% - Accent3 13 2 2 5 4" xfId="33050" xr:uid="{38DC6B34-2D47-4151-8AAE-A353DF9649D7}"/>
    <cellStyle name="20% - Accent3 13 2 2 6" xfId="10089" xr:uid="{00000000-0005-0000-0000-0000890F0000}"/>
    <cellStyle name="20% - Accent3 13 2 2 6 2" xfId="33938" xr:uid="{B237F4BD-EFC0-42CB-8B01-37FC94C16135}"/>
    <cellStyle name="20% - Accent3 13 2 2 7" xfId="18044" xr:uid="{00000000-0005-0000-0000-00008A0F0000}"/>
    <cellStyle name="20% - Accent3 13 2 2 7 2" xfId="41876" xr:uid="{EFCFE390-F77D-4EF2-B651-736FC2390FE6}"/>
    <cellStyle name="20% - Accent3 13 2 2 8" xfId="25996" xr:uid="{A09A44C6-6AC9-453C-AC10-C65A2C8FC259}"/>
    <cellStyle name="20% - Accent3 13 2 2_Exh G" xfId="2215" xr:uid="{00000000-0005-0000-0000-00008B0F0000}"/>
    <cellStyle name="20% - Accent3 13 2 3" xfId="1168" xr:uid="{00000000-0005-0000-0000-00008C0F0000}"/>
    <cellStyle name="20% - Accent3 13 2 3 2" xfId="4698" xr:uid="{00000000-0005-0000-0000-00008D0F0000}"/>
    <cellStyle name="20% - Accent3 13 2 3 2 2" xfId="8289" xr:uid="{00000000-0005-0000-0000-00008E0F0000}"/>
    <cellStyle name="20% - Accent3 13 2 3 2 2 2" xfId="16260" xr:uid="{00000000-0005-0000-0000-00008F0F0000}"/>
    <cellStyle name="20% - Accent3 13 2 3 2 2 2 2" xfId="40102" xr:uid="{30C9B4BD-08E4-4253-8079-B9AA984BF787}"/>
    <cellStyle name="20% - Accent3 13 2 3 2 2 3" xfId="24206" xr:uid="{00000000-0005-0000-0000-0000900F0000}"/>
    <cellStyle name="20% - Accent3 13 2 3 2 2 3 2" xfId="48038" xr:uid="{9F60CD77-CC11-4582-8EC4-3400C5392395}"/>
    <cellStyle name="20% - Accent3 13 2 3 2 2 4" xfId="32161" xr:uid="{76F69DA6-D4F0-4DA6-8241-7AC0BDC39F19}"/>
    <cellStyle name="20% - Accent3 13 2 3 2 3" xfId="12722" xr:uid="{00000000-0005-0000-0000-0000910F0000}"/>
    <cellStyle name="20% - Accent3 13 2 3 2 3 2" xfId="36571" xr:uid="{882D6F2C-04D0-4EAB-A982-7B33A4370637}"/>
    <cellStyle name="20% - Accent3 13 2 3 2 4" xfId="20677" xr:uid="{00000000-0005-0000-0000-0000920F0000}"/>
    <cellStyle name="20% - Accent3 13 2 3 2 4 2" xfId="44509" xr:uid="{2028B013-4962-4237-A5D0-AFEE622668B4}"/>
    <cellStyle name="20% - Accent3 13 2 3 2 5" xfId="28630" xr:uid="{14259A4D-4DDA-46D9-867A-FE92F561F47E}"/>
    <cellStyle name="20% - Accent3 13 2 3 3" xfId="6530" xr:uid="{00000000-0005-0000-0000-0000930F0000}"/>
    <cellStyle name="20% - Accent3 13 2 3 3 2" xfId="14502" xr:uid="{00000000-0005-0000-0000-0000940F0000}"/>
    <cellStyle name="20% - Accent3 13 2 3 3 2 2" xfId="38344" xr:uid="{8A05C2DA-8F15-4881-AE4B-FE9820F9CA6C}"/>
    <cellStyle name="20% - Accent3 13 2 3 3 3" xfId="22449" xr:uid="{00000000-0005-0000-0000-0000950F0000}"/>
    <cellStyle name="20% - Accent3 13 2 3 3 3 2" xfId="46281" xr:uid="{8A08B359-C552-4889-811A-9DDED9EC1244}"/>
    <cellStyle name="20% - Accent3 13 2 3 3 4" xfId="30403" xr:uid="{51F11E89-5784-4581-8A62-23E4218CE29B}"/>
    <cellStyle name="20% - Accent3 13 2 3 4" xfId="10966" xr:uid="{00000000-0005-0000-0000-0000960F0000}"/>
    <cellStyle name="20% - Accent3 13 2 3 4 2" xfId="34815" xr:uid="{6ECCE27E-2DC3-43F4-BE31-F031B6A86344}"/>
    <cellStyle name="20% - Accent3 13 2 3 5" xfId="18921" xr:uid="{00000000-0005-0000-0000-0000970F0000}"/>
    <cellStyle name="20% - Accent3 13 2 3 5 2" xfId="42753" xr:uid="{41CCB2B8-8E79-49B5-A3AA-ECB6306E8D72}"/>
    <cellStyle name="20% - Accent3 13 2 3 6" xfId="26873" xr:uid="{2DE7FA46-891E-4A73-A542-987A31A5B769}"/>
    <cellStyle name="20% - Accent3 13 2 3_Exh G" xfId="2217" xr:uid="{00000000-0005-0000-0000-0000980F0000}"/>
    <cellStyle name="20% - Accent3 13 2 4" xfId="3819" xr:uid="{00000000-0005-0000-0000-0000990F0000}"/>
    <cellStyle name="20% - Accent3 13 2 4 2" xfId="7411" xr:uid="{00000000-0005-0000-0000-00009A0F0000}"/>
    <cellStyle name="20% - Accent3 13 2 4 2 2" xfId="15382" xr:uid="{00000000-0005-0000-0000-00009B0F0000}"/>
    <cellStyle name="20% - Accent3 13 2 4 2 2 2" xfId="39224" xr:uid="{1824185B-B1ED-408E-AFB7-173ACBE396C2}"/>
    <cellStyle name="20% - Accent3 13 2 4 2 3" xfId="23328" xr:uid="{00000000-0005-0000-0000-00009C0F0000}"/>
    <cellStyle name="20% - Accent3 13 2 4 2 3 2" xfId="47160" xr:uid="{C3C44B92-5533-47FF-8154-D58973099775}"/>
    <cellStyle name="20% - Accent3 13 2 4 2 4" xfId="31283" xr:uid="{50456791-99FD-4B00-BC81-183B7E2DC920}"/>
    <cellStyle name="20% - Accent3 13 2 4 3" xfId="11844" xr:uid="{00000000-0005-0000-0000-00009D0F0000}"/>
    <cellStyle name="20% - Accent3 13 2 4 3 2" xfId="35693" xr:uid="{20E18331-ADAB-4665-B96F-3B40FC0D6D80}"/>
    <cellStyle name="20% - Accent3 13 2 4 4" xfId="19799" xr:uid="{00000000-0005-0000-0000-00009E0F0000}"/>
    <cellStyle name="20% - Accent3 13 2 4 4 2" xfId="43631" xr:uid="{BDD373C2-851B-4232-9600-7E49FAA3653E}"/>
    <cellStyle name="20% - Accent3 13 2 4 5" xfId="27752" xr:uid="{CD8F6C5D-504E-4E20-97AC-271A52D14457}"/>
    <cellStyle name="20% - Accent3 13 2 5" xfId="5639" xr:uid="{00000000-0005-0000-0000-00009F0F0000}"/>
    <cellStyle name="20% - Accent3 13 2 5 2" xfId="13623" xr:uid="{00000000-0005-0000-0000-0000A00F0000}"/>
    <cellStyle name="20% - Accent3 13 2 5 2 2" xfId="37466" xr:uid="{22D5AF91-74D2-472B-863D-0C8BF33EB15B}"/>
    <cellStyle name="20% - Accent3 13 2 5 3" xfId="21571" xr:uid="{00000000-0005-0000-0000-0000A10F0000}"/>
    <cellStyle name="20% - Accent3 13 2 5 3 2" xfId="45403" xr:uid="{672AD121-6A94-4094-B55D-1CFC853BD954}"/>
    <cellStyle name="20% - Accent3 13 2 5 4" xfId="29525" xr:uid="{612DD2D8-D1C7-4FE6-9901-A1CD8BC13C24}"/>
    <cellStyle name="20% - Accent3 13 2 6" xfId="9192" xr:uid="{00000000-0005-0000-0000-0000A20F0000}"/>
    <cellStyle name="20% - Accent3 13 2 6 2" xfId="17150" xr:uid="{00000000-0005-0000-0000-0000A30F0000}"/>
    <cellStyle name="20% - Accent3 13 2 6 2 2" xfId="40990" xr:uid="{A6AD1B8A-B75C-4767-BB70-F31B44134E9D}"/>
    <cellStyle name="20% - Accent3 13 2 6 3" xfId="25094" xr:uid="{00000000-0005-0000-0000-0000A40F0000}"/>
    <cellStyle name="20% - Accent3 13 2 6 3 2" xfId="48926" xr:uid="{45637382-AA63-4BFD-B075-945DB03FE142}"/>
    <cellStyle name="20% - Accent3 13 2 6 4" xfId="33049" xr:uid="{C60CF818-EE0B-489B-AF55-D43CCD26BB37}"/>
    <cellStyle name="20% - Accent3 13 2 7" xfId="10088" xr:uid="{00000000-0005-0000-0000-0000A50F0000}"/>
    <cellStyle name="20% - Accent3 13 2 7 2" xfId="33937" xr:uid="{ABD90775-CC00-4A7C-83A7-35A19DB01C3D}"/>
    <cellStyle name="20% - Accent3 13 2 8" xfId="18043" xr:uid="{00000000-0005-0000-0000-0000A60F0000}"/>
    <cellStyle name="20% - Accent3 13 2 8 2" xfId="41875" xr:uid="{6C9AE403-19B4-4CB2-B870-9EE02A077BCB}"/>
    <cellStyle name="20% - Accent3 13 2 9" xfId="25995" xr:uid="{910ADA2E-2480-47B0-9E6A-B9060FB72F53}"/>
    <cellStyle name="20% - Accent3 13 2_Exh G" xfId="2214" xr:uid="{00000000-0005-0000-0000-0000A70F0000}"/>
    <cellStyle name="20% - Accent3 13 3" xfId="142" xr:uid="{00000000-0005-0000-0000-0000A80F0000}"/>
    <cellStyle name="20% - Accent3 13 3 2" xfId="1170" xr:uid="{00000000-0005-0000-0000-0000A90F0000}"/>
    <cellStyle name="20% - Accent3 13 3 2 2" xfId="4700" xr:uid="{00000000-0005-0000-0000-0000AA0F0000}"/>
    <cellStyle name="20% - Accent3 13 3 2 2 2" xfId="8291" xr:uid="{00000000-0005-0000-0000-0000AB0F0000}"/>
    <cellStyle name="20% - Accent3 13 3 2 2 2 2" xfId="16262" xr:uid="{00000000-0005-0000-0000-0000AC0F0000}"/>
    <cellStyle name="20% - Accent3 13 3 2 2 2 2 2" xfId="40104" xr:uid="{D03D4BA2-43D3-482F-8069-A481D7274B0D}"/>
    <cellStyle name="20% - Accent3 13 3 2 2 2 3" xfId="24208" xr:uid="{00000000-0005-0000-0000-0000AD0F0000}"/>
    <cellStyle name="20% - Accent3 13 3 2 2 2 3 2" xfId="48040" xr:uid="{9BBD010B-95AB-400B-8CEC-FAA862656B7C}"/>
    <cellStyle name="20% - Accent3 13 3 2 2 2 4" xfId="32163" xr:uid="{133CC84F-589E-4066-9518-2CC30EED2158}"/>
    <cellStyle name="20% - Accent3 13 3 2 2 3" xfId="12724" xr:uid="{00000000-0005-0000-0000-0000AE0F0000}"/>
    <cellStyle name="20% - Accent3 13 3 2 2 3 2" xfId="36573" xr:uid="{5E4A9F35-87BD-4F3B-AD4B-B903578599D3}"/>
    <cellStyle name="20% - Accent3 13 3 2 2 4" xfId="20679" xr:uid="{00000000-0005-0000-0000-0000AF0F0000}"/>
    <cellStyle name="20% - Accent3 13 3 2 2 4 2" xfId="44511" xr:uid="{1DF30F83-1DFE-44FD-8F46-81FF5F48007B}"/>
    <cellStyle name="20% - Accent3 13 3 2 2 5" xfId="28632" xr:uid="{7DCCD342-61D3-4342-AD19-15FDA7BC8A42}"/>
    <cellStyle name="20% - Accent3 13 3 2 3" xfId="6532" xr:uid="{00000000-0005-0000-0000-0000B00F0000}"/>
    <cellStyle name="20% - Accent3 13 3 2 3 2" xfId="14504" xr:uid="{00000000-0005-0000-0000-0000B10F0000}"/>
    <cellStyle name="20% - Accent3 13 3 2 3 2 2" xfId="38346" xr:uid="{6ADD151B-CBDC-4C4A-90B4-CDE80B6F7B40}"/>
    <cellStyle name="20% - Accent3 13 3 2 3 3" xfId="22451" xr:uid="{00000000-0005-0000-0000-0000B20F0000}"/>
    <cellStyle name="20% - Accent3 13 3 2 3 3 2" xfId="46283" xr:uid="{B94D89C0-FF4A-4C96-B311-C313146C9AEA}"/>
    <cellStyle name="20% - Accent3 13 3 2 3 4" xfId="30405" xr:uid="{EF2E01B6-53E5-4217-A3D3-0396FB3EFE50}"/>
    <cellStyle name="20% - Accent3 13 3 2 4" xfId="10968" xr:uid="{00000000-0005-0000-0000-0000B30F0000}"/>
    <cellStyle name="20% - Accent3 13 3 2 4 2" xfId="34817" xr:uid="{1FC4795B-3A7F-41E4-AAB2-072B1A6DA2B1}"/>
    <cellStyle name="20% - Accent3 13 3 2 5" xfId="18923" xr:uid="{00000000-0005-0000-0000-0000B40F0000}"/>
    <cellStyle name="20% - Accent3 13 3 2 5 2" xfId="42755" xr:uid="{E3DD6EAA-01B3-4CE7-858B-517701803203}"/>
    <cellStyle name="20% - Accent3 13 3 2 6" xfId="26875" xr:uid="{48027043-41B7-4033-8D50-C4B8F58DC96D}"/>
    <cellStyle name="20% - Accent3 13 3 2_Exh G" xfId="2219" xr:uid="{00000000-0005-0000-0000-0000B50F0000}"/>
    <cellStyle name="20% - Accent3 13 3 3" xfId="3821" xr:uid="{00000000-0005-0000-0000-0000B60F0000}"/>
    <cellStyle name="20% - Accent3 13 3 3 2" xfId="7413" xr:uid="{00000000-0005-0000-0000-0000B70F0000}"/>
    <cellStyle name="20% - Accent3 13 3 3 2 2" xfId="15384" xr:uid="{00000000-0005-0000-0000-0000B80F0000}"/>
    <cellStyle name="20% - Accent3 13 3 3 2 2 2" xfId="39226" xr:uid="{A2744F0A-4983-4A9E-AA09-6EF3956A3151}"/>
    <cellStyle name="20% - Accent3 13 3 3 2 3" xfId="23330" xr:uid="{00000000-0005-0000-0000-0000B90F0000}"/>
    <cellStyle name="20% - Accent3 13 3 3 2 3 2" xfId="47162" xr:uid="{82A7445A-FA11-437D-8C0B-8CB86D4EF75E}"/>
    <cellStyle name="20% - Accent3 13 3 3 2 4" xfId="31285" xr:uid="{A8843A31-84B3-42FB-8236-33768DEC4682}"/>
    <cellStyle name="20% - Accent3 13 3 3 3" xfId="11846" xr:uid="{00000000-0005-0000-0000-0000BA0F0000}"/>
    <cellStyle name="20% - Accent3 13 3 3 3 2" xfId="35695" xr:uid="{A5DEF4AA-E355-4D98-826A-3AA223651D76}"/>
    <cellStyle name="20% - Accent3 13 3 3 4" xfId="19801" xr:uid="{00000000-0005-0000-0000-0000BB0F0000}"/>
    <cellStyle name="20% - Accent3 13 3 3 4 2" xfId="43633" xr:uid="{2806ECC2-7DF2-4702-9381-F9680901BC5C}"/>
    <cellStyle name="20% - Accent3 13 3 3 5" xfId="27754" xr:uid="{325C1DB3-3938-4819-B9FE-07C2D40CA63F}"/>
    <cellStyle name="20% - Accent3 13 3 4" xfId="5641" xr:uid="{00000000-0005-0000-0000-0000BC0F0000}"/>
    <cellStyle name="20% - Accent3 13 3 4 2" xfId="13625" xr:uid="{00000000-0005-0000-0000-0000BD0F0000}"/>
    <cellStyle name="20% - Accent3 13 3 4 2 2" xfId="37468" xr:uid="{F3113672-ADCD-4213-B96D-5D050440FAB8}"/>
    <cellStyle name="20% - Accent3 13 3 4 3" xfId="21573" xr:uid="{00000000-0005-0000-0000-0000BE0F0000}"/>
    <cellStyle name="20% - Accent3 13 3 4 3 2" xfId="45405" xr:uid="{15933424-C131-4DCB-8533-882D6342AF76}"/>
    <cellStyle name="20% - Accent3 13 3 4 4" xfId="29527" xr:uid="{4F981B05-8CA4-4BCB-8D2C-E29F08D61711}"/>
    <cellStyle name="20% - Accent3 13 3 5" xfId="9194" xr:uid="{00000000-0005-0000-0000-0000BF0F0000}"/>
    <cellStyle name="20% - Accent3 13 3 5 2" xfId="17152" xr:uid="{00000000-0005-0000-0000-0000C00F0000}"/>
    <cellStyle name="20% - Accent3 13 3 5 2 2" xfId="40992" xr:uid="{E8F22928-0D33-4D9C-A9B2-2381F361CCB2}"/>
    <cellStyle name="20% - Accent3 13 3 5 3" xfId="25096" xr:uid="{00000000-0005-0000-0000-0000C10F0000}"/>
    <cellStyle name="20% - Accent3 13 3 5 3 2" xfId="48928" xr:uid="{29972C61-77C3-4FA1-A891-D3112CBBDE31}"/>
    <cellStyle name="20% - Accent3 13 3 5 4" xfId="33051" xr:uid="{001C0686-9602-4660-BC9D-C668C8BB6A02}"/>
    <cellStyle name="20% - Accent3 13 3 6" xfId="10090" xr:uid="{00000000-0005-0000-0000-0000C20F0000}"/>
    <cellStyle name="20% - Accent3 13 3 6 2" xfId="33939" xr:uid="{6A260EF8-7690-45B7-8D86-E0FBCB2AA343}"/>
    <cellStyle name="20% - Accent3 13 3 7" xfId="18045" xr:uid="{00000000-0005-0000-0000-0000C30F0000}"/>
    <cellStyle name="20% - Accent3 13 3 7 2" xfId="41877" xr:uid="{6EFCAF3F-85FA-4FFF-9CDE-97102D85469A}"/>
    <cellStyle name="20% - Accent3 13 3 8" xfId="25997" xr:uid="{9716B2F6-2A2E-4DA4-8811-1B6B94998C09}"/>
    <cellStyle name="20% - Accent3 13 3_Exh G" xfId="2218" xr:uid="{00000000-0005-0000-0000-0000C40F0000}"/>
    <cellStyle name="20% - Accent3 13 4" xfId="1167" xr:uid="{00000000-0005-0000-0000-0000C50F0000}"/>
    <cellStyle name="20% - Accent3 13 4 2" xfId="4697" xr:uid="{00000000-0005-0000-0000-0000C60F0000}"/>
    <cellStyle name="20% - Accent3 13 4 2 2" xfId="8288" xr:uid="{00000000-0005-0000-0000-0000C70F0000}"/>
    <cellStyle name="20% - Accent3 13 4 2 2 2" xfId="16259" xr:uid="{00000000-0005-0000-0000-0000C80F0000}"/>
    <cellStyle name="20% - Accent3 13 4 2 2 2 2" xfId="40101" xr:uid="{A22D25CC-E4F1-4F5D-AE52-4BFFE691FB4F}"/>
    <cellStyle name="20% - Accent3 13 4 2 2 3" xfId="24205" xr:uid="{00000000-0005-0000-0000-0000C90F0000}"/>
    <cellStyle name="20% - Accent3 13 4 2 2 3 2" xfId="48037" xr:uid="{00027753-F930-4B03-81D5-2D11FDB4B160}"/>
    <cellStyle name="20% - Accent3 13 4 2 2 4" xfId="32160" xr:uid="{5BD64B11-73A7-4198-B936-58E9335333D4}"/>
    <cellStyle name="20% - Accent3 13 4 2 3" xfId="12721" xr:uid="{00000000-0005-0000-0000-0000CA0F0000}"/>
    <cellStyle name="20% - Accent3 13 4 2 3 2" xfId="36570" xr:uid="{60F69C86-8A40-4F1D-B096-B8880B9D602F}"/>
    <cellStyle name="20% - Accent3 13 4 2 4" xfId="20676" xr:uid="{00000000-0005-0000-0000-0000CB0F0000}"/>
    <cellStyle name="20% - Accent3 13 4 2 4 2" xfId="44508" xr:uid="{5FD83D8D-3DF1-4EB5-9596-3937A22EF78E}"/>
    <cellStyle name="20% - Accent3 13 4 2 5" xfId="28629" xr:uid="{4B72F36F-750E-4F11-86B7-F5FD3A89E871}"/>
    <cellStyle name="20% - Accent3 13 4 3" xfId="6529" xr:uid="{00000000-0005-0000-0000-0000CC0F0000}"/>
    <cellStyle name="20% - Accent3 13 4 3 2" xfId="14501" xr:uid="{00000000-0005-0000-0000-0000CD0F0000}"/>
    <cellStyle name="20% - Accent3 13 4 3 2 2" xfId="38343" xr:uid="{FAA3FA3B-5D09-420F-A76C-2C49C7C038DF}"/>
    <cellStyle name="20% - Accent3 13 4 3 3" xfId="22448" xr:uid="{00000000-0005-0000-0000-0000CE0F0000}"/>
    <cellStyle name="20% - Accent3 13 4 3 3 2" xfId="46280" xr:uid="{73E769B9-AF6E-4E7D-9D25-AA51B39B877F}"/>
    <cellStyle name="20% - Accent3 13 4 3 4" xfId="30402" xr:uid="{349D5227-E4C9-4BE5-880E-814B24E426CF}"/>
    <cellStyle name="20% - Accent3 13 4 4" xfId="10965" xr:uid="{00000000-0005-0000-0000-0000CF0F0000}"/>
    <cellStyle name="20% - Accent3 13 4 4 2" xfId="34814" xr:uid="{5E8E59BC-95F9-4AED-B7FB-2E4A326DA10E}"/>
    <cellStyle name="20% - Accent3 13 4 5" xfId="18920" xr:uid="{00000000-0005-0000-0000-0000D00F0000}"/>
    <cellStyle name="20% - Accent3 13 4 5 2" xfId="42752" xr:uid="{878A51D2-7061-4048-B38C-FA98D9929E6F}"/>
    <cellStyle name="20% - Accent3 13 4 6" xfId="26872" xr:uid="{1D2A9AA7-29CE-463A-8770-C3D7FBD5524C}"/>
    <cellStyle name="20% - Accent3 13 4_Exh G" xfId="2220" xr:uid="{00000000-0005-0000-0000-0000D10F0000}"/>
    <cellStyle name="20% - Accent3 13 5" xfId="3818" xr:uid="{00000000-0005-0000-0000-0000D20F0000}"/>
    <cellStyle name="20% - Accent3 13 5 2" xfId="7410" xr:uid="{00000000-0005-0000-0000-0000D30F0000}"/>
    <cellStyle name="20% - Accent3 13 5 2 2" xfId="15381" xr:uid="{00000000-0005-0000-0000-0000D40F0000}"/>
    <cellStyle name="20% - Accent3 13 5 2 2 2" xfId="39223" xr:uid="{DFC841F0-2250-4E2E-9BD4-05039725CD7F}"/>
    <cellStyle name="20% - Accent3 13 5 2 3" xfId="23327" xr:uid="{00000000-0005-0000-0000-0000D50F0000}"/>
    <cellStyle name="20% - Accent3 13 5 2 3 2" xfId="47159" xr:uid="{0DBC58BB-26AF-4B40-B569-16891D9513C6}"/>
    <cellStyle name="20% - Accent3 13 5 2 4" xfId="31282" xr:uid="{96FE6386-53B0-4D5A-83F1-7E971A201805}"/>
    <cellStyle name="20% - Accent3 13 5 3" xfId="11843" xr:uid="{00000000-0005-0000-0000-0000D60F0000}"/>
    <cellStyle name="20% - Accent3 13 5 3 2" xfId="35692" xr:uid="{98B031F4-CBAC-4A1C-9C36-D75BB8A0BD03}"/>
    <cellStyle name="20% - Accent3 13 5 4" xfId="19798" xr:uid="{00000000-0005-0000-0000-0000D70F0000}"/>
    <cellStyle name="20% - Accent3 13 5 4 2" xfId="43630" xr:uid="{A97B63D0-43C7-493F-925C-992E5A018EB9}"/>
    <cellStyle name="20% - Accent3 13 5 5" xfId="27751" xr:uid="{65DFF4CE-3EC5-4B48-9700-4231E2118E1F}"/>
    <cellStyle name="20% - Accent3 13 6" xfId="5638" xr:uid="{00000000-0005-0000-0000-0000D80F0000}"/>
    <cellStyle name="20% - Accent3 13 6 2" xfId="13622" xr:uid="{00000000-0005-0000-0000-0000D90F0000}"/>
    <cellStyle name="20% - Accent3 13 6 2 2" xfId="37465" xr:uid="{F0214DDA-468D-424D-B6CD-F3D6557D2CE5}"/>
    <cellStyle name="20% - Accent3 13 6 3" xfId="21570" xr:uid="{00000000-0005-0000-0000-0000DA0F0000}"/>
    <cellStyle name="20% - Accent3 13 6 3 2" xfId="45402" xr:uid="{1F2EF341-A5DC-4E00-AA10-D70D0758A53A}"/>
    <cellStyle name="20% - Accent3 13 6 4" xfId="29524" xr:uid="{EB8A03E0-1406-4FD5-83D3-A89F0B449E10}"/>
    <cellStyle name="20% - Accent3 13 7" xfId="9191" xr:uid="{00000000-0005-0000-0000-0000DB0F0000}"/>
    <cellStyle name="20% - Accent3 13 7 2" xfId="17149" xr:uid="{00000000-0005-0000-0000-0000DC0F0000}"/>
    <cellStyle name="20% - Accent3 13 7 2 2" xfId="40989" xr:uid="{1E413141-98AC-41E8-8E1A-155213585EDC}"/>
    <cellStyle name="20% - Accent3 13 7 3" xfId="25093" xr:uid="{00000000-0005-0000-0000-0000DD0F0000}"/>
    <cellStyle name="20% - Accent3 13 7 3 2" xfId="48925" xr:uid="{C980E070-00A0-4BE5-82A7-7243B9442000}"/>
    <cellStyle name="20% - Accent3 13 7 4" xfId="33048" xr:uid="{627DFD76-9E01-45DF-B376-982CF8D9139A}"/>
    <cellStyle name="20% - Accent3 13 8" xfId="10087" xr:uid="{00000000-0005-0000-0000-0000DE0F0000}"/>
    <cellStyle name="20% - Accent3 13 8 2" xfId="33936" xr:uid="{ABD32BAA-2E8A-4E69-AD6C-519CC0F00CFD}"/>
    <cellStyle name="20% - Accent3 13 9" xfId="18042" xr:uid="{00000000-0005-0000-0000-0000DF0F0000}"/>
    <cellStyle name="20% - Accent3 13 9 2" xfId="41874" xr:uid="{3523917F-2E1E-4A70-9C51-CC7428CF797B}"/>
    <cellStyle name="20% - Accent3 13_Exh G" xfId="2213" xr:uid="{00000000-0005-0000-0000-0000E00F0000}"/>
    <cellStyle name="20% - Accent3 14" xfId="143" xr:uid="{00000000-0005-0000-0000-0000E10F0000}"/>
    <cellStyle name="20% - Accent3 14 2" xfId="144" xr:uid="{00000000-0005-0000-0000-0000E20F0000}"/>
    <cellStyle name="20% - Accent3 14 2 2" xfId="1172" xr:uid="{00000000-0005-0000-0000-0000E30F0000}"/>
    <cellStyle name="20% - Accent3 14 2 2 2" xfId="4702" xr:uid="{00000000-0005-0000-0000-0000E40F0000}"/>
    <cellStyle name="20% - Accent3 14 2 2 2 2" xfId="8293" xr:uid="{00000000-0005-0000-0000-0000E50F0000}"/>
    <cellStyle name="20% - Accent3 14 2 2 2 2 2" xfId="16264" xr:uid="{00000000-0005-0000-0000-0000E60F0000}"/>
    <cellStyle name="20% - Accent3 14 2 2 2 2 2 2" xfId="40106" xr:uid="{A2FD584B-337B-41C1-B13D-71701109E44D}"/>
    <cellStyle name="20% - Accent3 14 2 2 2 2 3" xfId="24210" xr:uid="{00000000-0005-0000-0000-0000E70F0000}"/>
    <cellStyle name="20% - Accent3 14 2 2 2 2 3 2" xfId="48042" xr:uid="{9D137C4F-0BC1-401C-8D19-8C822CDC6698}"/>
    <cellStyle name="20% - Accent3 14 2 2 2 2 4" xfId="32165" xr:uid="{D0AE2B7C-186B-4658-918F-CC1808B17133}"/>
    <cellStyle name="20% - Accent3 14 2 2 2 3" xfId="12726" xr:uid="{00000000-0005-0000-0000-0000E80F0000}"/>
    <cellStyle name="20% - Accent3 14 2 2 2 3 2" xfId="36575" xr:uid="{20D730FD-1BD6-45F2-920A-C6FBB9A5E7ED}"/>
    <cellStyle name="20% - Accent3 14 2 2 2 4" xfId="20681" xr:uid="{00000000-0005-0000-0000-0000E90F0000}"/>
    <cellStyle name="20% - Accent3 14 2 2 2 4 2" xfId="44513" xr:uid="{E0F914C1-795C-4272-A74D-2FF8C98579B2}"/>
    <cellStyle name="20% - Accent3 14 2 2 2 5" xfId="28634" xr:uid="{488DA431-2A17-4C68-AFEC-5458BBA7B256}"/>
    <cellStyle name="20% - Accent3 14 2 2 3" xfId="6534" xr:uid="{00000000-0005-0000-0000-0000EA0F0000}"/>
    <cellStyle name="20% - Accent3 14 2 2 3 2" xfId="14506" xr:uid="{00000000-0005-0000-0000-0000EB0F0000}"/>
    <cellStyle name="20% - Accent3 14 2 2 3 2 2" xfId="38348" xr:uid="{17E13A81-3ECE-4843-9FC3-95DFBD417DD2}"/>
    <cellStyle name="20% - Accent3 14 2 2 3 3" xfId="22453" xr:uid="{00000000-0005-0000-0000-0000EC0F0000}"/>
    <cellStyle name="20% - Accent3 14 2 2 3 3 2" xfId="46285" xr:uid="{762AC48D-2C9E-4D6B-8448-CFED1ABCC265}"/>
    <cellStyle name="20% - Accent3 14 2 2 3 4" xfId="30407" xr:uid="{D93CB011-DB39-4E51-83B1-2538A2AAFC21}"/>
    <cellStyle name="20% - Accent3 14 2 2 4" xfId="10970" xr:uid="{00000000-0005-0000-0000-0000ED0F0000}"/>
    <cellStyle name="20% - Accent3 14 2 2 4 2" xfId="34819" xr:uid="{4DCE6BFA-FF82-4EA0-88F2-47106EF52069}"/>
    <cellStyle name="20% - Accent3 14 2 2 5" xfId="18925" xr:uid="{00000000-0005-0000-0000-0000EE0F0000}"/>
    <cellStyle name="20% - Accent3 14 2 2 5 2" xfId="42757" xr:uid="{D5E5823D-3054-4AD5-9207-43054D85D9B6}"/>
    <cellStyle name="20% - Accent3 14 2 2 6" xfId="26877" xr:uid="{95BE2CBA-9C5D-4D31-A506-83BA3A48ABFF}"/>
    <cellStyle name="20% - Accent3 14 2 2_Exh G" xfId="2223" xr:uid="{00000000-0005-0000-0000-0000EF0F0000}"/>
    <cellStyle name="20% - Accent3 14 2 3" xfId="3823" xr:uid="{00000000-0005-0000-0000-0000F00F0000}"/>
    <cellStyle name="20% - Accent3 14 2 3 2" xfId="7415" xr:uid="{00000000-0005-0000-0000-0000F10F0000}"/>
    <cellStyle name="20% - Accent3 14 2 3 2 2" xfId="15386" xr:uid="{00000000-0005-0000-0000-0000F20F0000}"/>
    <cellStyle name="20% - Accent3 14 2 3 2 2 2" xfId="39228" xr:uid="{E33A87E5-6941-4ED7-A273-83B991A43842}"/>
    <cellStyle name="20% - Accent3 14 2 3 2 3" xfId="23332" xr:uid="{00000000-0005-0000-0000-0000F30F0000}"/>
    <cellStyle name="20% - Accent3 14 2 3 2 3 2" xfId="47164" xr:uid="{74447DC8-AB05-4C22-8E40-E1A8AF72BECA}"/>
    <cellStyle name="20% - Accent3 14 2 3 2 4" xfId="31287" xr:uid="{6300C90F-076B-41D6-8677-FC8C1BD0FB22}"/>
    <cellStyle name="20% - Accent3 14 2 3 3" xfId="11848" xr:uid="{00000000-0005-0000-0000-0000F40F0000}"/>
    <cellStyle name="20% - Accent3 14 2 3 3 2" xfId="35697" xr:uid="{4090D752-07AD-4E0B-922D-2FE3B32384A0}"/>
    <cellStyle name="20% - Accent3 14 2 3 4" xfId="19803" xr:uid="{00000000-0005-0000-0000-0000F50F0000}"/>
    <cellStyle name="20% - Accent3 14 2 3 4 2" xfId="43635" xr:uid="{B3646DAD-B0B1-4DFA-861C-CF50C0A3A751}"/>
    <cellStyle name="20% - Accent3 14 2 3 5" xfId="27756" xr:uid="{76A9973E-161C-4D68-812A-1E1F737D4A9E}"/>
    <cellStyle name="20% - Accent3 14 2 4" xfId="5643" xr:uid="{00000000-0005-0000-0000-0000F60F0000}"/>
    <cellStyle name="20% - Accent3 14 2 4 2" xfId="13627" xr:uid="{00000000-0005-0000-0000-0000F70F0000}"/>
    <cellStyle name="20% - Accent3 14 2 4 2 2" xfId="37470" xr:uid="{7078B6C6-8E00-4019-9F3E-6F0B22F22707}"/>
    <cellStyle name="20% - Accent3 14 2 4 3" xfId="21575" xr:uid="{00000000-0005-0000-0000-0000F80F0000}"/>
    <cellStyle name="20% - Accent3 14 2 4 3 2" xfId="45407" xr:uid="{F87EBBD2-9F78-4515-9878-D1531C49E4DF}"/>
    <cellStyle name="20% - Accent3 14 2 4 4" xfId="29529" xr:uid="{CB7A3A84-7DFE-4B09-8142-CB6347363C36}"/>
    <cellStyle name="20% - Accent3 14 2 5" xfId="9196" xr:uid="{00000000-0005-0000-0000-0000F90F0000}"/>
    <cellStyle name="20% - Accent3 14 2 5 2" xfId="17154" xr:uid="{00000000-0005-0000-0000-0000FA0F0000}"/>
    <cellStyle name="20% - Accent3 14 2 5 2 2" xfId="40994" xr:uid="{56738862-5073-438A-AA6E-F9AE39B735E3}"/>
    <cellStyle name="20% - Accent3 14 2 5 3" xfId="25098" xr:uid="{00000000-0005-0000-0000-0000FB0F0000}"/>
    <cellStyle name="20% - Accent3 14 2 5 3 2" xfId="48930" xr:uid="{6F8DE297-D374-487B-8E8C-4CA99985BF4B}"/>
    <cellStyle name="20% - Accent3 14 2 5 4" xfId="33053" xr:uid="{74788E61-F54C-4AD5-9309-8F01F6699F40}"/>
    <cellStyle name="20% - Accent3 14 2 6" xfId="10092" xr:uid="{00000000-0005-0000-0000-0000FC0F0000}"/>
    <cellStyle name="20% - Accent3 14 2 6 2" xfId="33941" xr:uid="{3C7824A7-1306-402B-A057-52CD10B14CC5}"/>
    <cellStyle name="20% - Accent3 14 2 7" xfId="18047" xr:uid="{00000000-0005-0000-0000-0000FD0F0000}"/>
    <cellStyle name="20% - Accent3 14 2 7 2" xfId="41879" xr:uid="{78AC2D7F-7FCC-48B3-A78A-51CDDC188668}"/>
    <cellStyle name="20% - Accent3 14 2 8" xfId="25999" xr:uid="{98B52D42-0310-4CB8-B48A-2A73E66D2FA3}"/>
    <cellStyle name="20% - Accent3 14 2_Exh G" xfId="2222" xr:uid="{00000000-0005-0000-0000-0000FE0F0000}"/>
    <cellStyle name="20% - Accent3 14 3" xfId="1171" xr:uid="{00000000-0005-0000-0000-0000FF0F0000}"/>
    <cellStyle name="20% - Accent3 14 3 2" xfId="4701" xr:uid="{00000000-0005-0000-0000-000000100000}"/>
    <cellStyle name="20% - Accent3 14 3 2 2" xfId="8292" xr:uid="{00000000-0005-0000-0000-000001100000}"/>
    <cellStyle name="20% - Accent3 14 3 2 2 2" xfId="16263" xr:uid="{00000000-0005-0000-0000-000002100000}"/>
    <cellStyle name="20% - Accent3 14 3 2 2 2 2" xfId="40105" xr:uid="{34BFFC90-06E5-4460-9931-5440399CC5A8}"/>
    <cellStyle name="20% - Accent3 14 3 2 2 3" xfId="24209" xr:uid="{00000000-0005-0000-0000-000003100000}"/>
    <cellStyle name="20% - Accent3 14 3 2 2 3 2" xfId="48041" xr:uid="{47921CD1-2AA3-49F2-819C-4EFB09D9A654}"/>
    <cellStyle name="20% - Accent3 14 3 2 2 4" xfId="32164" xr:uid="{E032E893-714E-4AA6-A603-2868972BC2E6}"/>
    <cellStyle name="20% - Accent3 14 3 2 3" xfId="12725" xr:uid="{00000000-0005-0000-0000-000004100000}"/>
    <cellStyle name="20% - Accent3 14 3 2 3 2" xfId="36574" xr:uid="{5E497CD8-6D77-48B5-9323-C4B1A78B0F89}"/>
    <cellStyle name="20% - Accent3 14 3 2 4" xfId="20680" xr:uid="{00000000-0005-0000-0000-000005100000}"/>
    <cellStyle name="20% - Accent3 14 3 2 4 2" xfId="44512" xr:uid="{6359CEA3-A5D3-473D-BF21-31C5FA273CAF}"/>
    <cellStyle name="20% - Accent3 14 3 2 5" xfId="28633" xr:uid="{C2EA0B30-8903-4000-BBEB-D7920CEDF7FE}"/>
    <cellStyle name="20% - Accent3 14 3 3" xfId="6533" xr:uid="{00000000-0005-0000-0000-000006100000}"/>
    <cellStyle name="20% - Accent3 14 3 3 2" xfId="14505" xr:uid="{00000000-0005-0000-0000-000007100000}"/>
    <cellStyle name="20% - Accent3 14 3 3 2 2" xfId="38347" xr:uid="{D2233F53-3978-4F06-9006-A4D988D3CDE9}"/>
    <cellStyle name="20% - Accent3 14 3 3 3" xfId="22452" xr:uid="{00000000-0005-0000-0000-000008100000}"/>
    <cellStyle name="20% - Accent3 14 3 3 3 2" xfId="46284" xr:uid="{C758A33B-7873-414A-91F9-4498C0D1AF44}"/>
    <cellStyle name="20% - Accent3 14 3 3 4" xfId="30406" xr:uid="{8D0286E4-A3E5-47BC-9D4D-9FD7594B2634}"/>
    <cellStyle name="20% - Accent3 14 3 4" xfId="10969" xr:uid="{00000000-0005-0000-0000-000009100000}"/>
    <cellStyle name="20% - Accent3 14 3 4 2" xfId="34818" xr:uid="{F9B32712-FC25-4B8E-9393-7A1F11257065}"/>
    <cellStyle name="20% - Accent3 14 3 5" xfId="18924" xr:uid="{00000000-0005-0000-0000-00000A100000}"/>
    <cellStyle name="20% - Accent3 14 3 5 2" xfId="42756" xr:uid="{948DDB4A-820C-45A0-85CA-B3E074FF3DC3}"/>
    <cellStyle name="20% - Accent3 14 3 6" xfId="26876" xr:uid="{122753CE-B4A2-4592-AAB8-FF6D5AD5AE06}"/>
    <cellStyle name="20% - Accent3 14 3_Exh G" xfId="2224" xr:uid="{00000000-0005-0000-0000-00000B100000}"/>
    <cellStyle name="20% - Accent3 14 4" xfId="3822" xr:uid="{00000000-0005-0000-0000-00000C100000}"/>
    <cellStyle name="20% - Accent3 14 4 2" xfId="7414" xr:uid="{00000000-0005-0000-0000-00000D100000}"/>
    <cellStyle name="20% - Accent3 14 4 2 2" xfId="15385" xr:uid="{00000000-0005-0000-0000-00000E100000}"/>
    <cellStyle name="20% - Accent3 14 4 2 2 2" xfId="39227" xr:uid="{CC2688B5-14A5-46E9-AF30-7E132D832EFA}"/>
    <cellStyle name="20% - Accent3 14 4 2 3" xfId="23331" xr:uid="{00000000-0005-0000-0000-00000F100000}"/>
    <cellStyle name="20% - Accent3 14 4 2 3 2" xfId="47163" xr:uid="{CB155442-1604-4637-AE75-4C6254726728}"/>
    <cellStyle name="20% - Accent3 14 4 2 4" xfId="31286" xr:uid="{A3825A41-34F0-4DD6-B806-B37D45D3469F}"/>
    <cellStyle name="20% - Accent3 14 4 3" xfId="11847" xr:uid="{00000000-0005-0000-0000-000010100000}"/>
    <cellStyle name="20% - Accent3 14 4 3 2" xfId="35696" xr:uid="{AAADDF69-AEE4-467E-9630-E28D596510A4}"/>
    <cellStyle name="20% - Accent3 14 4 4" xfId="19802" xr:uid="{00000000-0005-0000-0000-000011100000}"/>
    <cellStyle name="20% - Accent3 14 4 4 2" xfId="43634" xr:uid="{022A9E58-30A8-4CD7-9B67-F11DCEC491EE}"/>
    <cellStyle name="20% - Accent3 14 4 5" xfId="27755" xr:uid="{E36AACFB-5D2C-4785-94C4-3D11DDD4013D}"/>
    <cellStyle name="20% - Accent3 14 5" xfId="5642" xr:uid="{00000000-0005-0000-0000-000012100000}"/>
    <cellStyle name="20% - Accent3 14 5 2" xfId="13626" xr:uid="{00000000-0005-0000-0000-000013100000}"/>
    <cellStyle name="20% - Accent3 14 5 2 2" xfId="37469" xr:uid="{2FAAAA2D-B47F-4B61-B5FB-080F925047CB}"/>
    <cellStyle name="20% - Accent3 14 5 3" xfId="21574" xr:uid="{00000000-0005-0000-0000-000014100000}"/>
    <cellStyle name="20% - Accent3 14 5 3 2" xfId="45406" xr:uid="{C9B5F1F5-9746-4DEC-B9F0-75A5519C6E1F}"/>
    <cellStyle name="20% - Accent3 14 5 4" xfId="29528" xr:uid="{BABFE98E-2607-4A06-A700-4809F40490B8}"/>
    <cellStyle name="20% - Accent3 14 6" xfId="9195" xr:uid="{00000000-0005-0000-0000-000015100000}"/>
    <cellStyle name="20% - Accent3 14 6 2" xfId="17153" xr:uid="{00000000-0005-0000-0000-000016100000}"/>
    <cellStyle name="20% - Accent3 14 6 2 2" xfId="40993" xr:uid="{8B381E33-D24C-49F9-BE54-2BA45423DAB4}"/>
    <cellStyle name="20% - Accent3 14 6 3" xfId="25097" xr:uid="{00000000-0005-0000-0000-000017100000}"/>
    <cellStyle name="20% - Accent3 14 6 3 2" xfId="48929" xr:uid="{8A77DA2F-BEBD-47C2-AA7D-33E5BE6A89E8}"/>
    <cellStyle name="20% - Accent3 14 6 4" xfId="33052" xr:uid="{36A5E80C-5569-4877-9DE3-6F0F7C7953B4}"/>
    <cellStyle name="20% - Accent3 14 7" xfId="10091" xr:uid="{00000000-0005-0000-0000-000018100000}"/>
    <cellStyle name="20% - Accent3 14 7 2" xfId="33940" xr:uid="{78E3E9A9-E367-4A9E-87FD-8497F1CB3AA9}"/>
    <cellStyle name="20% - Accent3 14 8" xfId="18046" xr:uid="{00000000-0005-0000-0000-000019100000}"/>
    <cellStyle name="20% - Accent3 14 8 2" xfId="41878" xr:uid="{C6BBF415-5567-4033-94A9-AD7ABF59FDD3}"/>
    <cellStyle name="20% - Accent3 14 9" xfId="25998" xr:uid="{4F482B42-491F-4CBE-AE6C-1B9D4075EE68}"/>
    <cellStyle name="20% - Accent3 14_Exh G" xfId="2221" xr:uid="{00000000-0005-0000-0000-00001A100000}"/>
    <cellStyle name="20% - Accent3 15" xfId="145" xr:uid="{00000000-0005-0000-0000-00001B100000}"/>
    <cellStyle name="20% - Accent3 15 2" xfId="1173" xr:uid="{00000000-0005-0000-0000-00001C100000}"/>
    <cellStyle name="20% - Accent3 15 2 2" xfId="4703" xr:uid="{00000000-0005-0000-0000-00001D100000}"/>
    <cellStyle name="20% - Accent3 15 2 2 2" xfId="8294" xr:uid="{00000000-0005-0000-0000-00001E100000}"/>
    <cellStyle name="20% - Accent3 15 2 2 2 2" xfId="16265" xr:uid="{00000000-0005-0000-0000-00001F100000}"/>
    <cellStyle name="20% - Accent3 15 2 2 2 2 2" xfId="40107" xr:uid="{70914615-6EEE-4D10-8DBD-08ECCDEAEBE3}"/>
    <cellStyle name="20% - Accent3 15 2 2 2 3" xfId="24211" xr:uid="{00000000-0005-0000-0000-000020100000}"/>
    <cellStyle name="20% - Accent3 15 2 2 2 3 2" xfId="48043" xr:uid="{08CEA411-5915-44C9-BF8C-7DD38F046950}"/>
    <cellStyle name="20% - Accent3 15 2 2 2 4" xfId="32166" xr:uid="{3E555CC1-CF9A-4D43-947B-723B2437E1DE}"/>
    <cellStyle name="20% - Accent3 15 2 2 3" xfId="12727" xr:uid="{00000000-0005-0000-0000-000021100000}"/>
    <cellStyle name="20% - Accent3 15 2 2 3 2" xfId="36576" xr:uid="{93AB5672-DF9A-4603-B960-A0D74937AA8B}"/>
    <cellStyle name="20% - Accent3 15 2 2 4" xfId="20682" xr:uid="{00000000-0005-0000-0000-000022100000}"/>
    <cellStyle name="20% - Accent3 15 2 2 4 2" xfId="44514" xr:uid="{16B26F5E-DD12-4101-B6C0-7E9E4C8414BF}"/>
    <cellStyle name="20% - Accent3 15 2 2 5" xfId="28635" xr:uid="{F726DFC5-C9A3-4085-83F6-1B0B5BE74ACC}"/>
    <cellStyle name="20% - Accent3 15 2 3" xfId="6535" xr:uid="{00000000-0005-0000-0000-000023100000}"/>
    <cellStyle name="20% - Accent3 15 2 3 2" xfId="14507" xr:uid="{00000000-0005-0000-0000-000024100000}"/>
    <cellStyle name="20% - Accent3 15 2 3 2 2" xfId="38349" xr:uid="{7D760FFD-98E3-4359-A580-7A7E26F91EE7}"/>
    <cellStyle name="20% - Accent3 15 2 3 3" xfId="22454" xr:uid="{00000000-0005-0000-0000-000025100000}"/>
    <cellStyle name="20% - Accent3 15 2 3 3 2" xfId="46286" xr:uid="{B1A9CFBC-E9F9-4EC9-BA2E-95820120F7E3}"/>
    <cellStyle name="20% - Accent3 15 2 3 4" xfId="30408" xr:uid="{3CB22BAA-3727-4935-B240-940D3C83FAD0}"/>
    <cellStyle name="20% - Accent3 15 2 4" xfId="10971" xr:uid="{00000000-0005-0000-0000-000026100000}"/>
    <cellStyle name="20% - Accent3 15 2 4 2" xfId="34820" xr:uid="{4BFA1BDB-3DF5-472B-8777-E0EE979B9C3E}"/>
    <cellStyle name="20% - Accent3 15 2 5" xfId="18926" xr:uid="{00000000-0005-0000-0000-000027100000}"/>
    <cellStyle name="20% - Accent3 15 2 5 2" xfId="42758" xr:uid="{267509CF-3AED-421E-8BF3-024B637B4944}"/>
    <cellStyle name="20% - Accent3 15 2 6" xfId="26878" xr:uid="{18A06609-3B45-4610-87B1-0ED6368C8C3E}"/>
    <cellStyle name="20% - Accent3 15 2_Exh G" xfId="2226" xr:uid="{00000000-0005-0000-0000-000028100000}"/>
    <cellStyle name="20% - Accent3 15 3" xfId="3824" xr:uid="{00000000-0005-0000-0000-000029100000}"/>
    <cellStyle name="20% - Accent3 15 3 2" xfId="7416" xr:uid="{00000000-0005-0000-0000-00002A100000}"/>
    <cellStyle name="20% - Accent3 15 3 2 2" xfId="15387" xr:uid="{00000000-0005-0000-0000-00002B100000}"/>
    <cellStyle name="20% - Accent3 15 3 2 2 2" xfId="39229" xr:uid="{D4E07ED0-6181-499D-8D0D-3C1A2484BF80}"/>
    <cellStyle name="20% - Accent3 15 3 2 3" xfId="23333" xr:uid="{00000000-0005-0000-0000-00002C100000}"/>
    <cellStyle name="20% - Accent3 15 3 2 3 2" xfId="47165" xr:uid="{9B9B6281-87C7-494F-A5E6-5448E811AB02}"/>
    <cellStyle name="20% - Accent3 15 3 2 4" xfId="31288" xr:uid="{6B6574A3-A783-4A79-AFFA-27F08F462E61}"/>
    <cellStyle name="20% - Accent3 15 3 3" xfId="11849" xr:uid="{00000000-0005-0000-0000-00002D100000}"/>
    <cellStyle name="20% - Accent3 15 3 3 2" xfId="35698" xr:uid="{983A787B-335B-417B-B6C6-A423135452DE}"/>
    <cellStyle name="20% - Accent3 15 3 4" xfId="19804" xr:uid="{00000000-0005-0000-0000-00002E100000}"/>
    <cellStyle name="20% - Accent3 15 3 4 2" xfId="43636" xr:uid="{5688EA38-0F61-4A91-BAD4-9DA2A992EEDC}"/>
    <cellStyle name="20% - Accent3 15 3 5" xfId="27757" xr:uid="{237092F2-1609-4B95-B004-89F70C0784B8}"/>
    <cellStyle name="20% - Accent3 15 4" xfId="5644" xr:uid="{00000000-0005-0000-0000-00002F100000}"/>
    <cellStyle name="20% - Accent3 15 4 2" xfId="13628" xr:uid="{00000000-0005-0000-0000-000030100000}"/>
    <cellStyle name="20% - Accent3 15 4 2 2" xfId="37471" xr:uid="{F93A985E-90F2-4213-90C4-06692C25C218}"/>
    <cellStyle name="20% - Accent3 15 4 3" xfId="21576" xr:uid="{00000000-0005-0000-0000-000031100000}"/>
    <cellStyle name="20% - Accent3 15 4 3 2" xfId="45408" xr:uid="{17A97B2D-FCD9-42EE-B3A6-60CE50303C4B}"/>
    <cellStyle name="20% - Accent3 15 4 4" xfId="29530" xr:uid="{8A0EA5FB-9203-49C2-93DA-EA6D18B350AF}"/>
    <cellStyle name="20% - Accent3 15 5" xfId="9197" xr:uid="{00000000-0005-0000-0000-000032100000}"/>
    <cellStyle name="20% - Accent3 15 5 2" xfId="17155" xr:uid="{00000000-0005-0000-0000-000033100000}"/>
    <cellStyle name="20% - Accent3 15 5 2 2" xfId="40995" xr:uid="{0E902255-D68D-4C30-98CB-B4218F08444E}"/>
    <cellStyle name="20% - Accent3 15 5 3" xfId="25099" xr:uid="{00000000-0005-0000-0000-000034100000}"/>
    <cellStyle name="20% - Accent3 15 5 3 2" xfId="48931" xr:uid="{5D954AE2-4C13-4A5E-8C1B-DAB96078D06D}"/>
    <cellStyle name="20% - Accent3 15 5 4" xfId="33054" xr:uid="{132E4E3F-5C95-4EC4-A139-AE3C5434FADA}"/>
    <cellStyle name="20% - Accent3 15 6" xfId="10093" xr:uid="{00000000-0005-0000-0000-000035100000}"/>
    <cellStyle name="20% - Accent3 15 6 2" xfId="33942" xr:uid="{FEFC2CFE-E764-4599-9632-44491B63D0A9}"/>
    <cellStyle name="20% - Accent3 15 7" xfId="18048" xr:uid="{00000000-0005-0000-0000-000036100000}"/>
    <cellStyle name="20% - Accent3 15 7 2" xfId="41880" xr:uid="{EC234595-CB7B-4C31-BF6C-EDA003ACBACB}"/>
    <cellStyle name="20% - Accent3 15 8" xfId="26000" xr:uid="{B513E0C4-ECC3-4348-B83B-F04EF2510CBF}"/>
    <cellStyle name="20% - Accent3 15_Exh G" xfId="2225" xr:uid="{00000000-0005-0000-0000-000037100000}"/>
    <cellStyle name="20% - Accent3 16" xfId="845" xr:uid="{00000000-0005-0000-0000-000038100000}"/>
    <cellStyle name="20% - Accent3 16 2" xfId="1784" xr:uid="{00000000-0005-0000-0000-000039100000}"/>
    <cellStyle name="20% - Accent3 16 2 2" xfId="5305" xr:uid="{00000000-0005-0000-0000-00003A100000}"/>
    <cellStyle name="20% - Accent3 16 2 2 2" xfId="8896" xr:uid="{00000000-0005-0000-0000-00003B100000}"/>
    <cellStyle name="20% - Accent3 16 2 2 2 2" xfId="16867" xr:uid="{00000000-0005-0000-0000-00003C100000}"/>
    <cellStyle name="20% - Accent3 16 2 2 2 2 2" xfId="40709" xr:uid="{D2FAE53D-BB5E-465B-A7A5-F36EB5DCAE24}"/>
    <cellStyle name="20% - Accent3 16 2 2 2 3" xfId="24813" xr:uid="{00000000-0005-0000-0000-00003D100000}"/>
    <cellStyle name="20% - Accent3 16 2 2 2 3 2" xfId="48645" xr:uid="{6394EC0B-52BE-4379-B5EA-82747DEA2F04}"/>
    <cellStyle name="20% - Accent3 16 2 2 2 4" xfId="32768" xr:uid="{8F76059D-0FE3-4426-BA00-083EAB226DBE}"/>
    <cellStyle name="20% - Accent3 16 2 2 3" xfId="13329" xr:uid="{00000000-0005-0000-0000-00003E100000}"/>
    <cellStyle name="20% - Accent3 16 2 2 3 2" xfId="37178" xr:uid="{15736504-2A15-4B06-9ACD-A63C8A7DB3DB}"/>
    <cellStyle name="20% - Accent3 16 2 2 4" xfId="21284" xr:uid="{00000000-0005-0000-0000-00003F100000}"/>
    <cellStyle name="20% - Accent3 16 2 2 4 2" xfId="45116" xr:uid="{FCC5F6EE-4F0C-47C1-AD2A-25575FA575FA}"/>
    <cellStyle name="20% - Accent3 16 2 2 5" xfId="29237" xr:uid="{3FCEA4E7-080D-4A27-93B9-22924E5DDA36}"/>
    <cellStyle name="20% - Accent3 16 2 3" xfId="7137" xr:uid="{00000000-0005-0000-0000-000040100000}"/>
    <cellStyle name="20% - Accent3 16 2 3 2" xfId="15109" xr:uid="{00000000-0005-0000-0000-000041100000}"/>
    <cellStyle name="20% - Accent3 16 2 3 2 2" xfId="38951" xr:uid="{9A97F3D3-F77D-48F8-AA57-1E93FC27ED70}"/>
    <cellStyle name="20% - Accent3 16 2 3 3" xfId="23056" xr:uid="{00000000-0005-0000-0000-000042100000}"/>
    <cellStyle name="20% - Accent3 16 2 3 3 2" xfId="46888" xr:uid="{31EA5A4D-03CE-41EF-BDA5-C06B23F7B2B5}"/>
    <cellStyle name="20% - Accent3 16 2 3 4" xfId="31010" xr:uid="{6232270D-448A-4822-980E-3CD9A81BB317}"/>
    <cellStyle name="20% - Accent3 16 2 4" xfId="11573" xr:uid="{00000000-0005-0000-0000-000043100000}"/>
    <cellStyle name="20% - Accent3 16 2 4 2" xfId="35422" xr:uid="{8404D14E-8438-4F33-8939-DBA6839EE292}"/>
    <cellStyle name="20% - Accent3 16 2 5" xfId="19528" xr:uid="{00000000-0005-0000-0000-000044100000}"/>
    <cellStyle name="20% - Accent3 16 2 5 2" xfId="43360" xr:uid="{2AA7D867-EE97-4A02-BEBE-B6A1E2A636CF}"/>
    <cellStyle name="20% - Accent3 16 2 6" xfId="27480" xr:uid="{49FBAD85-53C0-46AD-BA31-F91A1E57423D}"/>
    <cellStyle name="20% - Accent3 16 2_Exh G" xfId="2228" xr:uid="{00000000-0005-0000-0000-000045100000}"/>
    <cellStyle name="20% - Accent3 16 3" xfId="4426" xr:uid="{00000000-0005-0000-0000-000046100000}"/>
    <cellStyle name="20% - Accent3 16 3 2" xfId="8018" xr:uid="{00000000-0005-0000-0000-000047100000}"/>
    <cellStyle name="20% - Accent3 16 3 2 2" xfId="15989" xr:uid="{00000000-0005-0000-0000-000048100000}"/>
    <cellStyle name="20% - Accent3 16 3 2 2 2" xfId="39831" xr:uid="{B227F19E-EC4B-4CBC-8BFA-12F0547ECDF8}"/>
    <cellStyle name="20% - Accent3 16 3 2 3" xfId="23935" xr:uid="{00000000-0005-0000-0000-000049100000}"/>
    <cellStyle name="20% - Accent3 16 3 2 3 2" xfId="47767" xr:uid="{6EEB1033-CC90-4A58-BEF2-A9731FF5392B}"/>
    <cellStyle name="20% - Accent3 16 3 2 4" xfId="31890" xr:uid="{89002077-FD61-420B-8B9E-AA30C47747F5}"/>
    <cellStyle name="20% - Accent3 16 3 3" xfId="12451" xr:uid="{00000000-0005-0000-0000-00004A100000}"/>
    <cellStyle name="20% - Accent3 16 3 3 2" xfId="36300" xr:uid="{FA6EBF80-DEB5-4922-9506-F1FB0A0559C4}"/>
    <cellStyle name="20% - Accent3 16 3 4" xfId="20406" xr:uid="{00000000-0005-0000-0000-00004B100000}"/>
    <cellStyle name="20% - Accent3 16 3 4 2" xfId="44238" xr:uid="{C2F84232-67D7-4328-8688-4EFE4E014590}"/>
    <cellStyle name="20% - Accent3 16 3 5" xfId="28359" xr:uid="{F81B2295-D43E-48E2-A13D-41706CB977CE}"/>
    <cellStyle name="20% - Accent3 16 4" xfId="6256" xr:uid="{00000000-0005-0000-0000-00004C100000}"/>
    <cellStyle name="20% - Accent3 16 4 2" xfId="14231" xr:uid="{00000000-0005-0000-0000-00004D100000}"/>
    <cellStyle name="20% - Accent3 16 4 2 2" xfId="38073" xr:uid="{7A51D122-1FB0-466A-8668-7728B8E88355}"/>
    <cellStyle name="20% - Accent3 16 4 3" xfId="22178" xr:uid="{00000000-0005-0000-0000-00004E100000}"/>
    <cellStyle name="20% - Accent3 16 4 3 2" xfId="46010" xr:uid="{FF9DF59D-97E2-4BB8-A21A-1D37D7DBA17E}"/>
    <cellStyle name="20% - Accent3 16 4 4" xfId="30132" xr:uid="{C8A6B8DD-9F36-463A-A3CC-583BC75446BC}"/>
    <cellStyle name="20% - Accent3 16 5" xfId="9799" xr:uid="{00000000-0005-0000-0000-00004F100000}"/>
    <cellStyle name="20% - Accent3 16 5 2" xfId="17757" xr:uid="{00000000-0005-0000-0000-000050100000}"/>
    <cellStyle name="20% - Accent3 16 5 2 2" xfId="41597" xr:uid="{3F0CEF08-4982-4878-9EB8-655258379364}"/>
    <cellStyle name="20% - Accent3 16 5 3" xfId="25701" xr:uid="{00000000-0005-0000-0000-000051100000}"/>
    <cellStyle name="20% - Accent3 16 5 3 2" xfId="49533" xr:uid="{BC85315B-EF89-4A8B-A179-0E7DB6B0BC04}"/>
    <cellStyle name="20% - Accent3 16 5 4" xfId="33656" xr:uid="{7C97FF52-EBD3-45FB-B7F0-C2DB5CCC12FA}"/>
    <cellStyle name="20% - Accent3 16 6" xfId="10695" xr:uid="{00000000-0005-0000-0000-000052100000}"/>
    <cellStyle name="20% - Accent3 16 6 2" xfId="34544" xr:uid="{F11103D4-BC66-4166-8659-9356B0B917B1}"/>
    <cellStyle name="20% - Accent3 16 7" xfId="18650" xr:uid="{00000000-0005-0000-0000-000053100000}"/>
    <cellStyle name="20% - Accent3 16 7 2" xfId="42482" xr:uid="{785933B2-091A-4D41-8785-4D4C004A010D}"/>
    <cellStyle name="20% - Accent3 16 8" xfId="26602" xr:uid="{519B685E-29FE-4ADE-9104-5516FD718BBB}"/>
    <cellStyle name="20% - Accent3 16_Exh G" xfId="2227" xr:uid="{00000000-0005-0000-0000-000054100000}"/>
    <cellStyle name="20% - Accent3 17" xfId="49798" xr:uid="{DB6CC688-E3D5-4727-A2A7-DC444F6247D5}"/>
    <cellStyle name="20% - Accent3 2" xfId="146" xr:uid="{00000000-0005-0000-0000-000055100000}"/>
    <cellStyle name="20% - Accent3 2 10" xfId="18049" xr:uid="{00000000-0005-0000-0000-000056100000}"/>
    <cellStyle name="20% - Accent3 2 10 2" xfId="41881" xr:uid="{C705E65B-E8E2-4012-A3D3-3BA7260781A8}"/>
    <cellStyle name="20% - Accent3 2 11" xfId="26001" xr:uid="{081CF791-15B4-40CC-86E7-94FC8514EEFC}"/>
    <cellStyle name="20% - Accent3 2 12" xfId="49783" xr:uid="{E56AE9A0-7888-4ED3-B2D9-2911EB824B94}"/>
    <cellStyle name="20% - Accent3 2 13" xfId="49811" xr:uid="{47C185E8-F829-49A6-A144-8E08F480EBDA}"/>
    <cellStyle name="20% - Accent3 2 2" xfId="147" xr:uid="{00000000-0005-0000-0000-000057100000}"/>
    <cellStyle name="20% - Accent3 2 2 10" xfId="26002" xr:uid="{215F627A-E8D3-4967-9F07-EF2D62D1FF76}"/>
    <cellStyle name="20% - Accent3 2 2 2" xfId="148" xr:uid="{00000000-0005-0000-0000-000058100000}"/>
    <cellStyle name="20% - Accent3 2 2 2 2" xfId="1176" xr:uid="{00000000-0005-0000-0000-000059100000}"/>
    <cellStyle name="20% - Accent3 2 2 2 2 2" xfId="4706" xr:uid="{00000000-0005-0000-0000-00005A100000}"/>
    <cellStyle name="20% - Accent3 2 2 2 2 2 2" xfId="8297" xr:uid="{00000000-0005-0000-0000-00005B100000}"/>
    <cellStyle name="20% - Accent3 2 2 2 2 2 2 2" xfId="16268" xr:uid="{00000000-0005-0000-0000-00005C100000}"/>
    <cellStyle name="20% - Accent3 2 2 2 2 2 2 2 2" xfId="40110" xr:uid="{515CDD62-EB09-4250-A4C0-046C6E4F7BD6}"/>
    <cellStyle name="20% - Accent3 2 2 2 2 2 2 3" xfId="24214" xr:uid="{00000000-0005-0000-0000-00005D100000}"/>
    <cellStyle name="20% - Accent3 2 2 2 2 2 2 3 2" xfId="48046" xr:uid="{0A8A77A0-0A1D-4664-A5CE-FFF0E2D9A7B8}"/>
    <cellStyle name="20% - Accent3 2 2 2 2 2 2 4" xfId="32169" xr:uid="{B818F9DC-9406-4131-994D-537CBA365E3A}"/>
    <cellStyle name="20% - Accent3 2 2 2 2 2 3" xfId="12730" xr:uid="{00000000-0005-0000-0000-00005E100000}"/>
    <cellStyle name="20% - Accent3 2 2 2 2 2 3 2" xfId="36579" xr:uid="{18DFAC26-E212-4714-9E71-7DF13F12EBA9}"/>
    <cellStyle name="20% - Accent3 2 2 2 2 2 4" xfId="20685" xr:uid="{00000000-0005-0000-0000-00005F100000}"/>
    <cellStyle name="20% - Accent3 2 2 2 2 2 4 2" xfId="44517" xr:uid="{23EBAE12-4306-4905-92E0-FAEAEEA944E9}"/>
    <cellStyle name="20% - Accent3 2 2 2 2 2 5" xfId="28638" xr:uid="{E798AAEE-9B42-4AE4-B1DB-C6105062D3FB}"/>
    <cellStyle name="20% - Accent3 2 2 2 2 3" xfId="6538" xr:uid="{00000000-0005-0000-0000-000060100000}"/>
    <cellStyle name="20% - Accent3 2 2 2 2 3 2" xfId="14510" xr:uid="{00000000-0005-0000-0000-000061100000}"/>
    <cellStyle name="20% - Accent3 2 2 2 2 3 2 2" xfId="38352" xr:uid="{489B298F-3FCE-49EA-98E7-124AB5698594}"/>
    <cellStyle name="20% - Accent3 2 2 2 2 3 3" xfId="22457" xr:uid="{00000000-0005-0000-0000-000062100000}"/>
    <cellStyle name="20% - Accent3 2 2 2 2 3 3 2" xfId="46289" xr:uid="{F6D413F9-3114-43CD-96BD-F735C4388602}"/>
    <cellStyle name="20% - Accent3 2 2 2 2 3 4" xfId="30411" xr:uid="{A55D59DA-E012-49E7-A9D5-D89134CD9195}"/>
    <cellStyle name="20% - Accent3 2 2 2 2 4" xfId="10974" xr:uid="{00000000-0005-0000-0000-000063100000}"/>
    <cellStyle name="20% - Accent3 2 2 2 2 4 2" xfId="34823" xr:uid="{B03F0965-4F5A-4098-8266-34DE4AF54C63}"/>
    <cellStyle name="20% - Accent3 2 2 2 2 5" xfId="18929" xr:uid="{00000000-0005-0000-0000-000064100000}"/>
    <cellStyle name="20% - Accent3 2 2 2 2 5 2" xfId="42761" xr:uid="{5EDECB62-0075-401B-AE6E-0550DBF5AA4D}"/>
    <cellStyle name="20% - Accent3 2 2 2 2 6" xfId="26881" xr:uid="{72870D03-BE39-49D9-BF9D-3BEABE6F7C7C}"/>
    <cellStyle name="20% - Accent3 2 2 2 2_Exh G" xfId="2232" xr:uid="{00000000-0005-0000-0000-000065100000}"/>
    <cellStyle name="20% - Accent3 2 2 2 3" xfId="3827" xr:uid="{00000000-0005-0000-0000-000066100000}"/>
    <cellStyle name="20% - Accent3 2 2 2 3 2" xfId="7419" xr:uid="{00000000-0005-0000-0000-000067100000}"/>
    <cellStyle name="20% - Accent3 2 2 2 3 2 2" xfId="15390" xr:uid="{00000000-0005-0000-0000-000068100000}"/>
    <cellStyle name="20% - Accent3 2 2 2 3 2 2 2" xfId="39232" xr:uid="{B072D117-E9E1-4884-86B4-ABB1F0DE125E}"/>
    <cellStyle name="20% - Accent3 2 2 2 3 2 3" xfId="23336" xr:uid="{00000000-0005-0000-0000-000069100000}"/>
    <cellStyle name="20% - Accent3 2 2 2 3 2 3 2" xfId="47168" xr:uid="{01B925BC-6DE9-4CFD-BFB7-70A890CFBC51}"/>
    <cellStyle name="20% - Accent3 2 2 2 3 2 4" xfId="31291" xr:uid="{0811B7B3-9DCC-4F18-BD3A-78A10D7183CD}"/>
    <cellStyle name="20% - Accent3 2 2 2 3 3" xfId="11852" xr:uid="{00000000-0005-0000-0000-00006A100000}"/>
    <cellStyle name="20% - Accent3 2 2 2 3 3 2" xfId="35701" xr:uid="{ECC17740-74C2-479B-91E9-ABFC03CE005C}"/>
    <cellStyle name="20% - Accent3 2 2 2 3 4" xfId="19807" xr:uid="{00000000-0005-0000-0000-00006B100000}"/>
    <cellStyle name="20% - Accent3 2 2 2 3 4 2" xfId="43639" xr:uid="{997B6F08-93D4-4635-A66C-D32468C02783}"/>
    <cellStyle name="20% - Accent3 2 2 2 3 5" xfId="27760" xr:uid="{7EBC0822-305B-4E17-9ECD-3F33F95BD715}"/>
    <cellStyle name="20% - Accent3 2 2 2 4" xfId="5647" xr:uid="{00000000-0005-0000-0000-00006C100000}"/>
    <cellStyle name="20% - Accent3 2 2 2 4 2" xfId="13631" xr:uid="{00000000-0005-0000-0000-00006D100000}"/>
    <cellStyle name="20% - Accent3 2 2 2 4 2 2" xfId="37474" xr:uid="{8466B959-4477-4CB2-B13D-8DEC85B8CD32}"/>
    <cellStyle name="20% - Accent3 2 2 2 4 3" xfId="21579" xr:uid="{00000000-0005-0000-0000-00006E100000}"/>
    <cellStyle name="20% - Accent3 2 2 2 4 3 2" xfId="45411" xr:uid="{ECBA444A-CC5E-4034-9D17-063D3000DEED}"/>
    <cellStyle name="20% - Accent3 2 2 2 4 4" xfId="29533" xr:uid="{5BC38AFD-04BD-4C24-87D8-00E512A0D391}"/>
    <cellStyle name="20% - Accent3 2 2 2 5" xfId="9200" xr:uid="{00000000-0005-0000-0000-00006F100000}"/>
    <cellStyle name="20% - Accent3 2 2 2 5 2" xfId="17158" xr:uid="{00000000-0005-0000-0000-000070100000}"/>
    <cellStyle name="20% - Accent3 2 2 2 5 2 2" xfId="40998" xr:uid="{396681A2-B187-4FD5-A069-420BD5754573}"/>
    <cellStyle name="20% - Accent3 2 2 2 5 3" xfId="25102" xr:uid="{00000000-0005-0000-0000-000071100000}"/>
    <cellStyle name="20% - Accent3 2 2 2 5 3 2" xfId="48934" xr:uid="{7AD5F9D0-CD17-44D6-8703-1B7A7B477D62}"/>
    <cellStyle name="20% - Accent3 2 2 2 5 4" xfId="33057" xr:uid="{F11DE7BE-0BCF-4879-AD1F-5DFA6A8EB022}"/>
    <cellStyle name="20% - Accent3 2 2 2 6" xfId="10096" xr:uid="{00000000-0005-0000-0000-000072100000}"/>
    <cellStyle name="20% - Accent3 2 2 2 6 2" xfId="33945" xr:uid="{BA523777-154D-4C1D-A2C1-50123D764894}"/>
    <cellStyle name="20% - Accent3 2 2 2 7" xfId="18051" xr:uid="{00000000-0005-0000-0000-000073100000}"/>
    <cellStyle name="20% - Accent3 2 2 2 7 2" xfId="41883" xr:uid="{80F6D5C5-F8D1-4C29-B3E3-B26D5C1E5894}"/>
    <cellStyle name="20% - Accent3 2 2 2 8" xfId="26003" xr:uid="{E3F8C2AC-9304-466E-B012-47D2811EC003}"/>
    <cellStyle name="20% - Accent3 2 2 2_Exh G" xfId="2231" xr:uid="{00000000-0005-0000-0000-000074100000}"/>
    <cellStyle name="20% - Accent3 2 2 3" xfId="888" xr:uid="{00000000-0005-0000-0000-000075100000}"/>
    <cellStyle name="20% - Accent3 2 2 3 2" xfId="1820" xr:uid="{00000000-0005-0000-0000-000076100000}"/>
    <cellStyle name="20% - Accent3 2 2 3 2 2" xfId="5338" xr:uid="{00000000-0005-0000-0000-000077100000}"/>
    <cellStyle name="20% - Accent3 2 2 3 2 2 2" xfId="8929" xr:uid="{00000000-0005-0000-0000-000078100000}"/>
    <cellStyle name="20% - Accent3 2 2 3 2 2 2 2" xfId="16900" xr:uid="{00000000-0005-0000-0000-000079100000}"/>
    <cellStyle name="20% - Accent3 2 2 3 2 2 2 2 2" xfId="40742" xr:uid="{E7811A80-1FE4-4995-A327-AD0CEE2B8EBB}"/>
    <cellStyle name="20% - Accent3 2 2 3 2 2 2 3" xfId="24846" xr:uid="{00000000-0005-0000-0000-00007A100000}"/>
    <cellStyle name="20% - Accent3 2 2 3 2 2 2 3 2" xfId="48678" xr:uid="{760F81BF-8454-4B6E-B0D0-BA1F966D5982}"/>
    <cellStyle name="20% - Accent3 2 2 3 2 2 2 4" xfId="32801" xr:uid="{598C23F6-1193-4A29-928C-9424833E5E0B}"/>
    <cellStyle name="20% - Accent3 2 2 3 2 2 3" xfId="13362" xr:uid="{00000000-0005-0000-0000-00007B100000}"/>
    <cellStyle name="20% - Accent3 2 2 3 2 2 3 2" xfId="37211" xr:uid="{85DAE197-179A-4F17-8F96-D66BA3899375}"/>
    <cellStyle name="20% - Accent3 2 2 3 2 2 4" xfId="21317" xr:uid="{00000000-0005-0000-0000-00007C100000}"/>
    <cellStyle name="20% - Accent3 2 2 3 2 2 4 2" xfId="45149" xr:uid="{8169FB42-0482-471B-8F6C-20F772836279}"/>
    <cellStyle name="20% - Accent3 2 2 3 2 2 5" xfId="29270" xr:uid="{DDFD136A-8566-4B07-BACA-245E24505DE7}"/>
    <cellStyle name="20% - Accent3 2 2 3 2 3" xfId="7170" xr:uid="{00000000-0005-0000-0000-00007D100000}"/>
    <cellStyle name="20% - Accent3 2 2 3 2 3 2" xfId="15142" xr:uid="{00000000-0005-0000-0000-00007E100000}"/>
    <cellStyle name="20% - Accent3 2 2 3 2 3 2 2" xfId="38984" xr:uid="{00F22628-231D-4BA9-8091-4B81CC3A728D}"/>
    <cellStyle name="20% - Accent3 2 2 3 2 3 3" xfId="23089" xr:uid="{00000000-0005-0000-0000-00007F100000}"/>
    <cellStyle name="20% - Accent3 2 2 3 2 3 3 2" xfId="46921" xr:uid="{A765E15E-AD66-4748-BA20-658E52DE631B}"/>
    <cellStyle name="20% - Accent3 2 2 3 2 3 4" xfId="31043" xr:uid="{918E4610-D05E-4DBD-B3C1-83306A247F79}"/>
    <cellStyle name="20% - Accent3 2 2 3 2 4" xfId="11606" xr:uid="{00000000-0005-0000-0000-000080100000}"/>
    <cellStyle name="20% - Accent3 2 2 3 2 4 2" xfId="35455" xr:uid="{55B8F34D-696D-4FC4-ACBA-192B41C1ABC2}"/>
    <cellStyle name="20% - Accent3 2 2 3 2 5" xfId="19561" xr:uid="{00000000-0005-0000-0000-000081100000}"/>
    <cellStyle name="20% - Accent3 2 2 3 2 5 2" xfId="43393" xr:uid="{DACFCCFB-D730-45FB-B647-B1CFE20044AB}"/>
    <cellStyle name="20% - Accent3 2 2 3 2 6" xfId="27513" xr:uid="{87AAA4D4-89C6-4BBF-84B8-71BD81F3D1EB}"/>
    <cellStyle name="20% - Accent3 2 2 3 2_Exh G" xfId="2234" xr:uid="{00000000-0005-0000-0000-000082100000}"/>
    <cellStyle name="20% - Accent3 2 2 3 3" xfId="4459" xr:uid="{00000000-0005-0000-0000-000083100000}"/>
    <cellStyle name="20% - Accent3 2 2 3 3 2" xfId="8051" xr:uid="{00000000-0005-0000-0000-000084100000}"/>
    <cellStyle name="20% - Accent3 2 2 3 3 2 2" xfId="16022" xr:uid="{00000000-0005-0000-0000-000085100000}"/>
    <cellStyle name="20% - Accent3 2 2 3 3 2 2 2" xfId="39864" xr:uid="{9BD1E431-D952-4B47-B0FA-CE9B91CBA332}"/>
    <cellStyle name="20% - Accent3 2 2 3 3 2 3" xfId="23968" xr:uid="{00000000-0005-0000-0000-000086100000}"/>
    <cellStyle name="20% - Accent3 2 2 3 3 2 3 2" xfId="47800" xr:uid="{CE6CADE9-85BA-48F5-8FEA-A978D8D9052D}"/>
    <cellStyle name="20% - Accent3 2 2 3 3 2 4" xfId="31923" xr:uid="{200DFDA7-AC8B-4EB6-A57B-0767CC1E6196}"/>
    <cellStyle name="20% - Accent3 2 2 3 3 3" xfId="12484" xr:uid="{00000000-0005-0000-0000-000087100000}"/>
    <cellStyle name="20% - Accent3 2 2 3 3 3 2" xfId="36333" xr:uid="{3F9EFF60-DBDA-4CEA-B26C-1D6F016B3474}"/>
    <cellStyle name="20% - Accent3 2 2 3 3 4" xfId="20439" xr:uid="{00000000-0005-0000-0000-000088100000}"/>
    <cellStyle name="20% - Accent3 2 2 3 3 4 2" xfId="44271" xr:uid="{BB24A2A0-73D2-4462-BF75-A4038411080B}"/>
    <cellStyle name="20% - Accent3 2 2 3 3 5" xfId="28392" xr:uid="{BAD98E10-CCDD-4563-94FA-FFB287EEA81F}"/>
    <cellStyle name="20% - Accent3 2 2 3 4" xfId="6289" xr:uid="{00000000-0005-0000-0000-000089100000}"/>
    <cellStyle name="20% - Accent3 2 2 3 4 2" xfId="14264" xr:uid="{00000000-0005-0000-0000-00008A100000}"/>
    <cellStyle name="20% - Accent3 2 2 3 4 2 2" xfId="38106" xr:uid="{3B40B9FB-C110-4CF7-9F6F-9A378594C12B}"/>
    <cellStyle name="20% - Accent3 2 2 3 4 3" xfId="22211" xr:uid="{00000000-0005-0000-0000-00008B100000}"/>
    <cellStyle name="20% - Accent3 2 2 3 4 3 2" xfId="46043" xr:uid="{4AFB6DF9-B4EB-4557-862D-C6FB46E89085}"/>
    <cellStyle name="20% - Accent3 2 2 3 4 4" xfId="30165" xr:uid="{D8CD93CE-5FD6-440F-842A-D7D51076284C}"/>
    <cellStyle name="20% - Accent3 2 2 3 5" xfId="9832" xr:uid="{00000000-0005-0000-0000-00008C100000}"/>
    <cellStyle name="20% - Accent3 2 2 3 5 2" xfId="17790" xr:uid="{00000000-0005-0000-0000-00008D100000}"/>
    <cellStyle name="20% - Accent3 2 2 3 5 2 2" xfId="41630" xr:uid="{C3858517-DC9F-4A61-91D2-C0A473619D79}"/>
    <cellStyle name="20% - Accent3 2 2 3 5 3" xfId="25734" xr:uid="{00000000-0005-0000-0000-00008E100000}"/>
    <cellStyle name="20% - Accent3 2 2 3 5 3 2" xfId="49566" xr:uid="{8A07B9CB-EEDD-42AF-BAA6-9C9E5CF01420}"/>
    <cellStyle name="20% - Accent3 2 2 3 5 4" xfId="33689" xr:uid="{F7907D09-DA59-48AD-B3CB-5FF41AEA1F8C}"/>
    <cellStyle name="20% - Accent3 2 2 3 6" xfId="10728" xr:uid="{00000000-0005-0000-0000-00008F100000}"/>
    <cellStyle name="20% - Accent3 2 2 3 6 2" xfId="34577" xr:uid="{D3EB7442-E931-414A-994B-18FD4A6B8A14}"/>
    <cellStyle name="20% - Accent3 2 2 3 7" xfId="18683" xr:uid="{00000000-0005-0000-0000-000090100000}"/>
    <cellStyle name="20% - Accent3 2 2 3 7 2" xfId="42515" xr:uid="{BFF32B50-3120-4F74-88CE-C31DA71CAF84}"/>
    <cellStyle name="20% - Accent3 2 2 3 8" xfId="26635" xr:uid="{6A0E66E4-7C26-4B06-AB1F-C87DFEB94702}"/>
    <cellStyle name="20% - Accent3 2 2 3_Exh G" xfId="2233" xr:uid="{00000000-0005-0000-0000-000091100000}"/>
    <cellStyle name="20% - Accent3 2 2 4" xfId="1175" xr:uid="{00000000-0005-0000-0000-000092100000}"/>
    <cellStyle name="20% - Accent3 2 2 4 2" xfId="4705" xr:uid="{00000000-0005-0000-0000-000093100000}"/>
    <cellStyle name="20% - Accent3 2 2 4 2 2" xfId="8296" xr:uid="{00000000-0005-0000-0000-000094100000}"/>
    <cellStyle name="20% - Accent3 2 2 4 2 2 2" xfId="16267" xr:uid="{00000000-0005-0000-0000-000095100000}"/>
    <cellStyle name="20% - Accent3 2 2 4 2 2 2 2" xfId="40109" xr:uid="{876C3B6F-2325-4272-969C-916009AD820D}"/>
    <cellStyle name="20% - Accent3 2 2 4 2 2 3" xfId="24213" xr:uid="{00000000-0005-0000-0000-000096100000}"/>
    <cellStyle name="20% - Accent3 2 2 4 2 2 3 2" xfId="48045" xr:uid="{856AFB5C-BB62-43CF-9FC3-600975889A11}"/>
    <cellStyle name="20% - Accent3 2 2 4 2 2 4" xfId="32168" xr:uid="{B2BDCD7E-B2AD-477B-9B59-559E7E23603F}"/>
    <cellStyle name="20% - Accent3 2 2 4 2 3" xfId="12729" xr:uid="{00000000-0005-0000-0000-000097100000}"/>
    <cellStyle name="20% - Accent3 2 2 4 2 3 2" xfId="36578" xr:uid="{8EC68858-794A-4B46-B488-A879A2EB4CE4}"/>
    <cellStyle name="20% - Accent3 2 2 4 2 4" xfId="20684" xr:uid="{00000000-0005-0000-0000-000098100000}"/>
    <cellStyle name="20% - Accent3 2 2 4 2 4 2" xfId="44516" xr:uid="{CCA3FAB3-F291-4EBE-9BAA-1D2B91F19FED}"/>
    <cellStyle name="20% - Accent3 2 2 4 2 5" xfId="28637" xr:uid="{128D25D0-9598-4A33-8571-7E8E357534CD}"/>
    <cellStyle name="20% - Accent3 2 2 4 3" xfId="6537" xr:uid="{00000000-0005-0000-0000-000099100000}"/>
    <cellStyle name="20% - Accent3 2 2 4 3 2" xfId="14509" xr:uid="{00000000-0005-0000-0000-00009A100000}"/>
    <cellStyle name="20% - Accent3 2 2 4 3 2 2" xfId="38351" xr:uid="{EB1F928E-403C-47B9-AB5A-799647A0B2BE}"/>
    <cellStyle name="20% - Accent3 2 2 4 3 3" xfId="22456" xr:uid="{00000000-0005-0000-0000-00009B100000}"/>
    <cellStyle name="20% - Accent3 2 2 4 3 3 2" xfId="46288" xr:uid="{802761B0-E3B5-4C43-A22F-5EDC73481BC5}"/>
    <cellStyle name="20% - Accent3 2 2 4 3 4" xfId="30410" xr:uid="{4CA6C231-4A56-4BAC-9022-B3E6ECE59870}"/>
    <cellStyle name="20% - Accent3 2 2 4 4" xfId="10973" xr:uid="{00000000-0005-0000-0000-00009C100000}"/>
    <cellStyle name="20% - Accent3 2 2 4 4 2" xfId="34822" xr:uid="{BB4D0D80-414A-4E88-8843-4C885CE1F047}"/>
    <cellStyle name="20% - Accent3 2 2 4 5" xfId="18928" xr:uid="{00000000-0005-0000-0000-00009D100000}"/>
    <cellStyle name="20% - Accent3 2 2 4 5 2" xfId="42760" xr:uid="{811EE855-9446-495E-A961-8B3F2D23D27D}"/>
    <cellStyle name="20% - Accent3 2 2 4 6" xfId="26880" xr:uid="{16D6709D-A76D-47FC-9C18-E563A78E1105}"/>
    <cellStyle name="20% - Accent3 2 2 4_Exh G" xfId="2235" xr:uid="{00000000-0005-0000-0000-00009E100000}"/>
    <cellStyle name="20% - Accent3 2 2 5" xfId="3826" xr:uid="{00000000-0005-0000-0000-00009F100000}"/>
    <cellStyle name="20% - Accent3 2 2 5 2" xfId="7418" xr:uid="{00000000-0005-0000-0000-0000A0100000}"/>
    <cellStyle name="20% - Accent3 2 2 5 2 2" xfId="15389" xr:uid="{00000000-0005-0000-0000-0000A1100000}"/>
    <cellStyle name="20% - Accent3 2 2 5 2 2 2" xfId="39231" xr:uid="{CA9A16A6-A0F1-4B63-B86C-D14FBD6CC2E2}"/>
    <cellStyle name="20% - Accent3 2 2 5 2 3" xfId="23335" xr:uid="{00000000-0005-0000-0000-0000A2100000}"/>
    <cellStyle name="20% - Accent3 2 2 5 2 3 2" xfId="47167" xr:uid="{80E128F2-7C86-4D25-9BD4-B8D9B0F4832F}"/>
    <cellStyle name="20% - Accent3 2 2 5 2 4" xfId="31290" xr:uid="{F147DCAB-C7CC-4AF6-9FED-211884AC50B8}"/>
    <cellStyle name="20% - Accent3 2 2 5 3" xfId="11851" xr:uid="{00000000-0005-0000-0000-0000A3100000}"/>
    <cellStyle name="20% - Accent3 2 2 5 3 2" xfId="35700" xr:uid="{65B76EB0-0949-4E12-9E22-5F8964EE2C70}"/>
    <cellStyle name="20% - Accent3 2 2 5 4" xfId="19806" xr:uid="{00000000-0005-0000-0000-0000A4100000}"/>
    <cellStyle name="20% - Accent3 2 2 5 4 2" xfId="43638" xr:uid="{EC8908BB-4BBC-4BFC-9FE3-F5C3E89AA31C}"/>
    <cellStyle name="20% - Accent3 2 2 5 5" xfId="27759" xr:uid="{778E3D75-34F1-4043-A627-9D47052AEF66}"/>
    <cellStyle name="20% - Accent3 2 2 6" xfId="5646" xr:uid="{00000000-0005-0000-0000-0000A5100000}"/>
    <cellStyle name="20% - Accent3 2 2 6 2" xfId="13630" xr:uid="{00000000-0005-0000-0000-0000A6100000}"/>
    <cellStyle name="20% - Accent3 2 2 6 2 2" xfId="37473" xr:uid="{EB8ACEA3-8C7B-4C1D-9628-F37B0B6E130F}"/>
    <cellStyle name="20% - Accent3 2 2 6 3" xfId="21578" xr:uid="{00000000-0005-0000-0000-0000A7100000}"/>
    <cellStyle name="20% - Accent3 2 2 6 3 2" xfId="45410" xr:uid="{0A52FEBC-8F12-48A9-884C-345BD1F19AA4}"/>
    <cellStyle name="20% - Accent3 2 2 6 4" xfId="29532" xr:uid="{314A6D39-B974-4F8F-80E0-FA4DCA586C4A}"/>
    <cellStyle name="20% - Accent3 2 2 7" xfId="9199" xr:uid="{00000000-0005-0000-0000-0000A8100000}"/>
    <cellStyle name="20% - Accent3 2 2 7 2" xfId="17157" xr:uid="{00000000-0005-0000-0000-0000A9100000}"/>
    <cellStyle name="20% - Accent3 2 2 7 2 2" xfId="40997" xr:uid="{D114BB70-9BC6-40F8-9CF0-EAA09D8DFC87}"/>
    <cellStyle name="20% - Accent3 2 2 7 3" xfId="25101" xr:uid="{00000000-0005-0000-0000-0000AA100000}"/>
    <cellStyle name="20% - Accent3 2 2 7 3 2" xfId="48933" xr:uid="{5A6DE8A4-182F-43AC-9C79-189BDB055186}"/>
    <cellStyle name="20% - Accent3 2 2 7 4" xfId="33056" xr:uid="{8EE6DD80-560D-4C51-B623-8B957E20AC55}"/>
    <cellStyle name="20% - Accent3 2 2 8" xfId="10095" xr:uid="{00000000-0005-0000-0000-0000AB100000}"/>
    <cellStyle name="20% - Accent3 2 2 8 2" xfId="33944" xr:uid="{BE88BB93-47EA-43E5-B4D5-A72D56ED9E1E}"/>
    <cellStyle name="20% - Accent3 2 2 9" xfId="18050" xr:uid="{00000000-0005-0000-0000-0000AC100000}"/>
    <cellStyle name="20% - Accent3 2 2 9 2" xfId="41882" xr:uid="{90423A8C-CE9D-4548-886F-B8AB89AE129C}"/>
    <cellStyle name="20% - Accent3 2 2_Exh G" xfId="2230" xr:uid="{00000000-0005-0000-0000-0000AD100000}"/>
    <cellStyle name="20% - Accent3 2 3" xfId="149" xr:uid="{00000000-0005-0000-0000-0000AE100000}"/>
    <cellStyle name="20% - Accent3 2 3 2" xfId="1177" xr:uid="{00000000-0005-0000-0000-0000AF100000}"/>
    <cellStyle name="20% - Accent3 2 3 2 2" xfId="4707" xr:uid="{00000000-0005-0000-0000-0000B0100000}"/>
    <cellStyle name="20% - Accent3 2 3 2 2 2" xfId="8298" xr:uid="{00000000-0005-0000-0000-0000B1100000}"/>
    <cellStyle name="20% - Accent3 2 3 2 2 2 2" xfId="16269" xr:uid="{00000000-0005-0000-0000-0000B2100000}"/>
    <cellStyle name="20% - Accent3 2 3 2 2 2 2 2" xfId="40111" xr:uid="{DC0E59E4-D067-4E68-8A40-79741F683543}"/>
    <cellStyle name="20% - Accent3 2 3 2 2 2 3" xfId="24215" xr:uid="{00000000-0005-0000-0000-0000B3100000}"/>
    <cellStyle name="20% - Accent3 2 3 2 2 2 3 2" xfId="48047" xr:uid="{AA120EAC-BB04-4CDA-B1A3-42EDA0787490}"/>
    <cellStyle name="20% - Accent3 2 3 2 2 2 4" xfId="32170" xr:uid="{023DD547-3C22-4D55-B453-670B4DC276E0}"/>
    <cellStyle name="20% - Accent3 2 3 2 2 3" xfId="12731" xr:uid="{00000000-0005-0000-0000-0000B4100000}"/>
    <cellStyle name="20% - Accent3 2 3 2 2 3 2" xfId="36580" xr:uid="{CE00397F-0706-43F4-B908-235D226CA81B}"/>
    <cellStyle name="20% - Accent3 2 3 2 2 4" xfId="20686" xr:uid="{00000000-0005-0000-0000-0000B5100000}"/>
    <cellStyle name="20% - Accent3 2 3 2 2 4 2" xfId="44518" xr:uid="{34A62BFE-81D5-46C7-94CA-A873B39EB957}"/>
    <cellStyle name="20% - Accent3 2 3 2 2 5" xfId="28639" xr:uid="{83D392B7-640F-4473-A99F-BA0659369329}"/>
    <cellStyle name="20% - Accent3 2 3 2 3" xfId="6539" xr:uid="{00000000-0005-0000-0000-0000B6100000}"/>
    <cellStyle name="20% - Accent3 2 3 2 3 2" xfId="14511" xr:uid="{00000000-0005-0000-0000-0000B7100000}"/>
    <cellStyle name="20% - Accent3 2 3 2 3 2 2" xfId="38353" xr:uid="{52E7BC96-24C9-4368-8C4D-1ED929DF7C70}"/>
    <cellStyle name="20% - Accent3 2 3 2 3 3" xfId="22458" xr:uid="{00000000-0005-0000-0000-0000B8100000}"/>
    <cellStyle name="20% - Accent3 2 3 2 3 3 2" xfId="46290" xr:uid="{C8F100DF-881F-4899-A99D-D9FACB59B8BD}"/>
    <cellStyle name="20% - Accent3 2 3 2 3 4" xfId="30412" xr:uid="{07780B16-A09C-42C6-9F13-AC34BAAA73B3}"/>
    <cellStyle name="20% - Accent3 2 3 2 4" xfId="10975" xr:uid="{00000000-0005-0000-0000-0000B9100000}"/>
    <cellStyle name="20% - Accent3 2 3 2 4 2" xfId="34824" xr:uid="{CC4A9BF8-E650-4CD4-A3FA-137A09474402}"/>
    <cellStyle name="20% - Accent3 2 3 2 5" xfId="18930" xr:uid="{00000000-0005-0000-0000-0000BA100000}"/>
    <cellStyle name="20% - Accent3 2 3 2 5 2" xfId="42762" xr:uid="{FED41EB9-3C9C-42D4-9FB5-C25B4C5474C0}"/>
    <cellStyle name="20% - Accent3 2 3 2 6" xfId="26882" xr:uid="{F642225A-B277-40EA-842B-5B401724217C}"/>
    <cellStyle name="20% - Accent3 2 3 2_Exh G" xfId="2237" xr:uid="{00000000-0005-0000-0000-0000BB100000}"/>
    <cellStyle name="20% - Accent3 2 3 3" xfId="3828" xr:uid="{00000000-0005-0000-0000-0000BC100000}"/>
    <cellStyle name="20% - Accent3 2 3 3 2" xfId="7420" xr:uid="{00000000-0005-0000-0000-0000BD100000}"/>
    <cellStyle name="20% - Accent3 2 3 3 2 2" xfId="15391" xr:uid="{00000000-0005-0000-0000-0000BE100000}"/>
    <cellStyle name="20% - Accent3 2 3 3 2 2 2" xfId="39233" xr:uid="{D8ECD8BD-6592-4E8C-8A0E-1A4E08918F01}"/>
    <cellStyle name="20% - Accent3 2 3 3 2 3" xfId="23337" xr:uid="{00000000-0005-0000-0000-0000BF100000}"/>
    <cellStyle name="20% - Accent3 2 3 3 2 3 2" xfId="47169" xr:uid="{4A0B1ACD-1951-4B8A-94B6-3D56CA337A7C}"/>
    <cellStyle name="20% - Accent3 2 3 3 2 4" xfId="31292" xr:uid="{41AEB8FE-02DE-4469-BF9C-1E0F80176BE4}"/>
    <cellStyle name="20% - Accent3 2 3 3 3" xfId="11853" xr:uid="{00000000-0005-0000-0000-0000C0100000}"/>
    <cellStyle name="20% - Accent3 2 3 3 3 2" xfId="35702" xr:uid="{9FE5A840-861F-4FB0-AFF2-E7FE2CDC94D5}"/>
    <cellStyle name="20% - Accent3 2 3 3 4" xfId="19808" xr:uid="{00000000-0005-0000-0000-0000C1100000}"/>
    <cellStyle name="20% - Accent3 2 3 3 4 2" xfId="43640" xr:uid="{B7EAE1B5-75BB-4148-A80C-7E89762A3147}"/>
    <cellStyle name="20% - Accent3 2 3 3 5" xfId="27761" xr:uid="{3D20AA71-B72C-43CD-B5D3-AA39B2B7E38B}"/>
    <cellStyle name="20% - Accent3 2 3 4" xfId="5648" xr:uid="{00000000-0005-0000-0000-0000C2100000}"/>
    <cellStyle name="20% - Accent3 2 3 4 2" xfId="13632" xr:uid="{00000000-0005-0000-0000-0000C3100000}"/>
    <cellStyle name="20% - Accent3 2 3 4 2 2" xfId="37475" xr:uid="{05EE8B9D-1862-460E-A02B-B8695E8E5127}"/>
    <cellStyle name="20% - Accent3 2 3 4 3" xfId="21580" xr:uid="{00000000-0005-0000-0000-0000C4100000}"/>
    <cellStyle name="20% - Accent3 2 3 4 3 2" xfId="45412" xr:uid="{56BBD1F9-2DAE-453E-B3AE-00226B9D5771}"/>
    <cellStyle name="20% - Accent3 2 3 4 4" xfId="29534" xr:uid="{B604A635-4294-4538-A92E-8B5727E97D10}"/>
    <cellStyle name="20% - Accent3 2 3 5" xfId="9201" xr:uid="{00000000-0005-0000-0000-0000C5100000}"/>
    <cellStyle name="20% - Accent3 2 3 5 2" xfId="17159" xr:uid="{00000000-0005-0000-0000-0000C6100000}"/>
    <cellStyle name="20% - Accent3 2 3 5 2 2" xfId="40999" xr:uid="{AE75AEEB-6A34-496C-AA5C-C26FA42849DB}"/>
    <cellStyle name="20% - Accent3 2 3 5 3" xfId="25103" xr:uid="{00000000-0005-0000-0000-0000C7100000}"/>
    <cellStyle name="20% - Accent3 2 3 5 3 2" xfId="48935" xr:uid="{EC67A32B-8F99-4BBA-AE83-374FBF4D88AB}"/>
    <cellStyle name="20% - Accent3 2 3 5 4" xfId="33058" xr:uid="{BA6127AD-2781-478E-9E9F-AE819D11DF82}"/>
    <cellStyle name="20% - Accent3 2 3 6" xfId="10097" xr:uid="{00000000-0005-0000-0000-0000C8100000}"/>
    <cellStyle name="20% - Accent3 2 3 6 2" xfId="33946" xr:uid="{561D10D0-2D11-423C-AAD7-8D5096BC25FB}"/>
    <cellStyle name="20% - Accent3 2 3 7" xfId="18052" xr:uid="{00000000-0005-0000-0000-0000C9100000}"/>
    <cellStyle name="20% - Accent3 2 3 7 2" xfId="41884" xr:uid="{AA34C8CA-1929-4770-961E-E2AC972EB127}"/>
    <cellStyle name="20% - Accent3 2 3 8" xfId="26004" xr:uid="{6A888F19-C86C-4C01-AEA3-3ED47FF4FC6C}"/>
    <cellStyle name="20% - Accent3 2 3_Exh G" xfId="2236" xr:uid="{00000000-0005-0000-0000-0000CA100000}"/>
    <cellStyle name="20% - Accent3 2 4" xfId="887" xr:uid="{00000000-0005-0000-0000-0000CB100000}"/>
    <cellStyle name="20% - Accent3 2 4 2" xfId="1819" xr:uid="{00000000-0005-0000-0000-0000CC100000}"/>
    <cellStyle name="20% - Accent3 2 4 2 2" xfId="5337" xr:uid="{00000000-0005-0000-0000-0000CD100000}"/>
    <cellStyle name="20% - Accent3 2 4 2 2 2" xfId="8928" xr:uid="{00000000-0005-0000-0000-0000CE100000}"/>
    <cellStyle name="20% - Accent3 2 4 2 2 2 2" xfId="16899" xr:uid="{00000000-0005-0000-0000-0000CF100000}"/>
    <cellStyle name="20% - Accent3 2 4 2 2 2 2 2" xfId="40741" xr:uid="{84C5A620-157C-4EB8-89CD-A94FD5819D11}"/>
    <cellStyle name="20% - Accent3 2 4 2 2 2 3" xfId="24845" xr:uid="{00000000-0005-0000-0000-0000D0100000}"/>
    <cellStyle name="20% - Accent3 2 4 2 2 2 3 2" xfId="48677" xr:uid="{E19C2E72-79C9-487F-B9ED-D62618F4E271}"/>
    <cellStyle name="20% - Accent3 2 4 2 2 2 4" xfId="32800" xr:uid="{6D223C6C-7294-4BFD-899C-D3986ACBC28A}"/>
    <cellStyle name="20% - Accent3 2 4 2 2 3" xfId="13361" xr:uid="{00000000-0005-0000-0000-0000D1100000}"/>
    <cellStyle name="20% - Accent3 2 4 2 2 3 2" xfId="37210" xr:uid="{D16920C3-388E-4FE9-8C75-8D93AA0A17EC}"/>
    <cellStyle name="20% - Accent3 2 4 2 2 4" xfId="21316" xr:uid="{00000000-0005-0000-0000-0000D2100000}"/>
    <cellStyle name="20% - Accent3 2 4 2 2 4 2" xfId="45148" xr:uid="{3BAFCDFF-14B2-42BB-86E8-5E5A50760FDF}"/>
    <cellStyle name="20% - Accent3 2 4 2 2 5" xfId="29269" xr:uid="{64ABAE8F-ABD8-4664-8767-F0EE5753FF02}"/>
    <cellStyle name="20% - Accent3 2 4 2 3" xfId="7169" xr:uid="{00000000-0005-0000-0000-0000D3100000}"/>
    <cellStyle name="20% - Accent3 2 4 2 3 2" xfId="15141" xr:uid="{00000000-0005-0000-0000-0000D4100000}"/>
    <cellStyle name="20% - Accent3 2 4 2 3 2 2" xfId="38983" xr:uid="{5194B528-38B6-4433-A4DB-991B21B56A0D}"/>
    <cellStyle name="20% - Accent3 2 4 2 3 3" xfId="23088" xr:uid="{00000000-0005-0000-0000-0000D5100000}"/>
    <cellStyle name="20% - Accent3 2 4 2 3 3 2" xfId="46920" xr:uid="{0139BA7C-CFAC-4046-ADCB-4035F2D793FB}"/>
    <cellStyle name="20% - Accent3 2 4 2 3 4" xfId="31042" xr:uid="{FAFBD0C8-CD1E-455F-AC2A-E882B1FCD18D}"/>
    <cellStyle name="20% - Accent3 2 4 2 4" xfId="11605" xr:uid="{00000000-0005-0000-0000-0000D6100000}"/>
    <cellStyle name="20% - Accent3 2 4 2 4 2" xfId="35454" xr:uid="{677550C6-88B9-48DB-BF7F-24C9E720E48E}"/>
    <cellStyle name="20% - Accent3 2 4 2 5" xfId="19560" xr:uid="{00000000-0005-0000-0000-0000D7100000}"/>
    <cellStyle name="20% - Accent3 2 4 2 5 2" xfId="43392" xr:uid="{343510BD-142D-4D96-9E05-FBF64E146070}"/>
    <cellStyle name="20% - Accent3 2 4 2 6" xfId="27512" xr:uid="{8449EED3-6249-46B7-8377-3BEC80FCEFA8}"/>
    <cellStyle name="20% - Accent3 2 4 2_Exh G" xfId="2239" xr:uid="{00000000-0005-0000-0000-0000D8100000}"/>
    <cellStyle name="20% - Accent3 2 4 3" xfId="4458" xr:uid="{00000000-0005-0000-0000-0000D9100000}"/>
    <cellStyle name="20% - Accent3 2 4 3 2" xfId="8050" xr:uid="{00000000-0005-0000-0000-0000DA100000}"/>
    <cellStyle name="20% - Accent3 2 4 3 2 2" xfId="16021" xr:uid="{00000000-0005-0000-0000-0000DB100000}"/>
    <cellStyle name="20% - Accent3 2 4 3 2 2 2" xfId="39863" xr:uid="{8104E706-9175-4B80-888D-E807D8377308}"/>
    <cellStyle name="20% - Accent3 2 4 3 2 3" xfId="23967" xr:uid="{00000000-0005-0000-0000-0000DC100000}"/>
    <cellStyle name="20% - Accent3 2 4 3 2 3 2" xfId="47799" xr:uid="{C2CCDAE2-B1A6-4927-BDF2-1B02C99AAABD}"/>
    <cellStyle name="20% - Accent3 2 4 3 2 4" xfId="31922" xr:uid="{34479D9A-F7A4-43E2-A2CF-33C2904C000E}"/>
    <cellStyle name="20% - Accent3 2 4 3 3" xfId="12483" xr:uid="{00000000-0005-0000-0000-0000DD100000}"/>
    <cellStyle name="20% - Accent3 2 4 3 3 2" xfId="36332" xr:uid="{3BF3436B-891D-4378-98C4-A83F17EFB6B8}"/>
    <cellStyle name="20% - Accent3 2 4 3 4" xfId="20438" xr:uid="{00000000-0005-0000-0000-0000DE100000}"/>
    <cellStyle name="20% - Accent3 2 4 3 4 2" xfId="44270" xr:uid="{018C9D0E-C337-4DE0-8AA8-2F96DD428299}"/>
    <cellStyle name="20% - Accent3 2 4 3 5" xfId="28391" xr:uid="{0C4900EA-7DAA-4CE5-B706-7304E175A2B3}"/>
    <cellStyle name="20% - Accent3 2 4 4" xfId="6288" xr:uid="{00000000-0005-0000-0000-0000DF100000}"/>
    <cellStyle name="20% - Accent3 2 4 4 2" xfId="14263" xr:uid="{00000000-0005-0000-0000-0000E0100000}"/>
    <cellStyle name="20% - Accent3 2 4 4 2 2" xfId="38105" xr:uid="{8F814DF7-4DE9-465B-A675-60E149750095}"/>
    <cellStyle name="20% - Accent3 2 4 4 3" xfId="22210" xr:uid="{00000000-0005-0000-0000-0000E1100000}"/>
    <cellStyle name="20% - Accent3 2 4 4 3 2" xfId="46042" xr:uid="{D5CE6114-DC28-4BDE-9B37-C884EC7FB6ED}"/>
    <cellStyle name="20% - Accent3 2 4 4 4" xfId="30164" xr:uid="{E5801268-0299-4A68-93C0-2A51FA7BF0BF}"/>
    <cellStyle name="20% - Accent3 2 4 5" xfId="9831" xr:uid="{00000000-0005-0000-0000-0000E2100000}"/>
    <cellStyle name="20% - Accent3 2 4 5 2" xfId="17789" xr:uid="{00000000-0005-0000-0000-0000E3100000}"/>
    <cellStyle name="20% - Accent3 2 4 5 2 2" xfId="41629" xr:uid="{2B35D5EA-27E1-444D-90F1-841396107A59}"/>
    <cellStyle name="20% - Accent3 2 4 5 3" xfId="25733" xr:uid="{00000000-0005-0000-0000-0000E4100000}"/>
    <cellStyle name="20% - Accent3 2 4 5 3 2" xfId="49565" xr:uid="{C8F8AE57-C58F-49D5-84F8-56E4211267B5}"/>
    <cellStyle name="20% - Accent3 2 4 5 4" xfId="33688" xr:uid="{53EE03DA-BD1B-483E-B9CA-74F32DA7F8A7}"/>
    <cellStyle name="20% - Accent3 2 4 6" xfId="10727" xr:uid="{00000000-0005-0000-0000-0000E5100000}"/>
    <cellStyle name="20% - Accent3 2 4 6 2" xfId="34576" xr:uid="{56AD8EDE-E42E-4DD8-A7A1-8CD950AF14DB}"/>
    <cellStyle name="20% - Accent3 2 4 7" xfId="18682" xr:uid="{00000000-0005-0000-0000-0000E6100000}"/>
    <cellStyle name="20% - Accent3 2 4 7 2" xfId="42514" xr:uid="{4EA8F603-B746-48B4-8238-6C3908D0C1BF}"/>
    <cellStyle name="20% - Accent3 2 4 8" xfId="26634" xr:uid="{693AC9A4-EABB-4EEF-97FB-86E2782B8F18}"/>
    <cellStyle name="20% - Accent3 2 4_Exh G" xfId="2238" xr:uid="{00000000-0005-0000-0000-0000E7100000}"/>
    <cellStyle name="20% - Accent3 2 5" xfId="1174" xr:uid="{00000000-0005-0000-0000-0000E8100000}"/>
    <cellStyle name="20% - Accent3 2 5 2" xfId="4704" xr:uid="{00000000-0005-0000-0000-0000E9100000}"/>
    <cellStyle name="20% - Accent3 2 5 2 2" xfId="8295" xr:uid="{00000000-0005-0000-0000-0000EA100000}"/>
    <cellStyle name="20% - Accent3 2 5 2 2 2" xfId="16266" xr:uid="{00000000-0005-0000-0000-0000EB100000}"/>
    <cellStyle name="20% - Accent3 2 5 2 2 2 2" xfId="40108" xr:uid="{7C8D4F85-C14A-4C5B-8B03-929A6F63959E}"/>
    <cellStyle name="20% - Accent3 2 5 2 2 3" xfId="24212" xr:uid="{00000000-0005-0000-0000-0000EC100000}"/>
    <cellStyle name="20% - Accent3 2 5 2 2 3 2" xfId="48044" xr:uid="{E7289D68-1D81-43FE-87AD-6A671E0AE116}"/>
    <cellStyle name="20% - Accent3 2 5 2 2 4" xfId="32167" xr:uid="{BC8E65D2-8730-4C0E-8334-48A9BB8DDC34}"/>
    <cellStyle name="20% - Accent3 2 5 2 3" xfId="12728" xr:uid="{00000000-0005-0000-0000-0000ED100000}"/>
    <cellStyle name="20% - Accent3 2 5 2 3 2" xfId="36577" xr:uid="{C0447495-707C-4912-9433-98F84D4EA6D6}"/>
    <cellStyle name="20% - Accent3 2 5 2 4" xfId="20683" xr:uid="{00000000-0005-0000-0000-0000EE100000}"/>
    <cellStyle name="20% - Accent3 2 5 2 4 2" xfId="44515" xr:uid="{94ED6537-A5F1-4B4F-B8E1-F85CFF801220}"/>
    <cellStyle name="20% - Accent3 2 5 2 5" xfId="28636" xr:uid="{D4968BC5-D34A-4E02-90C2-D62E636C693A}"/>
    <cellStyle name="20% - Accent3 2 5 3" xfId="6536" xr:uid="{00000000-0005-0000-0000-0000EF100000}"/>
    <cellStyle name="20% - Accent3 2 5 3 2" xfId="14508" xr:uid="{00000000-0005-0000-0000-0000F0100000}"/>
    <cellStyle name="20% - Accent3 2 5 3 2 2" xfId="38350" xr:uid="{D7D784BB-9CCC-4A21-BFF9-C9139261CAED}"/>
    <cellStyle name="20% - Accent3 2 5 3 3" xfId="22455" xr:uid="{00000000-0005-0000-0000-0000F1100000}"/>
    <cellStyle name="20% - Accent3 2 5 3 3 2" xfId="46287" xr:uid="{14DEDEEC-E5D0-4C09-8117-7F2C4A55E495}"/>
    <cellStyle name="20% - Accent3 2 5 3 4" xfId="30409" xr:uid="{97F40FD4-3384-49D2-A141-C8B0DA7FD766}"/>
    <cellStyle name="20% - Accent3 2 5 4" xfId="10972" xr:uid="{00000000-0005-0000-0000-0000F2100000}"/>
    <cellStyle name="20% - Accent3 2 5 4 2" xfId="34821" xr:uid="{21CA7674-CD77-4F83-AFA7-6AD03D7281BE}"/>
    <cellStyle name="20% - Accent3 2 5 5" xfId="18927" xr:uid="{00000000-0005-0000-0000-0000F3100000}"/>
    <cellStyle name="20% - Accent3 2 5 5 2" xfId="42759" xr:uid="{C61CB26F-9ACB-447A-9E16-9310143D2442}"/>
    <cellStyle name="20% - Accent3 2 5 6" xfId="26879" xr:uid="{6E8ECB2A-2498-4F47-9A8B-E78E682A9AAE}"/>
    <cellStyle name="20% - Accent3 2 5_Exh G" xfId="2240" xr:uid="{00000000-0005-0000-0000-0000F4100000}"/>
    <cellStyle name="20% - Accent3 2 6" xfId="3825" xr:uid="{00000000-0005-0000-0000-0000F5100000}"/>
    <cellStyle name="20% - Accent3 2 6 2" xfId="7417" xr:uid="{00000000-0005-0000-0000-0000F6100000}"/>
    <cellStyle name="20% - Accent3 2 6 2 2" xfId="15388" xr:uid="{00000000-0005-0000-0000-0000F7100000}"/>
    <cellStyle name="20% - Accent3 2 6 2 2 2" xfId="39230" xr:uid="{715F4299-868A-42AF-8B78-7B9A389F3948}"/>
    <cellStyle name="20% - Accent3 2 6 2 3" xfId="23334" xr:uid="{00000000-0005-0000-0000-0000F8100000}"/>
    <cellStyle name="20% - Accent3 2 6 2 3 2" xfId="47166" xr:uid="{8D51EA9C-FD61-4020-9CF5-E61B2155C357}"/>
    <cellStyle name="20% - Accent3 2 6 2 4" xfId="31289" xr:uid="{5AF7F7C8-8F72-408D-84A4-600D1E82CDDB}"/>
    <cellStyle name="20% - Accent3 2 6 3" xfId="11850" xr:uid="{00000000-0005-0000-0000-0000F9100000}"/>
    <cellStyle name="20% - Accent3 2 6 3 2" xfId="35699" xr:uid="{A9D3855C-A9F3-420D-B15C-432118BCB120}"/>
    <cellStyle name="20% - Accent3 2 6 4" xfId="19805" xr:uid="{00000000-0005-0000-0000-0000FA100000}"/>
    <cellStyle name="20% - Accent3 2 6 4 2" xfId="43637" xr:uid="{5212F338-7FB5-4BF8-BC5A-1DE725674AD0}"/>
    <cellStyle name="20% - Accent3 2 6 5" xfId="27758" xr:uid="{1ACFDEB8-4A52-41A6-B463-DC082650E51C}"/>
    <cellStyle name="20% - Accent3 2 7" xfId="5645" xr:uid="{00000000-0005-0000-0000-0000FB100000}"/>
    <cellStyle name="20% - Accent3 2 7 2" xfId="13629" xr:uid="{00000000-0005-0000-0000-0000FC100000}"/>
    <cellStyle name="20% - Accent3 2 7 2 2" xfId="37472" xr:uid="{BC85502C-E1B5-4B8B-B413-2F0B2452BFDA}"/>
    <cellStyle name="20% - Accent3 2 7 3" xfId="21577" xr:uid="{00000000-0005-0000-0000-0000FD100000}"/>
    <cellStyle name="20% - Accent3 2 7 3 2" xfId="45409" xr:uid="{44358F39-64C1-4447-BBA0-224CC136BC39}"/>
    <cellStyle name="20% - Accent3 2 7 4" xfId="29531" xr:uid="{9FA25383-908F-4CE6-AC52-35052E9DF679}"/>
    <cellStyle name="20% - Accent3 2 8" xfId="9198" xr:uid="{00000000-0005-0000-0000-0000FE100000}"/>
    <cellStyle name="20% - Accent3 2 8 2" xfId="17156" xr:uid="{00000000-0005-0000-0000-0000FF100000}"/>
    <cellStyle name="20% - Accent3 2 8 2 2" xfId="40996" xr:uid="{73684FB1-BCCF-4E93-94D8-AFD29A20AAB8}"/>
    <cellStyle name="20% - Accent3 2 8 3" xfId="25100" xr:uid="{00000000-0005-0000-0000-000000110000}"/>
    <cellStyle name="20% - Accent3 2 8 3 2" xfId="48932" xr:uid="{6E0E0E90-FCF7-48F3-BDD2-9F1193ABEAC8}"/>
    <cellStyle name="20% - Accent3 2 8 4" xfId="33055" xr:uid="{5B7B9966-3BFF-4B96-9B8E-07F6026F0993}"/>
    <cellStyle name="20% - Accent3 2 9" xfId="10094" xr:uid="{00000000-0005-0000-0000-000001110000}"/>
    <cellStyle name="20% - Accent3 2 9 2" xfId="33943" xr:uid="{42BC4D13-62F4-4DE3-8CE7-9F6F869E8241}"/>
    <cellStyle name="20% - Accent3 2_Exh G" xfId="2229" xr:uid="{00000000-0005-0000-0000-000002110000}"/>
    <cellStyle name="20% - Accent3 3" xfId="150" xr:uid="{00000000-0005-0000-0000-000003110000}"/>
    <cellStyle name="20% - Accent3 3 10" xfId="18053" xr:uid="{00000000-0005-0000-0000-000004110000}"/>
    <cellStyle name="20% - Accent3 3 10 2" xfId="41885" xr:uid="{B6640E53-07BE-47A5-B7D8-9A3968FE0788}"/>
    <cellStyle name="20% - Accent3 3 11" xfId="26005" xr:uid="{E33CD951-3B31-4820-9110-7FC01A26248F}"/>
    <cellStyle name="20% - Accent3 3 12" xfId="49769" xr:uid="{44423A31-A165-4E2F-A96B-1B515125CDFD}"/>
    <cellStyle name="20% - Accent3 3 13" xfId="49823" xr:uid="{FD0A2C74-BFAF-4DD1-9F8B-1384F2D6860F}"/>
    <cellStyle name="20% - Accent3 3 2" xfId="151" xr:uid="{00000000-0005-0000-0000-000005110000}"/>
    <cellStyle name="20% - Accent3 3 2 10" xfId="26006" xr:uid="{6765FC4D-0F1C-47D3-845B-7FAEF81FC25E}"/>
    <cellStyle name="20% - Accent3 3 2 2" xfId="152" xr:uid="{00000000-0005-0000-0000-000006110000}"/>
    <cellStyle name="20% - Accent3 3 2 2 2" xfId="1180" xr:uid="{00000000-0005-0000-0000-000007110000}"/>
    <cellStyle name="20% - Accent3 3 2 2 2 2" xfId="4710" xr:uid="{00000000-0005-0000-0000-000008110000}"/>
    <cellStyle name="20% - Accent3 3 2 2 2 2 2" xfId="8301" xr:uid="{00000000-0005-0000-0000-000009110000}"/>
    <cellStyle name="20% - Accent3 3 2 2 2 2 2 2" xfId="16272" xr:uid="{00000000-0005-0000-0000-00000A110000}"/>
    <cellStyle name="20% - Accent3 3 2 2 2 2 2 2 2" xfId="40114" xr:uid="{7AA3C23B-3CE7-4EB3-84AD-2DB770639934}"/>
    <cellStyle name="20% - Accent3 3 2 2 2 2 2 3" xfId="24218" xr:uid="{00000000-0005-0000-0000-00000B110000}"/>
    <cellStyle name="20% - Accent3 3 2 2 2 2 2 3 2" xfId="48050" xr:uid="{F581D678-588E-411C-960A-1CD7BCD065C6}"/>
    <cellStyle name="20% - Accent3 3 2 2 2 2 2 4" xfId="32173" xr:uid="{8716416D-3ABF-429A-B9D5-79C720C90350}"/>
    <cellStyle name="20% - Accent3 3 2 2 2 2 3" xfId="12734" xr:uid="{00000000-0005-0000-0000-00000C110000}"/>
    <cellStyle name="20% - Accent3 3 2 2 2 2 3 2" xfId="36583" xr:uid="{9C994AA1-BACC-4B6A-8320-292328331062}"/>
    <cellStyle name="20% - Accent3 3 2 2 2 2 4" xfId="20689" xr:uid="{00000000-0005-0000-0000-00000D110000}"/>
    <cellStyle name="20% - Accent3 3 2 2 2 2 4 2" xfId="44521" xr:uid="{E278D113-4DD1-4350-8A19-476315E31408}"/>
    <cellStyle name="20% - Accent3 3 2 2 2 2 5" xfId="28642" xr:uid="{B8CED45F-16B6-4F49-88D9-992719F17154}"/>
    <cellStyle name="20% - Accent3 3 2 2 2 3" xfId="6542" xr:uid="{00000000-0005-0000-0000-00000E110000}"/>
    <cellStyle name="20% - Accent3 3 2 2 2 3 2" xfId="14514" xr:uid="{00000000-0005-0000-0000-00000F110000}"/>
    <cellStyle name="20% - Accent3 3 2 2 2 3 2 2" xfId="38356" xr:uid="{8C8FAF62-DAA6-47E6-B229-1F4874F45F48}"/>
    <cellStyle name="20% - Accent3 3 2 2 2 3 3" xfId="22461" xr:uid="{00000000-0005-0000-0000-000010110000}"/>
    <cellStyle name="20% - Accent3 3 2 2 2 3 3 2" xfId="46293" xr:uid="{BFD2A558-DC07-4185-A49F-7E37DAF175EB}"/>
    <cellStyle name="20% - Accent3 3 2 2 2 3 4" xfId="30415" xr:uid="{3FD0A461-9F2A-43E6-A0C3-8D7E00970525}"/>
    <cellStyle name="20% - Accent3 3 2 2 2 4" xfId="10978" xr:uid="{00000000-0005-0000-0000-000011110000}"/>
    <cellStyle name="20% - Accent3 3 2 2 2 4 2" xfId="34827" xr:uid="{72158BF1-0A92-4403-B6F7-F42D90A14323}"/>
    <cellStyle name="20% - Accent3 3 2 2 2 5" xfId="18933" xr:uid="{00000000-0005-0000-0000-000012110000}"/>
    <cellStyle name="20% - Accent3 3 2 2 2 5 2" xfId="42765" xr:uid="{99A1FA0D-C64B-48A4-9B35-18913CE113EF}"/>
    <cellStyle name="20% - Accent3 3 2 2 2 6" xfId="26885" xr:uid="{7C989B61-DB3E-492D-A038-5B9190B01930}"/>
    <cellStyle name="20% - Accent3 3 2 2 2_Exh G" xfId="2244" xr:uid="{00000000-0005-0000-0000-000013110000}"/>
    <cellStyle name="20% - Accent3 3 2 2 3" xfId="3831" xr:uid="{00000000-0005-0000-0000-000014110000}"/>
    <cellStyle name="20% - Accent3 3 2 2 3 2" xfId="7423" xr:uid="{00000000-0005-0000-0000-000015110000}"/>
    <cellStyle name="20% - Accent3 3 2 2 3 2 2" xfId="15394" xr:uid="{00000000-0005-0000-0000-000016110000}"/>
    <cellStyle name="20% - Accent3 3 2 2 3 2 2 2" xfId="39236" xr:uid="{BC73361E-029C-4BF6-B2B8-A1B0C7118023}"/>
    <cellStyle name="20% - Accent3 3 2 2 3 2 3" xfId="23340" xr:uid="{00000000-0005-0000-0000-000017110000}"/>
    <cellStyle name="20% - Accent3 3 2 2 3 2 3 2" xfId="47172" xr:uid="{2F51992F-ACCA-46CD-9BE3-10F17D2196BC}"/>
    <cellStyle name="20% - Accent3 3 2 2 3 2 4" xfId="31295" xr:uid="{A4E0527E-FF01-43A3-B9AF-E3DF9919BF46}"/>
    <cellStyle name="20% - Accent3 3 2 2 3 3" xfId="11856" xr:uid="{00000000-0005-0000-0000-000018110000}"/>
    <cellStyle name="20% - Accent3 3 2 2 3 3 2" xfId="35705" xr:uid="{0F8C5A18-FA04-4E02-A89E-6A2A196ED5D9}"/>
    <cellStyle name="20% - Accent3 3 2 2 3 4" xfId="19811" xr:uid="{00000000-0005-0000-0000-000019110000}"/>
    <cellStyle name="20% - Accent3 3 2 2 3 4 2" xfId="43643" xr:uid="{FF89FC8F-57B4-4766-A6F3-E9B70770CF25}"/>
    <cellStyle name="20% - Accent3 3 2 2 3 5" xfId="27764" xr:uid="{CD93CDDB-63CD-422D-9366-D9827031D074}"/>
    <cellStyle name="20% - Accent3 3 2 2 4" xfId="5651" xr:uid="{00000000-0005-0000-0000-00001A110000}"/>
    <cellStyle name="20% - Accent3 3 2 2 4 2" xfId="13635" xr:uid="{00000000-0005-0000-0000-00001B110000}"/>
    <cellStyle name="20% - Accent3 3 2 2 4 2 2" xfId="37478" xr:uid="{694A13F4-CB98-449F-92C2-793A505D209D}"/>
    <cellStyle name="20% - Accent3 3 2 2 4 3" xfId="21583" xr:uid="{00000000-0005-0000-0000-00001C110000}"/>
    <cellStyle name="20% - Accent3 3 2 2 4 3 2" xfId="45415" xr:uid="{E93798FE-8350-4580-9BA0-B01F196A5A2E}"/>
    <cellStyle name="20% - Accent3 3 2 2 4 4" xfId="29537" xr:uid="{AAB24E8A-4330-4B38-B624-D8EA68B94461}"/>
    <cellStyle name="20% - Accent3 3 2 2 5" xfId="9204" xr:uid="{00000000-0005-0000-0000-00001D110000}"/>
    <cellStyle name="20% - Accent3 3 2 2 5 2" xfId="17162" xr:uid="{00000000-0005-0000-0000-00001E110000}"/>
    <cellStyle name="20% - Accent3 3 2 2 5 2 2" xfId="41002" xr:uid="{C69C2F05-2231-4DEA-9366-A3B11B9C5682}"/>
    <cellStyle name="20% - Accent3 3 2 2 5 3" xfId="25106" xr:uid="{00000000-0005-0000-0000-00001F110000}"/>
    <cellStyle name="20% - Accent3 3 2 2 5 3 2" xfId="48938" xr:uid="{B798CB7A-56A2-4F8A-B0F0-9027DA0A080B}"/>
    <cellStyle name="20% - Accent3 3 2 2 5 4" xfId="33061" xr:uid="{368CF842-24C4-4A88-8486-707A61DD9D87}"/>
    <cellStyle name="20% - Accent3 3 2 2 6" xfId="10100" xr:uid="{00000000-0005-0000-0000-000020110000}"/>
    <cellStyle name="20% - Accent3 3 2 2 6 2" xfId="33949" xr:uid="{A731CD04-7654-4942-9A9E-37FC2C44EAEB}"/>
    <cellStyle name="20% - Accent3 3 2 2 7" xfId="18055" xr:uid="{00000000-0005-0000-0000-000021110000}"/>
    <cellStyle name="20% - Accent3 3 2 2 7 2" xfId="41887" xr:uid="{F47729C4-7B86-4D10-9F79-39AB2E3428ED}"/>
    <cellStyle name="20% - Accent3 3 2 2 8" xfId="26007" xr:uid="{11C8EF43-ED95-4CDC-BB32-0289BAAA3A27}"/>
    <cellStyle name="20% - Accent3 3 2 2_Exh G" xfId="2243" xr:uid="{00000000-0005-0000-0000-000022110000}"/>
    <cellStyle name="20% - Accent3 3 2 3" xfId="890" xr:uid="{00000000-0005-0000-0000-000023110000}"/>
    <cellStyle name="20% - Accent3 3 2 3 2" xfId="1822" xr:uid="{00000000-0005-0000-0000-000024110000}"/>
    <cellStyle name="20% - Accent3 3 2 3 2 2" xfId="5340" xr:uid="{00000000-0005-0000-0000-000025110000}"/>
    <cellStyle name="20% - Accent3 3 2 3 2 2 2" xfId="8931" xr:uid="{00000000-0005-0000-0000-000026110000}"/>
    <cellStyle name="20% - Accent3 3 2 3 2 2 2 2" xfId="16902" xr:uid="{00000000-0005-0000-0000-000027110000}"/>
    <cellStyle name="20% - Accent3 3 2 3 2 2 2 2 2" xfId="40744" xr:uid="{75166FA3-CE47-460A-A8F4-3054F2A4FE2F}"/>
    <cellStyle name="20% - Accent3 3 2 3 2 2 2 3" xfId="24848" xr:uid="{00000000-0005-0000-0000-000028110000}"/>
    <cellStyle name="20% - Accent3 3 2 3 2 2 2 3 2" xfId="48680" xr:uid="{0DF50CCE-6C9A-40B4-B43B-F52614A1C9A0}"/>
    <cellStyle name="20% - Accent3 3 2 3 2 2 2 4" xfId="32803" xr:uid="{FF15A37D-9125-4A8E-B3C4-7D257DFA2B9F}"/>
    <cellStyle name="20% - Accent3 3 2 3 2 2 3" xfId="13364" xr:uid="{00000000-0005-0000-0000-000029110000}"/>
    <cellStyle name="20% - Accent3 3 2 3 2 2 3 2" xfId="37213" xr:uid="{B40C1BA1-00C5-481F-B10B-60F368ACD2F3}"/>
    <cellStyle name="20% - Accent3 3 2 3 2 2 4" xfId="21319" xr:uid="{00000000-0005-0000-0000-00002A110000}"/>
    <cellStyle name="20% - Accent3 3 2 3 2 2 4 2" xfId="45151" xr:uid="{14C4D09B-E0ED-431F-9114-0BC8C652B81A}"/>
    <cellStyle name="20% - Accent3 3 2 3 2 2 5" xfId="29272" xr:uid="{4642E083-0874-45D7-A99C-80A45A35BCA3}"/>
    <cellStyle name="20% - Accent3 3 2 3 2 3" xfId="7172" xr:uid="{00000000-0005-0000-0000-00002B110000}"/>
    <cellStyle name="20% - Accent3 3 2 3 2 3 2" xfId="15144" xr:uid="{00000000-0005-0000-0000-00002C110000}"/>
    <cellStyle name="20% - Accent3 3 2 3 2 3 2 2" xfId="38986" xr:uid="{A9D7C917-644E-4FED-8017-48B029D4D06C}"/>
    <cellStyle name="20% - Accent3 3 2 3 2 3 3" xfId="23091" xr:uid="{00000000-0005-0000-0000-00002D110000}"/>
    <cellStyle name="20% - Accent3 3 2 3 2 3 3 2" xfId="46923" xr:uid="{6DAAC91E-C9BE-4727-A8A5-33E93F9EAB0E}"/>
    <cellStyle name="20% - Accent3 3 2 3 2 3 4" xfId="31045" xr:uid="{B191C312-5CBA-4108-8762-007DC6D0B848}"/>
    <cellStyle name="20% - Accent3 3 2 3 2 4" xfId="11608" xr:uid="{00000000-0005-0000-0000-00002E110000}"/>
    <cellStyle name="20% - Accent3 3 2 3 2 4 2" xfId="35457" xr:uid="{FAAB74FB-B621-4353-9BD4-F9BA4700A247}"/>
    <cellStyle name="20% - Accent3 3 2 3 2 5" xfId="19563" xr:uid="{00000000-0005-0000-0000-00002F110000}"/>
    <cellStyle name="20% - Accent3 3 2 3 2 5 2" xfId="43395" xr:uid="{992F19A0-E140-4B8A-896B-EF5785C8B3DF}"/>
    <cellStyle name="20% - Accent3 3 2 3 2 6" xfId="27515" xr:uid="{6BBCD1B7-0934-42BB-A4F1-EB18D97D77C0}"/>
    <cellStyle name="20% - Accent3 3 2 3 2_Exh G" xfId="2246" xr:uid="{00000000-0005-0000-0000-000030110000}"/>
    <cellStyle name="20% - Accent3 3 2 3 3" xfId="4461" xr:uid="{00000000-0005-0000-0000-000031110000}"/>
    <cellStyle name="20% - Accent3 3 2 3 3 2" xfId="8053" xr:uid="{00000000-0005-0000-0000-000032110000}"/>
    <cellStyle name="20% - Accent3 3 2 3 3 2 2" xfId="16024" xr:uid="{00000000-0005-0000-0000-000033110000}"/>
    <cellStyle name="20% - Accent3 3 2 3 3 2 2 2" xfId="39866" xr:uid="{70FD0A5D-DF72-42C7-A600-50BB13E277DE}"/>
    <cellStyle name="20% - Accent3 3 2 3 3 2 3" xfId="23970" xr:uid="{00000000-0005-0000-0000-000034110000}"/>
    <cellStyle name="20% - Accent3 3 2 3 3 2 3 2" xfId="47802" xr:uid="{89DE9424-00B4-4FA0-9ACB-D22D86106278}"/>
    <cellStyle name="20% - Accent3 3 2 3 3 2 4" xfId="31925" xr:uid="{6B48AF1C-4E43-4697-B554-84BF4DCBDF97}"/>
    <cellStyle name="20% - Accent3 3 2 3 3 3" xfId="12486" xr:uid="{00000000-0005-0000-0000-000035110000}"/>
    <cellStyle name="20% - Accent3 3 2 3 3 3 2" xfId="36335" xr:uid="{63191912-2FD9-4367-BC5B-871BD7243F57}"/>
    <cellStyle name="20% - Accent3 3 2 3 3 4" xfId="20441" xr:uid="{00000000-0005-0000-0000-000036110000}"/>
    <cellStyle name="20% - Accent3 3 2 3 3 4 2" xfId="44273" xr:uid="{80CABD3C-6F88-4B43-A184-7F684A4A628F}"/>
    <cellStyle name="20% - Accent3 3 2 3 3 5" xfId="28394" xr:uid="{5CE15C19-97CE-4786-A10D-79B98CF7F63D}"/>
    <cellStyle name="20% - Accent3 3 2 3 4" xfId="6291" xr:uid="{00000000-0005-0000-0000-000037110000}"/>
    <cellStyle name="20% - Accent3 3 2 3 4 2" xfId="14266" xr:uid="{00000000-0005-0000-0000-000038110000}"/>
    <cellStyle name="20% - Accent3 3 2 3 4 2 2" xfId="38108" xr:uid="{DD3774A2-86B3-4A89-B001-BB2F0E1F1CA1}"/>
    <cellStyle name="20% - Accent3 3 2 3 4 3" xfId="22213" xr:uid="{00000000-0005-0000-0000-000039110000}"/>
    <cellStyle name="20% - Accent3 3 2 3 4 3 2" xfId="46045" xr:uid="{79E13012-7263-4894-A0C3-8276FEEFE144}"/>
    <cellStyle name="20% - Accent3 3 2 3 4 4" xfId="30167" xr:uid="{2460FA36-DFA1-4D9B-ADF3-0A1DCEBD196F}"/>
    <cellStyle name="20% - Accent3 3 2 3 5" xfId="9834" xr:uid="{00000000-0005-0000-0000-00003A110000}"/>
    <cellStyle name="20% - Accent3 3 2 3 5 2" xfId="17792" xr:uid="{00000000-0005-0000-0000-00003B110000}"/>
    <cellStyle name="20% - Accent3 3 2 3 5 2 2" xfId="41632" xr:uid="{80D33100-B0E3-4251-8831-9FC6333CF75D}"/>
    <cellStyle name="20% - Accent3 3 2 3 5 3" xfId="25736" xr:uid="{00000000-0005-0000-0000-00003C110000}"/>
    <cellStyle name="20% - Accent3 3 2 3 5 3 2" xfId="49568" xr:uid="{2221BE4C-AC94-44B0-A7C7-A5669618161A}"/>
    <cellStyle name="20% - Accent3 3 2 3 5 4" xfId="33691" xr:uid="{07571BA0-C3FB-4B23-B80C-D41642102A51}"/>
    <cellStyle name="20% - Accent3 3 2 3 6" xfId="10730" xr:uid="{00000000-0005-0000-0000-00003D110000}"/>
    <cellStyle name="20% - Accent3 3 2 3 6 2" xfId="34579" xr:uid="{6EC427FD-45AF-4E19-A794-A19158979792}"/>
    <cellStyle name="20% - Accent3 3 2 3 7" xfId="18685" xr:uid="{00000000-0005-0000-0000-00003E110000}"/>
    <cellStyle name="20% - Accent3 3 2 3 7 2" xfId="42517" xr:uid="{8429BBED-97F0-4F57-A90E-C4F031241568}"/>
    <cellStyle name="20% - Accent3 3 2 3 8" xfId="26637" xr:uid="{478A6804-56D2-4403-BC4C-D32C39D5E2A1}"/>
    <cellStyle name="20% - Accent3 3 2 3_Exh G" xfId="2245" xr:uid="{00000000-0005-0000-0000-00003F110000}"/>
    <cellStyle name="20% - Accent3 3 2 4" xfId="1179" xr:uid="{00000000-0005-0000-0000-000040110000}"/>
    <cellStyle name="20% - Accent3 3 2 4 2" xfId="4709" xr:uid="{00000000-0005-0000-0000-000041110000}"/>
    <cellStyle name="20% - Accent3 3 2 4 2 2" xfId="8300" xr:uid="{00000000-0005-0000-0000-000042110000}"/>
    <cellStyle name="20% - Accent3 3 2 4 2 2 2" xfId="16271" xr:uid="{00000000-0005-0000-0000-000043110000}"/>
    <cellStyle name="20% - Accent3 3 2 4 2 2 2 2" xfId="40113" xr:uid="{409625B8-B2D9-40EE-910F-3B99694BB163}"/>
    <cellStyle name="20% - Accent3 3 2 4 2 2 3" xfId="24217" xr:uid="{00000000-0005-0000-0000-000044110000}"/>
    <cellStyle name="20% - Accent3 3 2 4 2 2 3 2" xfId="48049" xr:uid="{383086C4-A2A9-44C8-9870-CAC7B1344B35}"/>
    <cellStyle name="20% - Accent3 3 2 4 2 2 4" xfId="32172" xr:uid="{0D734858-D989-46AE-895C-11CDA1C26441}"/>
    <cellStyle name="20% - Accent3 3 2 4 2 3" xfId="12733" xr:uid="{00000000-0005-0000-0000-000045110000}"/>
    <cellStyle name="20% - Accent3 3 2 4 2 3 2" xfId="36582" xr:uid="{FC89607E-AED3-41F1-87F5-CEF5E69B7053}"/>
    <cellStyle name="20% - Accent3 3 2 4 2 4" xfId="20688" xr:uid="{00000000-0005-0000-0000-000046110000}"/>
    <cellStyle name="20% - Accent3 3 2 4 2 4 2" xfId="44520" xr:uid="{3C36ADBD-E1BD-4EA7-941B-4FC42BEB86C1}"/>
    <cellStyle name="20% - Accent3 3 2 4 2 5" xfId="28641" xr:uid="{8B506D6A-FB67-40FA-876C-8ABF57E62F9B}"/>
    <cellStyle name="20% - Accent3 3 2 4 3" xfId="6541" xr:uid="{00000000-0005-0000-0000-000047110000}"/>
    <cellStyle name="20% - Accent3 3 2 4 3 2" xfId="14513" xr:uid="{00000000-0005-0000-0000-000048110000}"/>
    <cellStyle name="20% - Accent3 3 2 4 3 2 2" xfId="38355" xr:uid="{C589E230-9FD6-4F65-8F51-D18BB5C3A151}"/>
    <cellStyle name="20% - Accent3 3 2 4 3 3" xfId="22460" xr:uid="{00000000-0005-0000-0000-000049110000}"/>
    <cellStyle name="20% - Accent3 3 2 4 3 3 2" xfId="46292" xr:uid="{40E62B21-ED33-4759-B3B1-71988C99C434}"/>
    <cellStyle name="20% - Accent3 3 2 4 3 4" xfId="30414" xr:uid="{72051928-62EC-4563-9A12-F9F83CCE354E}"/>
    <cellStyle name="20% - Accent3 3 2 4 4" xfId="10977" xr:uid="{00000000-0005-0000-0000-00004A110000}"/>
    <cellStyle name="20% - Accent3 3 2 4 4 2" xfId="34826" xr:uid="{E4FBB09E-7FAD-4A27-9031-00A7F3696A39}"/>
    <cellStyle name="20% - Accent3 3 2 4 5" xfId="18932" xr:uid="{00000000-0005-0000-0000-00004B110000}"/>
    <cellStyle name="20% - Accent3 3 2 4 5 2" xfId="42764" xr:uid="{60CAC234-6003-4A0E-8A07-44D7617CD1C2}"/>
    <cellStyle name="20% - Accent3 3 2 4 6" xfId="26884" xr:uid="{AA75BFD0-E161-4011-BC25-EF46E08FD5B5}"/>
    <cellStyle name="20% - Accent3 3 2 4_Exh G" xfId="2247" xr:uid="{00000000-0005-0000-0000-00004C110000}"/>
    <cellStyle name="20% - Accent3 3 2 5" xfId="3830" xr:uid="{00000000-0005-0000-0000-00004D110000}"/>
    <cellStyle name="20% - Accent3 3 2 5 2" xfId="7422" xr:uid="{00000000-0005-0000-0000-00004E110000}"/>
    <cellStyle name="20% - Accent3 3 2 5 2 2" xfId="15393" xr:uid="{00000000-0005-0000-0000-00004F110000}"/>
    <cellStyle name="20% - Accent3 3 2 5 2 2 2" xfId="39235" xr:uid="{BAC1FCA6-5A9C-46E4-9BA1-8D155B2A377F}"/>
    <cellStyle name="20% - Accent3 3 2 5 2 3" xfId="23339" xr:uid="{00000000-0005-0000-0000-000050110000}"/>
    <cellStyle name="20% - Accent3 3 2 5 2 3 2" xfId="47171" xr:uid="{905D3FF3-12CA-4AC7-A104-2CC11CD8B942}"/>
    <cellStyle name="20% - Accent3 3 2 5 2 4" xfId="31294" xr:uid="{6A09254D-F7F2-4D67-8291-956CC146A9A0}"/>
    <cellStyle name="20% - Accent3 3 2 5 3" xfId="11855" xr:uid="{00000000-0005-0000-0000-000051110000}"/>
    <cellStyle name="20% - Accent3 3 2 5 3 2" xfId="35704" xr:uid="{63EABB8F-5239-4D1F-A331-B4DC135723DC}"/>
    <cellStyle name="20% - Accent3 3 2 5 4" xfId="19810" xr:uid="{00000000-0005-0000-0000-000052110000}"/>
    <cellStyle name="20% - Accent3 3 2 5 4 2" xfId="43642" xr:uid="{F62DB139-D8EB-41EF-A50A-67BF0F1C00D4}"/>
    <cellStyle name="20% - Accent3 3 2 5 5" xfId="27763" xr:uid="{94BF17A6-D9AE-4D9E-A549-96907B072852}"/>
    <cellStyle name="20% - Accent3 3 2 6" xfId="5650" xr:uid="{00000000-0005-0000-0000-000053110000}"/>
    <cellStyle name="20% - Accent3 3 2 6 2" xfId="13634" xr:uid="{00000000-0005-0000-0000-000054110000}"/>
    <cellStyle name="20% - Accent3 3 2 6 2 2" xfId="37477" xr:uid="{22A480B9-F1D6-4CE7-9915-2E15EAAE75ED}"/>
    <cellStyle name="20% - Accent3 3 2 6 3" xfId="21582" xr:uid="{00000000-0005-0000-0000-000055110000}"/>
    <cellStyle name="20% - Accent3 3 2 6 3 2" xfId="45414" xr:uid="{ED174961-E37E-4EB6-A797-FDF335F2A437}"/>
    <cellStyle name="20% - Accent3 3 2 6 4" xfId="29536" xr:uid="{BB26E9B6-193F-48F3-9B28-9479EA887B01}"/>
    <cellStyle name="20% - Accent3 3 2 7" xfId="9203" xr:uid="{00000000-0005-0000-0000-000056110000}"/>
    <cellStyle name="20% - Accent3 3 2 7 2" xfId="17161" xr:uid="{00000000-0005-0000-0000-000057110000}"/>
    <cellStyle name="20% - Accent3 3 2 7 2 2" xfId="41001" xr:uid="{7F243350-8A5C-4586-B52E-A3A28B7E2A7D}"/>
    <cellStyle name="20% - Accent3 3 2 7 3" xfId="25105" xr:uid="{00000000-0005-0000-0000-000058110000}"/>
    <cellStyle name="20% - Accent3 3 2 7 3 2" xfId="48937" xr:uid="{6D30F59D-D66D-449F-94D0-9AE0C3318EF9}"/>
    <cellStyle name="20% - Accent3 3 2 7 4" xfId="33060" xr:uid="{6CCA5956-BCF2-4A33-A679-9D23012B5E4C}"/>
    <cellStyle name="20% - Accent3 3 2 8" xfId="10099" xr:uid="{00000000-0005-0000-0000-000059110000}"/>
    <cellStyle name="20% - Accent3 3 2 8 2" xfId="33948" xr:uid="{EEFC7A69-314B-45A5-9B6F-CFA0A3154850}"/>
    <cellStyle name="20% - Accent3 3 2 9" xfId="18054" xr:uid="{00000000-0005-0000-0000-00005A110000}"/>
    <cellStyle name="20% - Accent3 3 2 9 2" xfId="41886" xr:uid="{BB936050-64B0-4325-8A9C-08DEDC0B6451}"/>
    <cellStyle name="20% - Accent3 3 2_Exh G" xfId="2242" xr:uid="{00000000-0005-0000-0000-00005B110000}"/>
    <cellStyle name="20% - Accent3 3 3" xfId="153" xr:uid="{00000000-0005-0000-0000-00005C110000}"/>
    <cellStyle name="20% - Accent3 3 3 2" xfId="1181" xr:uid="{00000000-0005-0000-0000-00005D110000}"/>
    <cellStyle name="20% - Accent3 3 3 2 2" xfId="4711" xr:uid="{00000000-0005-0000-0000-00005E110000}"/>
    <cellStyle name="20% - Accent3 3 3 2 2 2" xfId="8302" xr:uid="{00000000-0005-0000-0000-00005F110000}"/>
    <cellStyle name="20% - Accent3 3 3 2 2 2 2" xfId="16273" xr:uid="{00000000-0005-0000-0000-000060110000}"/>
    <cellStyle name="20% - Accent3 3 3 2 2 2 2 2" xfId="40115" xr:uid="{91930C91-F9C1-458D-8AF0-3B2C2432D4FC}"/>
    <cellStyle name="20% - Accent3 3 3 2 2 2 3" xfId="24219" xr:uid="{00000000-0005-0000-0000-000061110000}"/>
    <cellStyle name="20% - Accent3 3 3 2 2 2 3 2" xfId="48051" xr:uid="{EF5EADE7-D86E-4649-80D7-29BC7746C887}"/>
    <cellStyle name="20% - Accent3 3 3 2 2 2 4" xfId="32174" xr:uid="{38A758B1-A7C9-46DA-B8ED-774A6D90A14C}"/>
    <cellStyle name="20% - Accent3 3 3 2 2 3" xfId="12735" xr:uid="{00000000-0005-0000-0000-000062110000}"/>
    <cellStyle name="20% - Accent3 3 3 2 2 3 2" xfId="36584" xr:uid="{D054BC52-F33E-4BD4-B8DC-7694C9D5EFEB}"/>
    <cellStyle name="20% - Accent3 3 3 2 2 4" xfId="20690" xr:uid="{00000000-0005-0000-0000-000063110000}"/>
    <cellStyle name="20% - Accent3 3 3 2 2 4 2" xfId="44522" xr:uid="{FCF89643-4EDB-4587-B9BE-2A0CE0C67A1A}"/>
    <cellStyle name="20% - Accent3 3 3 2 2 5" xfId="28643" xr:uid="{13BC6123-612E-49DD-817F-C3F3CEAD6DAA}"/>
    <cellStyle name="20% - Accent3 3 3 2 3" xfId="6543" xr:uid="{00000000-0005-0000-0000-000064110000}"/>
    <cellStyle name="20% - Accent3 3 3 2 3 2" xfId="14515" xr:uid="{00000000-0005-0000-0000-000065110000}"/>
    <cellStyle name="20% - Accent3 3 3 2 3 2 2" xfId="38357" xr:uid="{112E1F46-4F3C-489F-BB96-DDBDAD4A5488}"/>
    <cellStyle name="20% - Accent3 3 3 2 3 3" xfId="22462" xr:uid="{00000000-0005-0000-0000-000066110000}"/>
    <cellStyle name="20% - Accent3 3 3 2 3 3 2" xfId="46294" xr:uid="{0C35D33B-9F35-473B-BD68-F46D7A962244}"/>
    <cellStyle name="20% - Accent3 3 3 2 3 4" xfId="30416" xr:uid="{1DBC491D-DF74-493B-8CE2-85FE2FA59F0D}"/>
    <cellStyle name="20% - Accent3 3 3 2 4" xfId="10979" xr:uid="{00000000-0005-0000-0000-000067110000}"/>
    <cellStyle name="20% - Accent3 3 3 2 4 2" xfId="34828" xr:uid="{3EFFBA70-8252-4E60-8E5B-5CA2E25D65FF}"/>
    <cellStyle name="20% - Accent3 3 3 2 5" xfId="18934" xr:uid="{00000000-0005-0000-0000-000068110000}"/>
    <cellStyle name="20% - Accent3 3 3 2 5 2" xfId="42766" xr:uid="{F2C503E2-E38D-4803-9271-E371B64D61E4}"/>
    <cellStyle name="20% - Accent3 3 3 2 6" xfId="26886" xr:uid="{3F741962-FA13-4084-9479-41F6276F708D}"/>
    <cellStyle name="20% - Accent3 3 3 2_Exh G" xfId="2249" xr:uid="{00000000-0005-0000-0000-000069110000}"/>
    <cellStyle name="20% - Accent3 3 3 3" xfId="3832" xr:uid="{00000000-0005-0000-0000-00006A110000}"/>
    <cellStyle name="20% - Accent3 3 3 3 2" xfId="7424" xr:uid="{00000000-0005-0000-0000-00006B110000}"/>
    <cellStyle name="20% - Accent3 3 3 3 2 2" xfId="15395" xr:uid="{00000000-0005-0000-0000-00006C110000}"/>
    <cellStyle name="20% - Accent3 3 3 3 2 2 2" xfId="39237" xr:uid="{1712A508-CECC-4965-9B06-80D9EB7B4100}"/>
    <cellStyle name="20% - Accent3 3 3 3 2 3" xfId="23341" xr:uid="{00000000-0005-0000-0000-00006D110000}"/>
    <cellStyle name="20% - Accent3 3 3 3 2 3 2" xfId="47173" xr:uid="{464F2E90-88F9-404E-9708-C5C4DA01A148}"/>
    <cellStyle name="20% - Accent3 3 3 3 2 4" xfId="31296" xr:uid="{E96BFB64-0D49-4C45-AEA1-6D3F9516E3FF}"/>
    <cellStyle name="20% - Accent3 3 3 3 3" xfId="11857" xr:uid="{00000000-0005-0000-0000-00006E110000}"/>
    <cellStyle name="20% - Accent3 3 3 3 3 2" xfId="35706" xr:uid="{46AB1E93-8255-424D-B37E-F405F89B0178}"/>
    <cellStyle name="20% - Accent3 3 3 3 4" xfId="19812" xr:uid="{00000000-0005-0000-0000-00006F110000}"/>
    <cellStyle name="20% - Accent3 3 3 3 4 2" xfId="43644" xr:uid="{061E8724-E46A-4A67-8991-BFB2F5EAF0B0}"/>
    <cellStyle name="20% - Accent3 3 3 3 5" xfId="27765" xr:uid="{39337CAF-6F1C-4BC9-9F15-3F7E08CAEC72}"/>
    <cellStyle name="20% - Accent3 3 3 4" xfId="5652" xr:uid="{00000000-0005-0000-0000-000070110000}"/>
    <cellStyle name="20% - Accent3 3 3 4 2" xfId="13636" xr:uid="{00000000-0005-0000-0000-000071110000}"/>
    <cellStyle name="20% - Accent3 3 3 4 2 2" xfId="37479" xr:uid="{5E924346-2F7B-4F14-927C-1D6F87846AC3}"/>
    <cellStyle name="20% - Accent3 3 3 4 3" xfId="21584" xr:uid="{00000000-0005-0000-0000-000072110000}"/>
    <cellStyle name="20% - Accent3 3 3 4 3 2" xfId="45416" xr:uid="{A8A545B6-8A78-45D6-980B-C648662EAAF6}"/>
    <cellStyle name="20% - Accent3 3 3 4 4" xfId="29538" xr:uid="{D1FC069C-F7D7-4F1C-BC1A-61F0E98D3B33}"/>
    <cellStyle name="20% - Accent3 3 3 5" xfId="9205" xr:uid="{00000000-0005-0000-0000-000073110000}"/>
    <cellStyle name="20% - Accent3 3 3 5 2" xfId="17163" xr:uid="{00000000-0005-0000-0000-000074110000}"/>
    <cellStyle name="20% - Accent3 3 3 5 2 2" xfId="41003" xr:uid="{6ACBC3B9-4958-4F06-86A9-0AB646C4132D}"/>
    <cellStyle name="20% - Accent3 3 3 5 3" xfId="25107" xr:uid="{00000000-0005-0000-0000-000075110000}"/>
    <cellStyle name="20% - Accent3 3 3 5 3 2" xfId="48939" xr:uid="{49BA78AA-DC71-4AC1-88B6-78D2225B5DAB}"/>
    <cellStyle name="20% - Accent3 3 3 5 4" xfId="33062" xr:uid="{626D7673-146A-4E2F-A749-DD9A5A0937CF}"/>
    <cellStyle name="20% - Accent3 3 3 6" xfId="10101" xr:uid="{00000000-0005-0000-0000-000076110000}"/>
    <cellStyle name="20% - Accent3 3 3 6 2" xfId="33950" xr:uid="{13DF51BA-9B67-44BB-A178-82525D036B65}"/>
    <cellStyle name="20% - Accent3 3 3 7" xfId="18056" xr:uid="{00000000-0005-0000-0000-000077110000}"/>
    <cellStyle name="20% - Accent3 3 3 7 2" xfId="41888" xr:uid="{EE087F69-E590-4A84-B976-229B39243B00}"/>
    <cellStyle name="20% - Accent3 3 3 8" xfId="26008" xr:uid="{8D28AFBA-FDE6-4E47-8267-6FC204336247}"/>
    <cellStyle name="20% - Accent3 3 3_Exh G" xfId="2248" xr:uid="{00000000-0005-0000-0000-000078110000}"/>
    <cellStyle name="20% - Accent3 3 4" xfId="889" xr:uid="{00000000-0005-0000-0000-000079110000}"/>
    <cellStyle name="20% - Accent3 3 4 2" xfId="1821" xr:uid="{00000000-0005-0000-0000-00007A110000}"/>
    <cellStyle name="20% - Accent3 3 4 2 2" xfId="5339" xr:uid="{00000000-0005-0000-0000-00007B110000}"/>
    <cellStyle name="20% - Accent3 3 4 2 2 2" xfId="8930" xr:uid="{00000000-0005-0000-0000-00007C110000}"/>
    <cellStyle name="20% - Accent3 3 4 2 2 2 2" xfId="16901" xr:uid="{00000000-0005-0000-0000-00007D110000}"/>
    <cellStyle name="20% - Accent3 3 4 2 2 2 2 2" xfId="40743" xr:uid="{D6E6A2CC-B180-45E6-A441-BD4981CEE279}"/>
    <cellStyle name="20% - Accent3 3 4 2 2 2 3" xfId="24847" xr:uid="{00000000-0005-0000-0000-00007E110000}"/>
    <cellStyle name="20% - Accent3 3 4 2 2 2 3 2" xfId="48679" xr:uid="{FD5976E8-597A-40E6-A099-1D5A364C8DDB}"/>
    <cellStyle name="20% - Accent3 3 4 2 2 2 4" xfId="32802" xr:uid="{7292CA8B-43D5-4D7C-8068-FD31C400809F}"/>
    <cellStyle name="20% - Accent3 3 4 2 2 3" xfId="13363" xr:uid="{00000000-0005-0000-0000-00007F110000}"/>
    <cellStyle name="20% - Accent3 3 4 2 2 3 2" xfId="37212" xr:uid="{38C1E8EB-7001-4648-B888-CA27DD3B97C3}"/>
    <cellStyle name="20% - Accent3 3 4 2 2 4" xfId="21318" xr:uid="{00000000-0005-0000-0000-000080110000}"/>
    <cellStyle name="20% - Accent3 3 4 2 2 4 2" xfId="45150" xr:uid="{9503B30D-F94C-4B0B-943D-3D2A75D3CB4F}"/>
    <cellStyle name="20% - Accent3 3 4 2 2 5" xfId="29271" xr:uid="{3910E0B1-7053-415F-A5CD-0326B094C021}"/>
    <cellStyle name="20% - Accent3 3 4 2 3" xfId="7171" xr:uid="{00000000-0005-0000-0000-000081110000}"/>
    <cellStyle name="20% - Accent3 3 4 2 3 2" xfId="15143" xr:uid="{00000000-0005-0000-0000-000082110000}"/>
    <cellStyle name="20% - Accent3 3 4 2 3 2 2" xfId="38985" xr:uid="{46D9EDAE-CBD8-40FC-BA26-A13B102B759E}"/>
    <cellStyle name="20% - Accent3 3 4 2 3 3" xfId="23090" xr:uid="{00000000-0005-0000-0000-000083110000}"/>
    <cellStyle name="20% - Accent3 3 4 2 3 3 2" xfId="46922" xr:uid="{543BCF4B-3C26-4C09-94AE-FD1DC50892EF}"/>
    <cellStyle name="20% - Accent3 3 4 2 3 4" xfId="31044" xr:uid="{38F3AA85-2D07-4E74-994B-45460124F748}"/>
    <cellStyle name="20% - Accent3 3 4 2 4" xfId="11607" xr:uid="{00000000-0005-0000-0000-000084110000}"/>
    <cellStyle name="20% - Accent3 3 4 2 4 2" xfId="35456" xr:uid="{055926FF-237D-4D8A-A34D-6BC77BA79033}"/>
    <cellStyle name="20% - Accent3 3 4 2 5" xfId="19562" xr:uid="{00000000-0005-0000-0000-000085110000}"/>
    <cellStyle name="20% - Accent3 3 4 2 5 2" xfId="43394" xr:uid="{6DCCE096-6751-490B-832D-BC489D4B3ACF}"/>
    <cellStyle name="20% - Accent3 3 4 2 6" xfId="27514" xr:uid="{D05909DE-C350-41C2-BE86-BA41A5E2858B}"/>
    <cellStyle name="20% - Accent3 3 4 2_Exh G" xfId="2251" xr:uid="{00000000-0005-0000-0000-000086110000}"/>
    <cellStyle name="20% - Accent3 3 4 3" xfId="4460" xr:uid="{00000000-0005-0000-0000-000087110000}"/>
    <cellStyle name="20% - Accent3 3 4 3 2" xfId="8052" xr:uid="{00000000-0005-0000-0000-000088110000}"/>
    <cellStyle name="20% - Accent3 3 4 3 2 2" xfId="16023" xr:uid="{00000000-0005-0000-0000-000089110000}"/>
    <cellStyle name="20% - Accent3 3 4 3 2 2 2" xfId="39865" xr:uid="{5B0796B1-502A-4038-AFFA-B1E9BA4EE9CE}"/>
    <cellStyle name="20% - Accent3 3 4 3 2 3" xfId="23969" xr:uid="{00000000-0005-0000-0000-00008A110000}"/>
    <cellStyle name="20% - Accent3 3 4 3 2 3 2" xfId="47801" xr:uid="{BEC42A2E-8385-4CC4-B1F4-31336C6107A0}"/>
    <cellStyle name="20% - Accent3 3 4 3 2 4" xfId="31924" xr:uid="{63E7DBA1-9BE6-4FA4-83D7-ACBA9A839E2B}"/>
    <cellStyle name="20% - Accent3 3 4 3 3" xfId="12485" xr:uid="{00000000-0005-0000-0000-00008B110000}"/>
    <cellStyle name="20% - Accent3 3 4 3 3 2" xfId="36334" xr:uid="{1416C885-67BD-4662-896C-52AD667CF187}"/>
    <cellStyle name="20% - Accent3 3 4 3 4" xfId="20440" xr:uid="{00000000-0005-0000-0000-00008C110000}"/>
    <cellStyle name="20% - Accent3 3 4 3 4 2" xfId="44272" xr:uid="{738A17AF-4022-43E3-AC01-C7AD8889A9E3}"/>
    <cellStyle name="20% - Accent3 3 4 3 5" xfId="28393" xr:uid="{672F893D-5149-43F3-B063-C1FA4C847FE5}"/>
    <cellStyle name="20% - Accent3 3 4 4" xfId="6290" xr:uid="{00000000-0005-0000-0000-00008D110000}"/>
    <cellStyle name="20% - Accent3 3 4 4 2" xfId="14265" xr:uid="{00000000-0005-0000-0000-00008E110000}"/>
    <cellStyle name="20% - Accent3 3 4 4 2 2" xfId="38107" xr:uid="{8DB639A0-CF14-46EA-9410-70E14075E32C}"/>
    <cellStyle name="20% - Accent3 3 4 4 3" xfId="22212" xr:uid="{00000000-0005-0000-0000-00008F110000}"/>
    <cellStyle name="20% - Accent3 3 4 4 3 2" xfId="46044" xr:uid="{55B679E9-45F8-4F25-B9AC-DF68022CB9EE}"/>
    <cellStyle name="20% - Accent3 3 4 4 4" xfId="30166" xr:uid="{06C7C0BB-F3C3-4F82-BC87-C658FCA2B2EB}"/>
    <cellStyle name="20% - Accent3 3 4 5" xfId="9833" xr:uid="{00000000-0005-0000-0000-000090110000}"/>
    <cellStyle name="20% - Accent3 3 4 5 2" xfId="17791" xr:uid="{00000000-0005-0000-0000-000091110000}"/>
    <cellStyle name="20% - Accent3 3 4 5 2 2" xfId="41631" xr:uid="{181E358D-9C5C-410C-B711-856BFC6322F1}"/>
    <cellStyle name="20% - Accent3 3 4 5 3" xfId="25735" xr:uid="{00000000-0005-0000-0000-000092110000}"/>
    <cellStyle name="20% - Accent3 3 4 5 3 2" xfId="49567" xr:uid="{6FEAD994-281A-43B7-A50D-2EB971C44861}"/>
    <cellStyle name="20% - Accent3 3 4 5 4" xfId="33690" xr:uid="{845E6219-F551-4763-87E8-49C96A2EBA8B}"/>
    <cellStyle name="20% - Accent3 3 4 6" xfId="10729" xr:uid="{00000000-0005-0000-0000-000093110000}"/>
    <cellStyle name="20% - Accent3 3 4 6 2" xfId="34578" xr:uid="{25760CA4-7CA8-41F9-A604-F7F297895DA9}"/>
    <cellStyle name="20% - Accent3 3 4 7" xfId="18684" xr:uid="{00000000-0005-0000-0000-000094110000}"/>
    <cellStyle name="20% - Accent3 3 4 7 2" xfId="42516" xr:uid="{A1B63FC1-1CFB-46AC-B1C2-2AA4A61FBC9D}"/>
    <cellStyle name="20% - Accent3 3 4 8" xfId="26636" xr:uid="{DB1C83F3-55A6-4CF3-859B-F5179A1AC623}"/>
    <cellStyle name="20% - Accent3 3 4_Exh G" xfId="2250" xr:uid="{00000000-0005-0000-0000-000095110000}"/>
    <cellStyle name="20% - Accent3 3 5" xfId="1178" xr:uid="{00000000-0005-0000-0000-000096110000}"/>
    <cellStyle name="20% - Accent3 3 5 2" xfId="4708" xr:uid="{00000000-0005-0000-0000-000097110000}"/>
    <cellStyle name="20% - Accent3 3 5 2 2" xfId="8299" xr:uid="{00000000-0005-0000-0000-000098110000}"/>
    <cellStyle name="20% - Accent3 3 5 2 2 2" xfId="16270" xr:uid="{00000000-0005-0000-0000-000099110000}"/>
    <cellStyle name="20% - Accent3 3 5 2 2 2 2" xfId="40112" xr:uid="{5989EBB7-1FC6-46ED-804A-7D72E0BE9AAD}"/>
    <cellStyle name="20% - Accent3 3 5 2 2 3" xfId="24216" xr:uid="{00000000-0005-0000-0000-00009A110000}"/>
    <cellStyle name="20% - Accent3 3 5 2 2 3 2" xfId="48048" xr:uid="{AE7E55DC-1621-4473-B2F5-2916CB6AF914}"/>
    <cellStyle name="20% - Accent3 3 5 2 2 4" xfId="32171" xr:uid="{86725865-5FDF-42E5-938E-532F81B433C2}"/>
    <cellStyle name="20% - Accent3 3 5 2 3" xfId="12732" xr:uid="{00000000-0005-0000-0000-00009B110000}"/>
    <cellStyle name="20% - Accent3 3 5 2 3 2" xfId="36581" xr:uid="{49F29FA6-6770-45D1-8098-F6424DA2A2A2}"/>
    <cellStyle name="20% - Accent3 3 5 2 4" xfId="20687" xr:uid="{00000000-0005-0000-0000-00009C110000}"/>
    <cellStyle name="20% - Accent3 3 5 2 4 2" xfId="44519" xr:uid="{4F844938-ED4C-4905-B1BE-3D9A42CA3BA6}"/>
    <cellStyle name="20% - Accent3 3 5 2 5" xfId="28640" xr:uid="{5ED9C179-7B06-40C7-BDA4-9F7D53D6FE51}"/>
    <cellStyle name="20% - Accent3 3 5 3" xfId="6540" xr:uid="{00000000-0005-0000-0000-00009D110000}"/>
    <cellStyle name="20% - Accent3 3 5 3 2" xfId="14512" xr:uid="{00000000-0005-0000-0000-00009E110000}"/>
    <cellStyle name="20% - Accent3 3 5 3 2 2" xfId="38354" xr:uid="{7062CF34-67B2-4DFE-B42A-D49E5EDF4745}"/>
    <cellStyle name="20% - Accent3 3 5 3 3" xfId="22459" xr:uid="{00000000-0005-0000-0000-00009F110000}"/>
    <cellStyle name="20% - Accent3 3 5 3 3 2" xfId="46291" xr:uid="{F4F25EA4-B8FC-4334-85EB-7449193429AB}"/>
    <cellStyle name="20% - Accent3 3 5 3 4" xfId="30413" xr:uid="{07DEE7BD-220B-4E80-B78B-495CFBA6D369}"/>
    <cellStyle name="20% - Accent3 3 5 4" xfId="10976" xr:uid="{00000000-0005-0000-0000-0000A0110000}"/>
    <cellStyle name="20% - Accent3 3 5 4 2" xfId="34825" xr:uid="{EC683880-CF1D-4669-ACE2-9648643F417E}"/>
    <cellStyle name="20% - Accent3 3 5 5" xfId="18931" xr:uid="{00000000-0005-0000-0000-0000A1110000}"/>
    <cellStyle name="20% - Accent3 3 5 5 2" xfId="42763" xr:uid="{231D795C-3F6B-4E92-AEE4-0BD2B239E474}"/>
    <cellStyle name="20% - Accent3 3 5 6" xfId="26883" xr:uid="{93149843-2E27-4391-8BFD-6FE4DDA8F011}"/>
    <cellStyle name="20% - Accent3 3 5_Exh G" xfId="2252" xr:uid="{00000000-0005-0000-0000-0000A2110000}"/>
    <cellStyle name="20% - Accent3 3 6" xfId="3829" xr:uid="{00000000-0005-0000-0000-0000A3110000}"/>
    <cellStyle name="20% - Accent3 3 6 2" xfId="7421" xr:uid="{00000000-0005-0000-0000-0000A4110000}"/>
    <cellStyle name="20% - Accent3 3 6 2 2" xfId="15392" xr:uid="{00000000-0005-0000-0000-0000A5110000}"/>
    <cellStyle name="20% - Accent3 3 6 2 2 2" xfId="39234" xr:uid="{E6E3E0CD-5882-4DDC-AC19-B9A0DFAC5222}"/>
    <cellStyle name="20% - Accent3 3 6 2 3" xfId="23338" xr:uid="{00000000-0005-0000-0000-0000A6110000}"/>
    <cellStyle name="20% - Accent3 3 6 2 3 2" xfId="47170" xr:uid="{5AB83E42-78F8-498A-BD59-4B658E927330}"/>
    <cellStyle name="20% - Accent3 3 6 2 4" xfId="31293" xr:uid="{2AE43878-0928-4687-8367-4EF49DA599EE}"/>
    <cellStyle name="20% - Accent3 3 6 3" xfId="11854" xr:uid="{00000000-0005-0000-0000-0000A7110000}"/>
    <cellStyle name="20% - Accent3 3 6 3 2" xfId="35703" xr:uid="{AA9AEC72-2EFB-46E4-8DA6-CDB1F92B4A6C}"/>
    <cellStyle name="20% - Accent3 3 6 4" xfId="19809" xr:uid="{00000000-0005-0000-0000-0000A8110000}"/>
    <cellStyle name="20% - Accent3 3 6 4 2" xfId="43641" xr:uid="{0379D479-35A0-43BB-A278-0D33150B3B32}"/>
    <cellStyle name="20% - Accent3 3 6 5" xfId="27762" xr:uid="{D7CF1541-02E8-47CB-8A8E-1BA82757B642}"/>
    <cellStyle name="20% - Accent3 3 7" xfId="5649" xr:uid="{00000000-0005-0000-0000-0000A9110000}"/>
    <cellStyle name="20% - Accent3 3 7 2" xfId="13633" xr:uid="{00000000-0005-0000-0000-0000AA110000}"/>
    <cellStyle name="20% - Accent3 3 7 2 2" xfId="37476" xr:uid="{588FB524-4234-4328-9829-CD7406B71A3E}"/>
    <cellStyle name="20% - Accent3 3 7 3" xfId="21581" xr:uid="{00000000-0005-0000-0000-0000AB110000}"/>
    <cellStyle name="20% - Accent3 3 7 3 2" xfId="45413" xr:uid="{6B20DA03-8386-4B46-A0B7-75336F2C2BDC}"/>
    <cellStyle name="20% - Accent3 3 7 4" xfId="29535" xr:uid="{1909E208-4FD9-4417-A9B7-384446AEFAAD}"/>
    <cellStyle name="20% - Accent3 3 8" xfId="9202" xr:uid="{00000000-0005-0000-0000-0000AC110000}"/>
    <cellStyle name="20% - Accent3 3 8 2" xfId="17160" xr:uid="{00000000-0005-0000-0000-0000AD110000}"/>
    <cellStyle name="20% - Accent3 3 8 2 2" xfId="41000" xr:uid="{06397F9D-B9D0-4E11-B5C7-43ED400192E6}"/>
    <cellStyle name="20% - Accent3 3 8 3" xfId="25104" xr:uid="{00000000-0005-0000-0000-0000AE110000}"/>
    <cellStyle name="20% - Accent3 3 8 3 2" xfId="48936" xr:uid="{A5A9FF14-D427-462D-A856-5D8E88A9DCA3}"/>
    <cellStyle name="20% - Accent3 3 8 4" xfId="33059" xr:uid="{7BACF0A9-B233-4BB7-91DA-1CBA474DA724}"/>
    <cellStyle name="20% - Accent3 3 9" xfId="10098" xr:uid="{00000000-0005-0000-0000-0000AF110000}"/>
    <cellStyle name="20% - Accent3 3 9 2" xfId="33947" xr:uid="{A0F2B8FC-72AB-4F30-959A-51C064F0810B}"/>
    <cellStyle name="20% - Accent3 3_Exh G" xfId="2241" xr:uid="{00000000-0005-0000-0000-0000B0110000}"/>
    <cellStyle name="20% - Accent3 4" xfId="154" xr:uid="{00000000-0005-0000-0000-0000B1110000}"/>
    <cellStyle name="20% - Accent3 4 10" xfId="18057" xr:uid="{00000000-0005-0000-0000-0000B2110000}"/>
    <cellStyle name="20% - Accent3 4 10 2" xfId="41889" xr:uid="{C2FB0BDE-38D6-4C3E-A418-EFA2BD558951}"/>
    <cellStyle name="20% - Accent3 4 11" xfId="26009" xr:uid="{C69058B4-6240-43B0-BCA7-753610294845}"/>
    <cellStyle name="20% - Accent3 4 2" xfId="155" xr:uid="{00000000-0005-0000-0000-0000B3110000}"/>
    <cellStyle name="20% - Accent3 4 2 10" xfId="26010" xr:uid="{199D1273-F6F4-4A11-8720-D4793967F0FF}"/>
    <cellStyle name="20% - Accent3 4 2 2" xfId="156" xr:uid="{00000000-0005-0000-0000-0000B4110000}"/>
    <cellStyle name="20% - Accent3 4 2 2 2" xfId="1184" xr:uid="{00000000-0005-0000-0000-0000B5110000}"/>
    <cellStyle name="20% - Accent3 4 2 2 2 2" xfId="4714" xr:uid="{00000000-0005-0000-0000-0000B6110000}"/>
    <cellStyle name="20% - Accent3 4 2 2 2 2 2" xfId="8305" xr:uid="{00000000-0005-0000-0000-0000B7110000}"/>
    <cellStyle name="20% - Accent3 4 2 2 2 2 2 2" xfId="16276" xr:uid="{00000000-0005-0000-0000-0000B8110000}"/>
    <cellStyle name="20% - Accent3 4 2 2 2 2 2 2 2" xfId="40118" xr:uid="{B760C253-3BB5-479D-AB50-530F7DCBF437}"/>
    <cellStyle name="20% - Accent3 4 2 2 2 2 2 3" xfId="24222" xr:uid="{00000000-0005-0000-0000-0000B9110000}"/>
    <cellStyle name="20% - Accent3 4 2 2 2 2 2 3 2" xfId="48054" xr:uid="{B6A5C9A4-B2F8-4D8E-924C-CB20CF5DB827}"/>
    <cellStyle name="20% - Accent3 4 2 2 2 2 2 4" xfId="32177" xr:uid="{B6045ACC-7EB1-4583-A6FE-FC32DF67AADC}"/>
    <cellStyle name="20% - Accent3 4 2 2 2 2 3" xfId="12738" xr:uid="{00000000-0005-0000-0000-0000BA110000}"/>
    <cellStyle name="20% - Accent3 4 2 2 2 2 3 2" xfId="36587" xr:uid="{6E71E747-5421-45BF-A5CF-AA3AC5C274D6}"/>
    <cellStyle name="20% - Accent3 4 2 2 2 2 4" xfId="20693" xr:uid="{00000000-0005-0000-0000-0000BB110000}"/>
    <cellStyle name="20% - Accent3 4 2 2 2 2 4 2" xfId="44525" xr:uid="{55F8BE68-C2A6-4465-99C2-87264EA56E3D}"/>
    <cellStyle name="20% - Accent3 4 2 2 2 2 5" xfId="28646" xr:uid="{F612ABE4-78DD-4BA7-9EE3-576BB45CD0B7}"/>
    <cellStyle name="20% - Accent3 4 2 2 2 3" xfId="6546" xr:uid="{00000000-0005-0000-0000-0000BC110000}"/>
    <cellStyle name="20% - Accent3 4 2 2 2 3 2" xfId="14518" xr:uid="{00000000-0005-0000-0000-0000BD110000}"/>
    <cellStyle name="20% - Accent3 4 2 2 2 3 2 2" xfId="38360" xr:uid="{5204F335-110E-49C7-B25F-990B79DBB4FB}"/>
    <cellStyle name="20% - Accent3 4 2 2 2 3 3" xfId="22465" xr:uid="{00000000-0005-0000-0000-0000BE110000}"/>
    <cellStyle name="20% - Accent3 4 2 2 2 3 3 2" xfId="46297" xr:uid="{7A623040-AAA9-4353-BD6B-1E7B7E87D07F}"/>
    <cellStyle name="20% - Accent3 4 2 2 2 3 4" xfId="30419" xr:uid="{36D50D05-8DA7-4A2C-8268-72004BD69457}"/>
    <cellStyle name="20% - Accent3 4 2 2 2 4" xfId="10982" xr:uid="{00000000-0005-0000-0000-0000BF110000}"/>
    <cellStyle name="20% - Accent3 4 2 2 2 4 2" xfId="34831" xr:uid="{FC0EF661-B753-4A73-B81A-74C56A8F1B05}"/>
    <cellStyle name="20% - Accent3 4 2 2 2 5" xfId="18937" xr:uid="{00000000-0005-0000-0000-0000C0110000}"/>
    <cellStyle name="20% - Accent3 4 2 2 2 5 2" xfId="42769" xr:uid="{BB2ACA80-653D-45E6-9847-E614D28E0038}"/>
    <cellStyle name="20% - Accent3 4 2 2 2 6" xfId="26889" xr:uid="{81208B0E-068D-470D-BDA8-305A157E9D59}"/>
    <cellStyle name="20% - Accent3 4 2 2 2_Exh G" xfId="2256" xr:uid="{00000000-0005-0000-0000-0000C1110000}"/>
    <cellStyle name="20% - Accent3 4 2 2 3" xfId="3835" xr:uid="{00000000-0005-0000-0000-0000C2110000}"/>
    <cellStyle name="20% - Accent3 4 2 2 3 2" xfId="7427" xr:uid="{00000000-0005-0000-0000-0000C3110000}"/>
    <cellStyle name="20% - Accent3 4 2 2 3 2 2" xfId="15398" xr:uid="{00000000-0005-0000-0000-0000C4110000}"/>
    <cellStyle name="20% - Accent3 4 2 2 3 2 2 2" xfId="39240" xr:uid="{EB5644EF-0028-40C3-B92A-0756D0DDAA8E}"/>
    <cellStyle name="20% - Accent3 4 2 2 3 2 3" xfId="23344" xr:uid="{00000000-0005-0000-0000-0000C5110000}"/>
    <cellStyle name="20% - Accent3 4 2 2 3 2 3 2" xfId="47176" xr:uid="{F16118D2-66C0-4A52-AEE5-D1C7B6428F08}"/>
    <cellStyle name="20% - Accent3 4 2 2 3 2 4" xfId="31299" xr:uid="{F1C5B673-D436-477D-BED5-FFA1FCAB06ED}"/>
    <cellStyle name="20% - Accent3 4 2 2 3 3" xfId="11860" xr:uid="{00000000-0005-0000-0000-0000C6110000}"/>
    <cellStyle name="20% - Accent3 4 2 2 3 3 2" xfId="35709" xr:uid="{481A4DB9-128D-49C0-BE71-83A7CACDB02F}"/>
    <cellStyle name="20% - Accent3 4 2 2 3 4" xfId="19815" xr:uid="{00000000-0005-0000-0000-0000C7110000}"/>
    <cellStyle name="20% - Accent3 4 2 2 3 4 2" xfId="43647" xr:uid="{76C6028D-81B2-4BAE-9173-64F626BF8E80}"/>
    <cellStyle name="20% - Accent3 4 2 2 3 5" xfId="27768" xr:uid="{10602A91-08D6-4CB9-9FC2-7669D2C4E503}"/>
    <cellStyle name="20% - Accent3 4 2 2 4" xfId="5655" xr:uid="{00000000-0005-0000-0000-0000C8110000}"/>
    <cellStyle name="20% - Accent3 4 2 2 4 2" xfId="13639" xr:uid="{00000000-0005-0000-0000-0000C9110000}"/>
    <cellStyle name="20% - Accent3 4 2 2 4 2 2" xfId="37482" xr:uid="{9B08F98F-CE49-42C0-B2B6-356921650DFE}"/>
    <cellStyle name="20% - Accent3 4 2 2 4 3" xfId="21587" xr:uid="{00000000-0005-0000-0000-0000CA110000}"/>
    <cellStyle name="20% - Accent3 4 2 2 4 3 2" xfId="45419" xr:uid="{96D32231-AD12-4054-9D04-2375367FE628}"/>
    <cellStyle name="20% - Accent3 4 2 2 4 4" xfId="29541" xr:uid="{609FAE8D-787B-4DBB-806A-36ED34FAD028}"/>
    <cellStyle name="20% - Accent3 4 2 2 5" xfId="9208" xr:uid="{00000000-0005-0000-0000-0000CB110000}"/>
    <cellStyle name="20% - Accent3 4 2 2 5 2" xfId="17166" xr:uid="{00000000-0005-0000-0000-0000CC110000}"/>
    <cellStyle name="20% - Accent3 4 2 2 5 2 2" xfId="41006" xr:uid="{D5C4E5C5-97D6-4568-8CC7-67918C1C3115}"/>
    <cellStyle name="20% - Accent3 4 2 2 5 3" xfId="25110" xr:uid="{00000000-0005-0000-0000-0000CD110000}"/>
    <cellStyle name="20% - Accent3 4 2 2 5 3 2" xfId="48942" xr:uid="{DA55D404-0099-492D-99A7-0BEB144685F9}"/>
    <cellStyle name="20% - Accent3 4 2 2 5 4" xfId="33065" xr:uid="{EAF645AB-A867-47DB-B5D5-7DDA89E5BE77}"/>
    <cellStyle name="20% - Accent3 4 2 2 6" xfId="10104" xr:uid="{00000000-0005-0000-0000-0000CE110000}"/>
    <cellStyle name="20% - Accent3 4 2 2 6 2" xfId="33953" xr:uid="{D2C63A42-1628-4BA7-8512-C1ED10896355}"/>
    <cellStyle name="20% - Accent3 4 2 2 7" xfId="18059" xr:uid="{00000000-0005-0000-0000-0000CF110000}"/>
    <cellStyle name="20% - Accent3 4 2 2 7 2" xfId="41891" xr:uid="{6752EF3D-A5FB-4482-AEC0-F4A2D506C407}"/>
    <cellStyle name="20% - Accent3 4 2 2 8" xfId="26011" xr:uid="{F28C8CD5-513B-47E4-9CD7-0B27384184DB}"/>
    <cellStyle name="20% - Accent3 4 2 2_Exh G" xfId="2255" xr:uid="{00000000-0005-0000-0000-0000D0110000}"/>
    <cellStyle name="20% - Accent3 4 2 3" xfId="892" xr:uid="{00000000-0005-0000-0000-0000D1110000}"/>
    <cellStyle name="20% - Accent3 4 2 3 2" xfId="1824" xr:uid="{00000000-0005-0000-0000-0000D2110000}"/>
    <cellStyle name="20% - Accent3 4 2 3 2 2" xfId="5342" xr:uid="{00000000-0005-0000-0000-0000D3110000}"/>
    <cellStyle name="20% - Accent3 4 2 3 2 2 2" xfId="8933" xr:uid="{00000000-0005-0000-0000-0000D4110000}"/>
    <cellStyle name="20% - Accent3 4 2 3 2 2 2 2" xfId="16904" xr:uid="{00000000-0005-0000-0000-0000D5110000}"/>
    <cellStyle name="20% - Accent3 4 2 3 2 2 2 2 2" xfId="40746" xr:uid="{500AF553-7711-41B8-9921-9FBAB6F8B728}"/>
    <cellStyle name="20% - Accent3 4 2 3 2 2 2 3" xfId="24850" xr:uid="{00000000-0005-0000-0000-0000D6110000}"/>
    <cellStyle name="20% - Accent3 4 2 3 2 2 2 3 2" xfId="48682" xr:uid="{112F48EA-5B66-4E14-916A-D0FA3C82A653}"/>
    <cellStyle name="20% - Accent3 4 2 3 2 2 2 4" xfId="32805" xr:uid="{85C8AEB9-23C0-44B6-BBC6-5E68EB86DC24}"/>
    <cellStyle name="20% - Accent3 4 2 3 2 2 3" xfId="13366" xr:uid="{00000000-0005-0000-0000-0000D7110000}"/>
    <cellStyle name="20% - Accent3 4 2 3 2 2 3 2" xfId="37215" xr:uid="{874147A0-BBA6-4B7A-9871-F41179BB9900}"/>
    <cellStyle name="20% - Accent3 4 2 3 2 2 4" xfId="21321" xr:uid="{00000000-0005-0000-0000-0000D8110000}"/>
    <cellStyle name="20% - Accent3 4 2 3 2 2 4 2" xfId="45153" xr:uid="{89E21660-9FBB-4BD0-9083-F41E769C6B74}"/>
    <cellStyle name="20% - Accent3 4 2 3 2 2 5" xfId="29274" xr:uid="{738D09E8-A3D6-408F-8C41-1D2CBC722163}"/>
    <cellStyle name="20% - Accent3 4 2 3 2 3" xfId="7174" xr:uid="{00000000-0005-0000-0000-0000D9110000}"/>
    <cellStyle name="20% - Accent3 4 2 3 2 3 2" xfId="15146" xr:uid="{00000000-0005-0000-0000-0000DA110000}"/>
    <cellStyle name="20% - Accent3 4 2 3 2 3 2 2" xfId="38988" xr:uid="{4DF69E7B-D769-4075-AE2D-43152DBC5D4B}"/>
    <cellStyle name="20% - Accent3 4 2 3 2 3 3" xfId="23093" xr:uid="{00000000-0005-0000-0000-0000DB110000}"/>
    <cellStyle name="20% - Accent3 4 2 3 2 3 3 2" xfId="46925" xr:uid="{9E227C14-5179-4809-AB6F-9D1404953B99}"/>
    <cellStyle name="20% - Accent3 4 2 3 2 3 4" xfId="31047" xr:uid="{C96F2137-2654-485D-A6AB-D5ACBECB5B34}"/>
    <cellStyle name="20% - Accent3 4 2 3 2 4" xfId="11610" xr:uid="{00000000-0005-0000-0000-0000DC110000}"/>
    <cellStyle name="20% - Accent3 4 2 3 2 4 2" xfId="35459" xr:uid="{B0E62BEB-3204-451A-9B4F-F7E26E3CC9A8}"/>
    <cellStyle name="20% - Accent3 4 2 3 2 5" xfId="19565" xr:uid="{00000000-0005-0000-0000-0000DD110000}"/>
    <cellStyle name="20% - Accent3 4 2 3 2 5 2" xfId="43397" xr:uid="{05CEB4B2-E9C8-4864-AF91-26E93966CDA8}"/>
    <cellStyle name="20% - Accent3 4 2 3 2 6" xfId="27517" xr:uid="{142E7EF1-0AFF-440A-A080-70A47900A99D}"/>
    <cellStyle name="20% - Accent3 4 2 3 2_Exh G" xfId="2258" xr:uid="{00000000-0005-0000-0000-0000DE110000}"/>
    <cellStyle name="20% - Accent3 4 2 3 3" xfId="4463" xr:uid="{00000000-0005-0000-0000-0000DF110000}"/>
    <cellStyle name="20% - Accent3 4 2 3 3 2" xfId="8055" xr:uid="{00000000-0005-0000-0000-0000E0110000}"/>
    <cellStyle name="20% - Accent3 4 2 3 3 2 2" xfId="16026" xr:uid="{00000000-0005-0000-0000-0000E1110000}"/>
    <cellStyle name="20% - Accent3 4 2 3 3 2 2 2" xfId="39868" xr:uid="{3B9D5BF1-B1F5-49CF-A45A-D5AF4834D899}"/>
    <cellStyle name="20% - Accent3 4 2 3 3 2 3" xfId="23972" xr:uid="{00000000-0005-0000-0000-0000E2110000}"/>
    <cellStyle name="20% - Accent3 4 2 3 3 2 3 2" xfId="47804" xr:uid="{890FDA5B-C2E4-422C-A176-007CCD8F0375}"/>
    <cellStyle name="20% - Accent3 4 2 3 3 2 4" xfId="31927" xr:uid="{330F431F-6C34-4377-8F52-168F4172ADB2}"/>
    <cellStyle name="20% - Accent3 4 2 3 3 3" xfId="12488" xr:uid="{00000000-0005-0000-0000-0000E3110000}"/>
    <cellStyle name="20% - Accent3 4 2 3 3 3 2" xfId="36337" xr:uid="{63A68E2B-4B21-4431-B1F8-644470A09FD9}"/>
    <cellStyle name="20% - Accent3 4 2 3 3 4" xfId="20443" xr:uid="{00000000-0005-0000-0000-0000E4110000}"/>
    <cellStyle name="20% - Accent3 4 2 3 3 4 2" xfId="44275" xr:uid="{4B2A97FD-21E7-42F6-82A2-C74FA61C86A2}"/>
    <cellStyle name="20% - Accent3 4 2 3 3 5" xfId="28396" xr:uid="{D0FA4A73-A034-428B-A1CD-883E4CD08F21}"/>
    <cellStyle name="20% - Accent3 4 2 3 4" xfId="6293" xr:uid="{00000000-0005-0000-0000-0000E5110000}"/>
    <cellStyle name="20% - Accent3 4 2 3 4 2" xfId="14268" xr:uid="{00000000-0005-0000-0000-0000E6110000}"/>
    <cellStyle name="20% - Accent3 4 2 3 4 2 2" xfId="38110" xr:uid="{4E43363C-D8AE-42DC-A24B-83AB2EFB2254}"/>
    <cellStyle name="20% - Accent3 4 2 3 4 3" xfId="22215" xr:uid="{00000000-0005-0000-0000-0000E7110000}"/>
    <cellStyle name="20% - Accent3 4 2 3 4 3 2" xfId="46047" xr:uid="{4494A1D1-CE6F-43C9-BFF8-CD60AA602808}"/>
    <cellStyle name="20% - Accent3 4 2 3 4 4" xfId="30169" xr:uid="{0348892F-7AF9-4B3B-8753-96CC4A622505}"/>
    <cellStyle name="20% - Accent3 4 2 3 5" xfId="9836" xr:uid="{00000000-0005-0000-0000-0000E8110000}"/>
    <cellStyle name="20% - Accent3 4 2 3 5 2" xfId="17794" xr:uid="{00000000-0005-0000-0000-0000E9110000}"/>
    <cellStyle name="20% - Accent3 4 2 3 5 2 2" xfId="41634" xr:uid="{DBD024FA-398C-45B3-94A1-643A985A8257}"/>
    <cellStyle name="20% - Accent3 4 2 3 5 3" xfId="25738" xr:uid="{00000000-0005-0000-0000-0000EA110000}"/>
    <cellStyle name="20% - Accent3 4 2 3 5 3 2" xfId="49570" xr:uid="{27E9E4D3-CA92-434D-989A-1041DCF70FEF}"/>
    <cellStyle name="20% - Accent3 4 2 3 5 4" xfId="33693" xr:uid="{8D6C3DDD-CF53-4378-8756-91B4D10F3125}"/>
    <cellStyle name="20% - Accent3 4 2 3 6" xfId="10732" xr:uid="{00000000-0005-0000-0000-0000EB110000}"/>
    <cellStyle name="20% - Accent3 4 2 3 6 2" xfId="34581" xr:uid="{845AF36E-B060-4C84-8E88-C308CEE804F0}"/>
    <cellStyle name="20% - Accent3 4 2 3 7" xfId="18687" xr:uid="{00000000-0005-0000-0000-0000EC110000}"/>
    <cellStyle name="20% - Accent3 4 2 3 7 2" xfId="42519" xr:uid="{7AB9895A-D17C-40E6-93DA-C80D16294081}"/>
    <cellStyle name="20% - Accent3 4 2 3 8" xfId="26639" xr:uid="{EC2BD7CA-9FCC-4C26-BA09-B2668717316B}"/>
    <cellStyle name="20% - Accent3 4 2 3_Exh G" xfId="2257" xr:uid="{00000000-0005-0000-0000-0000ED110000}"/>
    <cellStyle name="20% - Accent3 4 2 4" xfId="1183" xr:uid="{00000000-0005-0000-0000-0000EE110000}"/>
    <cellStyle name="20% - Accent3 4 2 4 2" xfId="4713" xr:uid="{00000000-0005-0000-0000-0000EF110000}"/>
    <cellStyle name="20% - Accent3 4 2 4 2 2" xfId="8304" xr:uid="{00000000-0005-0000-0000-0000F0110000}"/>
    <cellStyle name="20% - Accent3 4 2 4 2 2 2" xfId="16275" xr:uid="{00000000-0005-0000-0000-0000F1110000}"/>
    <cellStyle name="20% - Accent3 4 2 4 2 2 2 2" xfId="40117" xr:uid="{BB5EAAA8-E897-4D20-9A40-D09A5A7CC496}"/>
    <cellStyle name="20% - Accent3 4 2 4 2 2 3" xfId="24221" xr:uid="{00000000-0005-0000-0000-0000F2110000}"/>
    <cellStyle name="20% - Accent3 4 2 4 2 2 3 2" xfId="48053" xr:uid="{99A8F275-5D01-4EDC-BBF6-D404BF0A865A}"/>
    <cellStyle name="20% - Accent3 4 2 4 2 2 4" xfId="32176" xr:uid="{12A0ADFB-DE34-47B0-BA85-1CD5B71C4019}"/>
    <cellStyle name="20% - Accent3 4 2 4 2 3" xfId="12737" xr:uid="{00000000-0005-0000-0000-0000F3110000}"/>
    <cellStyle name="20% - Accent3 4 2 4 2 3 2" xfId="36586" xr:uid="{D77E02E8-E9D2-4F06-A0A1-19F1B4AA2325}"/>
    <cellStyle name="20% - Accent3 4 2 4 2 4" xfId="20692" xr:uid="{00000000-0005-0000-0000-0000F4110000}"/>
    <cellStyle name="20% - Accent3 4 2 4 2 4 2" xfId="44524" xr:uid="{C5191EAE-30AC-4C80-99B3-CBD9A32332FC}"/>
    <cellStyle name="20% - Accent3 4 2 4 2 5" xfId="28645" xr:uid="{B59A9087-6606-4DA1-8D81-392F16CD96BA}"/>
    <cellStyle name="20% - Accent3 4 2 4 3" xfId="6545" xr:uid="{00000000-0005-0000-0000-0000F5110000}"/>
    <cellStyle name="20% - Accent3 4 2 4 3 2" xfId="14517" xr:uid="{00000000-0005-0000-0000-0000F6110000}"/>
    <cellStyle name="20% - Accent3 4 2 4 3 2 2" xfId="38359" xr:uid="{700FB238-A898-4786-8A75-8454BB8971C4}"/>
    <cellStyle name="20% - Accent3 4 2 4 3 3" xfId="22464" xr:uid="{00000000-0005-0000-0000-0000F7110000}"/>
    <cellStyle name="20% - Accent3 4 2 4 3 3 2" xfId="46296" xr:uid="{02B37304-8314-4EC1-9A0A-626BB4674528}"/>
    <cellStyle name="20% - Accent3 4 2 4 3 4" xfId="30418" xr:uid="{BF3759C9-21E0-40AD-80EC-5E5A7316A168}"/>
    <cellStyle name="20% - Accent3 4 2 4 4" xfId="10981" xr:uid="{00000000-0005-0000-0000-0000F8110000}"/>
    <cellStyle name="20% - Accent3 4 2 4 4 2" xfId="34830" xr:uid="{E24D6FE7-F392-40AD-991D-0F2B55E554B4}"/>
    <cellStyle name="20% - Accent3 4 2 4 5" xfId="18936" xr:uid="{00000000-0005-0000-0000-0000F9110000}"/>
    <cellStyle name="20% - Accent3 4 2 4 5 2" xfId="42768" xr:uid="{492BC535-ABCB-4679-8F25-3AE403F3B1FA}"/>
    <cellStyle name="20% - Accent3 4 2 4 6" xfId="26888" xr:uid="{C908502D-FE1C-4D94-BC4B-D536B3A17813}"/>
    <cellStyle name="20% - Accent3 4 2 4_Exh G" xfId="2259" xr:uid="{00000000-0005-0000-0000-0000FA110000}"/>
    <cellStyle name="20% - Accent3 4 2 5" xfId="3834" xr:uid="{00000000-0005-0000-0000-0000FB110000}"/>
    <cellStyle name="20% - Accent3 4 2 5 2" xfId="7426" xr:uid="{00000000-0005-0000-0000-0000FC110000}"/>
    <cellStyle name="20% - Accent3 4 2 5 2 2" xfId="15397" xr:uid="{00000000-0005-0000-0000-0000FD110000}"/>
    <cellStyle name="20% - Accent3 4 2 5 2 2 2" xfId="39239" xr:uid="{187A6377-DD8F-4F78-B190-E5BF07B11357}"/>
    <cellStyle name="20% - Accent3 4 2 5 2 3" xfId="23343" xr:uid="{00000000-0005-0000-0000-0000FE110000}"/>
    <cellStyle name="20% - Accent3 4 2 5 2 3 2" xfId="47175" xr:uid="{B2EFFACB-EEDF-4377-B840-B88762233DE4}"/>
    <cellStyle name="20% - Accent3 4 2 5 2 4" xfId="31298" xr:uid="{B6003E23-52B7-4718-9F7F-BAD0C1A4FCA2}"/>
    <cellStyle name="20% - Accent3 4 2 5 3" xfId="11859" xr:uid="{00000000-0005-0000-0000-0000FF110000}"/>
    <cellStyle name="20% - Accent3 4 2 5 3 2" xfId="35708" xr:uid="{244DF869-B88E-4DB3-8FAE-535D659B2C10}"/>
    <cellStyle name="20% - Accent3 4 2 5 4" xfId="19814" xr:uid="{00000000-0005-0000-0000-000000120000}"/>
    <cellStyle name="20% - Accent3 4 2 5 4 2" xfId="43646" xr:uid="{2A4E13CC-8E19-4485-92DB-61AACF433DCB}"/>
    <cellStyle name="20% - Accent3 4 2 5 5" xfId="27767" xr:uid="{BBFE1010-118D-45F5-B281-7016FA4E2C43}"/>
    <cellStyle name="20% - Accent3 4 2 6" xfId="5654" xr:uid="{00000000-0005-0000-0000-000001120000}"/>
    <cellStyle name="20% - Accent3 4 2 6 2" xfId="13638" xr:uid="{00000000-0005-0000-0000-000002120000}"/>
    <cellStyle name="20% - Accent3 4 2 6 2 2" xfId="37481" xr:uid="{C4945963-24D0-40BA-AAE7-AB56052A3CB6}"/>
    <cellStyle name="20% - Accent3 4 2 6 3" xfId="21586" xr:uid="{00000000-0005-0000-0000-000003120000}"/>
    <cellStyle name="20% - Accent3 4 2 6 3 2" xfId="45418" xr:uid="{C822C895-B8CB-4566-AA2F-25B55BD2FCE5}"/>
    <cellStyle name="20% - Accent3 4 2 6 4" xfId="29540" xr:uid="{6471DDAE-5F3F-4083-8542-9CCD6E468889}"/>
    <cellStyle name="20% - Accent3 4 2 7" xfId="9207" xr:uid="{00000000-0005-0000-0000-000004120000}"/>
    <cellStyle name="20% - Accent3 4 2 7 2" xfId="17165" xr:uid="{00000000-0005-0000-0000-000005120000}"/>
    <cellStyle name="20% - Accent3 4 2 7 2 2" xfId="41005" xr:uid="{0208AA61-742B-4930-BA1D-58B2791FBDBD}"/>
    <cellStyle name="20% - Accent3 4 2 7 3" xfId="25109" xr:uid="{00000000-0005-0000-0000-000006120000}"/>
    <cellStyle name="20% - Accent3 4 2 7 3 2" xfId="48941" xr:uid="{CB2A56B5-8950-4D1E-8B26-64E8AEFA2F58}"/>
    <cellStyle name="20% - Accent3 4 2 7 4" xfId="33064" xr:uid="{07665598-70AB-4113-9D13-218F5FDC60C0}"/>
    <cellStyle name="20% - Accent3 4 2 8" xfId="10103" xr:uid="{00000000-0005-0000-0000-000007120000}"/>
    <cellStyle name="20% - Accent3 4 2 8 2" xfId="33952" xr:uid="{945B8D0E-175D-49C5-B291-5BFBD9BF546C}"/>
    <cellStyle name="20% - Accent3 4 2 9" xfId="18058" xr:uid="{00000000-0005-0000-0000-000008120000}"/>
    <cellStyle name="20% - Accent3 4 2 9 2" xfId="41890" xr:uid="{4CE12912-F2BF-43B3-B908-36C32C5E4BE6}"/>
    <cellStyle name="20% - Accent3 4 2_Exh G" xfId="2254" xr:uid="{00000000-0005-0000-0000-000009120000}"/>
    <cellStyle name="20% - Accent3 4 3" xfId="157" xr:uid="{00000000-0005-0000-0000-00000A120000}"/>
    <cellStyle name="20% - Accent3 4 3 2" xfId="1185" xr:uid="{00000000-0005-0000-0000-00000B120000}"/>
    <cellStyle name="20% - Accent3 4 3 2 2" xfId="4715" xr:uid="{00000000-0005-0000-0000-00000C120000}"/>
    <cellStyle name="20% - Accent3 4 3 2 2 2" xfId="8306" xr:uid="{00000000-0005-0000-0000-00000D120000}"/>
    <cellStyle name="20% - Accent3 4 3 2 2 2 2" xfId="16277" xr:uid="{00000000-0005-0000-0000-00000E120000}"/>
    <cellStyle name="20% - Accent3 4 3 2 2 2 2 2" xfId="40119" xr:uid="{2EB33B3B-A7EA-418F-859D-0501F291C277}"/>
    <cellStyle name="20% - Accent3 4 3 2 2 2 3" xfId="24223" xr:uid="{00000000-0005-0000-0000-00000F120000}"/>
    <cellStyle name="20% - Accent3 4 3 2 2 2 3 2" xfId="48055" xr:uid="{1C27697B-A7A2-4B7D-8D39-1E28AED2702B}"/>
    <cellStyle name="20% - Accent3 4 3 2 2 2 4" xfId="32178" xr:uid="{28519BAC-D168-417C-83A9-ADE8156B4DC9}"/>
    <cellStyle name="20% - Accent3 4 3 2 2 3" xfId="12739" xr:uid="{00000000-0005-0000-0000-000010120000}"/>
    <cellStyle name="20% - Accent3 4 3 2 2 3 2" xfId="36588" xr:uid="{076E5EF8-5E4A-4D4B-9E20-41B0A2185ECE}"/>
    <cellStyle name="20% - Accent3 4 3 2 2 4" xfId="20694" xr:uid="{00000000-0005-0000-0000-000011120000}"/>
    <cellStyle name="20% - Accent3 4 3 2 2 4 2" xfId="44526" xr:uid="{78988825-AF2D-4505-990E-FE419A7B5A93}"/>
    <cellStyle name="20% - Accent3 4 3 2 2 5" xfId="28647" xr:uid="{8F786E27-0A4B-4801-A507-A81EE108D782}"/>
    <cellStyle name="20% - Accent3 4 3 2 3" xfId="6547" xr:uid="{00000000-0005-0000-0000-000012120000}"/>
    <cellStyle name="20% - Accent3 4 3 2 3 2" xfId="14519" xr:uid="{00000000-0005-0000-0000-000013120000}"/>
    <cellStyle name="20% - Accent3 4 3 2 3 2 2" xfId="38361" xr:uid="{B58F93D9-BFBB-40DD-85C2-B94C28FDAE2D}"/>
    <cellStyle name="20% - Accent3 4 3 2 3 3" xfId="22466" xr:uid="{00000000-0005-0000-0000-000014120000}"/>
    <cellStyle name="20% - Accent3 4 3 2 3 3 2" xfId="46298" xr:uid="{90EFF5CF-A7BD-47E7-9AF1-3130EFDB2362}"/>
    <cellStyle name="20% - Accent3 4 3 2 3 4" xfId="30420" xr:uid="{40F63C8F-3A2B-4733-82C3-4164CBDB6862}"/>
    <cellStyle name="20% - Accent3 4 3 2 4" xfId="10983" xr:uid="{00000000-0005-0000-0000-000015120000}"/>
    <cellStyle name="20% - Accent3 4 3 2 4 2" xfId="34832" xr:uid="{79E56BF5-CA17-450B-B38A-6D2BF75AAB48}"/>
    <cellStyle name="20% - Accent3 4 3 2 5" xfId="18938" xr:uid="{00000000-0005-0000-0000-000016120000}"/>
    <cellStyle name="20% - Accent3 4 3 2 5 2" xfId="42770" xr:uid="{85FF6BB3-310A-4B1B-8EE1-541D4A73FEBD}"/>
    <cellStyle name="20% - Accent3 4 3 2 6" xfId="26890" xr:uid="{5CDA944C-1782-491E-A8FF-FCA04758CE62}"/>
    <cellStyle name="20% - Accent3 4 3 2_Exh G" xfId="2261" xr:uid="{00000000-0005-0000-0000-000017120000}"/>
    <cellStyle name="20% - Accent3 4 3 3" xfId="3836" xr:uid="{00000000-0005-0000-0000-000018120000}"/>
    <cellStyle name="20% - Accent3 4 3 3 2" xfId="7428" xr:uid="{00000000-0005-0000-0000-000019120000}"/>
    <cellStyle name="20% - Accent3 4 3 3 2 2" xfId="15399" xr:uid="{00000000-0005-0000-0000-00001A120000}"/>
    <cellStyle name="20% - Accent3 4 3 3 2 2 2" xfId="39241" xr:uid="{ED68CFB5-0AEB-4A86-8EC9-0DFAA359D749}"/>
    <cellStyle name="20% - Accent3 4 3 3 2 3" xfId="23345" xr:uid="{00000000-0005-0000-0000-00001B120000}"/>
    <cellStyle name="20% - Accent3 4 3 3 2 3 2" xfId="47177" xr:uid="{A4D6AA2D-B4D5-4E0F-9698-8DAFB0E84DBA}"/>
    <cellStyle name="20% - Accent3 4 3 3 2 4" xfId="31300" xr:uid="{8AD34E3C-860C-4F81-BF1B-45250DB77596}"/>
    <cellStyle name="20% - Accent3 4 3 3 3" xfId="11861" xr:uid="{00000000-0005-0000-0000-00001C120000}"/>
    <cellStyle name="20% - Accent3 4 3 3 3 2" xfId="35710" xr:uid="{30BD46E1-DB57-46CD-9C19-78A5EBC3DF31}"/>
    <cellStyle name="20% - Accent3 4 3 3 4" xfId="19816" xr:uid="{00000000-0005-0000-0000-00001D120000}"/>
    <cellStyle name="20% - Accent3 4 3 3 4 2" xfId="43648" xr:uid="{DF75AF14-E7D4-4621-B22D-59895230BEAF}"/>
    <cellStyle name="20% - Accent3 4 3 3 5" xfId="27769" xr:uid="{3784AA68-498D-41A0-B53C-13A1C07349B1}"/>
    <cellStyle name="20% - Accent3 4 3 4" xfId="5656" xr:uid="{00000000-0005-0000-0000-00001E120000}"/>
    <cellStyle name="20% - Accent3 4 3 4 2" xfId="13640" xr:uid="{00000000-0005-0000-0000-00001F120000}"/>
    <cellStyle name="20% - Accent3 4 3 4 2 2" xfId="37483" xr:uid="{6D2714E4-E78D-4123-A47E-C68890470639}"/>
    <cellStyle name="20% - Accent3 4 3 4 3" xfId="21588" xr:uid="{00000000-0005-0000-0000-000020120000}"/>
    <cellStyle name="20% - Accent3 4 3 4 3 2" xfId="45420" xr:uid="{D2FF5457-B629-4080-8E69-5BA873B45BCB}"/>
    <cellStyle name="20% - Accent3 4 3 4 4" xfId="29542" xr:uid="{1086362E-E68B-4F09-9BDB-B465095815A8}"/>
    <cellStyle name="20% - Accent3 4 3 5" xfId="9209" xr:uid="{00000000-0005-0000-0000-000021120000}"/>
    <cellStyle name="20% - Accent3 4 3 5 2" xfId="17167" xr:uid="{00000000-0005-0000-0000-000022120000}"/>
    <cellStyle name="20% - Accent3 4 3 5 2 2" xfId="41007" xr:uid="{472CEF81-E182-448C-B96F-43BA01B0ACD2}"/>
    <cellStyle name="20% - Accent3 4 3 5 3" xfId="25111" xr:uid="{00000000-0005-0000-0000-000023120000}"/>
    <cellStyle name="20% - Accent3 4 3 5 3 2" xfId="48943" xr:uid="{6CF5B5A1-34B4-46DB-92EE-AE9D593E6F0D}"/>
    <cellStyle name="20% - Accent3 4 3 5 4" xfId="33066" xr:uid="{100CDEC9-D065-4DA1-80AF-FE56E197ABB2}"/>
    <cellStyle name="20% - Accent3 4 3 6" xfId="10105" xr:uid="{00000000-0005-0000-0000-000024120000}"/>
    <cellStyle name="20% - Accent3 4 3 6 2" xfId="33954" xr:uid="{29E77854-86AF-4120-A840-DCB7C0989187}"/>
    <cellStyle name="20% - Accent3 4 3 7" xfId="18060" xr:uid="{00000000-0005-0000-0000-000025120000}"/>
    <cellStyle name="20% - Accent3 4 3 7 2" xfId="41892" xr:uid="{73B81195-51B6-4A2A-BB1D-4DC62848E686}"/>
    <cellStyle name="20% - Accent3 4 3 8" xfId="26012" xr:uid="{E865E0C2-73F3-4B18-AFBA-5A61768B3BF7}"/>
    <cellStyle name="20% - Accent3 4 3_Exh G" xfId="2260" xr:uid="{00000000-0005-0000-0000-000026120000}"/>
    <cellStyle name="20% - Accent3 4 4" xfId="891" xr:uid="{00000000-0005-0000-0000-000027120000}"/>
    <cellStyle name="20% - Accent3 4 4 2" xfId="1823" xr:uid="{00000000-0005-0000-0000-000028120000}"/>
    <cellStyle name="20% - Accent3 4 4 2 2" xfId="5341" xr:uid="{00000000-0005-0000-0000-000029120000}"/>
    <cellStyle name="20% - Accent3 4 4 2 2 2" xfId="8932" xr:uid="{00000000-0005-0000-0000-00002A120000}"/>
    <cellStyle name="20% - Accent3 4 4 2 2 2 2" xfId="16903" xr:uid="{00000000-0005-0000-0000-00002B120000}"/>
    <cellStyle name="20% - Accent3 4 4 2 2 2 2 2" xfId="40745" xr:uid="{B8810A96-EB43-43E5-9132-6EC9BE4141D8}"/>
    <cellStyle name="20% - Accent3 4 4 2 2 2 3" xfId="24849" xr:uid="{00000000-0005-0000-0000-00002C120000}"/>
    <cellStyle name="20% - Accent3 4 4 2 2 2 3 2" xfId="48681" xr:uid="{01A768ED-42FD-4A6E-B9AA-21EE83B1EDF4}"/>
    <cellStyle name="20% - Accent3 4 4 2 2 2 4" xfId="32804" xr:uid="{36253839-6500-4E44-B1A3-F6036D98A7B7}"/>
    <cellStyle name="20% - Accent3 4 4 2 2 3" xfId="13365" xr:uid="{00000000-0005-0000-0000-00002D120000}"/>
    <cellStyle name="20% - Accent3 4 4 2 2 3 2" xfId="37214" xr:uid="{165E82DC-62E9-4083-B132-B0222DCF6CCD}"/>
    <cellStyle name="20% - Accent3 4 4 2 2 4" xfId="21320" xr:uid="{00000000-0005-0000-0000-00002E120000}"/>
    <cellStyle name="20% - Accent3 4 4 2 2 4 2" xfId="45152" xr:uid="{56B4F311-F52B-4FA2-B70C-65C23B2FD629}"/>
    <cellStyle name="20% - Accent3 4 4 2 2 5" xfId="29273" xr:uid="{519DDDA0-C54C-44B2-B1A1-DE6F3D6E810F}"/>
    <cellStyle name="20% - Accent3 4 4 2 3" xfId="7173" xr:uid="{00000000-0005-0000-0000-00002F120000}"/>
    <cellStyle name="20% - Accent3 4 4 2 3 2" xfId="15145" xr:uid="{00000000-0005-0000-0000-000030120000}"/>
    <cellStyle name="20% - Accent3 4 4 2 3 2 2" xfId="38987" xr:uid="{7815D746-F18D-4716-B1B9-891242A7FE04}"/>
    <cellStyle name="20% - Accent3 4 4 2 3 3" xfId="23092" xr:uid="{00000000-0005-0000-0000-000031120000}"/>
    <cellStyle name="20% - Accent3 4 4 2 3 3 2" xfId="46924" xr:uid="{17E46B97-92A7-4917-B28C-F42AE7ECF73B}"/>
    <cellStyle name="20% - Accent3 4 4 2 3 4" xfId="31046" xr:uid="{9A0905C2-D7D7-41EA-A4F2-54C362F7B7A0}"/>
    <cellStyle name="20% - Accent3 4 4 2 4" xfId="11609" xr:uid="{00000000-0005-0000-0000-000032120000}"/>
    <cellStyle name="20% - Accent3 4 4 2 4 2" xfId="35458" xr:uid="{097B44A8-FD57-4BB5-B111-BB09952327F8}"/>
    <cellStyle name="20% - Accent3 4 4 2 5" xfId="19564" xr:uid="{00000000-0005-0000-0000-000033120000}"/>
    <cellStyle name="20% - Accent3 4 4 2 5 2" xfId="43396" xr:uid="{EFB6A902-565D-4FEF-8321-D5E64F107CDD}"/>
    <cellStyle name="20% - Accent3 4 4 2 6" xfId="27516" xr:uid="{F8847333-E37A-4980-8C45-3B2FA1E48C29}"/>
    <cellStyle name="20% - Accent3 4 4 2_Exh G" xfId="2263" xr:uid="{00000000-0005-0000-0000-000034120000}"/>
    <cellStyle name="20% - Accent3 4 4 3" xfId="4462" xr:uid="{00000000-0005-0000-0000-000035120000}"/>
    <cellStyle name="20% - Accent3 4 4 3 2" xfId="8054" xr:uid="{00000000-0005-0000-0000-000036120000}"/>
    <cellStyle name="20% - Accent3 4 4 3 2 2" xfId="16025" xr:uid="{00000000-0005-0000-0000-000037120000}"/>
    <cellStyle name="20% - Accent3 4 4 3 2 2 2" xfId="39867" xr:uid="{A2842A20-4D1D-427F-9BC9-4981487EE4E9}"/>
    <cellStyle name="20% - Accent3 4 4 3 2 3" xfId="23971" xr:uid="{00000000-0005-0000-0000-000038120000}"/>
    <cellStyle name="20% - Accent3 4 4 3 2 3 2" xfId="47803" xr:uid="{61F61B9F-C68C-458C-9527-201228BF30CC}"/>
    <cellStyle name="20% - Accent3 4 4 3 2 4" xfId="31926" xr:uid="{CA598D53-D8DD-4256-AFB7-2A516D366758}"/>
    <cellStyle name="20% - Accent3 4 4 3 3" xfId="12487" xr:uid="{00000000-0005-0000-0000-000039120000}"/>
    <cellStyle name="20% - Accent3 4 4 3 3 2" xfId="36336" xr:uid="{A1504804-95E6-494A-9D1C-CDC30A2ECD89}"/>
    <cellStyle name="20% - Accent3 4 4 3 4" xfId="20442" xr:uid="{00000000-0005-0000-0000-00003A120000}"/>
    <cellStyle name="20% - Accent3 4 4 3 4 2" xfId="44274" xr:uid="{74B59831-1A58-4B89-93B0-3B4F3AE238D1}"/>
    <cellStyle name="20% - Accent3 4 4 3 5" xfId="28395" xr:uid="{E544CB78-BF9F-4A5C-A1C1-1EDE66DC11BA}"/>
    <cellStyle name="20% - Accent3 4 4 4" xfId="6292" xr:uid="{00000000-0005-0000-0000-00003B120000}"/>
    <cellStyle name="20% - Accent3 4 4 4 2" xfId="14267" xr:uid="{00000000-0005-0000-0000-00003C120000}"/>
    <cellStyle name="20% - Accent3 4 4 4 2 2" xfId="38109" xr:uid="{C2D48462-C7A6-47F3-A785-1B00ECED8943}"/>
    <cellStyle name="20% - Accent3 4 4 4 3" xfId="22214" xr:uid="{00000000-0005-0000-0000-00003D120000}"/>
    <cellStyle name="20% - Accent3 4 4 4 3 2" xfId="46046" xr:uid="{1FC4C486-67CE-4940-A690-51B3442780C3}"/>
    <cellStyle name="20% - Accent3 4 4 4 4" xfId="30168" xr:uid="{F6235635-2C42-4B3A-B085-B49ACB8BBFD9}"/>
    <cellStyle name="20% - Accent3 4 4 5" xfId="9835" xr:uid="{00000000-0005-0000-0000-00003E120000}"/>
    <cellStyle name="20% - Accent3 4 4 5 2" xfId="17793" xr:uid="{00000000-0005-0000-0000-00003F120000}"/>
    <cellStyle name="20% - Accent3 4 4 5 2 2" xfId="41633" xr:uid="{5793DF03-44D4-4ED5-A65D-7BB82B0F2249}"/>
    <cellStyle name="20% - Accent3 4 4 5 3" xfId="25737" xr:uid="{00000000-0005-0000-0000-000040120000}"/>
    <cellStyle name="20% - Accent3 4 4 5 3 2" xfId="49569" xr:uid="{A56A6406-6B7D-4855-AF8D-61E04893E65B}"/>
    <cellStyle name="20% - Accent3 4 4 5 4" xfId="33692" xr:uid="{50E72B0A-01DD-447E-919C-608878A88582}"/>
    <cellStyle name="20% - Accent3 4 4 6" xfId="10731" xr:uid="{00000000-0005-0000-0000-000041120000}"/>
    <cellStyle name="20% - Accent3 4 4 6 2" xfId="34580" xr:uid="{5DFA53DB-FD0B-470D-B78B-C8D64D4F6DE2}"/>
    <cellStyle name="20% - Accent3 4 4 7" xfId="18686" xr:uid="{00000000-0005-0000-0000-000042120000}"/>
    <cellStyle name="20% - Accent3 4 4 7 2" xfId="42518" xr:uid="{0FBECE08-F7FC-4CF6-8635-C11FDA58AE74}"/>
    <cellStyle name="20% - Accent3 4 4 8" xfId="26638" xr:uid="{8D825A30-F7C6-48BF-82C1-F3963134EF02}"/>
    <cellStyle name="20% - Accent3 4 4_Exh G" xfId="2262" xr:uid="{00000000-0005-0000-0000-000043120000}"/>
    <cellStyle name="20% - Accent3 4 5" xfId="1182" xr:uid="{00000000-0005-0000-0000-000044120000}"/>
    <cellStyle name="20% - Accent3 4 5 2" xfId="4712" xr:uid="{00000000-0005-0000-0000-000045120000}"/>
    <cellStyle name="20% - Accent3 4 5 2 2" xfId="8303" xr:uid="{00000000-0005-0000-0000-000046120000}"/>
    <cellStyle name="20% - Accent3 4 5 2 2 2" xfId="16274" xr:uid="{00000000-0005-0000-0000-000047120000}"/>
    <cellStyle name="20% - Accent3 4 5 2 2 2 2" xfId="40116" xr:uid="{6FC9FEC2-8D82-447F-AA1C-0B7CFFE06F2A}"/>
    <cellStyle name="20% - Accent3 4 5 2 2 3" xfId="24220" xr:uid="{00000000-0005-0000-0000-000048120000}"/>
    <cellStyle name="20% - Accent3 4 5 2 2 3 2" xfId="48052" xr:uid="{190B1C07-7083-4E9D-8C7D-CDA819F84228}"/>
    <cellStyle name="20% - Accent3 4 5 2 2 4" xfId="32175" xr:uid="{4F79F662-0347-4BE8-A2C8-8286D6BD01B4}"/>
    <cellStyle name="20% - Accent3 4 5 2 3" xfId="12736" xr:uid="{00000000-0005-0000-0000-000049120000}"/>
    <cellStyle name="20% - Accent3 4 5 2 3 2" xfId="36585" xr:uid="{E7DC2DFE-4628-4984-8029-97289AF62729}"/>
    <cellStyle name="20% - Accent3 4 5 2 4" xfId="20691" xr:uid="{00000000-0005-0000-0000-00004A120000}"/>
    <cellStyle name="20% - Accent3 4 5 2 4 2" xfId="44523" xr:uid="{722D4952-1628-4E24-89A5-0F84189C3B2C}"/>
    <cellStyle name="20% - Accent3 4 5 2 5" xfId="28644" xr:uid="{AD23902F-82A5-4D24-B6C4-614B554F1CB3}"/>
    <cellStyle name="20% - Accent3 4 5 3" xfId="6544" xr:uid="{00000000-0005-0000-0000-00004B120000}"/>
    <cellStyle name="20% - Accent3 4 5 3 2" xfId="14516" xr:uid="{00000000-0005-0000-0000-00004C120000}"/>
    <cellStyle name="20% - Accent3 4 5 3 2 2" xfId="38358" xr:uid="{2DCA0145-6828-4ED1-973D-60A24E39188E}"/>
    <cellStyle name="20% - Accent3 4 5 3 3" xfId="22463" xr:uid="{00000000-0005-0000-0000-00004D120000}"/>
    <cellStyle name="20% - Accent3 4 5 3 3 2" xfId="46295" xr:uid="{150D0B61-AD96-4753-9D14-1E54CF47E4F1}"/>
    <cellStyle name="20% - Accent3 4 5 3 4" xfId="30417" xr:uid="{D8A47AF3-8BB9-45B2-8B56-8CF9EA3DF39F}"/>
    <cellStyle name="20% - Accent3 4 5 4" xfId="10980" xr:uid="{00000000-0005-0000-0000-00004E120000}"/>
    <cellStyle name="20% - Accent3 4 5 4 2" xfId="34829" xr:uid="{0257311A-997A-49F4-A756-705B38E943C4}"/>
    <cellStyle name="20% - Accent3 4 5 5" xfId="18935" xr:uid="{00000000-0005-0000-0000-00004F120000}"/>
    <cellStyle name="20% - Accent3 4 5 5 2" xfId="42767" xr:uid="{3D84EE08-B1CE-453D-890E-8C589CAA061B}"/>
    <cellStyle name="20% - Accent3 4 5 6" xfId="26887" xr:uid="{01F7770A-4F8E-47EF-ABD4-3945F3503535}"/>
    <cellStyle name="20% - Accent3 4 5_Exh G" xfId="2264" xr:uid="{00000000-0005-0000-0000-000050120000}"/>
    <cellStyle name="20% - Accent3 4 6" xfId="3833" xr:uid="{00000000-0005-0000-0000-000051120000}"/>
    <cellStyle name="20% - Accent3 4 6 2" xfId="7425" xr:uid="{00000000-0005-0000-0000-000052120000}"/>
    <cellStyle name="20% - Accent3 4 6 2 2" xfId="15396" xr:uid="{00000000-0005-0000-0000-000053120000}"/>
    <cellStyle name="20% - Accent3 4 6 2 2 2" xfId="39238" xr:uid="{EF116AC8-E8A0-465F-9938-AEA4D1C8D292}"/>
    <cellStyle name="20% - Accent3 4 6 2 3" xfId="23342" xr:uid="{00000000-0005-0000-0000-000054120000}"/>
    <cellStyle name="20% - Accent3 4 6 2 3 2" xfId="47174" xr:uid="{11AD49E0-EDAC-43A3-91AC-94032025098E}"/>
    <cellStyle name="20% - Accent3 4 6 2 4" xfId="31297" xr:uid="{F8F577F8-8481-4BFC-8DC4-75AC1DA587F1}"/>
    <cellStyle name="20% - Accent3 4 6 3" xfId="11858" xr:uid="{00000000-0005-0000-0000-000055120000}"/>
    <cellStyle name="20% - Accent3 4 6 3 2" xfId="35707" xr:uid="{B6C1701E-65BD-4279-93A0-49D57C8EAC64}"/>
    <cellStyle name="20% - Accent3 4 6 4" xfId="19813" xr:uid="{00000000-0005-0000-0000-000056120000}"/>
    <cellStyle name="20% - Accent3 4 6 4 2" xfId="43645" xr:uid="{A92D54DF-A89B-4F95-B38D-E85197A99CF2}"/>
    <cellStyle name="20% - Accent3 4 6 5" xfId="27766" xr:uid="{42AADFF1-964B-4F63-8D23-92D41570F0EE}"/>
    <cellStyle name="20% - Accent3 4 7" xfId="5653" xr:uid="{00000000-0005-0000-0000-000057120000}"/>
    <cellStyle name="20% - Accent3 4 7 2" xfId="13637" xr:uid="{00000000-0005-0000-0000-000058120000}"/>
    <cellStyle name="20% - Accent3 4 7 2 2" xfId="37480" xr:uid="{4DF9E97A-CE1E-4E61-9A6B-5464598EAA88}"/>
    <cellStyle name="20% - Accent3 4 7 3" xfId="21585" xr:uid="{00000000-0005-0000-0000-000059120000}"/>
    <cellStyle name="20% - Accent3 4 7 3 2" xfId="45417" xr:uid="{0793D30A-2C5B-47A7-9E99-170EBF9B944B}"/>
    <cellStyle name="20% - Accent3 4 7 4" xfId="29539" xr:uid="{52C518CB-05CC-4B07-AD03-2ECF7E63DDF3}"/>
    <cellStyle name="20% - Accent3 4 8" xfId="9206" xr:uid="{00000000-0005-0000-0000-00005A120000}"/>
    <cellStyle name="20% - Accent3 4 8 2" xfId="17164" xr:uid="{00000000-0005-0000-0000-00005B120000}"/>
    <cellStyle name="20% - Accent3 4 8 2 2" xfId="41004" xr:uid="{04714234-EC74-43F8-952B-3110A656689E}"/>
    <cellStyle name="20% - Accent3 4 8 3" xfId="25108" xr:uid="{00000000-0005-0000-0000-00005C120000}"/>
    <cellStyle name="20% - Accent3 4 8 3 2" xfId="48940" xr:uid="{1DF455F5-30BC-4BCB-B9E0-B398BF336BAC}"/>
    <cellStyle name="20% - Accent3 4 8 4" xfId="33063" xr:uid="{7BC2C539-0FF2-4CE5-A330-82391D7D26C4}"/>
    <cellStyle name="20% - Accent3 4 9" xfId="10102" xr:uid="{00000000-0005-0000-0000-00005D120000}"/>
    <cellStyle name="20% - Accent3 4 9 2" xfId="33951" xr:uid="{E170415D-17B6-4A28-B6FA-B34A47A248C2}"/>
    <cellStyle name="20% - Accent3 4_Exh G" xfId="2253" xr:uid="{00000000-0005-0000-0000-00005E120000}"/>
    <cellStyle name="20% - Accent3 5" xfId="158" xr:uid="{00000000-0005-0000-0000-00005F120000}"/>
    <cellStyle name="20% - Accent3 5 10" xfId="18061" xr:uid="{00000000-0005-0000-0000-000060120000}"/>
    <cellStyle name="20% - Accent3 5 10 2" xfId="41893" xr:uid="{C2420C7D-37CA-417C-BDF2-3DB2AC44A4FE}"/>
    <cellStyle name="20% - Accent3 5 11" xfId="26013" xr:uid="{36E61278-177A-46A7-AFEA-54A0893C56DE}"/>
    <cellStyle name="20% - Accent3 5 2" xfId="159" xr:uid="{00000000-0005-0000-0000-000061120000}"/>
    <cellStyle name="20% - Accent3 5 2 2" xfId="160" xr:uid="{00000000-0005-0000-0000-000062120000}"/>
    <cellStyle name="20% - Accent3 5 2 2 2" xfId="1188" xr:uid="{00000000-0005-0000-0000-000063120000}"/>
    <cellStyle name="20% - Accent3 5 2 2 2 2" xfId="4718" xr:uid="{00000000-0005-0000-0000-000064120000}"/>
    <cellStyle name="20% - Accent3 5 2 2 2 2 2" xfId="8309" xr:uid="{00000000-0005-0000-0000-000065120000}"/>
    <cellStyle name="20% - Accent3 5 2 2 2 2 2 2" xfId="16280" xr:uid="{00000000-0005-0000-0000-000066120000}"/>
    <cellStyle name="20% - Accent3 5 2 2 2 2 2 2 2" xfId="40122" xr:uid="{8531F6A6-5408-46E9-8450-900D283DA286}"/>
    <cellStyle name="20% - Accent3 5 2 2 2 2 2 3" xfId="24226" xr:uid="{00000000-0005-0000-0000-000067120000}"/>
    <cellStyle name="20% - Accent3 5 2 2 2 2 2 3 2" xfId="48058" xr:uid="{02BBCF29-A73A-4504-9231-CAF8030C202A}"/>
    <cellStyle name="20% - Accent3 5 2 2 2 2 2 4" xfId="32181" xr:uid="{8CD2E624-8B41-483E-93A6-81E8F99BDAB6}"/>
    <cellStyle name="20% - Accent3 5 2 2 2 2 3" xfId="12742" xr:uid="{00000000-0005-0000-0000-000068120000}"/>
    <cellStyle name="20% - Accent3 5 2 2 2 2 3 2" xfId="36591" xr:uid="{73164DA9-0DEE-40B7-B82C-B778CEB291AA}"/>
    <cellStyle name="20% - Accent3 5 2 2 2 2 4" xfId="20697" xr:uid="{00000000-0005-0000-0000-000069120000}"/>
    <cellStyle name="20% - Accent3 5 2 2 2 2 4 2" xfId="44529" xr:uid="{192E489F-BE07-4381-B944-55E29A96808D}"/>
    <cellStyle name="20% - Accent3 5 2 2 2 2 5" xfId="28650" xr:uid="{6A21514F-D138-4709-BDC1-AA933B5CB16D}"/>
    <cellStyle name="20% - Accent3 5 2 2 2 3" xfId="6550" xr:uid="{00000000-0005-0000-0000-00006A120000}"/>
    <cellStyle name="20% - Accent3 5 2 2 2 3 2" xfId="14522" xr:uid="{00000000-0005-0000-0000-00006B120000}"/>
    <cellStyle name="20% - Accent3 5 2 2 2 3 2 2" xfId="38364" xr:uid="{D8C88DB3-B342-4E81-8D99-DA6BC29F4C8F}"/>
    <cellStyle name="20% - Accent3 5 2 2 2 3 3" xfId="22469" xr:uid="{00000000-0005-0000-0000-00006C120000}"/>
    <cellStyle name="20% - Accent3 5 2 2 2 3 3 2" xfId="46301" xr:uid="{5E0174E0-B1CE-4D08-BF03-9122F0952168}"/>
    <cellStyle name="20% - Accent3 5 2 2 2 3 4" xfId="30423" xr:uid="{60401F43-0077-46D2-B24A-739916E49112}"/>
    <cellStyle name="20% - Accent3 5 2 2 2 4" xfId="10986" xr:uid="{00000000-0005-0000-0000-00006D120000}"/>
    <cellStyle name="20% - Accent3 5 2 2 2 4 2" xfId="34835" xr:uid="{FE94F4DB-AD2F-425A-A4A6-5827987EDAAF}"/>
    <cellStyle name="20% - Accent3 5 2 2 2 5" xfId="18941" xr:uid="{00000000-0005-0000-0000-00006E120000}"/>
    <cellStyle name="20% - Accent3 5 2 2 2 5 2" xfId="42773" xr:uid="{05728BC7-2179-4CA6-8D21-F25926511026}"/>
    <cellStyle name="20% - Accent3 5 2 2 2 6" xfId="26893" xr:uid="{5B971909-2BC0-438C-A27C-5FDE2AE0FA33}"/>
    <cellStyle name="20% - Accent3 5 2 2 2_Exh G" xfId="2268" xr:uid="{00000000-0005-0000-0000-00006F120000}"/>
    <cellStyle name="20% - Accent3 5 2 2 3" xfId="3839" xr:uid="{00000000-0005-0000-0000-000070120000}"/>
    <cellStyle name="20% - Accent3 5 2 2 3 2" xfId="7431" xr:uid="{00000000-0005-0000-0000-000071120000}"/>
    <cellStyle name="20% - Accent3 5 2 2 3 2 2" xfId="15402" xr:uid="{00000000-0005-0000-0000-000072120000}"/>
    <cellStyle name="20% - Accent3 5 2 2 3 2 2 2" xfId="39244" xr:uid="{5680F2C7-72EB-4A61-9F99-583C6FED8C8D}"/>
    <cellStyle name="20% - Accent3 5 2 2 3 2 3" xfId="23348" xr:uid="{00000000-0005-0000-0000-000073120000}"/>
    <cellStyle name="20% - Accent3 5 2 2 3 2 3 2" xfId="47180" xr:uid="{6A1AD65F-E5D2-4238-A90C-4B2350FC0D86}"/>
    <cellStyle name="20% - Accent3 5 2 2 3 2 4" xfId="31303" xr:uid="{D19CC1F7-EA1F-4AB5-B834-2BA5E30FA75D}"/>
    <cellStyle name="20% - Accent3 5 2 2 3 3" xfId="11864" xr:uid="{00000000-0005-0000-0000-000074120000}"/>
    <cellStyle name="20% - Accent3 5 2 2 3 3 2" xfId="35713" xr:uid="{9DC04DCF-C136-4F8D-B6F3-3774CF85DD23}"/>
    <cellStyle name="20% - Accent3 5 2 2 3 4" xfId="19819" xr:uid="{00000000-0005-0000-0000-000075120000}"/>
    <cellStyle name="20% - Accent3 5 2 2 3 4 2" xfId="43651" xr:uid="{597DA99B-FD94-415D-B7F4-F7442DC96DDB}"/>
    <cellStyle name="20% - Accent3 5 2 2 3 5" xfId="27772" xr:uid="{93E6367B-E641-4CCC-8E42-04CD8BE3DB70}"/>
    <cellStyle name="20% - Accent3 5 2 2 4" xfId="5659" xr:uid="{00000000-0005-0000-0000-000076120000}"/>
    <cellStyle name="20% - Accent3 5 2 2 4 2" xfId="13643" xr:uid="{00000000-0005-0000-0000-000077120000}"/>
    <cellStyle name="20% - Accent3 5 2 2 4 2 2" xfId="37486" xr:uid="{885D5E26-E7BF-445D-B682-D267C8255BF3}"/>
    <cellStyle name="20% - Accent3 5 2 2 4 3" xfId="21591" xr:uid="{00000000-0005-0000-0000-000078120000}"/>
    <cellStyle name="20% - Accent3 5 2 2 4 3 2" xfId="45423" xr:uid="{FDF456FE-3E93-4B07-8FA4-05AEF6E153EA}"/>
    <cellStyle name="20% - Accent3 5 2 2 4 4" xfId="29545" xr:uid="{159B9F03-675C-46E9-9B27-2073175CA7A9}"/>
    <cellStyle name="20% - Accent3 5 2 2 5" xfId="9212" xr:uid="{00000000-0005-0000-0000-000079120000}"/>
    <cellStyle name="20% - Accent3 5 2 2 5 2" xfId="17170" xr:uid="{00000000-0005-0000-0000-00007A120000}"/>
    <cellStyle name="20% - Accent3 5 2 2 5 2 2" xfId="41010" xr:uid="{D151AD84-BB35-4621-938A-E47D5EBC5DD1}"/>
    <cellStyle name="20% - Accent3 5 2 2 5 3" xfId="25114" xr:uid="{00000000-0005-0000-0000-00007B120000}"/>
    <cellStyle name="20% - Accent3 5 2 2 5 3 2" xfId="48946" xr:uid="{394C85E8-B7F8-428B-A79E-E0F1B279464E}"/>
    <cellStyle name="20% - Accent3 5 2 2 5 4" xfId="33069" xr:uid="{F29749F2-DDD3-4DC2-8428-5A7AB32800CA}"/>
    <cellStyle name="20% - Accent3 5 2 2 6" xfId="10108" xr:uid="{00000000-0005-0000-0000-00007C120000}"/>
    <cellStyle name="20% - Accent3 5 2 2 6 2" xfId="33957" xr:uid="{F18EFBFE-4A29-4AB0-A546-2DBC8D77193F}"/>
    <cellStyle name="20% - Accent3 5 2 2 7" xfId="18063" xr:uid="{00000000-0005-0000-0000-00007D120000}"/>
    <cellStyle name="20% - Accent3 5 2 2 7 2" xfId="41895" xr:uid="{540CE81B-B365-486C-B3AD-119BC42A2045}"/>
    <cellStyle name="20% - Accent3 5 2 2 8" xfId="26015" xr:uid="{84EFFCCB-675D-4F33-BF1F-49014B22995D}"/>
    <cellStyle name="20% - Accent3 5 2 2_Exh G" xfId="2267" xr:uid="{00000000-0005-0000-0000-00007E120000}"/>
    <cellStyle name="20% - Accent3 5 2 3" xfId="1187" xr:uid="{00000000-0005-0000-0000-00007F120000}"/>
    <cellStyle name="20% - Accent3 5 2 3 2" xfId="4717" xr:uid="{00000000-0005-0000-0000-000080120000}"/>
    <cellStyle name="20% - Accent3 5 2 3 2 2" xfId="8308" xr:uid="{00000000-0005-0000-0000-000081120000}"/>
    <cellStyle name="20% - Accent3 5 2 3 2 2 2" xfId="16279" xr:uid="{00000000-0005-0000-0000-000082120000}"/>
    <cellStyle name="20% - Accent3 5 2 3 2 2 2 2" xfId="40121" xr:uid="{1C73235F-8111-4034-9720-6A1C96AF7386}"/>
    <cellStyle name="20% - Accent3 5 2 3 2 2 3" xfId="24225" xr:uid="{00000000-0005-0000-0000-000083120000}"/>
    <cellStyle name="20% - Accent3 5 2 3 2 2 3 2" xfId="48057" xr:uid="{E94086E0-7C62-4A6D-84F1-7212E0AF6643}"/>
    <cellStyle name="20% - Accent3 5 2 3 2 2 4" xfId="32180" xr:uid="{0A652AE3-B0A3-4A40-AAC5-2F83168391A0}"/>
    <cellStyle name="20% - Accent3 5 2 3 2 3" xfId="12741" xr:uid="{00000000-0005-0000-0000-000084120000}"/>
    <cellStyle name="20% - Accent3 5 2 3 2 3 2" xfId="36590" xr:uid="{CC8112E5-DB41-4EC7-AEA9-DE93C008896C}"/>
    <cellStyle name="20% - Accent3 5 2 3 2 4" xfId="20696" xr:uid="{00000000-0005-0000-0000-000085120000}"/>
    <cellStyle name="20% - Accent3 5 2 3 2 4 2" xfId="44528" xr:uid="{155DDA0D-968A-45A4-AAF2-764538DE82A0}"/>
    <cellStyle name="20% - Accent3 5 2 3 2 5" xfId="28649" xr:uid="{D01EF92F-86CF-443F-8C7B-EE307F87A9AA}"/>
    <cellStyle name="20% - Accent3 5 2 3 3" xfId="6549" xr:uid="{00000000-0005-0000-0000-000086120000}"/>
    <cellStyle name="20% - Accent3 5 2 3 3 2" xfId="14521" xr:uid="{00000000-0005-0000-0000-000087120000}"/>
    <cellStyle name="20% - Accent3 5 2 3 3 2 2" xfId="38363" xr:uid="{92936EFC-F99D-4E66-B00D-84F68A1BB7CE}"/>
    <cellStyle name="20% - Accent3 5 2 3 3 3" xfId="22468" xr:uid="{00000000-0005-0000-0000-000088120000}"/>
    <cellStyle name="20% - Accent3 5 2 3 3 3 2" xfId="46300" xr:uid="{BDF0E076-E617-4621-B9E7-2AD7F35581B6}"/>
    <cellStyle name="20% - Accent3 5 2 3 3 4" xfId="30422" xr:uid="{48047DC5-B686-43E2-BFB8-22D5F0316699}"/>
    <cellStyle name="20% - Accent3 5 2 3 4" xfId="10985" xr:uid="{00000000-0005-0000-0000-000089120000}"/>
    <cellStyle name="20% - Accent3 5 2 3 4 2" xfId="34834" xr:uid="{AF06BE18-2485-4968-A130-4ED0CCFDDA76}"/>
    <cellStyle name="20% - Accent3 5 2 3 5" xfId="18940" xr:uid="{00000000-0005-0000-0000-00008A120000}"/>
    <cellStyle name="20% - Accent3 5 2 3 5 2" xfId="42772" xr:uid="{A800D26B-9CBF-478D-970B-F627ABDACA70}"/>
    <cellStyle name="20% - Accent3 5 2 3 6" xfId="26892" xr:uid="{A8363798-5267-4077-B182-C9EE30AB97EA}"/>
    <cellStyle name="20% - Accent3 5 2 3_Exh G" xfId="2269" xr:uid="{00000000-0005-0000-0000-00008B120000}"/>
    <cellStyle name="20% - Accent3 5 2 4" xfId="3838" xr:uid="{00000000-0005-0000-0000-00008C120000}"/>
    <cellStyle name="20% - Accent3 5 2 4 2" xfId="7430" xr:uid="{00000000-0005-0000-0000-00008D120000}"/>
    <cellStyle name="20% - Accent3 5 2 4 2 2" xfId="15401" xr:uid="{00000000-0005-0000-0000-00008E120000}"/>
    <cellStyle name="20% - Accent3 5 2 4 2 2 2" xfId="39243" xr:uid="{9CCE4A18-48E7-4B7E-9FF4-3644A1A5E7E9}"/>
    <cellStyle name="20% - Accent3 5 2 4 2 3" xfId="23347" xr:uid="{00000000-0005-0000-0000-00008F120000}"/>
    <cellStyle name="20% - Accent3 5 2 4 2 3 2" xfId="47179" xr:uid="{30094CFB-C239-473C-A465-477555E1F357}"/>
    <cellStyle name="20% - Accent3 5 2 4 2 4" xfId="31302" xr:uid="{8E5417D2-EA72-4CE5-8659-973929CEC286}"/>
    <cellStyle name="20% - Accent3 5 2 4 3" xfId="11863" xr:uid="{00000000-0005-0000-0000-000090120000}"/>
    <cellStyle name="20% - Accent3 5 2 4 3 2" xfId="35712" xr:uid="{B9793186-12E8-4EA4-9332-150704EED8C9}"/>
    <cellStyle name="20% - Accent3 5 2 4 4" xfId="19818" xr:uid="{00000000-0005-0000-0000-000091120000}"/>
    <cellStyle name="20% - Accent3 5 2 4 4 2" xfId="43650" xr:uid="{0DAA5948-13EF-4E32-A4CB-8D6534EA0B15}"/>
    <cellStyle name="20% - Accent3 5 2 4 5" xfId="27771" xr:uid="{E0BA644D-8A20-485E-8A3E-97BDE1F68452}"/>
    <cellStyle name="20% - Accent3 5 2 5" xfId="5658" xr:uid="{00000000-0005-0000-0000-000092120000}"/>
    <cellStyle name="20% - Accent3 5 2 5 2" xfId="13642" xr:uid="{00000000-0005-0000-0000-000093120000}"/>
    <cellStyle name="20% - Accent3 5 2 5 2 2" xfId="37485" xr:uid="{C66C591A-8198-4E7B-AC7A-174BE923AADA}"/>
    <cellStyle name="20% - Accent3 5 2 5 3" xfId="21590" xr:uid="{00000000-0005-0000-0000-000094120000}"/>
    <cellStyle name="20% - Accent3 5 2 5 3 2" xfId="45422" xr:uid="{6EADB63D-8FAC-4B0B-AA90-63BCB9131BD5}"/>
    <cellStyle name="20% - Accent3 5 2 5 4" xfId="29544" xr:uid="{FE900C90-1BA4-4921-8011-368CD53BD5F4}"/>
    <cellStyle name="20% - Accent3 5 2 6" xfId="9211" xr:uid="{00000000-0005-0000-0000-000095120000}"/>
    <cellStyle name="20% - Accent3 5 2 6 2" xfId="17169" xr:uid="{00000000-0005-0000-0000-000096120000}"/>
    <cellStyle name="20% - Accent3 5 2 6 2 2" xfId="41009" xr:uid="{C99A85E1-9FB4-4F46-B1B8-A3E86AACC377}"/>
    <cellStyle name="20% - Accent3 5 2 6 3" xfId="25113" xr:uid="{00000000-0005-0000-0000-000097120000}"/>
    <cellStyle name="20% - Accent3 5 2 6 3 2" xfId="48945" xr:uid="{AD5BCF93-DEA5-4B5D-AFE6-9B49738262ED}"/>
    <cellStyle name="20% - Accent3 5 2 6 4" xfId="33068" xr:uid="{2C8E8E0C-B605-4653-88B5-36AAF34D5AC8}"/>
    <cellStyle name="20% - Accent3 5 2 7" xfId="10107" xr:uid="{00000000-0005-0000-0000-000098120000}"/>
    <cellStyle name="20% - Accent3 5 2 7 2" xfId="33956" xr:uid="{30B33D2C-97FB-447B-B94B-65C65B390F82}"/>
    <cellStyle name="20% - Accent3 5 2 8" xfId="18062" xr:uid="{00000000-0005-0000-0000-000099120000}"/>
    <cellStyle name="20% - Accent3 5 2 8 2" xfId="41894" xr:uid="{1671628F-2B19-49EA-B4DD-FD1C283B90A0}"/>
    <cellStyle name="20% - Accent3 5 2 9" xfId="26014" xr:uid="{E2B45DD8-4B48-4E75-A529-B01903F0D795}"/>
    <cellStyle name="20% - Accent3 5 2_Exh G" xfId="2266" xr:uid="{00000000-0005-0000-0000-00009A120000}"/>
    <cellStyle name="20% - Accent3 5 3" xfId="161" xr:uid="{00000000-0005-0000-0000-00009B120000}"/>
    <cellStyle name="20% - Accent3 5 3 2" xfId="1189" xr:uid="{00000000-0005-0000-0000-00009C120000}"/>
    <cellStyle name="20% - Accent3 5 3 2 2" xfId="4719" xr:uid="{00000000-0005-0000-0000-00009D120000}"/>
    <cellStyle name="20% - Accent3 5 3 2 2 2" xfId="8310" xr:uid="{00000000-0005-0000-0000-00009E120000}"/>
    <cellStyle name="20% - Accent3 5 3 2 2 2 2" xfId="16281" xr:uid="{00000000-0005-0000-0000-00009F120000}"/>
    <cellStyle name="20% - Accent3 5 3 2 2 2 2 2" xfId="40123" xr:uid="{8F7628CB-7B65-431F-B009-AB62DA5D9D84}"/>
    <cellStyle name="20% - Accent3 5 3 2 2 2 3" xfId="24227" xr:uid="{00000000-0005-0000-0000-0000A0120000}"/>
    <cellStyle name="20% - Accent3 5 3 2 2 2 3 2" xfId="48059" xr:uid="{EF3EF9CA-1752-4942-BC33-42091DA03757}"/>
    <cellStyle name="20% - Accent3 5 3 2 2 2 4" xfId="32182" xr:uid="{6976FEA5-1D56-421B-BC10-241B6DEFA6F8}"/>
    <cellStyle name="20% - Accent3 5 3 2 2 3" xfId="12743" xr:uid="{00000000-0005-0000-0000-0000A1120000}"/>
    <cellStyle name="20% - Accent3 5 3 2 2 3 2" xfId="36592" xr:uid="{C99EDDBB-61FC-4AC9-8F68-4CCCBE8E4669}"/>
    <cellStyle name="20% - Accent3 5 3 2 2 4" xfId="20698" xr:uid="{00000000-0005-0000-0000-0000A2120000}"/>
    <cellStyle name="20% - Accent3 5 3 2 2 4 2" xfId="44530" xr:uid="{96F025F0-360A-4CE8-B53B-B4281C085B00}"/>
    <cellStyle name="20% - Accent3 5 3 2 2 5" xfId="28651" xr:uid="{0CF2960B-A0F5-49A5-86E0-44E585C8370C}"/>
    <cellStyle name="20% - Accent3 5 3 2 3" xfId="6551" xr:uid="{00000000-0005-0000-0000-0000A3120000}"/>
    <cellStyle name="20% - Accent3 5 3 2 3 2" xfId="14523" xr:uid="{00000000-0005-0000-0000-0000A4120000}"/>
    <cellStyle name="20% - Accent3 5 3 2 3 2 2" xfId="38365" xr:uid="{35DF8966-80C9-40AD-9AF6-C2D14E61B874}"/>
    <cellStyle name="20% - Accent3 5 3 2 3 3" xfId="22470" xr:uid="{00000000-0005-0000-0000-0000A5120000}"/>
    <cellStyle name="20% - Accent3 5 3 2 3 3 2" xfId="46302" xr:uid="{7F66B2AD-FA2F-4FBE-99E0-E9306083D43A}"/>
    <cellStyle name="20% - Accent3 5 3 2 3 4" xfId="30424" xr:uid="{518F4130-9FF7-40DF-888E-4A6DCD82D0EB}"/>
    <cellStyle name="20% - Accent3 5 3 2 4" xfId="10987" xr:uid="{00000000-0005-0000-0000-0000A6120000}"/>
    <cellStyle name="20% - Accent3 5 3 2 4 2" xfId="34836" xr:uid="{E96C0D7F-6045-4DBE-B6D9-45DA9545753A}"/>
    <cellStyle name="20% - Accent3 5 3 2 5" xfId="18942" xr:uid="{00000000-0005-0000-0000-0000A7120000}"/>
    <cellStyle name="20% - Accent3 5 3 2 5 2" xfId="42774" xr:uid="{26574A94-B85A-42FB-9216-8573479EA677}"/>
    <cellStyle name="20% - Accent3 5 3 2 6" xfId="26894" xr:uid="{D813F121-9C95-4F01-9B7F-C431B54E9DD6}"/>
    <cellStyle name="20% - Accent3 5 3 2_Exh G" xfId="2271" xr:uid="{00000000-0005-0000-0000-0000A8120000}"/>
    <cellStyle name="20% - Accent3 5 3 3" xfId="3840" xr:uid="{00000000-0005-0000-0000-0000A9120000}"/>
    <cellStyle name="20% - Accent3 5 3 3 2" xfId="7432" xr:uid="{00000000-0005-0000-0000-0000AA120000}"/>
    <cellStyle name="20% - Accent3 5 3 3 2 2" xfId="15403" xr:uid="{00000000-0005-0000-0000-0000AB120000}"/>
    <cellStyle name="20% - Accent3 5 3 3 2 2 2" xfId="39245" xr:uid="{63205D1B-2A54-4965-ACE4-19B02434D515}"/>
    <cellStyle name="20% - Accent3 5 3 3 2 3" xfId="23349" xr:uid="{00000000-0005-0000-0000-0000AC120000}"/>
    <cellStyle name="20% - Accent3 5 3 3 2 3 2" xfId="47181" xr:uid="{F53C6E6A-AF69-4F24-9DEB-70780E43116D}"/>
    <cellStyle name="20% - Accent3 5 3 3 2 4" xfId="31304" xr:uid="{B2DD0C52-52BE-4B63-B9F8-DD289D293E22}"/>
    <cellStyle name="20% - Accent3 5 3 3 3" xfId="11865" xr:uid="{00000000-0005-0000-0000-0000AD120000}"/>
    <cellStyle name="20% - Accent3 5 3 3 3 2" xfId="35714" xr:uid="{65A53F67-4C61-468C-B9E1-29FE0F5641A9}"/>
    <cellStyle name="20% - Accent3 5 3 3 4" xfId="19820" xr:uid="{00000000-0005-0000-0000-0000AE120000}"/>
    <cellStyle name="20% - Accent3 5 3 3 4 2" xfId="43652" xr:uid="{34607DDD-51ED-480A-95F4-5D3AE50350EA}"/>
    <cellStyle name="20% - Accent3 5 3 3 5" xfId="27773" xr:uid="{5DD9062B-BB8E-4AEA-847E-67C7BE31A52E}"/>
    <cellStyle name="20% - Accent3 5 3 4" xfId="5660" xr:uid="{00000000-0005-0000-0000-0000AF120000}"/>
    <cellStyle name="20% - Accent3 5 3 4 2" xfId="13644" xr:uid="{00000000-0005-0000-0000-0000B0120000}"/>
    <cellStyle name="20% - Accent3 5 3 4 2 2" xfId="37487" xr:uid="{07E2F9D5-1E8B-438A-ACCC-2AF0AEFCAE7F}"/>
    <cellStyle name="20% - Accent3 5 3 4 3" xfId="21592" xr:uid="{00000000-0005-0000-0000-0000B1120000}"/>
    <cellStyle name="20% - Accent3 5 3 4 3 2" xfId="45424" xr:uid="{06DA822E-881B-4829-829F-EC16709EEEC4}"/>
    <cellStyle name="20% - Accent3 5 3 4 4" xfId="29546" xr:uid="{5AFC224E-A9F4-4F0A-BF8C-B2098D1BDAD1}"/>
    <cellStyle name="20% - Accent3 5 3 5" xfId="9213" xr:uid="{00000000-0005-0000-0000-0000B2120000}"/>
    <cellStyle name="20% - Accent3 5 3 5 2" xfId="17171" xr:uid="{00000000-0005-0000-0000-0000B3120000}"/>
    <cellStyle name="20% - Accent3 5 3 5 2 2" xfId="41011" xr:uid="{59F71586-E7B7-4C18-99AA-AD3D95024E79}"/>
    <cellStyle name="20% - Accent3 5 3 5 3" xfId="25115" xr:uid="{00000000-0005-0000-0000-0000B4120000}"/>
    <cellStyle name="20% - Accent3 5 3 5 3 2" xfId="48947" xr:uid="{7AE3E95E-48CB-4F26-860E-7F9F6091ED5A}"/>
    <cellStyle name="20% - Accent3 5 3 5 4" xfId="33070" xr:uid="{ED2FEFE9-0229-4AFA-BB79-1F52E269268D}"/>
    <cellStyle name="20% - Accent3 5 3 6" xfId="10109" xr:uid="{00000000-0005-0000-0000-0000B5120000}"/>
    <cellStyle name="20% - Accent3 5 3 6 2" xfId="33958" xr:uid="{B46C4583-D0F0-4938-8574-4061D826550B}"/>
    <cellStyle name="20% - Accent3 5 3 7" xfId="18064" xr:uid="{00000000-0005-0000-0000-0000B6120000}"/>
    <cellStyle name="20% - Accent3 5 3 7 2" xfId="41896" xr:uid="{69E09B68-1CF2-4B43-8BA4-5C50C96E7B6D}"/>
    <cellStyle name="20% - Accent3 5 3 8" xfId="26016" xr:uid="{361FFCF5-6816-43D3-921A-1688B4EFEB40}"/>
    <cellStyle name="20% - Accent3 5 3_Exh G" xfId="2270" xr:uid="{00000000-0005-0000-0000-0000B7120000}"/>
    <cellStyle name="20% - Accent3 5 4" xfId="893" xr:uid="{00000000-0005-0000-0000-0000B8120000}"/>
    <cellStyle name="20% - Accent3 5 5" xfId="1186" xr:uid="{00000000-0005-0000-0000-0000B9120000}"/>
    <cellStyle name="20% - Accent3 5 5 2" xfId="4716" xr:uid="{00000000-0005-0000-0000-0000BA120000}"/>
    <cellStyle name="20% - Accent3 5 5 2 2" xfId="8307" xr:uid="{00000000-0005-0000-0000-0000BB120000}"/>
    <cellStyle name="20% - Accent3 5 5 2 2 2" xfId="16278" xr:uid="{00000000-0005-0000-0000-0000BC120000}"/>
    <cellStyle name="20% - Accent3 5 5 2 2 2 2" xfId="40120" xr:uid="{9BDC27B2-3616-4CB3-9B7F-1608B09DAEEC}"/>
    <cellStyle name="20% - Accent3 5 5 2 2 3" xfId="24224" xr:uid="{00000000-0005-0000-0000-0000BD120000}"/>
    <cellStyle name="20% - Accent3 5 5 2 2 3 2" xfId="48056" xr:uid="{B330F8BC-6DD5-477E-9965-52736BC69E69}"/>
    <cellStyle name="20% - Accent3 5 5 2 2 4" xfId="32179" xr:uid="{4A63EA6B-DDB6-46EF-BE7F-1E52B271BDD1}"/>
    <cellStyle name="20% - Accent3 5 5 2 3" xfId="12740" xr:uid="{00000000-0005-0000-0000-0000BE120000}"/>
    <cellStyle name="20% - Accent3 5 5 2 3 2" xfId="36589" xr:uid="{7C2E2813-9EB6-4E70-A73E-4E81BEA64531}"/>
    <cellStyle name="20% - Accent3 5 5 2 4" xfId="20695" xr:uid="{00000000-0005-0000-0000-0000BF120000}"/>
    <cellStyle name="20% - Accent3 5 5 2 4 2" xfId="44527" xr:uid="{0AC5879A-A1E4-4185-9445-FED94D8DB235}"/>
    <cellStyle name="20% - Accent3 5 5 2 5" xfId="28648" xr:uid="{52069224-0972-4001-B8A2-04F0749BACD4}"/>
    <cellStyle name="20% - Accent3 5 5 3" xfId="6548" xr:uid="{00000000-0005-0000-0000-0000C0120000}"/>
    <cellStyle name="20% - Accent3 5 5 3 2" xfId="14520" xr:uid="{00000000-0005-0000-0000-0000C1120000}"/>
    <cellStyle name="20% - Accent3 5 5 3 2 2" xfId="38362" xr:uid="{ED48B24C-F2FD-4065-B560-2816AE3CC93B}"/>
    <cellStyle name="20% - Accent3 5 5 3 3" xfId="22467" xr:uid="{00000000-0005-0000-0000-0000C2120000}"/>
    <cellStyle name="20% - Accent3 5 5 3 3 2" xfId="46299" xr:uid="{324B0BD5-7006-4E8C-B8CE-5C5B0D8F9006}"/>
    <cellStyle name="20% - Accent3 5 5 3 4" xfId="30421" xr:uid="{BED47BAB-DDC7-46B8-A8EF-10D9996AD9C9}"/>
    <cellStyle name="20% - Accent3 5 5 4" xfId="10984" xr:uid="{00000000-0005-0000-0000-0000C3120000}"/>
    <cellStyle name="20% - Accent3 5 5 4 2" xfId="34833" xr:uid="{59B46549-1228-4A6C-B495-DDF21B1DC615}"/>
    <cellStyle name="20% - Accent3 5 5 5" xfId="18939" xr:uid="{00000000-0005-0000-0000-0000C4120000}"/>
    <cellStyle name="20% - Accent3 5 5 5 2" xfId="42771" xr:uid="{3B8B8471-E6D1-4E48-8CDD-28E4467AC21E}"/>
    <cellStyle name="20% - Accent3 5 5 6" xfId="26891" xr:uid="{28D47FE1-4E99-496B-9A4C-99B2403072FC}"/>
    <cellStyle name="20% - Accent3 5 5_Exh G" xfId="2272" xr:uid="{00000000-0005-0000-0000-0000C5120000}"/>
    <cellStyle name="20% - Accent3 5 6" xfId="3837" xr:uid="{00000000-0005-0000-0000-0000C6120000}"/>
    <cellStyle name="20% - Accent3 5 6 2" xfId="7429" xr:uid="{00000000-0005-0000-0000-0000C7120000}"/>
    <cellStyle name="20% - Accent3 5 6 2 2" xfId="15400" xr:uid="{00000000-0005-0000-0000-0000C8120000}"/>
    <cellStyle name="20% - Accent3 5 6 2 2 2" xfId="39242" xr:uid="{FDDB68C6-192F-4575-BF0E-056A28C3DC6F}"/>
    <cellStyle name="20% - Accent3 5 6 2 3" xfId="23346" xr:uid="{00000000-0005-0000-0000-0000C9120000}"/>
    <cellStyle name="20% - Accent3 5 6 2 3 2" xfId="47178" xr:uid="{305854BB-6752-4CA0-83C7-35FE2D0B8CD9}"/>
    <cellStyle name="20% - Accent3 5 6 2 4" xfId="31301" xr:uid="{DB4CD0CF-B096-440C-835D-6113720BC662}"/>
    <cellStyle name="20% - Accent3 5 6 3" xfId="11862" xr:uid="{00000000-0005-0000-0000-0000CA120000}"/>
    <cellStyle name="20% - Accent3 5 6 3 2" xfId="35711" xr:uid="{02C5AD7C-F223-4712-B586-E4E6E966AB0E}"/>
    <cellStyle name="20% - Accent3 5 6 4" xfId="19817" xr:uid="{00000000-0005-0000-0000-0000CB120000}"/>
    <cellStyle name="20% - Accent3 5 6 4 2" xfId="43649" xr:uid="{5F48FB8B-2EAD-4329-8F7F-71647BDD24A2}"/>
    <cellStyle name="20% - Accent3 5 6 5" xfId="27770" xr:uid="{BA9D7540-33A9-43EE-B3FC-301FDA5F4CF8}"/>
    <cellStyle name="20% - Accent3 5 7" xfId="5657" xr:uid="{00000000-0005-0000-0000-0000CC120000}"/>
    <cellStyle name="20% - Accent3 5 7 2" xfId="13641" xr:uid="{00000000-0005-0000-0000-0000CD120000}"/>
    <cellStyle name="20% - Accent3 5 7 2 2" xfId="37484" xr:uid="{41EFD2FC-9C61-4364-B587-6F17D8EC7C5C}"/>
    <cellStyle name="20% - Accent3 5 7 3" xfId="21589" xr:uid="{00000000-0005-0000-0000-0000CE120000}"/>
    <cellStyle name="20% - Accent3 5 7 3 2" xfId="45421" xr:uid="{BE41D626-FBE3-4167-ADF4-C4CA8AD1A460}"/>
    <cellStyle name="20% - Accent3 5 7 4" xfId="29543" xr:uid="{4AA378BC-9ADD-4920-B37B-DB0AAC6A25E7}"/>
    <cellStyle name="20% - Accent3 5 8" xfId="9210" xr:uid="{00000000-0005-0000-0000-0000CF120000}"/>
    <cellStyle name="20% - Accent3 5 8 2" xfId="17168" xr:uid="{00000000-0005-0000-0000-0000D0120000}"/>
    <cellStyle name="20% - Accent3 5 8 2 2" xfId="41008" xr:uid="{3E740367-CD0E-48B7-B57B-2A32AED98FE1}"/>
    <cellStyle name="20% - Accent3 5 8 3" xfId="25112" xr:uid="{00000000-0005-0000-0000-0000D1120000}"/>
    <cellStyle name="20% - Accent3 5 8 3 2" xfId="48944" xr:uid="{5012728D-0FD5-45DE-A5E9-4F9D1463D552}"/>
    <cellStyle name="20% - Accent3 5 8 4" xfId="33067" xr:uid="{961561AD-DA25-4CA5-B7D3-2C6398995517}"/>
    <cellStyle name="20% - Accent3 5 9" xfId="10106" xr:uid="{00000000-0005-0000-0000-0000D2120000}"/>
    <cellStyle name="20% - Accent3 5 9 2" xfId="33955" xr:uid="{1AE0AB78-F8F5-4EC7-A70A-312FD0811984}"/>
    <cellStyle name="20% - Accent3 5_Exh G" xfId="2265" xr:uid="{00000000-0005-0000-0000-0000D3120000}"/>
    <cellStyle name="20% - Accent3 6" xfId="162" xr:uid="{00000000-0005-0000-0000-0000D4120000}"/>
    <cellStyle name="20% - Accent3 6 10" xfId="18065" xr:uid="{00000000-0005-0000-0000-0000D5120000}"/>
    <cellStyle name="20% - Accent3 6 10 2" xfId="41897" xr:uid="{AE89570D-E0B2-4E9F-A23F-244CE782C9CD}"/>
    <cellStyle name="20% - Accent3 6 11" xfId="26017" xr:uid="{179BF5FA-40BF-4456-B2CE-EC7DC91A1AAD}"/>
    <cellStyle name="20% - Accent3 6 2" xfId="163" xr:uid="{00000000-0005-0000-0000-0000D6120000}"/>
    <cellStyle name="20% - Accent3 6 2 2" xfId="164" xr:uid="{00000000-0005-0000-0000-0000D7120000}"/>
    <cellStyle name="20% - Accent3 6 2 2 2" xfId="1192" xr:uid="{00000000-0005-0000-0000-0000D8120000}"/>
    <cellStyle name="20% - Accent3 6 2 2 2 2" xfId="4722" xr:uid="{00000000-0005-0000-0000-0000D9120000}"/>
    <cellStyle name="20% - Accent3 6 2 2 2 2 2" xfId="8313" xr:uid="{00000000-0005-0000-0000-0000DA120000}"/>
    <cellStyle name="20% - Accent3 6 2 2 2 2 2 2" xfId="16284" xr:uid="{00000000-0005-0000-0000-0000DB120000}"/>
    <cellStyle name="20% - Accent3 6 2 2 2 2 2 2 2" xfId="40126" xr:uid="{BCA2BBBB-E8EA-4F3F-B5B8-179E2AAC3431}"/>
    <cellStyle name="20% - Accent3 6 2 2 2 2 2 3" xfId="24230" xr:uid="{00000000-0005-0000-0000-0000DC120000}"/>
    <cellStyle name="20% - Accent3 6 2 2 2 2 2 3 2" xfId="48062" xr:uid="{56F8FCAA-6ADE-4125-A250-1A2FE2003653}"/>
    <cellStyle name="20% - Accent3 6 2 2 2 2 2 4" xfId="32185" xr:uid="{9162850A-A45D-430B-9589-0E752D15E4AF}"/>
    <cellStyle name="20% - Accent3 6 2 2 2 2 3" xfId="12746" xr:uid="{00000000-0005-0000-0000-0000DD120000}"/>
    <cellStyle name="20% - Accent3 6 2 2 2 2 3 2" xfId="36595" xr:uid="{C1F26310-DB14-482A-B26F-AC7A1D0A6EAE}"/>
    <cellStyle name="20% - Accent3 6 2 2 2 2 4" xfId="20701" xr:uid="{00000000-0005-0000-0000-0000DE120000}"/>
    <cellStyle name="20% - Accent3 6 2 2 2 2 4 2" xfId="44533" xr:uid="{8428CA31-C8BD-44A3-AF9F-B31ED2C07A75}"/>
    <cellStyle name="20% - Accent3 6 2 2 2 2 5" xfId="28654" xr:uid="{066FC198-ABDE-400D-8CF2-FD81382486B6}"/>
    <cellStyle name="20% - Accent3 6 2 2 2 3" xfId="6554" xr:uid="{00000000-0005-0000-0000-0000DF120000}"/>
    <cellStyle name="20% - Accent3 6 2 2 2 3 2" xfId="14526" xr:uid="{00000000-0005-0000-0000-0000E0120000}"/>
    <cellStyle name="20% - Accent3 6 2 2 2 3 2 2" xfId="38368" xr:uid="{4DC563B2-26FE-4857-BEE3-B4A35A70C89C}"/>
    <cellStyle name="20% - Accent3 6 2 2 2 3 3" xfId="22473" xr:uid="{00000000-0005-0000-0000-0000E1120000}"/>
    <cellStyle name="20% - Accent3 6 2 2 2 3 3 2" xfId="46305" xr:uid="{295526D8-4D83-4283-B67E-67F04D1FE740}"/>
    <cellStyle name="20% - Accent3 6 2 2 2 3 4" xfId="30427" xr:uid="{0AFE3CF8-6561-4A82-932A-E371905E35AE}"/>
    <cellStyle name="20% - Accent3 6 2 2 2 4" xfId="10990" xr:uid="{00000000-0005-0000-0000-0000E2120000}"/>
    <cellStyle name="20% - Accent3 6 2 2 2 4 2" xfId="34839" xr:uid="{F4D072EC-002D-452C-B16E-AACB855D06B4}"/>
    <cellStyle name="20% - Accent3 6 2 2 2 5" xfId="18945" xr:uid="{00000000-0005-0000-0000-0000E3120000}"/>
    <cellStyle name="20% - Accent3 6 2 2 2 5 2" xfId="42777" xr:uid="{EDB44CB6-3A9F-4D88-B12E-08219A790635}"/>
    <cellStyle name="20% - Accent3 6 2 2 2 6" xfId="26897" xr:uid="{41AE686E-9C54-4AB9-9110-8563391549DE}"/>
    <cellStyle name="20% - Accent3 6 2 2 2_Exh G" xfId="2276" xr:uid="{00000000-0005-0000-0000-0000E4120000}"/>
    <cellStyle name="20% - Accent3 6 2 2 3" xfId="3843" xr:uid="{00000000-0005-0000-0000-0000E5120000}"/>
    <cellStyle name="20% - Accent3 6 2 2 3 2" xfId="7435" xr:uid="{00000000-0005-0000-0000-0000E6120000}"/>
    <cellStyle name="20% - Accent3 6 2 2 3 2 2" xfId="15406" xr:uid="{00000000-0005-0000-0000-0000E7120000}"/>
    <cellStyle name="20% - Accent3 6 2 2 3 2 2 2" xfId="39248" xr:uid="{600C8D09-7C59-41C1-B5F7-9A7B0516AB3A}"/>
    <cellStyle name="20% - Accent3 6 2 2 3 2 3" xfId="23352" xr:uid="{00000000-0005-0000-0000-0000E8120000}"/>
    <cellStyle name="20% - Accent3 6 2 2 3 2 3 2" xfId="47184" xr:uid="{0748037A-89F5-45DA-B7B4-8E1CEF955291}"/>
    <cellStyle name="20% - Accent3 6 2 2 3 2 4" xfId="31307" xr:uid="{2CA10150-17A0-42D1-9B6D-2C70CD3859FF}"/>
    <cellStyle name="20% - Accent3 6 2 2 3 3" xfId="11868" xr:uid="{00000000-0005-0000-0000-0000E9120000}"/>
    <cellStyle name="20% - Accent3 6 2 2 3 3 2" xfId="35717" xr:uid="{6DBB9448-D55B-42D1-A1C1-C79C41B2775B}"/>
    <cellStyle name="20% - Accent3 6 2 2 3 4" xfId="19823" xr:uid="{00000000-0005-0000-0000-0000EA120000}"/>
    <cellStyle name="20% - Accent3 6 2 2 3 4 2" xfId="43655" xr:uid="{751147CC-4762-4F71-901D-C816F604CC17}"/>
    <cellStyle name="20% - Accent3 6 2 2 3 5" xfId="27776" xr:uid="{65BA590B-06D9-4F4E-9348-EC85E1F38CD3}"/>
    <cellStyle name="20% - Accent3 6 2 2 4" xfId="5663" xr:uid="{00000000-0005-0000-0000-0000EB120000}"/>
    <cellStyle name="20% - Accent3 6 2 2 4 2" xfId="13647" xr:uid="{00000000-0005-0000-0000-0000EC120000}"/>
    <cellStyle name="20% - Accent3 6 2 2 4 2 2" xfId="37490" xr:uid="{8A74D438-0761-472C-8691-F23DFA3A4634}"/>
    <cellStyle name="20% - Accent3 6 2 2 4 3" xfId="21595" xr:uid="{00000000-0005-0000-0000-0000ED120000}"/>
    <cellStyle name="20% - Accent3 6 2 2 4 3 2" xfId="45427" xr:uid="{704D449F-2141-4143-8A7B-A7F02BAAB943}"/>
    <cellStyle name="20% - Accent3 6 2 2 4 4" xfId="29549" xr:uid="{3045AB3B-3407-45C3-B65C-F7E7567E60FD}"/>
    <cellStyle name="20% - Accent3 6 2 2 5" xfId="9216" xr:uid="{00000000-0005-0000-0000-0000EE120000}"/>
    <cellStyle name="20% - Accent3 6 2 2 5 2" xfId="17174" xr:uid="{00000000-0005-0000-0000-0000EF120000}"/>
    <cellStyle name="20% - Accent3 6 2 2 5 2 2" xfId="41014" xr:uid="{4EF62761-F60C-4545-8BD4-84C6B1C68607}"/>
    <cellStyle name="20% - Accent3 6 2 2 5 3" xfId="25118" xr:uid="{00000000-0005-0000-0000-0000F0120000}"/>
    <cellStyle name="20% - Accent3 6 2 2 5 3 2" xfId="48950" xr:uid="{AA3CBE0C-2C64-4E11-A3AB-86862031890B}"/>
    <cellStyle name="20% - Accent3 6 2 2 5 4" xfId="33073" xr:uid="{9045A574-00BC-47FC-86CD-BFC1ECD69C64}"/>
    <cellStyle name="20% - Accent3 6 2 2 6" xfId="10112" xr:uid="{00000000-0005-0000-0000-0000F1120000}"/>
    <cellStyle name="20% - Accent3 6 2 2 6 2" xfId="33961" xr:uid="{B2573C5B-4C6A-4211-BE8A-6CAE24532596}"/>
    <cellStyle name="20% - Accent3 6 2 2 7" xfId="18067" xr:uid="{00000000-0005-0000-0000-0000F2120000}"/>
    <cellStyle name="20% - Accent3 6 2 2 7 2" xfId="41899" xr:uid="{4957D0EA-55C6-4CCC-876C-A9BE9BD6ED02}"/>
    <cellStyle name="20% - Accent3 6 2 2 8" xfId="26019" xr:uid="{05E3D913-093D-4FE7-94A1-4A074B60C953}"/>
    <cellStyle name="20% - Accent3 6 2 2_Exh G" xfId="2275" xr:uid="{00000000-0005-0000-0000-0000F3120000}"/>
    <cellStyle name="20% - Accent3 6 2 3" xfId="1191" xr:uid="{00000000-0005-0000-0000-0000F4120000}"/>
    <cellStyle name="20% - Accent3 6 2 3 2" xfId="4721" xr:uid="{00000000-0005-0000-0000-0000F5120000}"/>
    <cellStyle name="20% - Accent3 6 2 3 2 2" xfId="8312" xr:uid="{00000000-0005-0000-0000-0000F6120000}"/>
    <cellStyle name="20% - Accent3 6 2 3 2 2 2" xfId="16283" xr:uid="{00000000-0005-0000-0000-0000F7120000}"/>
    <cellStyle name="20% - Accent3 6 2 3 2 2 2 2" xfId="40125" xr:uid="{C0911728-3F38-41B8-922F-FE15915A50AB}"/>
    <cellStyle name="20% - Accent3 6 2 3 2 2 3" xfId="24229" xr:uid="{00000000-0005-0000-0000-0000F8120000}"/>
    <cellStyle name="20% - Accent3 6 2 3 2 2 3 2" xfId="48061" xr:uid="{C05F6B3F-544A-4B37-B8F6-7E0560AEEE0D}"/>
    <cellStyle name="20% - Accent3 6 2 3 2 2 4" xfId="32184" xr:uid="{B23B058B-25B4-4184-A916-61C915BF465E}"/>
    <cellStyle name="20% - Accent3 6 2 3 2 3" xfId="12745" xr:uid="{00000000-0005-0000-0000-0000F9120000}"/>
    <cellStyle name="20% - Accent3 6 2 3 2 3 2" xfId="36594" xr:uid="{F6784C45-E74D-498A-9D45-2714AFC1161F}"/>
    <cellStyle name="20% - Accent3 6 2 3 2 4" xfId="20700" xr:uid="{00000000-0005-0000-0000-0000FA120000}"/>
    <cellStyle name="20% - Accent3 6 2 3 2 4 2" xfId="44532" xr:uid="{5A06257B-1298-49F6-9E6C-10706D57A420}"/>
    <cellStyle name="20% - Accent3 6 2 3 2 5" xfId="28653" xr:uid="{11C7DD05-D28A-4B2C-ADA0-604B317085CB}"/>
    <cellStyle name="20% - Accent3 6 2 3 3" xfId="6553" xr:uid="{00000000-0005-0000-0000-0000FB120000}"/>
    <cellStyle name="20% - Accent3 6 2 3 3 2" xfId="14525" xr:uid="{00000000-0005-0000-0000-0000FC120000}"/>
    <cellStyle name="20% - Accent3 6 2 3 3 2 2" xfId="38367" xr:uid="{3E02DDE8-6F69-4588-A8BF-B035487E23D2}"/>
    <cellStyle name="20% - Accent3 6 2 3 3 3" xfId="22472" xr:uid="{00000000-0005-0000-0000-0000FD120000}"/>
    <cellStyle name="20% - Accent3 6 2 3 3 3 2" xfId="46304" xr:uid="{77FB41D2-B2B4-44C8-BDF2-476FEA73FE34}"/>
    <cellStyle name="20% - Accent3 6 2 3 3 4" xfId="30426" xr:uid="{8D4CDF99-0A71-441D-9ADA-F4A7549CBFCC}"/>
    <cellStyle name="20% - Accent3 6 2 3 4" xfId="10989" xr:uid="{00000000-0005-0000-0000-0000FE120000}"/>
    <cellStyle name="20% - Accent3 6 2 3 4 2" xfId="34838" xr:uid="{5D118603-A588-4B57-B0D7-AE8284D5708B}"/>
    <cellStyle name="20% - Accent3 6 2 3 5" xfId="18944" xr:uid="{00000000-0005-0000-0000-0000FF120000}"/>
    <cellStyle name="20% - Accent3 6 2 3 5 2" xfId="42776" xr:uid="{19AFAE08-061A-4DFB-B6A1-6DB5806D1CFA}"/>
    <cellStyle name="20% - Accent3 6 2 3 6" xfId="26896" xr:uid="{F7CCE88A-3A3E-403A-998D-596A55ED237D}"/>
    <cellStyle name="20% - Accent3 6 2 3_Exh G" xfId="2277" xr:uid="{00000000-0005-0000-0000-000000130000}"/>
    <cellStyle name="20% - Accent3 6 2 4" xfId="3842" xr:uid="{00000000-0005-0000-0000-000001130000}"/>
    <cellStyle name="20% - Accent3 6 2 4 2" xfId="7434" xr:uid="{00000000-0005-0000-0000-000002130000}"/>
    <cellStyle name="20% - Accent3 6 2 4 2 2" xfId="15405" xr:uid="{00000000-0005-0000-0000-000003130000}"/>
    <cellStyle name="20% - Accent3 6 2 4 2 2 2" xfId="39247" xr:uid="{7FCCD0BE-1920-4AC3-ABC0-F3149F27F5A7}"/>
    <cellStyle name="20% - Accent3 6 2 4 2 3" xfId="23351" xr:uid="{00000000-0005-0000-0000-000004130000}"/>
    <cellStyle name="20% - Accent3 6 2 4 2 3 2" xfId="47183" xr:uid="{752BEC9D-07F9-4029-BE0F-67B2B1B3A598}"/>
    <cellStyle name="20% - Accent3 6 2 4 2 4" xfId="31306" xr:uid="{59A6EE58-3565-48AF-B126-8816530FD8D2}"/>
    <cellStyle name="20% - Accent3 6 2 4 3" xfId="11867" xr:uid="{00000000-0005-0000-0000-000005130000}"/>
    <cellStyle name="20% - Accent3 6 2 4 3 2" xfId="35716" xr:uid="{B5779102-A077-4743-A009-6E3ECA486B39}"/>
    <cellStyle name="20% - Accent3 6 2 4 4" xfId="19822" xr:uid="{00000000-0005-0000-0000-000006130000}"/>
    <cellStyle name="20% - Accent3 6 2 4 4 2" xfId="43654" xr:uid="{99F37979-F077-4EB6-A06F-8022C2A7C33D}"/>
    <cellStyle name="20% - Accent3 6 2 4 5" xfId="27775" xr:uid="{41921DDD-7B30-45B4-AB1D-D464520C34E1}"/>
    <cellStyle name="20% - Accent3 6 2 5" xfId="5662" xr:uid="{00000000-0005-0000-0000-000007130000}"/>
    <cellStyle name="20% - Accent3 6 2 5 2" xfId="13646" xr:uid="{00000000-0005-0000-0000-000008130000}"/>
    <cellStyle name="20% - Accent3 6 2 5 2 2" xfId="37489" xr:uid="{64082061-8115-44E5-AFB9-784275AC81A4}"/>
    <cellStyle name="20% - Accent3 6 2 5 3" xfId="21594" xr:uid="{00000000-0005-0000-0000-000009130000}"/>
    <cellStyle name="20% - Accent3 6 2 5 3 2" xfId="45426" xr:uid="{87772B99-843E-41F9-8E2A-7E75F9CECEE4}"/>
    <cellStyle name="20% - Accent3 6 2 5 4" xfId="29548" xr:uid="{1202F724-2A53-47FF-AE93-1D32FC978ED0}"/>
    <cellStyle name="20% - Accent3 6 2 6" xfId="9215" xr:uid="{00000000-0005-0000-0000-00000A130000}"/>
    <cellStyle name="20% - Accent3 6 2 6 2" xfId="17173" xr:uid="{00000000-0005-0000-0000-00000B130000}"/>
    <cellStyle name="20% - Accent3 6 2 6 2 2" xfId="41013" xr:uid="{9F0D1451-C572-488E-8EDE-3EBBD4DD78DC}"/>
    <cellStyle name="20% - Accent3 6 2 6 3" xfId="25117" xr:uid="{00000000-0005-0000-0000-00000C130000}"/>
    <cellStyle name="20% - Accent3 6 2 6 3 2" xfId="48949" xr:uid="{624D2720-950C-4DF8-B6E1-59E3661922DF}"/>
    <cellStyle name="20% - Accent3 6 2 6 4" xfId="33072" xr:uid="{33167ECC-83A7-4E9A-9D5B-BBFBDFA6F42C}"/>
    <cellStyle name="20% - Accent3 6 2 7" xfId="10111" xr:uid="{00000000-0005-0000-0000-00000D130000}"/>
    <cellStyle name="20% - Accent3 6 2 7 2" xfId="33960" xr:uid="{73F78676-3F65-4C65-A3FE-828CFE8E553C}"/>
    <cellStyle name="20% - Accent3 6 2 8" xfId="18066" xr:uid="{00000000-0005-0000-0000-00000E130000}"/>
    <cellStyle name="20% - Accent3 6 2 8 2" xfId="41898" xr:uid="{CF1A6711-24D1-4DDD-A97C-5CC48FB19FA2}"/>
    <cellStyle name="20% - Accent3 6 2 9" xfId="26018" xr:uid="{A91DA412-36A0-433A-8538-95D1CAF372EE}"/>
    <cellStyle name="20% - Accent3 6 2_Exh G" xfId="2274" xr:uid="{00000000-0005-0000-0000-00000F130000}"/>
    <cellStyle name="20% - Accent3 6 3" xfId="165" xr:uid="{00000000-0005-0000-0000-000010130000}"/>
    <cellStyle name="20% - Accent3 6 3 2" xfId="1193" xr:uid="{00000000-0005-0000-0000-000011130000}"/>
    <cellStyle name="20% - Accent3 6 3 2 2" xfId="4723" xr:uid="{00000000-0005-0000-0000-000012130000}"/>
    <cellStyle name="20% - Accent3 6 3 2 2 2" xfId="8314" xr:uid="{00000000-0005-0000-0000-000013130000}"/>
    <cellStyle name="20% - Accent3 6 3 2 2 2 2" xfId="16285" xr:uid="{00000000-0005-0000-0000-000014130000}"/>
    <cellStyle name="20% - Accent3 6 3 2 2 2 2 2" xfId="40127" xr:uid="{CB765734-4CBD-404D-8D97-927330B946D8}"/>
    <cellStyle name="20% - Accent3 6 3 2 2 2 3" xfId="24231" xr:uid="{00000000-0005-0000-0000-000015130000}"/>
    <cellStyle name="20% - Accent3 6 3 2 2 2 3 2" xfId="48063" xr:uid="{F31E05E6-379D-4F14-AFA6-1807827B9169}"/>
    <cellStyle name="20% - Accent3 6 3 2 2 2 4" xfId="32186" xr:uid="{9B10B30F-CB8C-40B2-A193-16E62844D0DD}"/>
    <cellStyle name="20% - Accent3 6 3 2 2 3" xfId="12747" xr:uid="{00000000-0005-0000-0000-000016130000}"/>
    <cellStyle name="20% - Accent3 6 3 2 2 3 2" xfId="36596" xr:uid="{E467E58D-06F9-46D2-8CEF-1F4C8313D40B}"/>
    <cellStyle name="20% - Accent3 6 3 2 2 4" xfId="20702" xr:uid="{00000000-0005-0000-0000-000017130000}"/>
    <cellStyle name="20% - Accent3 6 3 2 2 4 2" xfId="44534" xr:uid="{417B50FC-F466-4E85-8AC0-4F2CE235964A}"/>
    <cellStyle name="20% - Accent3 6 3 2 2 5" xfId="28655" xr:uid="{7488C01A-36DC-42E0-BF4A-4623B7B7C694}"/>
    <cellStyle name="20% - Accent3 6 3 2 3" xfId="6555" xr:uid="{00000000-0005-0000-0000-000018130000}"/>
    <cellStyle name="20% - Accent3 6 3 2 3 2" xfId="14527" xr:uid="{00000000-0005-0000-0000-000019130000}"/>
    <cellStyle name="20% - Accent3 6 3 2 3 2 2" xfId="38369" xr:uid="{46C2635B-6414-439C-A301-747E51462D19}"/>
    <cellStyle name="20% - Accent3 6 3 2 3 3" xfId="22474" xr:uid="{00000000-0005-0000-0000-00001A130000}"/>
    <cellStyle name="20% - Accent3 6 3 2 3 3 2" xfId="46306" xr:uid="{6E3231EC-8D29-4CCC-9F80-B5F156F2F957}"/>
    <cellStyle name="20% - Accent3 6 3 2 3 4" xfId="30428" xr:uid="{30B5620A-45BE-4668-BD7B-1E256DE532C6}"/>
    <cellStyle name="20% - Accent3 6 3 2 4" xfId="10991" xr:uid="{00000000-0005-0000-0000-00001B130000}"/>
    <cellStyle name="20% - Accent3 6 3 2 4 2" xfId="34840" xr:uid="{1533A5F5-F121-49F0-BD78-3549830EAE46}"/>
    <cellStyle name="20% - Accent3 6 3 2 5" xfId="18946" xr:uid="{00000000-0005-0000-0000-00001C130000}"/>
    <cellStyle name="20% - Accent3 6 3 2 5 2" xfId="42778" xr:uid="{F8CE7178-BFE5-47F3-B1E2-1ECA4E377563}"/>
    <cellStyle name="20% - Accent3 6 3 2 6" xfId="26898" xr:uid="{357E00C6-60D0-447F-A0FF-56F51BB3C562}"/>
    <cellStyle name="20% - Accent3 6 3 2_Exh G" xfId="2279" xr:uid="{00000000-0005-0000-0000-00001D130000}"/>
    <cellStyle name="20% - Accent3 6 3 3" xfId="3844" xr:uid="{00000000-0005-0000-0000-00001E130000}"/>
    <cellStyle name="20% - Accent3 6 3 3 2" xfId="7436" xr:uid="{00000000-0005-0000-0000-00001F130000}"/>
    <cellStyle name="20% - Accent3 6 3 3 2 2" xfId="15407" xr:uid="{00000000-0005-0000-0000-000020130000}"/>
    <cellStyle name="20% - Accent3 6 3 3 2 2 2" xfId="39249" xr:uid="{7F90B549-A335-4DF2-B0B1-6B1B536C515D}"/>
    <cellStyle name="20% - Accent3 6 3 3 2 3" xfId="23353" xr:uid="{00000000-0005-0000-0000-000021130000}"/>
    <cellStyle name="20% - Accent3 6 3 3 2 3 2" xfId="47185" xr:uid="{A143A175-89D9-487F-88D3-2FF9448C900D}"/>
    <cellStyle name="20% - Accent3 6 3 3 2 4" xfId="31308" xr:uid="{844BE49C-CDF5-462C-89A5-6A281CD2DFAB}"/>
    <cellStyle name="20% - Accent3 6 3 3 3" xfId="11869" xr:uid="{00000000-0005-0000-0000-000022130000}"/>
    <cellStyle name="20% - Accent3 6 3 3 3 2" xfId="35718" xr:uid="{E7A1F60A-60AB-4F05-8BEF-5B3501E92AC3}"/>
    <cellStyle name="20% - Accent3 6 3 3 4" xfId="19824" xr:uid="{00000000-0005-0000-0000-000023130000}"/>
    <cellStyle name="20% - Accent3 6 3 3 4 2" xfId="43656" xr:uid="{555C796D-65FD-4D3B-ADC3-F868D5AEC982}"/>
    <cellStyle name="20% - Accent3 6 3 3 5" xfId="27777" xr:uid="{84133587-2B13-452B-BAA6-D7A4FA5C0BE8}"/>
    <cellStyle name="20% - Accent3 6 3 4" xfId="5664" xr:uid="{00000000-0005-0000-0000-000024130000}"/>
    <cellStyle name="20% - Accent3 6 3 4 2" xfId="13648" xr:uid="{00000000-0005-0000-0000-000025130000}"/>
    <cellStyle name="20% - Accent3 6 3 4 2 2" xfId="37491" xr:uid="{5B9FDB83-BD67-4A4F-A720-BF3BA2DAFE98}"/>
    <cellStyle name="20% - Accent3 6 3 4 3" xfId="21596" xr:uid="{00000000-0005-0000-0000-000026130000}"/>
    <cellStyle name="20% - Accent3 6 3 4 3 2" xfId="45428" xr:uid="{F0A5B062-1096-417D-AC58-21440D8C8DDA}"/>
    <cellStyle name="20% - Accent3 6 3 4 4" xfId="29550" xr:uid="{31AE9161-6DBD-4718-B705-BFA9D2D38897}"/>
    <cellStyle name="20% - Accent3 6 3 5" xfId="9217" xr:uid="{00000000-0005-0000-0000-000027130000}"/>
    <cellStyle name="20% - Accent3 6 3 5 2" xfId="17175" xr:uid="{00000000-0005-0000-0000-000028130000}"/>
    <cellStyle name="20% - Accent3 6 3 5 2 2" xfId="41015" xr:uid="{C778CA65-8316-4538-8B8C-1E03BEC1832E}"/>
    <cellStyle name="20% - Accent3 6 3 5 3" xfId="25119" xr:uid="{00000000-0005-0000-0000-000029130000}"/>
    <cellStyle name="20% - Accent3 6 3 5 3 2" xfId="48951" xr:uid="{632117C5-D685-4DC0-A283-2BAE0FF951CA}"/>
    <cellStyle name="20% - Accent3 6 3 5 4" xfId="33074" xr:uid="{2264F270-6AE5-4CC0-9A8E-956B8CAA4DB7}"/>
    <cellStyle name="20% - Accent3 6 3 6" xfId="10113" xr:uid="{00000000-0005-0000-0000-00002A130000}"/>
    <cellStyle name="20% - Accent3 6 3 6 2" xfId="33962" xr:uid="{C2451C53-17DB-4D5C-ABC2-BF4F689C9BEF}"/>
    <cellStyle name="20% - Accent3 6 3 7" xfId="18068" xr:uid="{00000000-0005-0000-0000-00002B130000}"/>
    <cellStyle name="20% - Accent3 6 3 7 2" xfId="41900" xr:uid="{E1AB56F9-56A1-4D2A-80F6-27A714063813}"/>
    <cellStyle name="20% - Accent3 6 3 8" xfId="26020" xr:uid="{B68FEB38-E54E-4858-B260-2626EA4A1BFE}"/>
    <cellStyle name="20% - Accent3 6 3_Exh G" xfId="2278" xr:uid="{00000000-0005-0000-0000-00002C130000}"/>
    <cellStyle name="20% - Accent3 6 4" xfId="894" xr:uid="{00000000-0005-0000-0000-00002D130000}"/>
    <cellStyle name="20% - Accent3 6 4 2" xfId="1825" xr:uid="{00000000-0005-0000-0000-00002E130000}"/>
    <cellStyle name="20% - Accent3 6 4 2 2" xfId="5343" xr:uid="{00000000-0005-0000-0000-00002F130000}"/>
    <cellStyle name="20% - Accent3 6 4 2 2 2" xfId="8934" xr:uid="{00000000-0005-0000-0000-000030130000}"/>
    <cellStyle name="20% - Accent3 6 4 2 2 2 2" xfId="16905" xr:uid="{00000000-0005-0000-0000-000031130000}"/>
    <cellStyle name="20% - Accent3 6 4 2 2 2 2 2" xfId="40747" xr:uid="{39D38B52-B417-4067-874D-914E06854D6E}"/>
    <cellStyle name="20% - Accent3 6 4 2 2 2 3" xfId="24851" xr:uid="{00000000-0005-0000-0000-000032130000}"/>
    <cellStyle name="20% - Accent3 6 4 2 2 2 3 2" xfId="48683" xr:uid="{1FA85CAB-2BDB-47A6-A3D0-76A66BB2D0CB}"/>
    <cellStyle name="20% - Accent3 6 4 2 2 2 4" xfId="32806" xr:uid="{695EC9B3-4989-4987-9972-68103A8BD380}"/>
    <cellStyle name="20% - Accent3 6 4 2 2 3" xfId="13367" xr:uid="{00000000-0005-0000-0000-000033130000}"/>
    <cellStyle name="20% - Accent3 6 4 2 2 3 2" xfId="37216" xr:uid="{2F97A3DF-7C93-48A6-9CB2-F9ECA7C54B20}"/>
    <cellStyle name="20% - Accent3 6 4 2 2 4" xfId="21322" xr:uid="{00000000-0005-0000-0000-000034130000}"/>
    <cellStyle name="20% - Accent3 6 4 2 2 4 2" xfId="45154" xr:uid="{4AE1A3B6-5D7D-4327-9C8A-34BACB740074}"/>
    <cellStyle name="20% - Accent3 6 4 2 2 5" xfId="29275" xr:uid="{A6DD0150-77A0-4599-95BA-52B6478A7B38}"/>
    <cellStyle name="20% - Accent3 6 4 2 3" xfId="7175" xr:uid="{00000000-0005-0000-0000-000035130000}"/>
    <cellStyle name="20% - Accent3 6 4 2 3 2" xfId="15147" xr:uid="{00000000-0005-0000-0000-000036130000}"/>
    <cellStyle name="20% - Accent3 6 4 2 3 2 2" xfId="38989" xr:uid="{D73A8692-9F02-4427-9B44-A3839206147B}"/>
    <cellStyle name="20% - Accent3 6 4 2 3 3" xfId="23094" xr:uid="{00000000-0005-0000-0000-000037130000}"/>
    <cellStyle name="20% - Accent3 6 4 2 3 3 2" xfId="46926" xr:uid="{9BF9C506-D566-4433-A979-473D55BFFD34}"/>
    <cellStyle name="20% - Accent3 6 4 2 3 4" xfId="31048" xr:uid="{C24CC51E-C89E-47AF-AFC8-BEC101974E9B}"/>
    <cellStyle name="20% - Accent3 6 4 2 4" xfId="11611" xr:uid="{00000000-0005-0000-0000-000038130000}"/>
    <cellStyle name="20% - Accent3 6 4 2 4 2" xfId="35460" xr:uid="{ECE9216D-0731-4379-9C16-FFDB1473EC42}"/>
    <cellStyle name="20% - Accent3 6 4 2 5" xfId="19566" xr:uid="{00000000-0005-0000-0000-000039130000}"/>
    <cellStyle name="20% - Accent3 6 4 2 5 2" xfId="43398" xr:uid="{76936206-1DFC-477B-97CA-C5120F118878}"/>
    <cellStyle name="20% - Accent3 6 4 2 6" xfId="27518" xr:uid="{CABB3061-9BD8-449D-80C6-23EC1091BDB4}"/>
    <cellStyle name="20% - Accent3 6 4 2_Exh G" xfId="2281" xr:uid="{00000000-0005-0000-0000-00003A130000}"/>
    <cellStyle name="20% - Accent3 6 4 3" xfId="4464" xr:uid="{00000000-0005-0000-0000-00003B130000}"/>
    <cellStyle name="20% - Accent3 6 4 3 2" xfId="8056" xr:uid="{00000000-0005-0000-0000-00003C130000}"/>
    <cellStyle name="20% - Accent3 6 4 3 2 2" xfId="16027" xr:uid="{00000000-0005-0000-0000-00003D130000}"/>
    <cellStyle name="20% - Accent3 6 4 3 2 2 2" xfId="39869" xr:uid="{B643609E-9D9C-48BF-B18A-D094E9379AC3}"/>
    <cellStyle name="20% - Accent3 6 4 3 2 3" xfId="23973" xr:uid="{00000000-0005-0000-0000-00003E130000}"/>
    <cellStyle name="20% - Accent3 6 4 3 2 3 2" xfId="47805" xr:uid="{C174CC4A-3C25-4981-88E2-B488EEE7E64E}"/>
    <cellStyle name="20% - Accent3 6 4 3 2 4" xfId="31928" xr:uid="{9FBCA08F-DB64-41AD-B2A5-289DA577DC0C}"/>
    <cellStyle name="20% - Accent3 6 4 3 3" xfId="12489" xr:uid="{00000000-0005-0000-0000-00003F130000}"/>
    <cellStyle name="20% - Accent3 6 4 3 3 2" xfId="36338" xr:uid="{7722DFBC-C52F-44E2-AFC8-1959B0CDC56C}"/>
    <cellStyle name="20% - Accent3 6 4 3 4" xfId="20444" xr:uid="{00000000-0005-0000-0000-000040130000}"/>
    <cellStyle name="20% - Accent3 6 4 3 4 2" xfId="44276" xr:uid="{451246AF-CB33-4ED6-8F8B-092F6721889C}"/>
    <cellStyle name="20% - Accent3 6 4 3 5" xfId="28397" xr:uid="{92C22965-F548-4A81-98F5-E587D0F0D8BC}"/>
    <cellStyle name="20% - Accent3 6 4 4" xfId="6294" xr:uid="{00000000-0005-0000-0000-000041130000}"/>
    <cellStyle name="20% - Accent3 6 4 4 2" xfId="14269" xr:uid="{00000000-0005-0000-0000-000042130000}"/>
    <cellStyle name="20% - Accent3 6 4 4 2 2" xfId="38111" xr:uid="{EF835A2E-4D51-41EF-9D62-8DC700833600}"/>
    <cellStyle name="20% - Accent3 6 4 4 3" xfId="22216" xr:uid="{00000000-0005-0000-0000-000043130000}"/>
    <cellStyle name="20% - Accent3 6 4 4 3 2" xfId="46048" xr:uid="{805BC80B-8732-44D5-8DC9-C0FCE15A8271}"/>
    <cellStyle name="20% - Accent3 6 4 4 4" xfId="30170" xr:uid="{35F036AD-5F44-4AF3-9416-17C589BF6917}"/>
    <cellStyle name="20% - Accent3 6 4 5" xfId="9837" xr:uid="{00000000-0005-0000-0000-000044130000}"/>
    <cellStyle name="20% - Accent3 6 4 5 2" xfId="17795" xr:uid="{00000000-0005-0000-0000-000045130000}"/>
    <cellStyle name="20% - Accent3 6 4 5 2 2" xfId="41635" xr:uid="{CA424F05-410C-43DE-9BF3-1AA7DF1ECA6F}"/>
    <cellStyle name="20% - Accent3 6 4 5 3" xfId="25739" xr:uid="{00000000-0005-0000-0000-000046130000}"/>
    <cellStyle name="20% - Accent3 6 4 5 3 2" xfId="49571" xr:uid="{AF87AB56-65B8-42A4-996A-7CFBCE5259B5}"/>
    <cellStyle name="20% - Accent3 6 4 5 4" xfId="33694" xr:uid="{006DD90E-F48E-43B2-A4DF-01C26F3B5D43}"/>
    <cellStyle name="20% - Accent3 6 4 6" xfId="10733" xr:uid="{00000000-0005-0000-0000-000047130000}"/>
    <cellStyle name="20% - Accent3 6 4 6 2" xfId="34582" xr:uid="{7E2A5902-5EBF-4F97-AFDD-CEE06884A494}"/>
    <cellStyle name="20% - Accent3 6 4 7" xfId="18688" xr:uid="{00000000-0005-0000-0000-000048130000}"/>
    <cellStyle name="20% - Accent3 6 4 7 2" xfId="42520" xr:uid="{3B069D40-F502-48A5-AC60-B47B130B1301}"/>
    <cellStyle name="20% - Accent3 6 4 8" xfId="26640" xr:uid="{2B09830D-9741-42D1-8B11-627D6CCEA92E}"/>
    <cellStyle name="20% - Accent3 6 4_Exh G" xfId="2280" xr:uid="{00000000-0005-0000-0000-000049130000}"/>
    <cellStyle name="20% - Accent3 6 5" xfId="1190" xr:uid="{00000000-0005-0000-0000-00004A130000}"/>
    <cellStyle name="20% - Accent3 6 5 2" xfId="4720" xr:uid="{00000000-0005-0000-0000-00004B130000}"/>
    <cellStyle name="20% - Accent3 6 5 2 2" xfId="8311" xr:uid="{00000000-0005-0000-0000-00004C130000}"/>
    <cellStyle name="20% - Accent3 6 5 2 2 2" xfId="16282" xr:uid="{00000000-0005-0000-0000-00004D130000}"/>
    <cellStyle name="20% - Accent3 6 5 2 2 2 2" xfId="40124" xr:uid="{E93BD5D7-A167-49B0-9CC9-14E0CF1F9F7F}"/>
    <cellStyle name="20% - Accent3 6 5 2 2 3" xfId="24228" xr:uid="{00000000-0005-0000-0000-00004E130000}"/>
    <cellStyle name="20% - Accent3 6 5 2 2 3 2" xfId="48060" xr:uid="{28C77BC0-72FE-411E-88D0-38AE7582C0B3}"/>
    <cellStyle name="20% - Accent3 6 5 2 2 4" xfId="32183" xr:uid="{068EA3AD-78DA-4DA5-A59C-26E7B2F100DA}"/>
    <cellStyle name="20% - Accent3 6 5 2 3" xfId="12744" xr:uid="{00000000-0005-0000-0000-00004F130000}"/>
    <cellStyle name="20% - Accent3 6 5 2 3 2" xfId="36593" xr:uid="{0055D75B-DF20-49D1-B9CC-4F6F0EF5E4DC}"/>
    <cellStyle name="20% - Accent3 6 5 2 4" xfId="20699" xr:uid="{00000000-0005-0000-0000-000050130000}"/>
    <cellStyle name="20% - Accent3 6 5 2 4 2" xfId="44531" xr:uid="{4B037008-A638-43FA-80EB-ADB80A832C67}"/>
    <cellStyle name="20% - Accent3 6 5 2 5" xfId="28652" xr:uid="{92B6B4D8-DF75-4B7F-8681-2263A23D7D3D}"/>
    <cellStyle name="20% - Accent3 6 5 3" xfId="6552" xr:uid="{00000000-0005-0000-0000-000051130000}"/>
    <cellStyle name="20% - Accent3 6 5 3 2" xfId="14524" xr:uid="{00000000-0005-0000-0000-000052130000}"/>
    <cellStyle name="20% - Accent3 6 5 3 2 2" xfId="38366" xr:uid="{45641752-2A70-4108-9752-D9C3B092D3A9}"/>
    <cellStyle name="20% - Accent3 6 5 3 3" xfId="22471" xr:uid="{00000000-0005-0000-0000-000053130000}"/>
    <cellStyle name="20% - Accent3 6 5 3 3 2" xfId="46303" xr:uid="{69DFBF6D-E562-4DC1-B614-38DAAFEBE34F}"/>
    <cellStyle name="20% - Accent3 6 5 3 4" xfId="30425" xr:uid="{30E6C99D-F4DE-447E-A132-AC8103B617BE}"/>
    <cellStyle name="20% - Accent3 6 5 4" xfId="10988" xr:uid="{00000000-0005-0000-0000-000054130000}"/>
    <cellStyle name="20% - Accent3 6 5 4 2" xfId="34837" xr:uid="{A06D4D6E-A7AA-4306-9531-596A51C2F9FE}"/>
    <cellStyle name="20% - Accent3 6 5 5" xfId="18943" xr:uid="{00000000-0005-0000-0000-000055130000}"/>
    <cellStyle name="20% - Accent3 6 5 5 2" xfId="42775" xr:uid="{BD3F7F6C-3665-4B72-9013-DAABB1953D72}"/>
    <cellStyle name="20% - Accent3 6 5 6" xfId="26895" xr:uid="{1B11ABA8-B80D-4912-928F-4A9FBE4C12FF}"/>
    <cellStyle name="20% - Accent3 6 5_Exh G" xfId="2282" xr:uid="{00000000-0005-0000-0000-000056130000}"/>
    <cellStyle name="20% - Accent3 6 6" xfId="3841" xr:uid="{00000000-0005-0000-0000-000057130000}"/>
    <cellStyle name="20% - Accent3 6 6 2" xfId="7433" xr:uid="{00000000-0005-0000-0000-000058130000}"/>
    <cellStyle name="20% - Accent3 6 6 2 2" xfId="15404" xr:uid="{00000000-0005-0000-0000-000059130000}"/>
    <cellStyle name="20% - Accent3 6 6 2 2 2" xfId="39246" xr:uid="{9A1029DE-6753-4890-B2FC-E34E50E8FEE6}"/>
    <cellStyle name="20% - Accent3 6 6 2 3" xfId="23350" xr:uid="{00000000-0005-0000-0000-00005A130000}"/>
    <cellStyle name="20% - Accent3 6 6 2 3 2" xfId="47182" xr:uid="{3138037C-67E2-4A4B-8701-85A72DFDC8D0}"/>
    <cellStyle name="20% - Accent3 6 6 2 4" xfId="31305" xr:uid="{4FDFF869-78FD-418D-AE41-ABBF8FCC2418}"/>
    <cellStyle name="20% - Accent3 6 6 3" xfId="11866" xr:uid="{00000000-0005-0000-0000-00005B130000}"/>
    <cellStyle name="20% - Accent3 6 6 3 2" xfId="35715" xr:uid="{94F7F5E3-F444-42C2-95DF-6B4F10278BBA}"/>
    <cellStyle name="20% - Accent3 6 6 4" xfId="19821" xr:uid="{00000000-0005-0000-0000-00005C130000}"/>
    <cellStyle name="20% - Accent3 6 6 4 2" xfId="43653" xr:uid="{6D557031-DF3A-4DBF-B33A-2B2C07BE677A}"/>
    <cellStyle name="20% - Accent3 6 6 5" xfId="27774" xr:uid="{B4A1D0D7-DA54-41DD-AAF1-2C8FCB2B6DEC}"/>
    <cellStyle name="20% - Accent3 6 7" xfId="5661" xr:uid="{00000000-0005-0000-0000-00005D130000}"/>
    <cellStyle name="20% - Accent3 6 7 2" xfId="13645" xr:uid="{00000000-0005-0000-0000-00005E130000}"/>
    <cellStyle name="20% - Accent3 6 7 2 2" xfId="37488" xr:uid="{8E425D2A-AC14-4FB6-8074-EC4498BE1C4E}"/>
    <cellStyle name="20% - Accent3 6 7 3" xfId="21593" xr:uid="{00000000-0005-0000-0000-00005F130000}"/>
    <cellStyle name="20% - Accent3 6 7 3 2" xfId="45425" xr:uid="{F57F1C6A-9DC7-4285-BF69-2C639C66179C}"/>
    <cellStyle name="20% - Accent3 6 7 4" xfId="29547" xr:uid="{1E33980F-FAD9-41ED-892B-68347F45B74A}"/>
    <cellStyle name="20% - Accent3 6 8" xfId="9214" xr:uid="{00000000-0005-0000-0000-000060130000}"/>
    <cellStyle name="20% - Accent3 6 8 2" xfId="17172" xr:uid="{00000000-0005-0000-0000-000061130000}"/>
    <cellStyle name="20% - Accent3 6 8 2 2" xfId="41012" xr:uid="{2CE5CA4E-8940-4CBE-A103-34409878BAEA}"/>
    <cellStyle name="20% - Accent3 6 8 3" xfId="25116" xr:uid="{00000000-0005-0000-0000-000062130000}"/>
    <cellStyle name="20% - Accent3 6 8 3 2" xfId="48948" xr:uid="{4CE10670-C12E-4026-B86B-4D61E9E15B18}"/>
    <cellStyle name="20% - Accent3 6 8 4" xfId="33071" xr:uid="{73CEFD03-B473-4B9C-BF46-42613E58F987}"/>
    <cellStyle name="20% - Accent3 6 9" xfId="10110" xr:uid="{00000000-0005-0000-0000-000063130000}"/>
    <cellStyle name="20% - Accent3 6 9 2" xfId="33959" xr:uid="{C7E579E0-8842-406E-A12B-617A9D90A960}"/>
    <cellStyle name="20% - Accent3 6_Exh G" xfId="2273" xr:uid="{00000000-0005-0000-0000-000064130000}"/>
    <cellStyle name="20% - Accent3 7" xfId="166" xr:uid="{00000000-0005-0000-0000-000065130000}"/>
    <cellStyle name="20% - Accent3 7 10" xfId="18069" xr:uid="{00000000-0005-0000-0000-000066130000}"/>
    <cellStyle name="20% - Accent3 7 10 2" xfId="41901" xr:uid="{435D9D7D-0CAB-4A29-B02B-4CD1DF968CE6}"/>
    <cellStyle name="20% - Accent3 7 11" xfId="26021" xr:uid="{03EB0177-8DD7-46F7-9E65-6204CA880862}"/>
    <cellStyle name="20% - Accent3 7 2" xfId="167" xr:uid="{00000000-0005-0000-0000-000067130000}"/>
    <cellStyle name="20% - Accent3 7 2 2" xfId="168" xr:uid="{00000000-0005-0000-0000-000068130000}"/>
    <cellStyle name="20% - Accent3 7 2 2 2" xfId="1196" xr:uid="{00000000-0005-0000-0000-000069130000}"/>
    <cellStyle name="20% - Accent3 7 2 2 2 2" xfId="4726" xr:uid="{00000000-0005-0000-0000-00006A130000}"/>
    <cellStyle name="20% - Accent3 7 2 2 2 2 2" xfId="8317" xr:uid="{00000000-0005-0000-0000-00006B130000}"/>
    <cellStyle name="20% - Accent3 7 2 2 2 2 2 2" xfId="16288" xr:uid="{00000000-0005-0000-0000-00006C130000}"/>
    <cellStyle name="20% - Accent3 7 2 2 2 2 2 2 2" xfId="40130" xr:uid="{2AAB54A0-7FDB-4876-94B7-68EB9D29FD1F}"/>
    <cellStyle name="20% - Accent3 7 2 2 2 2 2 3" xfId="24234" xr:uid="{00000000-0005-0000-0000-00006D130000}"/>
    <cellStyle name="20% - Accent3 7 2 2 2 2 2 3 2" xfId="48066" xr:uid="{1E036F6A-1F08-4D29-B9D0-5A2992775906}"/>
    <cellStyle name="20% - Accent3 7 2 2 2 2 2 4" xfId="32189" xr:uid="{D2302B1A-2BC3-458B-AF17-D2D408B9FB86}"/>
    <cellStyle name="20% - Accent3 7 2 2 2 2 3" xfId="12750" xr:uid="{00000000-0005-0000-0000-00006E130000}"/>
    <cellStyle name="20% - Accent3 7 2 2 2 2 3 2" xfId="36599" xr:uid="{78869085-4FA4-4346-8974-FFA5553CF056}"/>
    <cellStyle name="20% - Accent3 7 2 2 2 2 4" xfId="20705" xr:uid="{00000000-0005-0000-0000-00006F130000}"/>
    <cellStyle name="20% - Accent3 7 2 2 2 2 4 2" xfId="44537" xr:uid="{96477FC9-AA45-4992-9746-2689BE91C739}"/>
    <cellStyle name="20% - Accent3 7 2 2 2 2 5" xfId="28658" xr:uid="{C3C78958-8D78-4409-B1E0-C064D53C3CC2}"/>
    <cellStyle name="20% - Accent3 7 2 2 2 3" xfId="6558" xr:uid="{00000000-0005-0000-0000-000070130000}"/>
    <cellStyle name="20% - Accent3 7 2 2 2 3 2" xfId="14530" xr:uid="{00000000-0005-0000-0000-000071130000}"/>
    <cellStyle name="20% - Accent3 7 2 2 2 3 2 2" xfId="38372" xr:uid="{32359BA8-D68B-4CA7-A3C6-F6531E0F066B}"/>
    <cellStyle name="20% - Accent3 7 2 2 2 3 3" xfId="22477" xr:uid="{00000000-0005-0000-0000-000072130000}"/>
    <cellStyle name="20% - Accent3 7 2 2 2 3 3 2" xfId="46309" xr:uid="{E4D311EE-64CC-47CD-A841-C7A9F217FEDE}"/>
    <cellStyle name="20% - Accent3 7 2 2 2 3 4" xfId="30431" xr:uid="{DCC45A86-FDE5-409C-8A29-13902F36C647}"/>
    <cellStyle name="20% - Accent3 7 2 2 2 4" xfId="10994" xr:uid="{00000000-0005-0000-0000-000073130000}"/>
    <cellStyle name="20% - Accent3 7 2 2 2 4 2" xfId="34843" xr:uid="{012AD5A8-2892-4893-9907-9E7EA381DDDC}"/>
    <cellStyle name="20% - Accent3 7 2 2 2 5" xfId="18949" xr:uid="{00000000-0005-0000-0000-000074130000}"/>
    <cellStyle name="20% - Accent3 7 2 2 2 5 2" xfId="42781" xr:uid="{BB4C86F0-E593-4B10-9237-DBED96423483}"/>
    <cellStyle name="20% - Accent3 7 2 2 2 6" xfId="26901" xr:uid="{74F4A31C-49B7-4EC8-90FF-934D641BE79A}"/>
    <cellStyle name="20% - Accent3 7 2 2 2_Exh G" xfId="2286" xr:uid="{00000000-0005-0000-0000-000075130000}"/>
    <cellStyle name="20% - Accent3 7 2 2 3" xfId="3847" xr:uid="{00000000-0005-0000-0000-000076130000}"/>
    <cellStyle name="20% - Accent3 7 2 2 3 2" xfId="7439" xr:uid="{00000000-0005-0000-0000-000077130000}"/>
    <cellStyle name="20% - Accent3 7 2 2 3 2 2" xfId="15410" xr:uid="{00000000-0005-0000-0000-000078130000}"/>
    <cellStyle name="20% - Accent3 7 2 2 3 2 2 2" xfId="39252" xr:uid="{46190A47-9BB8-4CDD-BEFF-3601505D4C96}"/>
    <cellStyle name="20% - Accent3 7 2 2 3 2 3" xfId="23356" xr:uid="{00000000-0005-0000-0000-000079130000}"/>
    <cellStyle name="20% - Accent3 7 2 2 3 2 3 2" xfId="47188" xr:uid="{7C549447-34AC-4E91-86CD-206723E80DFF}"/>
    <cellStyle name="20% - Accent3 7 2 2 3 2 4" xfId="31311" xr:uid="{4B9373EB-3516-416E-9D5B-85EF494AD5FB}"/>
    <cellStyle name="20% - Accent3 7 2 2 3 3" xfId="11872" xr:uid="{00000000-0005-0000-0000-00007A130000}"/>
    <cellStyle name="20% - Accent3 7 2 2 3 3 2" xfId="35721" xr:uid="{3799BAC6-543D-4B3A-8EE4-F91525859534}"/>
    <cellStyle name="20% - Accent3 7 2 2 3 4" xfId="19827" xr:uid="{00000000-0005-0000-0000-00007B130000}"/>
    <cellStyle name="20% - Accent3 7 2 2 3 4 2" xfId="43659" xr:uid="{F13409E1-CF51-4E93-AE31-A58A020E8860}"/>
    <cellStyle name="20% - Accent3 7 2 2 3 5" xfId="27780" xr:uid="{DF5FBE9C-D314-4EB9-9C8A-27089A9E21EE}"/>
    <cellStyle name="20% - Accent3 7 2 2 4" xfId="5667" xr:uid="{00000000-0005-0000-0000-00007C130000}"/>
    <cellStyle name="20% - Accent3 7 2 2 4 2" xfId="13651" xr:uid="{00000000-0005-0000-0000-00007D130000}"/>
    <cellStyle name="20% - Accent3 7 2 2 4 2 2" xfId="37494" xr:uid="{1FC6AD10-2C68-4961-8FAF-6A4D5A18E574}"/>
    <cellStyle name="20% - Accent3 7 2 2 4 3" xfId="21599" xr:uid="{00000000-0005-0000-0000-00007E130000}"/>
    <cellStyle name="20% - Accent3 7 2 2 4 3 2" xfId="45431" xr:uid="{29321924-A680-4FF6-B69D-2B9363546A51}"/>
    <cellStyle name="20% - Accent3 7 2 2 4 4" xfId="29553" xr:uid="{1CA5AA11-CEB7-4417-8BDD-8E56B2548EB7}"/>
    <cellStyle name="20% - Accent3 7 2 2 5" xfId="9220" xr:uid="{00000000-0005-0000-0000-00007F130000}"/>
    <cellStyle name="20% - Accent3 7 2 2 5 2" xfId="17178" xr:uid="{00000000-0005-0000-0000-000080130000}"/>
    <cellStyle name="20% - Accent3 7 2 2 5 2 2" xfId="41018" xr:uid="{D406AECF-D367-4902-A03D-036EBEE28B2F}"/>
    <cellStyle name="20% - Accent3 7 2 2 5 3" xfId="25122" xr:uid="{00000000-0005-0000-0000-000081130000}"/>
    <cellStyle name="20% - Accent3 7 2 2 5 3 2" xfId="48954" xr:uid="{E40E2ACF-358A-4242-872C-1458D3D54C6F}"/>
    <cellStyle name="20% - Accent3 7 2 2 5 4" xfId="33077" xr:uid="{845437C6-F356-4F2E-A494-FC4B505A8ADC}"/>
    <cellStyle name="20% - Accent3 7 2 2 6" xfId="10116" xr:uid="{00000000-0005-0000-0000-000082130000}"/>
    <cellStyle name="20% - Accent3 7 2 2 6 2" xfId="33965" xr:uid="{14EB5DA5-0AB1-4444-8657-5E748ACCC904}"/>
    <cellStyle name="20% - Accent3 7 2 2 7" xfId="18071" xr:uid="{00000000-0005-0000-0000-000083130000}"/>
    <cellStyle name="20% - Accent3 7 2 2 7 2" xfId="41903" xr:uid="{02FC6689-D671-490E-980E-0FC021769F52}"/>
    <cellStyle name="20% - Accent3 7 2 2 8" xfId="26023" xr:uid="{8E18429A-C484-4766-B2C1-450F9A565A89}"/>
    <cellStyle name="20% - Accent3 7 2 2_Exh G" xfId="2285" xr:uid="{00000000-0005-0000-0000-000084130000}"/>
    <cellStyle name="20% - Accent3 7 2 3" xfId="1195" xr:uid="{00000000-0005-0000-0000-000085130000}"/>
    <cellStyle name="20% - Accent3 7 2 3 2" xfId="4725" xr:uid="{00000000-0005-0000-0000-000086130000}"/>
    <cellStyle name="20% - Accent3 7 2 3 2 2" xfId="8316" xr:uid="{00000000-0005-0000-0000-000087130000}"/>
    <cellStyle name="20% - Accent3 7 2 3 2 2 2" xfId="16287" xr:uid="{00000000-0005-0000-0000-000088130000}"/>
    <cellStyle name="20% - Accent3 7 2 3 2 2 2 2" xfId="40129" xr:uid="{586298E0-BE39-4BEB-BA09-44DB22C4398F}"/>
    <cellStyle name="20% - Accent3 7 2 3 2 2 3" xfId="24233" xr:uid="{00000000-0005-0000-0000-000089130000}"/>
    <cellStyle name="20% - Accent3 7 2 3 2 2 3 2" xfId="48065" xr:uid="{617138B5-6366-4909-8CC3-2E9B26EF42C5}"/>
    <cellStyle name="20% - Accent3 7 2 3 2 2 4" xfId="32188" xr:uid="{2099908E-074C-44E7-A4BA-D154CCFC037A}"/>
    <cellStyle name="20% - Accent3 7 2 3 2 3" xfId="12749" xr:uid="{00000000-0005-0000-0000-00008A130000}"/>
    <cellStyle name="20% - Accent3 7 2 3 2 3 2" xfId="36598" xr:uid="{CA07EE53-7293-4273-8CCC-E7602BA179CF}"/>
    <cellStyle name="20% - Accent3 7 2 3 2 4" xfId="20704" xr:uid="{00000000-0005-0000-0000-00008B130000}"/>
    <cellStyle name="20% - Accent3 7 2 3 2 4 2" xfId="44536" xr:uid="{30C47542-B1F5-46FA-ABC1-B8A86C074A66}"/>
    <cellStyle name="20% - Accent3 7 2 3 2 5" xfId="28657" xr:uid="{57BD1A26-9E5D-44E2-967D-CA90BE3BCDFC}"/>
    <cellStyle name="20% - Accent3 7 2 3 3" xfId="6557" xr:uid="{00000000-0005-0000-0000-00008C130000}"/>
    <cellStyle name="20% - Accent3 7 2 3 3 2" xfId="14529" xr:uid="{00000000-0005-0000-0000-00008D130000}"/>
    <cellStyle name="20% - Accent3 7 2 3 3 2 2" xfId="38371" xr:uid="{56E4CB60-4C25-4937-93FB-AEB2B38ADB27}"/>
    <cellStyle name="20% - Accent3 7 2 3 3 3" xfId="22476" xr:uid="{00000000-0005-0000-0000-00008E130000}"/>
    <cellStyle name="20% - Accent3 7 2 3 3 3 2" xfId="46308" xr:uid="{3CF5FC6A-1838-4379-895B-0EB3F3C6FA15}"/>
    <cellStyle name="20% - Accent3 7 2 3 3 4" xfId="30430" xr:uid="{B7754247-3441-4875-9A70-49E4DFCF9573}"/>
    <cellStyle name="20% - Accent3 7 2 3 4" xfId="10993" xr:uid="{00000000-0005-0000-0000-00008F130000}"/>
    <cellStyle name="20% - Accent3 7 2 3 4 2" xfId="34842" xr:uid="{94D1A584-DAA4-44E0-8F6B-CBC82BF2FB0B}"/>
    <cellStyle name="20% - Accent3 7 2 3 5" xfId="18948" xr:uid="{00000000-0005-0000-0000-000090130000}"/>
    <cellStyle name="20% - Accent3 7 2 3 5 2" xfId="42780" xr:uid="{319579C0-0378-498A-83AC-52A3885E19D4}"/>
    <cellStyle name="20% - Accent3 7 2 3 6" xfId="26900" xr:uid="{7C56C5FB-695A-4F92-BCC5-F497DE672CAA}"/>
    <cellStyle name="20% - Accent3 7 2 3_Exh G" xfId="2287" xr:uid="{00000000-0005-0000-0000-000091130000}"/>
    <cellStyle name="20% - Accent3 7 2 4" xfId="3846" xr:uid="{00000000-0005-0000-0000-000092130000}"/>
    <cellStyle name="20% - Accent3 7 2 4 2" xfId="7438" xr:uid="{00000000-0005-0000-0000-000093130000}"/>
    <cellStyle name="20% - Accent3 7 2 4 2 2" xfId="15409" xr:uid="{00000000-0005-0000-0000-000094130000}"/>
    <cellStyle name="20% - Accent3 7 2 4 2 2 2" xfId="39251" xr:uid="{461D92C7-B43B-4753-80D8-D2BB4CA88117}"/>
    <cellStyle name="20% - Accent3 7 2 4 2 3" xfId="23355" xr:uid="{00000000-0005-0000-0000-000095130000}"/>
    <cellStyle name="20% - Accent3 7 2 4 2 3 2" xfId="47187" xr:uid="{79CDED39-C01D-43DA-B9A6-F367662A51C1}"/>
    <cellStyle name="20% - Accent3 7 2 4 2 4" xfId="31310" xr:uid="{4EE5E472-5411-4285-B0EC-A3A744A6AE48}"/>
    <cellStyle name="20% - Accent3 7 2 4 3" xfId="11871" xr:uid="{00000000-0005-0000-0000-000096130000}"/>
    <cellStyle name="20% - Accent3 7 2 4 3 2" xfId="35720" xr:uid="{40FB5959-5F5C-4DC6-B8DA-702C33FF299A}"/>
    <cellStyle name="20% - Accent3 7 2 4 4" xfId="19826" xr:uid="{00000000-0005-0000-0000-000097130000}"/>
    <cellStyle name="20% - Accent3 7 2 4 4 2" xfId="43658" xr:uid="{D01B57C9-A511-46B9-B874-DD3DF5957597}"/>
    <cellStyle name="20% - Accent3 7 2 4 5" xfId="27779" xr:uid="{72F0AAC7-5950-4904-B097-6BBD9330B9DB}"/>
    <cellStyle name="20% - Accent3 7 2 5" xfId="5666" xr:uid="{00000000-0005-0000-0000-000098130000}"/>
    <cellStyle name="20% - Accent3 7 2 5 2" xfId="13650" xr:uid="{00000000-0005-0000-0000-000099130000}"/>
    <cellStyle name="20% - Accent3 7 2 5 2 2" xfId="37493" xr:uid="{FC3A77DA-91EF-4A80-8193-87F4ACAC45F8}"/>
    <cellStyle name="20% - Accent3 7 2 5 3" xfId="21598" xr:uid="{00000000-0005-0000-0000-00009A130000}"/>
    <cellStyle name="20% - Accent3 7 2 5 3 2" xfId="45430" xr:uid="{228FB966-7265-4750-8C65-8CA4E88A5801}"/>
    <cellStyle name="20% - Accent3 7 2 5 4" xfId="29552" xr:uid="{0BF5D4C0-690B-495D-8F78-CEA010203E5C}"/>
    <cellStyle name="20% - Accent3 7 2 6" xfId="9219" xr:uid="{00000000-0005-0000-0000-00009B130000}"/>
    <cellStyle name="20% - Accent3 7 2 6 2" xfId="17177" xr:uid="{00000000-0005-0000-0000-00009C130000}"/>
    <cellStyle name="20% - Accent3 7 2 6 2 2" xfId="41017" xr:uid="{EF9200CF-152C-40C8-A6E0-D4F468DD85DB}"/>
    <cellStyle name="20% - Accent3 7 2 6 3" xfId="25121" xr:uid="{00000000-0005-0000-0000-00009D130000}"/>
    <cellStyle name="20% - Accent3 7 2 6 3 2" xfId="48953" xr:uid="{F906FC2F-028E-4ADC-A154-804350BA6478}"/>
    <cellStyle name="20% - Accent3 7 2 6 4" xfId="33076" xr:uid="{EAD23473-0887-4287-B700-4A7F81B2ADCF}"/>
    <cellStyle name="20% - Accent3 7 2 7" xfId="10115" xr:uid="{00000000-0005-0000-0000-00009E130000}"/>
    <cellStyle name="20% - Accent3 7 2 7 2" xfId="33964" xr:uid="{EC33D501-8470-47FB-BBA8-3F38CC20602F}"/>
    <cellStyle name="20% - Accent3 7 2 8" xfId="18070" xr:uid="{00000000-0005-0000-0000-00009F130000}"/>
    <cellStyle name="20% - Accent3 7 2 8 2" xfId="41902" xr:uid="{0610D34E-9DAC-4E51-9BA5-11711E3C6D28}"/>
    <cellStyle name="20% - Accent3 7 2 9" xfId="26022" xr:uid="{30C09B04-F50D-4518-B268-8B92571F82D0}"/>
    <cellStyle name="20% - Accent3 7 2_Exh G" xfId="2284" xr:uid="{00000000-0005-0000-0000-0000A0130000}"/>
    <cellStyle name="20% - Accent3 7 3" xfId="169" xr:uid="{00000000-0005-0000-0000-0000A1130000}"/>
    <cellStyle name="20% - Accent3 7 3 2" xfId="1197" xr:uid="{00000000-0005-0000-0000-0000A2130000}"/>
    <cellStyle name="20% - Accent3 7 3 2 2" xfId="4727" xr:uid="{00000000-0005-0000-0000-0000A3130000}"/>
    <cellStyle name="20% - Accent3 7 3 2 2 2" xfId="8318" xr:uid="{00000000-0005-0000-0000-0000A4130000}"/>
    <cellStyle name="20% - Accent3 7 3 2 2 2 2" xfId="16289" xr:uid="{00000000-0005-0000-0000-0000A5130000}"/>
    <cellStyle name="20% - Accent3 7 3 2 2 2 2 2" xfId="40131" xr:uid="{49DF3DDC-4615-40D6-A2A4-60E5661BECC3}"/>
    <cellStyle name="20% - Accent3 7 3 2 2 2 3" xfId="24235" xr:uid="{00000000-0005-0000-0000-0000A6130000}"/>
    <cellStyle name="20% - Accent3 7 3 2 2 2 3 2" xfId="48067" xr:uid="{D4A1B62C-B5CB-41C4-B9A7-12B3980A3AB5}"/>
    <cellStyle name="20% - Accent3 7 3 2 2 2 4" xfId="32190" xr:uid="{6180084A-9001-4732-85D7-BFE1B5DAE6B9}"/>
    <cellStyle name="20% - Accent3 7 3 2 2 3" xfId="12751" xr:uid="{00000000-0005-0000-0000-0000A7130000}"/>
    <cellStyle name="20% - Accent3 7 3 2 2 3 2" xfId="36600" xr:uid="{EC2678B0-473A-4996-82B2-176725B1ABB9}"/>
    <cellStyle name="20% - Accent3 7 3 2 2 4" xfId="20706" xr:uid="{00000000-0005-0000-0000-0000A8130000}"/>
    <cellStyle name="20% - Accent3 7 3 2 2 4 2" xfId="44538" xr:uid="{4A6C7D7C-9FE6-4222-993B-2EDB38BE8374}"/>
    <cellStyle name="20% - Accent3 7 3 2 2 5" xfId="28659" xr:uid="{D82CABAE-2E17-41F1-AE39-C6EED35F7FE6}"/>
    <cellStyle name="20% - Accent3 7 3 2 3" xfId="6559" xr:uid="{00000000-0005-0000-0000-0000A9130000}"/>
    <cellStyle name="20% - Accent3 7 3 2 3 2" xfId="14531" xr:uid="{00000000-0005-0000-0000-0000AA130000}"/>
    <cellStyle name="20% - Accent3 7 3 2 3 2 2" xfId="38373" xr:uid="{924E0AF1-CFCB-446D-81AE-6F87D4143760}"/>
    <cellStyle name="20% - Accent3 7 3 2 3 3" xfId="22478" xr:uid="{00000000-0005-0000-0000-0000AB130000}"/>
    <cellStyle name="20% - Accent3 7 3 2 3 3 2" xfId="46310" xr:uid="{921732E2-1FE1-4FED-BFC0-9285CDE8268C}"/>
    <cellStyle name="20% - Accent3 7 3 2 3 4" xfId="30432" xr:uid="{2E22C18E-E6D8-47B7-AE7A-3A52FBA200AA}"/>
    <cellStyle name="20% - Accent3 7 3 2 4" xfId="10995" xr:uid="{00000000-0005-0000-0000-0000AC130000}"/>
    <cellStyle name="20% - Accent3 7 3 2 4 2" xfId="34844" xr:uid="{39CD203B-52AC-4CB9-8919-0973FD594106}"/>
    <cellStyle name="20% - Accent3 7 3 2 5" xfId="18950" xr:uid="{00000000-0005-0000-0000-0000AD130000}"/>
    <cellStyle name="20% - Accent3 7 3 2 5 2" xfId="42782" xr:uid="{D74CAF11-2B82-4D0E-B682-F7BB59CA6FD7}"/>
    <cellStyle name="20% - Accent3 7 3 2 6" xfId="26902" xr:uid="{2AC48844-D90F-4CD3-A3FF-E760E586AE65}"/>
    <cellStyle name="20% - Accent3 7 3 2_Exh G" xfId="2289" xr:uid="{00000000-0005-0000-0000-0000AE130000}"/>
    <cellStyle name="20% - Accent3 7 3 3" xfId="3848" xr:uid="{00000000-0005-0000-0000-0000AF130000}"/>
    <cellStyle name="20% - Accent3 7 3 3 2" xfId="7440" xr:uid="{00000000-0005-0000-0000-0000B0130000}"/>
    <cellStyle name="20% - Accent3 7 3 3 2 2" xfId="15411" xr:uid="{00000000-0005-0000-0000-0000B1130000}"/>
    <cellStyle name="20% - Accent3 7 3 3 2 2 2" xfId="39253" xr:uid="{50A88FC9-D1A9-404D-AF27-B2C117A18B15}"/>
    <cellStyle name="20% - Accent3 7 3 3 2 3" xfId="23357" xr:uid="{00000000-0005-0000-0000-0000B2130000}"/>
    <cellStyle name="20% - Accent3 7 3 3 2 3 2" xfId="47189" xr:uid="{93D371E3-D9EA-462F-BAB1-0A780AA13649}"/>
    <cellStyle name="20% - Accent3 7 3 3 2 4" xfId="31312" xr:uid="{4EBA155D-027A-48D9-93AA-17377D077CD5}"/>
    <cellStyle name="20% - Accent3 7 3 3 3" xfId="11873" xr:uid="{00000000-0005-0000-0000-0000B3130000}"/>
    <cellStyle name="20% - Accent3 7 3 3 3 2" xfId="35722" xr:uid="{F2ECD777-8A5F-4906-91EC-63D2FA04C54D}"/>
    <cellStyle name="20% - Accent3 7 3 3 4" xfId="19828" xr:uid="{00000000-0005-0000-0000-0000B4130000}"/>
    <cellStyle name="20% - Accent3 7 3 3 4 2" xfId="43660" xr:uid="{0B94676C-4E5D-41A5-8BA2-08F426F5B85B}"/>
    <cellStyle name="20% - Accent3 7 3 3 5" xfId="27781" xr:uid="{45DFC9DC-86F9-474A-A898-57D3F29FB37B}"/>
    <cellStyle name="20% - Accent3 7 3 4" xfId="5668" xr:uid="{00000000-0005-0000-0000-0000B5130000}"/>
    <cellStyle name="20% - Accent3 7 3 4 2" xfId="13652" xr:uid="{00000000-0005-0000-0000-0000B6130000}"/>
    <cellStyle name="20% - Accent3 7 3 4 2 2" xfId="37495" xr:uid="{FD842B16-E367-4C0C-B7EB-B1CA92A54507}"/>
    <cellStyle name="20% - Accent3 7 3 4 3" xfId="21600" xr:uid="{00000000-0005-0000-0000-0000B7130000}"/>
    <cellStyle name="20% - Accent3 7 3 4 3 2" xfId="45432" xr:uid="{BA124305-F364-48F3-954E-991F5A80D348}"/>
    <cellStyle name="20% - Accent3 7 3 4 4" xfId="29554" xr:uid="{1ECC4119-5E87-4FB1-8D9C-D4B71377348B}"/>
    <cellStyle name="20% - Accent3 7 3 5" xfId="9221" xr:uid="{00000000-0005-0000-0000-0000B8130000}"/>
    <cellStyle name="20% - Accent3 7 3 5 2" xfId="17179" xr:uid="{00000000-0005-0000-0000-0000B9130000}"/>
    <cellStyle name="20% - Accent3 7 3 5 2 2" xfId="41019" xr:uid="{6F4CB018-D422-4CC9-A7BA-36E622159B45}"/>
    <cellStyle name="20% - Accent3 7 3 5 3" xfId="25123" xr:uid="{00000000-0005-0000-0000-0000BA130000}"/>
    <cellStyle name="20% - Accent3 7 3 5 3 2" xfId="48955" xr:uid="{9A40AC0B-BD5B-4F13-B4B6-EB47B25F1478}"/>
    <cellStyle name="20% - Accent3 7 3 5 4" xfId="33078" xr:uid="{CB6D54F8-4C82-4A28-BD16-FF8EEFCD6E02}"/>
    <cellStyle name="20% - Accent3 7 3 6" xfId="10117" xr:uid="{00000000-0005-0000-0000-0000BB130000}"/>
    <cellStyle name="20% - Accent3 7 3 6 2" xfId="33966" xr:uid="{842AD810-BE2E-4F5E-8DAE-65C893551649}"/>
    <cellStyle name="20% - Accent3 7 3 7" xfId="18072" xr:uid="{00000000-0005-0000-0000-0000BC130000}"/>
    <cellStyle name="20% - Accent3 7 3 7 2" xfId="41904" xr:uid="{C29EF8B6-C0E2-4EBB-A160-39AC9C654752}"/>
    <cellStyle name="20% - Accent3 7 3 8" xfId="26024" xr:uid="{E4A68BB0-80AE-4D1E-8BFF-683D8F9A3F4D}"/>
    <cellStyle name="20% - Accent3 7 3_Exh G" xfId="2288" xr:uid="{00000000-0005-0000-0000-0000BD130000}"/>
    <cellStyle name="20% - Accent3 7 4" xfId="895" xr:uid="{00000000-0005-0000-0000-0000BE130000}"/>
    <cellStyle name="20% - Accent3 7 4 2" xfId="1826" xr:uid="{00000000-0005-0000-0000-0000BF130000}"/>
    <cellStyle name="20% - Accent3 7 4 2 2" xfId="5344" xr:uid="{00000000-0005-0000-0000-0000C0130000}"/>
    <cellStyle name="20% - Accent3 7 4 2 2 2" xfId="8935" xr:uid="{00000000-0005-0000-0000-0000C1130000}"/>
    <cellStyle name="20% - Accent3 7 4 2 2 2 2" xfId="16906" xr:uid="{00000000-0005-0000-0000-0000C2130000}"/>
    <cellStyle name="20% - Accent3 7 4 2 2 2 2 2" xfId="40748" xr:uid="{5F645265-05CF-4A68-8810-3B6216908D44}"/>
    <cellStyle name="20% - Accent3 7 4 2 2 2 3" xfId="24852" xr:uid="{00000000-0005-0000-0000-0000C3130000}"/>
    <cellStyle name="20% - Accent3 7 4 2 2 2 3 2" xfId="48684" xr:uid="{0C37DB2E-D917-4B15-9C3B-509DA5C4D55F}"/>
    <cellStyle name="20% - Accent3 7 4 2 2 2 4" xfId="32807" xr:uid="{94C12CE1-DE5B-4CE7-AF3D-8D20D2772875}"/>
    <cellStyle name="20% - Accent3 7 4 2 2 3" xfId="13368" xr:uid="{00000000-0005-0000-0000-0000C4130000}"/>
    <cellStyle name="20% - Accent3 7 4 2 2 3 2" xfId="37217" xr:uid="{DD3E484B-A7A9-465E-9B1F-CFE34860AF30}"/>
    <cellStyle name="20% - Accent3 7 4 2 2 4" xfId="21323" xr:uid="{00000000-0005-0000-0000-0000C5130000}"/>
    <cellStyle name="20% - Accent3 7 4 2 2 4 2" xfId="45155" xr:uid="{BB1ACC08-9089-458D-8639-5486DDFA134E}"/>
    <cellStyle name="20% - Accent3 7 4 2 2 5" xfId="29276" xr:uid="{4BAD837F-A10D-4A60-9BAC-E3A58902B459}"/>
    <cellStyle name="20% - Accent3 7 4 2 3" xfId="7176" xr:uid="{00000000-0005-0000-0000-0000C6130000}"/>
    <cellStyle name="20% - Accent3 7 4 2 3 2" xfId="15148" xr:uid="{00000000-0005-0000-0000-0000C7130000}"/>
    <cellStyle name="20% - Accent3 7 4 2 3 2 2" xfId="38990" xr:uid="{A6683123-AF87-44A4-8B72-E0A7F43C96F9}"/>
    <cellStyle name="20% - Accent3 7 4 2 3 3" xfId="23095" xr:uid="{00000000-0005-0000-0000-0000C8130000}"/>
    <cellStyle name="20% - Accent3 7 4 2 3 3 2" xfId="46927" xr:uid="{540D06D1-3860-462A-A76D-8ED864EE5196}"/>
    <cellStyle name="20% - Accent3 7 4 2 3 4" xfId="31049" xr:uid="{BDC474D2-2ABF-45AF-9AD9-75F3B309205C}"/>
    <cellStyle name="20% - Accent3 7 4 2 4" xfId="11612" xr:uid="{00000000-0005-0000-0000-0000C9130000}"/>
    <cellStyle name="20% - Accent3 7 4 2 4 2" xfId="35461" xr:uid="{937DA7BB-964E-4EBD-B1CF-14F1B57C23AF}"/>
    <cellStyle name="20% - Accent3 7 4 2 5" xfId="19567" xr:uid="{00000000-0005-0000-0000-0000CA130000}"/>
    <cellStyle name="20% - Accent3 7 4 2 5 2" xfId="43399" xr:uid="{E920D772-4A17-47E5-8106-156A3CB3673B}"/>
    <cellStyle name="20% - Accent3 7 4 2 6" xfId="27519" xr:uid="{701EE697-A15B-42DE-A56B-3265E75C5033}"/>
    <cellStyle name="20% - Accent3 7 4 2_Exh G" xfId="2291" xr:uid="{00000000-0005-0000-0000-0000CB130000}"/>
    <cellStyle name="20% - Accent3 7 4 3" xfId="4465" xr:uid="{00000000-0005-0000-0000-0000CC130000}"/>
    <cellStyle name="20% - Accent3 7 4 3 2" xfId="8057" xr:uid="{00000000-0005-0000-0000-0000CD130000}"/>
    <cellStyle name="20% - Accent3 7 4 3 2 2" xfId="16028" xr:uid="{00000000-0005-0000-0000-0000CE130000}"/>
    <cellStyle name="20% - Accent3 7 4 3 2 2 2" xfId="39870" xr:uid="{D05149C4-C463-4125-8DB2-23764D12B971}"/>
    <cellStyle name="20% - Accent3 7 4 3 2 3" xfId="23974" xr:uid="{00000000-0005-0000-0000-0000CF130000}"/>
    <cellStyle name="20% - Accent3 7 4 3 2 3 2" xfId="47806" xr:uid="{446EFB47-C3C3-4FDA-86DA-2715123D1461}"/>
    <cellStyle name="20% - Accent3 7 4 3 2 4" xfId="31929" xr:uid="{81AC562A-B9AE-4850-91CB-ADA400531EEF}"/>
    <cellStyle name="20% - Accent3 7 4 3 3" xfId="12490" xr:uid="{00000000-0005-0000-0000-0000D0130000}"/>
    <cellStyle name="20% - Accent3 7 4 3 3 2" xfId="36339" xr:uid="{69D6BBA0-6575-484C-9918-309EEC371047}"/>
    <cellStyle name="20% - Accent3 7 4 3 4" xfId="20445" xr:uid="{00000000-0005-0000-0000-0000D1130000}"/>
    <cellStyle name="20% - Accent3 7 4 3 4 2" xfId="44277" xr:uid="{E15C6469-0945-4F43-8A4C-AE5B12F2521A}"/>
    <cellStyle name="20% - Accent3 7 4 3 5" xfId="28398" xr:uid="{8602E8DE-F43D-49D1-9882-ED0A04552294}"/>
    <cellStyle name="20% - Accent3 7 4 4" xfId="6295" xr:uid="{00000000-0005-0000-0000-0000D2130000}"/>
    <cellStyle name="20% - Accent3 7 4 4 2" xfId="14270" xr:uid="{00000000-0005-0000-0000-0000D3130000}"/>
    <cellStyle name="20% - Accent3 7 4 4 2 2" xfId="38112" xr:uid="{92D9C13B-C442-460C-A167-B3A65FCB022F}"/>
    <cellStyle name="20% - Accent3 7 4 4 3" xfId="22217" xr:uid="{00000000-0005-0000-0000-0000D4130000}"/>
    <cellStyle name="20% - Accent3 7 4 4 3 2" xfId="46049" xr:uid="{C95FF1F8-A3FE-45AD-A034-6637D3C09EDD}"/>
    <cellStyle name="20% - Accent3 7 4 4 4" xfId="30171" xr:uid="{9CB78339-164B-499B-BC86-0D5A9AF87B8B}"/>
    <cellStyle name="20% - Accent3 7 4 5" xfId="9838" xr:uid="{00000000-0005-0000-0000-0000D5130000}"/>
    <cellStyle name="20% - Accent3 7 4 5 2" xfId="17796" xr:uid="{00000000-0005-0000-0000-0000D6130000}"/>
    <cellStyle name="20% - Accent3 7 4 5 2 2" xfId="41636" xr:uid="{97BF39B3-AE2B-4D9F-937E-9DD3152F4651}"/>
    <cellStyle name="20% - Accent3 7 4 5 3" xfId="25740" xr:uid="{00000000-0005-0000-0000-0000D7130000}"/>
    <cellStyle name="20% - Accent3 7 4 5 3 2" xfId="49572" xr:uid="{54D45E0F-27D2-4611-A651-1AB791E9ECAE}"/>
    <cellStyle name="20% - Accent3 7 4 5 4" xfId="33695" xr:uid="{D7D359F7-8DB2-4BD4-91D2-AEB44CFD26E5}"/>
    <cellStyle name="20% - Accent3 7 4 6" xfId="10734" xr:uid="{00000000-0005-0000-0000-0000D8130000}"/>
    <cellStyle name="20% - Accent3 7 4 6 2" xfId="34583" xr:uid="{2D028E63-9DC0-4ADF-93C6-295D2B44BBE9}"/>
    <cellStyle name="20% - Accent3 7 4 7" xfId="18689" xr:uid="{00000000-0005-0000-0000-0000D9130000}"/>
    <cellStyle name="20% - Accent3 7 4 7 2" xfId="42521" xr:uid="{1EDE052E-07BF-460C-B1B3-9E1513508E14}"/>
    <cellStyle name="20% - Accent3 7 4 8" xfId="26641" xr:uid="{1B4BF223-F88D-43CA-8337-2CBB3060D91B}"/>
    <cellStyle name="20% - Accent3 7 4_Exh G" xfId="2290" xr:uid="{00000000-0005-0000-0000-0000DA130000}"/>
    <cellStyle name="20% - Accent3 7 5" xfId="1194" xr:uid="{00000000-0005-0000-0000-0000DB130000}"/>
    <cellStyle name="20% - Accent3 7 5 2" xfId="4724" xr:uid="{00000000-0005-0000-0000-0000DC130000}"/>
    <cellStyle name="20% - Accent3 7 5 2 2" xfId="8315" xr:uid="{00000000-0005-0000-0000-0000DD130000}"/>
    <cellStyle name="20% - Accent3 7 5 2 2 2" xfId="16286" xr:uid="{00000000-0005-0000-0000-0000DE130000}"/>
    <cellStyle name="20% - Accent3 7 5 2 2 2 2" xfId="40128" xr:uid="{F78D6361-555F-4205-A625-674401489264}"/>
    <cellStyle name="20% - Accent3 7 5 2 2 3" xfId="24232" xr:uid="{00000000-0005-0000-0000-0000DF130000}"/>
    <cellStyle name="20% - Accent3 7 5 2 2 3 2" xfId="48064" xr:uid="{2FFF001D-18CC-4C6A-A69D-3D4A0241DFEB}"/>
    <cellStyle name="20% - Accent3 7 5 2 2 4" xfId="32187" xr:uid="{C6EC2FF8-3574-45DD-8089-48AA919C5643}"/>
    <cellStyle name="20% - Accent3 7 5 2 3" xfId="12748" xr:uid="{00000000-0005-0000-0000-0000E0130000}"/>
    <cellStyle name="20% - Accent3 7 5 2 3 2" xfId="36597" xr:uid="{5F3574FE-4541-4268-932B-26D1C2DA64D2}"/>
    <cellStyle name="20% - Accent3 7 5 2 4" xfId="20703" xr:uid="{00000000-0005-0000-0000-0000E1130000}"/>
    <cellStyle name="20% - Accent3 7 5 2 4 2" xfId="44535" xr:uid="{6059BE15-A111-4B9B-AD6D-C7D7AC5A4D53}"/>
    <cellStyle name="20% - Accent3 7 5 2 5" xfId="28656" xr:uid="{7201A579-9B2E-4099-93AE-1D230B4D3C4A}"/>
    <cellStyle name="20% - Accent3 7 5 3" xfId="6556" xr:uid="{00000000-0005-0000-0000-0000E2130000}"/>
    <cellStyle name="20% - Accent3 7 5 3 2" xfId="14528" xr:uid="{00000000-0005-0000-0000-0000E3130000}"/>
    <cellStyle name="20% - Accent3 7 5 3 2 2" xfId="38370" xr:uid="{C9A4A13D-3167-4D16-946A-783EFEBAA5A4}"/>
    <cellStyle name="20% - Accent3 7 5 3 3" xfId="22475" xr:uid="{00000000-0005-0000-0000-0000E4130000}"/>
    <cellStyle name="20% - Accent3 7 5 3 3 2" xfId="46307" xr:uid="{069EEED1-6CD5-42A9-9AB8-9E1D9FFD940D}"/>
    <cellStyle name="20% - Accent3 7 5 3 4" xfId="30429" xr:uid="{34DFEF2E-B1F8-4AA1-8F85-B4E8EB4E2D69}"/>
    <cellStyle name="20% - Accent3 7 5 4" xfId="10992" xr:uid="{00000000-0005-0000-0000-0000E5130000}"/>
    <cellStyle name="20% - Accent3 7 5 4 2" xfId="34841" xr:uid="{FEDE30B2-5325-4DAA-850C-B33AE8EC8E34}"/>
    <cellStyle name="20% - Accent3 7 5 5" xfId="18947" xr:uid="{00000000-0005-0000-0000-0000E6130000}"/>
    <cellStyle name="20% - Accent3 7 5 5 2" xfId="42779" xr:uid="{5D45007C-5BB1-46F3-88CD-C1D12E61714A}"/>
    <cellStyle name="20% - Accent3 7 5 6" xfId="26899" xr:uid="{56DA7C44-4FA4-49D0-B2F7-E39C71CEF373}"/>
    <cellStyle name="20% - Accent3 7 5_Exh G" xfId="2292" xr:uid="{00000000-0005-0000-0000-0000E7130000}"/>
    <cellStyle name="20% - Accent3 7 6" xfId="3845" xr:uid="{00000000-0005-0000-0000-0000E8130000}"/>
    <cellStyle name="20% - Accent3 7 6 2" xfId="7437" xr:uid="{00000000-0005-0000-0000-0000E9130000}"/>
    <cellStyle name="20% - Accent3 7 6 2 2" xfId="15408" xr:uid="{00000000-0005-0000-0000-0000EA130000}"/>
    <cellStyle name="20% - Accent3 7 6 2 2 2" xfId="39250" xr:uid="{3D767813-CF09-4A65-ADEC-A375DE8D5AAA}"/>
    <cellStyle name="20% - Accent3 7 6 2 3" xfId="23354" xr:uid="{00000000-0005-0000-0000-0000EB130000}"/>
    <cellStyle name="20% - Accent3 7 6 2 3 2" xfId="47186" xr:uid="{16BA5675-FEF9-4201-84DE-6ADD8AACA34E}"/>
    <cellStyle name="20% - Accent3 7 6 2 4" xfId="31309" xr:uid="{10D39963-D604-41BE-B105-0C1D334BD1F4}"/>
    <cellStyle name="20% - Accent3 7 6 3" xfId="11870" xr:uid="{00000000-0005-0000-0000-0000EC130000}"/>
    <cellStyle name="20% - Accent3 7 6 3 2" xfId="35719" xr:uid="{AB2713B3-4A8C-450E-90F2-62FF1D9C25F4}"/>
    <cellStyle name="20% - Accent3 7 6 4" xfId="19825" xr:uid="{00000000-0005-0000-0000-0000ED130000}"/>
    <cellStyle name="20% - Accent3 7 6 4 2" xfId="43657" xr:uid="{BC24D900-8DE2-4123-9E93-D577CE0DEB7F}"/>
    <cellStyle name="20% - Accent3 7 6 5" xfId="27778" xr:uid="{EA9B0F03-9B84-466E-AF24-27DDA138390F}"/>
    <cellStyle name="20% - Accent3 7 7" xfId="5665" xr:uid="{00000000-0005-0000-0000-0000EE130000}"/>
    <cellStyle name="20% - Accent3 7 7 2" xfId="13649" xr:uid="{00000000-0005-0000-0000-0000EF130000}"/>
    <cellStyle name="20% - Accent3 7 7 2 2" xfId="37492" xr:uid="{2ADD237D-C75D-462E-BD72-44C13C91F3D3}"/>
    <cellStyle name="20% - Accent3 7 7 3" xfId="21597" xr:uid="{00000000-0005-0000-0000-0000F0130000}"/>
    <cellStyle name="20% - Accent3 7 7 3 2" xfId="45429" xr:uid="{63AF88B8-2190-4922-8DD5-9589546F2E86}"/>
    <cellStyle name="20% - Accent3 7 7 4" xfId="29551" xr:uid="{54B8B3B0-28D6-479C-AE57-BAB4874210F2}"/>
    <cellStyle name="20% - Accent3 7 8" xfId="9218" xr:uid="{00000000-0005-0000-0000-0000F1130000}"/>
    <cellStyle name="20% - Accent3 7 8 2" xfId="17176" xr:uid="{00000000-0005-0000-0000-0000F2130000}"/>
    <cellStyle name="20% - Accent3 7 8 2 2" xfId="41016" xr:uid="{F71F9E40-F842-44E6-812D-254731F5F6FE}"/>
    <cellStyle name="20% - Accent3 7 8 3" xfId="25120" xr:uid="{00000000-0005-0000-0000-0000F3130000}"/>
    <cellStyle name="20% - Accent3 7 8 3 2" xfId="48952" xr:uid="{04D6253A-E0FF-4D2D-B751-80F41BB37960}"/>
    <cellStyle name="20% - Accent3 7 8 4" xfId="33075" xr:uid="{607917E9-D9CF-4C3D-B3DB-0BF96F33FDD1}"/>
    <cellStyle name="20% - Accent3 7 9" xfId="10114" xr:uid="{00000000-0005-0000-0000-0000F4130000}"/>
    <cellStyle name="20% - Accent3 7 9 2" xfId="33963" xr:uid="{62BB0912-F955-47CA-8157-A1B7FC9E5F54}"/>
    <cellStyle name="20% - Accent3 7_Exh G" xfId="2283" xr:uid="{00000000-0005-0000-0000-0000F5130000}"/>
    <cellStyle name="20% - Accent3 8" xfId="170" xr:uid="{00000000-0005-0000-0000-0000F6130000}"/>
    <cellStyle name="20% - Accent3 8 10" xfId="18073" xr:uid="{00000000-0005-0000-0000-0000F7130000}"/>
    <cellStyle name="20% - Accent3 8 10 2" xfId="41905" xr:uid="{639EB1AC-FCF6-4B5F-B705-FF9E276A534D}"/>
    <cellStyle name="20% - Accent3 8 11" xfId="26025" xr:uid="{301175D6-87C6-4B3C-855B-8DE9A1C69ECC}"/>
    <cellStyle name="20% - Accent3 8 2" xfId="171" xr:uid="{00000000-0005-0000-0000-0000F8130000}"/>
    <cellStyle name="20% - Accent3 8 2 2" xfId="172" xr:uid="{00000000-0005-0000-0000-0000F9130000}"/>
    <cellStyle name="20% - Accent3 8 2 2 2" xfId="1200" xr:uid="{00000000-0005-0000-0000-0000FA130000}"/>
    <cellStyle name="20% - Accent3 8 2 2 2 2" xfId="4730" xr:uid="{00000000-0005-0000-0000-0000FB130000}"/>
    <cellStyle name="20% - Accent3 8 2 2 2 2 2" xfId="8321" xr:uid="{00000000-0005-0000-0000-0000FC130000}"/>
    <cellStyle name="20% - Accent3 8 2 2 2 2 2 2" xfId="16292" xr:uid="{00000000-0005-0000-0000-0000FD130000}"/>
    <cellStyle name="20% - Accent3 8 2 2 2 2 2 2 2" xfId="40134" xr:uid="{8E1F8DA1-8386-4F20-8743-BA7F7979EE33}"/>
    <cellStyle name="20% - Accent3 8 2 2 2 2 2 3" xfId="24238" xr:uid="{00000000-0005-0000-0000-0000FE130000}"/>
    <cellStyle name="20% - Accent3 8 2 2 2 2 2 3 2" xfId="48070" xr:uid="{94E71E54-3E23-46B8-9D22-ECEC87138A43}"/>
    <cellStyle name="20% - Accent3 8 2 2 2 2 2 4" xfId="32193" xr:uid="{57232EF1-603B-403D-8E21-62FE68C85A2E}"/>
    <cellStyle name="20% - Accent3 8 2 2 2 2 3" xfId="12754" xr:uid="{00000000-0005-0000-0000-0000FF130000}"/>
    <cellStyle name="20% - Accent3 8 2 2 2 2 3 2" xfId="36603" xr:uid="{98C71943-1B79-47E8-9C98-6B9C038E7D4F}"/>
    <cellStyle name="20% - Accent3 8 2 2 2 2 4" xfId="20709" xr:uid="{00000000-0005-0000-0000-000000140000}"/>
    <cellStyle name="20% - Accent3 8 2 2 2 2 4 2" xfId="44541" xr:uid="{3BE2E2E6-1D45-477A-8385-472866E3F546}"/>
    <cellStyle name="20% - Accent3 8 2 2 2 2 5" xfId="28662" xr:uid="{B163DFBD-384C-4F85-98D7-AA3E57D7C177}"/>
    <cellStyle name="20% - Accent3 8 2 2 2 3" xfId="6562" xr:uid="{00000000-0005-0000-0000-000001140000}"/>
    <cellStyle name="20% - Accent3 8 2 2 2 3 2" xfId="14534" xr:uid="{00000000-0005-0000-0000-000002140000}"/>
    <cellStyle name="20% - Accent3 8 2 2 2 3 2 2" xfId="38376" xr:uid="{0CA3BD70-78CD-40F8-8BE6-C664B4CA7780}"/>
    <cellStyle name="20% - Accent3 8 2 2 2 3 3" xfId="22481" xr:uid="{00000000-0005-0000-0000-000003140000}"/>
    <cellStyle name="20% - Accent3 8 2 2 2 3 3 2" xfId="46313" xr:uid="{1634DB4D-9BCE-429F-A4B8-DD84072838E0}"/>
    <cellStyle name="20% - Accent3 8 2 2 2 3 4" xfId="30435" xr:uid="{C9D6326F-6CF8-4804-8437-6563EA0AEBCA}"/>
    <cellStyle name="20% - Accent3 8 2 2 2 4" xfId="10998" xr:uid="{00000000-0005-0000-0000-000004140000}"/>
    <cellStyle name="20% - Accent3 8 2 2 2 4 2" xfId="34847" xr:uid="{3806F7F0-1070-43F8-B1AE-C7CE4CB13F33}"/>
    <cellStyle name="20% - Accent3 8 2 2 2 5" xfId="18953" xr:uid="{00000000-0005-0000-0000-000005140000}"/>
    <cellStyle name="20% - Accent3 8 2 2 2 5 2" xfId="42785" xr:uid="{E43C762D-56C1-40FF-9946-745E438F891B}"/>
    <cellStyle name="20% - Accent3 8 2 2 2 6" xfId="26905" xr:uid="{C07E4C61-3103-40D6-97AC-170BFF603362}"/>
    <cellStyle name="20% - Accent3 8 2 2 2_Exh G" xfId="2296" xr:uid="{00000000-0005-0000-0000-000006140000}"/>
    <cellStyle name="20% - Accent3 8 2 2 3" xfId="3851" xr:uid="{00000000-0005-0000-0000-000007140000}"/>
    <cellStyle name="20% - Accent3 8 2 2 3 2" xfId="7443" xr:uid="{00000000-0005-0000-0000-000008140000}"/>
    <cellStyle name="20% - Accent3 8 2 2 3 2 2" xfId="15414" xr:uid="{00000000-0005-0000-0000-000009140000}"/>
    <cellStyle name="20% - Accent3 8 2 2 3 2 2 2" xfId="39256" xr:uid="{BE9ACD02-0DE9-449C-A9B0-2EFBC03D2A6E}"/>
    <cellStyle name="20% - Accent3 8 2 2 3 2 3" xfId="23360" xr:uid="{00000000-0005-0000-0000-00000A140000}"/>
    <cellStyle name="20% - Accent3 8 2 2 3 2 3 2" xfId="47192" xr:uid="{8D1B42FB-6C15-41BB-9E57-63A9DF820ED0}"/>
    <cellStyle name="20% - Accent3 8 2 2 3 2 4" xfId="31315" xr:uid="{7AA8CB37-00D2-44D1-A7B4-7FFB32392DA6}"/>
    <cellStyle name="20% - Accent3 8 2 2 3 3" xfId="11876" xr:uid="{00000000-0005-0000-0000-00000B140000}"/>
    <cellStyle name="20% - Accent3 8 2 2 3 3 2" xfId="35725" xr:uid="{260F1FEB-D401-4D07-B90B-F408FB7A6813}"/>
    <cellStyle name="20% - Accent3 8 2 2 3 4" xfId="19831" xr:uid="{00000000-0005-0000-0000-00000C140000}"/>
    <cellStyle name="20% - Accent3 8 2 2 3 4 2" xfId="43663" xr:uid="{3E892235-7CFB-4DD0-BB0E-12EB3432D4DC}"/>
    <cellStyle name="20% - Accent3 8 2 2 3 5" xfId="27784" xr:uid="{53C44E91-A091-4B92-8DDE-F71CBFD133A4}"/>
    <cellStyle name="20% - Accent3 8 2 2 4" xfId="5671" xr:uid="{00000000-0005-0000-0000-00000D140000}"/>
    <cellStyle name="20% - Accent3 8 2 2 4 2" xfId="13655" xr:uid="{00000000-0005-0000-0000-00000E140000}"/>
    <cellStyle name="20% - Accent3 8 2 2 4 2 2" xfId="37498" xr:uid="{3A53EF5B-BAFE-462F-BE4A-4F49D37DD6C0}"/>
    <cellStyle name="20% - Accent3 8 2 2 4 3" xfId="21603" xr:uid="{00000000-0005-0000-0000-00000F140000}"/>
    <cellStyle name="20% - Accent3 8 2 2 4 3 2" xfId="45435" xr:uid="{EF4CFDEE-651B-457D-9366-50754D735D70}"/>
    <cellStyle name="20% - Accent3 8 2 2 4 4" xfId="29557" xr:uid="{984E6F96-58F6-4DB0-A39C-A18057C84A7F}"/>
    <cellStyle name="20% - Accent3 8 2 2 5" xfId="9224" xr:uid="{00000000-0005-0000-0000-000010140000}"/>
    <cellStyle name="20% - Accent3 8 2 2 5 2" xfId="17182" xr:uid="{00000000-0005-0000-0000-000011140000}"/>
    <cellStyle name="20% - Accent3 8 2 2 5 2 2" xfId="41022" xr:uid="{E8FECC2C-7A1D-4817-95D2-1186CA6AF865}"/>
    <cellStyle name="20% - Accent3 8 2 2 5 3" xfId="25126" xr:uid="{00000000-0005-0000-0000-000012140000}"/>
    <cellStyle name="20% - Accent3 8 2 2 5 3 2" xfId="48958" xr:uid="{8210BE30-C0AA-4609-98E7-CADC99C2213C}"/>
    <cellStyle name="20% - Accent3 8 2 2 5 4" xfId="33081" xr:uid="{18756C93-6CF4-4BEB-9A06-7E4D7B142079}"/>
    <cellStyle name="20% - Accent3 8 2 2 6" xfId="10120" xr:uid="{00000000-0005-0000-0000-000013140000}"/>
    <cellStyle name="20% - Accent3 8 2 2 6 2" xfId="33969" xr:uid="{DF198CC5-AA54-4E90-AD40-194A4F672874}"/>
    <cellStyle name="20% - Accent3 8 2 2 7" xfId="18075" xr:uid="{00000000-0005-0000-0000-000014140000}"/>
    <cellStyle name="20% - Accent3 8 2 2 7 2" xfId="41907" xr:uid="{9B6EB26F-C30F-4CAF-B632-47AEC536E3FF}"/>
    <cellStyle name="20% - Accent3 8 2 2 8" xfId="26027" xr:uid="{BC872FCF-A296-4A51-B48B-F2F16B973335}"/>
    <cellStyle name="20% - Accent3 8 2 2_Exh G" xfId="2295" xr:uid="{00000000-0005-0000-0000-000015140000}"/>
    <cellStyle name="20% - Accent3 8 2 3" xfId="1199" xr:uid="{00000000-0005-0000-0000-000016140000}"/>
    <cellStyle name="20% - Accent3 8 2 3 2" xfId="4729" xr:uid="{00000000-0005-0000-0000-000017140000}"/>
    <cellStyle name="20% - Accent3 8 2 3 2 2" xfId="8320" xr:uid="{00000000-0005-0000-0000-000018140000}"/>
    <cellStyle name="20% - Accent3 8 2 3 2 2 2" xfId="16291" xr:uid="{00000000-0005-0000-0000-000019140000}"/>
    <cellStyle name="20% - Accent3 8 2 3 2 2 2 2" xfId="40133" xr:uid="{6A3DB609-D03B-4E84-8624-398FA997FCF9}"/>
    <cellStyle name="20% - Accent3 8 2 3 2 2 3" xfId="24237" xr:uid="{00000000-0005-0000-0000-00001A140000}"/>
    <cellStyle name="20% - Accent3 8 2 3 2 2 3 2" xfId="48069" xr:uid="{1D870528-45DB-4E4B-BA43-E8294422B1EA}"/>
    <cellStyle name="20% - Accent3 8 2 3 2 2 4" xfId="32192" xr:uid="{DEB69800-F089-45A8-ADE8-0F73D9B550C9}"/>
    <cellStyle name="20% - Accent3 8 2 3 2 3" xfId="12753" xr:uid="{00000000-0005-0000-0000-00001B140000}"/>
    <cellStyle name="20% - Accent3 8 2 3 2 3 2" xfId="36602" xr:uid="{82536CDD-69E1-4887-9FBB-71C2920DA517}"/>
    <cellStyle name="20% - Accent3 8 2 3 2 4" xfId="20708" xr:uid="{00000000-0005-0000-0000-00001C140000}"/>
    <cellStyle name="20% - Accent3 8 2 3 2 4 2" xfId="44540" xr:uid="{3B0905F0-8F2A-4D3D-B3F9-0E2D9F327FB4}"/>
    <cellStyle name="20% - Accent3 8 2 3 2 5" xfId="28661" xr:uid="{971BB298-BCB8-4A22-A3F9-143056608C21}"/>
    <cellStyle name="20% - Accent3 8 2 3 3" xfId="6561" xr:uid="{00000000-0005-0000-0000-00001D140000}"/>
    <cellStyle name="20% - Accent3 8 2 3 3 2" xfId="14533" xr:uid="{00000000-0005-0000-0000-00001E140000}"/>
    <cellStyle name="20% - Accent3 8 2 3 3 2 2" xfId="38375" xr:uid="{776D3CB8-559D-4B53-AA7D-D9E9FDFA3000}"/>
    <cellStyle name="20% - Accent3 8 2 3 3 3" xfId="22480" xr:uid="{00000000-0005-0000-0000-00001F140000}"/>
    <cellStyle name="20% - Accent3 8 2 3 3 3 2" xfId="46312" xr:uid="{DE66646B-EE45-4E83-B5CF-8B000A541EBA}"/>
    <cellStyle name="20% - Accent3 8 2 3 3 4" xfId="30434" xr:uid="{BCC4085B-D91B-407B-ABE9-6E8609F55861}"/>
    <cellStyle name="20% - Accent3 8 2 3 4" xfId="10997" xr:uid="{00000000-0005-0000-0000-000020140000}"/>
    <cellStyle name="20% - Accent3 8 2 3 4 2" xfId="34846" xr:uid="{66ADB88C-C135-4759-9080-91B32285C782}"/>
    <cellStyle name="20% - Accent3 8 2 3 5" xfId="18952" xr:uid="{00000000-0005-0000-0000-000021140000}"/>
    <cellStyle name="20% - Accent3 8 2 3 5 2" xfId="42784" xr:uid="{2C70C476-B360-4DC2-A34F-BCDEF574CF01}"/>
    <cellStyle name="20% - Accent3 8 2 3 6" xfId="26904" xr:uid="{1B130BC4-00DB-407A-BE7F-02D63120232B}"/>
    <cellStyle name="20% - Accent3 8 2 3_Exh G" xfId="2297" xr:uid="{00000000-0005-0000-0000-000022140000}"/>
    <cellStyle name="20% - Accent3 8 2 4" xfId="3850" xr:uid="{00000000-0005-0000-0000-000023140000}"/>
    <cellStyle name="20% - Accent3 8 2 4 2" xfId="7442" xr:uid="{00000000-0005-0000-0000-000024140000}"/>
    <cellStyle name="20% - Accent3 8 2 4 2 2" xfId="15413" xr:uid="{00000000-0005-0000-0000-000025140000}"/>
    <cellStyle name="20% - Accent3 8 2 4 2 2 2" xfId="39255" xr:uid="{BD1A8790-D51D-47A0-BF39-0AAEC09C9163}"/>
    <cellStyle name="20% - Accent3 8 2 4 2 3" xfId="23359" xr:uid="{00000000-0005-0000-0000-000026140000}"/>
    <cellStyle name="20% - Accent3 8 2 4 2 3 2" xfId="47191" xr:uid="{962193BE-4FCB-4AF9-B50D-18D7EC91C01F}"/>
    <cellStyle name="20% - Accent3 8 2 4 2 4" xfId="31314" xr:uid="{E4405514-FB63-4528-855D-C196CB6219B0}"/>
    <cellStyle name="20% - Accent3 8 2 4 3" xfId="11875" xr:uid="{00000000-0005-0000-0000-000027140000}"/>
    <cellStyle name="20% - Accent3 8 2 4 3 2" xfId="35724" xr:uid="{AD8085EB-1BFB-4F02-BBB6-1EEFD98BC3E5}"/>
    <cellStyle name="20% - Accent3 8 2 4 4" xfId="19830" xr:uid="{00000000-0005-0000-0000-000028140000}"/>
    <cellStyle name="20% - Accent3 8 2 4 4 2" xfId="43662" xr:uid="{E723CDD1-28B7-4B04-863C-DF823B1E768D}"/>
    <cellStyle name="20% - Accent3 8 2 4 5" xfId="27783" xr:uid="{1CDB61E7-3AA3-4C3E-9774-5743399B0BF0}"/>
    <cellStyle name="20% - Accent3 8 2 5" xfId="5670" xr:uid="{00000000-0005-0000-0000-000029140000}"/>
    <cellStyle name="20% - Accent3 8 2 5 2" xfId="13654" xr:uid="{00000000-0005-0000-0000-00002A140000}"/>
    <cellStyle name="20% - Accent3 8 2 5 2 2" xfId="37497" xr:uid="{F22E82C5-15DA-4EFF-B2C6-43F1DD26C70A}"/>
    <cellStyle name="20% - Accent3 8 2 5 3" xfId="21602" xr:uid="{00000000-0005-0000-0000-00002B140000}"/>
    <cellStyle name="20% - Accent3 8 2 5 3 2" xfId="45434" xr:uid="{30823552-4D72-466E-83C6-D320E0ED7026}"/>
    <cellStyle name="20% - Accent3 8 2 5 4" xfId="29556" xr:uid="{328996C7-3ED1-4570-B7F9-F5AF6B9AE533}"/>
    <cellStyle name="20% - Accent3 8 2 6" xfId="9223" xr:uid="{00000000-0005-0000-0000-00002C140000}"/>
    <cellStyle name="20% - Accent3 8 2 6 2" xfId="17181" xr:uid="{00000000-0005-0000-0000-00002D140000}"/>
    <cellStyle name="20% - Accent3 8 2 6 2 2" xfId="41021" xr:uid="{252A4868-F90C-4685-A985-0C7CDDDCAFD3}"/>
    <cellStyle name="20% - Accent3 8 2 6 3" xfId="25125" xr:uid="{00000000-0005-0000-0000-00002E140000}"/>
    <cellStyle name="20% - Accent3 8 2 6 3 2" xfId="48957" xr:uid="{F72DEB32-58B9-4746-BDA9-56E292C4D3D4}"/>
    <cellStyle name="20% - Accent3 8 2 6 4" xfId="33080" xr:uid="{A5AA3D34-64F6-40B6-8694-DA8129545381}"/>
    <cellStyle name="20% - Accent3 8 2 7" xfId="10119" xr:uid="{00000000-0005-0000-0000-00002F140000}"/>
    <cellStyle name="20% - Accent3 8 2 7 2" xfId="33968" xr:uid="{2D297502-E46D-4A59-BD78-0081AB99FCD6}"/>
    <cellStyle name="20% - Accent3 8 2 8" xfId="18074" xr:uid="{00000000-0005-0000-0000-000030140000}"/>
    <cellStyle name="20% - Accent3 8 2 8 2" xfId="41906" xr:uid="{A0642B4B-8D2A-4878-8706-1349E57658F5}"/>
    <cellStyle name="20% - Accent3 8 2 9" xfId="26026" xr:uid="{4BA21A9F-CC1D-415A-82CD-918F0FB9B7E5}"/>
    <cellStyle name="20% - Accent3 8 2_Exh G" xfId="2294" xr:uid="{00000000-0005-0000-0000-000031140000}"/>
    <cellStyle name="20% - Accent3 8 3" xfId="173" xr:uid="{00000000-0005-0000-0000-000032140000}"/>
    <cellStyle name="20% - Accent3 8 3 2" xfId="1201" xr:uid="{00000000-0005-0000-0000-000033140000}"/>
    <cellStyle name="20% - Accent3 8 3 2 2" xfId="4731" xr:uid="{00000000-0005-0000-0000-000034140000}"/>
    <cellStyle name="20% - Accent3 8 3 2 2 2" xfId="8322" xr:uid="{00000000-0005-0000-0000-000035140000}"/>
    <cellStyle name="20% - Accent3 8 3 2 2 2 2" xfId="16293" xr:uid="{00000000-0005-0000-0000-000036140000}"/>
    <cellStyle name="20% - Accent3 8 3 2 2 2 2 2" xfId="40135" xr:uid="{BE88E7FF-7F08-4F83-AFDF-F4A0570B0C2E}"/>
    <cellStyle name="20% - Accent3 8 3 2 2 2 3" xfId="24239" xr:uid="{00000000-0005-0000-0000-000037140000}"/>
    <cellStyle name="20% - Accent3 8 3 2 2 2 3 2" xfId="48071" xr:uid="{392271E8-CC92-4637-9283-998CB7394BD4}"/>
    <cellStyle name="20% - Accent3 8 3 2 2 2 4" xfId="32194" xr:uid="{9EDD5456-8376-48C6-8F6F-F0867D7CDC8E}"/>
    <cellStyle name="20% - Accent3 8 3 2 2 3" xfId="12755" xr:uid="{00000000-0005-0000-0000-000038140000}"/>
    <cellStyle name="20% - Accent3 8 3 2 2 3 2" xfId="36604" xr:uid="{F9529D96-4273-4564-892D-5F4E33DE9C12}"/>
    <cellStyle name="20% - Accent3 8 3 2 2 4" xfId="20710" xr:uid="{00000000-0005-0000-0000-000039140000}"/>
    <cellStyle name="20% - Accent3 8 3 2 2 4 2" xfId="44542" xr:uid="{227582FB-FE91-4129-B058-ECFFB9282400}"/>
    <cellStyle name="20% - Accent3 8 3 2 2 5" xfId="28663" xr:uid="{C9FB1ABD-7965-4C81-B7E2-98C7920B7AA4}"/>
    <cellStyle name="20% - Accent3 8 3 2 3" xfId="6563" xr:uid="{00000000-0005-0000-0000-00003A140000}"/>
    <cellStyle name="20% - Accent3 8 3 2 3 2" xfId="14535" xr:uid="{00000000-0005-0000-0000-00003B140000}"/>
    <cellStyle name="20% - Accent3 8 3 2 3 2 2" xfId="38377" xr:uid="{82DABFAA-4541-450D-A753-C1D282EAAE42}"/>
    <cellStyle name="20% - Accent3 8 3 2 3 3" xfId="22482" xr:uid="{00000000-0005-0000-0000-00003C140000}"/>
    <cellStyle name="20% - Accent3 8 3 2 3 3 2" xfId="46314" xr:uid="{659B1578-9DB5-4E46-A64A-8CC7C803742A}"/>
    <cellStyle name="20% - Accent3 8 3 2 3 4" xfId="30436" xr:uid="{354CE2DD-6A08-470B-8A84-1E0433CD29DF}"/>
    <cellStyle name="20% - Accent3 8 3 2 4" xfId="10999" xr:uid="{00000000-0005-0000-0000-00003D140000}"/>
    <cellStyle name="20% - Accent3 8 3 2 4 2" xfId="34848" xr:uid="{3E5BD1E8-6CBC-483F-A0CE-FC485D9A8C4D}"/>
    <cellStyle name="20% - Accent3 8 3 2 5" xfId="18954" xr:uid="{00000000-0005-0000-0000-00003E140000}"/>
    <cellStyle name="20% - Accent3 8 3 2 5 2" xfId="42786" xr:uid="{70D96003-4FCF-45E9-B494-34195F3CCC17}"/>
    <cellStyle name="20% - Accent3 8 3 2 6" xfId="26906" xr:uid="{333F22DF-C1CF-4096-90C3-1AF69E8AB9D0}"/>
    <cellStyle name="20% - Accent3 8 3 2_Exh G" xfId="2299" xr:uid="{00000000-0005-0000-0000-00003F140000}"/>
    <cellStyle name="20% - Accent3 8 3 3" xfId="3852" xr:uid="{00000000-0005-0000-0000-000040140000}"/>
    <cellStyle name="20% - Accent3 8 3 3 2" xfId="7444" xr:uid="{00000000-0005-0000-0000-000041140000}"/>
    <cellStyle name="20% - Accent3 8 3 3 2 2" xfId="15415" xr:uid="{00000000-0005-0000-0000-000042140000}"/>
    <cellStyle name="20% - Accent3 8 3 3 2 2 2" xfId="39257" xr:uid="{2550F957-7125-4AF5-BF76-B3D02A0C3E7B}"/>
    <cellStyle name="20% - Accent3 8 3 3 2 3" xfId="23361" xr:uid="{00000000-0005-0000-0000-000043140000}"/>
    <cellStyle name="20% - Accent3 8 3 3 2 3 2" xfId="47193" xr:uid="{26D64F0A-F70E-433E-9431-D1589F3B7EC9}"/>
    <cellStyle name="20% - Accent3 8 3 3 2 4" xfId="31316" xr:uid="{EEAA4744-FFF6-4725-9E58-57C8267F8226}"/>
    <cellStyle name="20% - Accent3 8 3 3 3" xfId="11877" xr:uid="{00000000-0005-0000-0000-000044140000}"/>
    <cellStyle name="20% - Accent3 8 3 3 3 2" xfId="35726" xr:uid="{D4B5252A-BF22-451F-B180-E78F2D5D8F8F}"/>
    <cellStyle name="20% - Accent3 8 3 3 4" xfId="19832" xr:uid="{00000000-0005-0000-0000-000045140000}"/>
    <cellStyle name="20% - Accent3 8 3 3 4 2" xfId="43664" xr:uid="{6EFED3F2-8850-4143-A7AD-D2C18671708F}"/>
    <cellStyle name="20% - Accent3 8 3 3 5" xfId="27785" xr:uid="{2A185AE6-46E7-4CFB-8D25-802CDC08150E}"/>
    <cellStyle name="20% - Accent3 8 3 4" xfId="5672" xr:uid="{00000000-0005-0000-0000-000046140000}"/>
    <cellStyle name="20% - Accent3 8 3 4 2" xfId="13656" xr:uid="{00000000-0005-0000-0000-000047140000}"/>
    <cellStyle name="20% - Accent3 8 3 4 2 2" xfId="37499" xr:uid="{9B6ADEE0-D0F0-4C31-AC1D-76270A756A0E}"/>
    <cellStyle name="20% - Accent3 8 3 4 3" xfId="21604" xr:uid="{00000000-0005-0000-0000-000048140000}"/>
    <cellStyle name="20% - Accent3 8 3 4 3 2" xfId="45436" xr:uid="{4FE40798-58A7-446B-9631-2DB76B0F184C}"/>
    <cellStyle name="20% - Accent3 8 3 4 4" xfId="29558" xr:uid="{47824DC0-5D54-4843-A796-2924AA696A68}"/>
    <cellStyle name="20% - Accent3 8 3 5" xfId="9225" xr:uid="{00000000-0005-0000-0000-000049140000}"/>
    <cellStyle name="20% - Accent3 8 3 5 2" xfId="17183" xr:uid="{00000000-0005-0000-0000-00004A140000}"/>
    <cellStyle name="20% - Accent3 8 3 5 2 2" xfId="41023" xr:uid="{1D8CA2E5-4320-424F-BA87-0F85534F9053}"/>
    <cellStyle name="20% - Accent3 8 3 5 3" xfId="25127" xr:uid="{00000000-0005-0000-0000-00004B140000}"/>
    <cellStyle name="20% - Accent3 8 3 5 3 2" xfId="48959" xr:uid="{C7A30BA6-C826-4F86-87F1-077319FDB099}"/>
    <cellStyle name="20% - Accent3 8 3 5 4" xfId="33082" xr:uid="{A41F48E2-8B8B-4160-AD30-4900E3B7584D}"/>
    <cellStyle name="20% - Accent3 8 3 6" xfId="10121" xr:uid="{00000000-0005-0000-0000-00004C140000}"/>
    <cellStyle name="20% - Accent3 8 3 6 2" xfId="33970" xr:uid="{B88B3A36-DDAB-4E1B-8B39-D40CC6F3656B}"/>
    <cellStyle name="20% - Accent3 8 3 7" xfId="18076" xr:uid="{00000000-0005-0000-0000-00004D140000}"/>
    <cellStyle name="20% - Accent3 8 3 7 2" xfId="41908" xr:uid="{8EA91AEB-81AF-4A2B-BDDB-36180DA906DF}"/>
    <cellStyle name="20% - Accent3 8 3 8" xfId="26028" xr:uid="{1AA79E3E-7C70-4675-BA81-4B9962CE7F9F}"/>
    <cellStyle name="20% - Accent3 8 3_Exh G" xfId="2298" xr:uid="{00000000-0005-0000-0000-00004E140000}"/>
    <cellStyle name="20% - Accent3 8 4" xfId="896" xr:uid="{00000000-0005-0000-0000-00004F140000}"/>
    <cellStyle name="20% - Accent3 8 4 2" xfId="1827" xr:uid="{00000000-0005-0000-0000-000050140000}"/>
    <cellStyle name="20% - Accent3 8 4 2 2" xfId="5345" xr:uid="{00000000-0005-0000-0000-000051140000}"/>
    <cellStyle name="20% - Accent3 8 4 2 2 2" xfId="8936" xr:uid="{00000000-0005-0000-0000-000052140000}"/>
    <cellStyle name="20% - Accent3 8 4 2 2 2 2" xfId="16907" xr:uid="{00000000-0005-0000-0000-000053140000}"/>
    <cellStyle name="20% - Accent3 8 4 2 2 2 2 2" xfId="40749" xr:uid="{4FDB4832-F09B-426D-9549-CC5A68498778}"/>
    <cellStyle name="20% - Accent3 8 4 2 2 2 3" xfId="24853" xr:uid="{00000000-0005-0000-0000-000054140000}"/>
    <cellStyle name="20% - Accent3 8 4 2 2 2 3 2" xfId="48685" xr:uid="{3ABA3790-AB53-418D-9F32-A25ADACDA62E}"/>
    <cellStyle name="20% - Accent3 8 4 2 2 2 4" xfId="32808" xr:uid="{CE194952-2407-422D-8C79-94EE26E67FF2}"/>
    <cellStyle name="20% - Accent3 8 4 2 2 3" xfId="13369" xr:uid="{00000000-0005-0000-0000-000055140000}"/>
    <cellStyle name="20% - Accent3 8 4 2 2 3 2" xfId="37218" xr:uid="{6A26252E-8D76-4360-B35A-20C55B74E02D}"/>
    <cellStyle name="20% - Accent3 8 4 2 2 4" xfId="21324" xr:uid="{00000000-0005-0000-0000-000056140000}"/>
    <cellStyle name="20% - Accent3 8 4 2 2 4 2" xfId="45156" xr:uid="{3895F62F-CA1D-4BCB-BF21-11C6D77100F8}"/>
    <cellStyle name="20% - Accent3 8 4 2 2 5" xfId="29277" xr:uid="{9957FF5B-ED32-4760-9AC3-667B7A419091}"/>
    <cellStyle name="20% - Accent3 8 4 2 3" xfId="7177" xr:uid="{00000000-0005-0000-0000-000057140000}"/>
    <cellStyle name="20% - Accent3 8 4 2 3 2" xfId="15149" xr:uid="{00000000-0005-0000-0000-000058140000}"/>
    <cellStyle name="20% - Accent3 8 4 2 3 2 2" xfId="38991" xr:uid="{2FF49F4F-1C70-4CA1-B650-E016CCC9AFF1}"/>
    <cellStyle name="20% - Accent3 8 4 2 3 3" xfId="23096" xr:uid="{00000000-0005-0000-0000-000059140000}"/>
    <cellStyle name="20% - Accent3 8 4 2 3 3 2" xfId="46928" xr:uid="{05D18BE4-AF18-48FC-86D5-CDA8B1FD5DA6}"/>
    <cellStyle name="20% - Accent3 8 4 2 3 4" xfId="31050" xr:uid="{94933989-B633-4761-A84E-94E0601464EF}"/>
    <cellStyle name="20% - Accent3 8 4 2 4" xfId="11613" xr:uid="{00000000-0005-0000-0000-00005A140000}"/>
    <cellStyle name="20% - Accent3 8 4 2 4 2" xfId="35462" xr:uid="{E10E473C-1C6C-43DB-976A-F6C7D77FE018}"/>
    <cellStyle name="20% - Accent3 8 4 2 5" xfId="19568" xr:uid="{00000000-0005-0000-0000-00005B140000}"/>
    <cellStyle name="20% - Accent3 8 4 2 5 2" xfId="43400" xr:uid="{B094E22E-4B46-4FDE-B56C-204EEEC8EFA1}"/>
    <cellStyle name="20% - Accent3 8 4 2 6" xfId="27520" xr:uid="{F7279314-C149-4FF8-B29B-066E64C48C0F}"/>
    <cellStyle name="20% - Accent3 8 4 2_Exh G" xfId="2301" xr:uid="{00000000-0005-0000-0000-00005C140000}"/>
    <cellStyle name="20% - Accent3 8 4 3" xfId="4466" xr:uid="{00000000-0005-0000-0000-00005D140000}"/>
    <cellStyle name="20% - Accent3 8 4 3 2" xfId="8058" xr:uid="{00000000-0005-0000-0000-00005E140000}"/>
    <cellStyle name="20% - Accent3 8 4 3 2 2" xfId="16029" xr:uid="{00000000-0005-0000-0000-00005F140000}"/>
    <cellStyle name="20% - Accent3 8 4 3 2 2 2" xfId="39871" xr:uid="{15A0E881-A375-4437-8BB5-E53A93E49599}"/>
    <cellStyle name="20% - Accent3 8 4 3 2 3" xfId="23975" xr:uid="{00000000-0005-0000-0000-000060140000}"/>
    <cellStyle name="20% - Accent3 8 4 3 2 3 2" xfId="47807" xr:uid="{A40F8844-4195-4DE0-9C3C-8401DC966F87}"/>
    <cellStyle name="20% - Accent3 8 4 3 2 4" xfId="31930" xr:uid="{ECF43AB0-6911-4317-BD90-0EA8A6E21346}"/>
    <cellStyle name="20% - Accent3 8 4 3 3" xfId="12491" xr:uid="{00000000-0005-0000-0000-000061140000}"/>
    <cellStyle name="20% - Accent3 8 4 3 3 2" xfId="36340" xr:uid="{93E33A39-7AF4-4919-A3F8-E85BF088F059}"/>
    <cellStyle name="20% - Accent3 8 4 3 4" xfId="20446" xr:uid="{00000000-0005-0000-0000-000062140000}"/>
    <cellStyle name="20% - Accent3 8 4 3 4 2" xfId="44278" xr:uid="{72FE5E22-BA0C-4F25-A370-02D3192CC705}"/>
    <cellStyle name="20% - Accent3 8 4 3 5" xfId="28399" xr:uid="{A9B71E51-73D9-4D72-B5B7-1197D9F4C995}"/>
    <cellStyle name="20% - Accent3 8 4 4" xfId="6296" xr:uid="{00000000-0005-0000-0000-000063140000}"/>
    <cellStyle name="20% - Accent3 8 4 4 2" xfId="14271" xr:uid="{00000000-0005-0000-0000-000064140000}"/>
    <cellStyle name="20% - Accent3 8 4 4 2 2" xfId="38113" xr:uid="{3712A6D6-3987-4B06-AC96-0A43F00794D5}"/>
    <cellStyle name="20% - Accent3 8 4 4 3" xfId="22218" xr:uid="{00000000-0005-0000-0000-000065140000}"/>
    <cellStyle name="20% - Accent3 8 4 4 3 2" xfId="46050" xr:uid="{2E9AB3CE-7519-4D8E-88C7-E08BFE1B7F5E}"/>
    <cellStyle name="20% - Accent3 8 4 4 4" xfId="30172" xr:uid="{A97F7548-5E7B-470C-8DF7-196AD853F878}"/>
    <cellStyle name="20% - Accent3 8 4 5" xfId="9839" xr:uid="{00000000-0005-0000-0000-000066140000}"/>
    <cellStyle name="20% - Accent3 8 4 5 2" xfId="17797" xr:uid="{00000000-0005-0000-0000-000067140000}"/>
    <cellStyle name="20% - Accent3 8 4 5 2 2" xfId="41637" xr:uid="{AA84F16C-1B4B-4680-A60A-185E0E0AF2A2}"/>
    <cellStyle name="20% - Accent3 8 4 5 3" xfId="25741" xr:uid="{00000000-0005-0000-0000-000068140000}"/>
    <cellStyle name="20% - Accent3 8 4 5 3 2" xfId="49573" xr:uid="{2B190F29-CF08-4EE7-A286-339A3E75F05E}"/>
    <cellStyle name="20% - Accent3 8 4 5 4" xfId="33696" xr:uid="{CD519FBF-1C6F-45BA-BF36-A1A18B70DD8B}"/>
    <cellStyle name="20% - Accent3 8 4 6" xfId="10735" xr:uid="{00000000-0005-0000-0000-000069140000}"/>
    <cellStyle name="20% - Accent3 8 4 6 2" xfId="34584" xr:uid="{4A1DF77F-DE11-474E-9E57-A2C8481594BF}"/>
    <cellStyle name="20% - Accent3 8 4 7" xfId="18690" xr:uid="{00000000-0005-0000-0000-00006A140000}"/>
    <cellStyle name="20% - Accent3 8 4 7 2" xfId="42522" xr:uid="{5498C6D3-F7D8-4662-A39F-FC62C08170F2}"/>
    <cellStyle name="20% - Accent3 8 4 8" xfId="26642" xr:uid="{C5FF0F91-1A8F-43E1-9AFA-7F3FF0330A91}"/>
    <cellStyle name="20% - Accent3 8 4_Exh G" xfId="2300" xr:uid="{00000000-0005-0000-0000-00006B140000}"/>
    <cellStyle name="20% - Accent3 8 5" xfId="1198" xr:uid="{00000000-0005-0000-0000-00006C140000}"/>
    <cellStyle name="20% - Accent3 8 5 2" xfId="4728" xr:uid="{00000000-0005-0000-0000-00006D140000}"/>
    <cellStyle name="20% - Accent3 8 5 2 2" xfId="8319" xr:uid="{00000000-0005-0000-0000-00006E140000}"/>
    <cellStyle name="20% - Accent3 8 5 2 2 2" xfId="16290" xr:uid="{00000000-0005-0000-0000-00006F140000}"/>
    <cellStyle name="20% - Accent3 8 5 2 2 2 2" xfId="40132" xr:uid="{684B2407-57F2-45BB-936A-84450FD93EBC}"/>
    <cellStyle name="20% - Accent3 8 5 2 2 3" xfId="24236" xr:uid="{00000000-0005-0000-0000-000070140000}"/>
    <cellStyle name="20% - Accent3 8 5 2 2 3 2" xfId="48068" xr:uid="{C262E4B3-D134-4107-9B59-BB02A1D8A697}"/>
    <cellStyle name="20% - Accent3 8 5 2 2 4" xfId="32191" xr:uid="{9B57FC7C-57F3-4561-A1FE-57C8280282E9}"/>
    <cellStyle name="20% - Accent3 8 5 2 3" xfId="12752" xr:uid="{00000000-0005-0000-0000-000071140000}"/>
    <cellStyle name="20% - Accent3 8 5 2 3 2" xfId="36601" xr:uid="{031D6319-9878-46A7-84A5-B15809BE2B03}"/>
    <cellStyle name="20% - Accent3 8 5 2 4" xfId="20707" xr:uid="{00000000-0005-0000-0000-000072140000}"/>
    <cellStyle name="20% - Accent3 8 5 2 4 2" xfId="44539" xr:uid="{5C0B1EAB-5A38-4DA4-98C2-519F6194DFD0}"/>
    <cellStyle name="20% - Accent3 8 5 2 5" xfId="28660" xr:uid="{13AE26BE-BFFF-4E86-93F8-BCC7CA2C3D65}"/>
    <cellStyle name="20% - Accent3 8 5 3" xfId="6560" xr:uid="{00000000-0005-0000-0000-000073140000}"/>
    <cellStyle name="20% - Accent3 8 5 3 2" xfId="14532" xr:uid="{00000000-0005-0000-0000-000074140000}"/>
    <cellStyle name="20% - Accent3 8 5 3 2 2" xfId="38374" xr:uid="{8A567E1F-2066-42A4-A329-A2EC030475B8}"/>
    <cellStyle name="20% - Accent3 8 5 3 3" xfId="22479" xr:uid="{00000000-0005-0000-0000-000075140000}"/>
    <cellStyle name="20% - Accent3 8 5 3 3 2" xfId="46311" xr:uid="{5224DB80-0B21-4E74-B4C7-69195D63557B}"/>
    <cellStyle name="20% - Accent3 8 5 3 4" xfId="30433" xr:uid="{72F9F337-7D0B-4A9B-86D1-71F1AE103557}"/>
    <cellStyle name="20% - Accent3 8 5 4" xfId="10996" xr:uid="{00000000-0005-0000-0000-000076140000}"/>
    <cellStyle name="20% - Accent3 8 5 4 2" xfId="34845" xr:uid="{1E422875-4C82-43AA-9473-D4AC25CE3F8C}"/>
    <cellStyle name="20% - Accent3 8 5 5" xfId="18951" xr:uid="{00000000-0005-0000-0000-000077140000}"/>
    <cellStyle name="20% - Accent3 8 5 5 2" xfId="42783" xr:uid="{34545472-3005-4B79-A77A-4FF628A3C93A}"/>
    <cellStyle name="20% - Accent3 8 5 6" xfId="26903" xr:uid="{ED88FD6F-CFF8-4772-9263-5EC57F6B64A2}"/>
    <cellStyle name="20% - Accent3 8 5_Exh G" xfId="2302" xr:uid="{00000000-0005-0000-0000-000078140000}"/>
    <cellStyle name="20% - Accent3 8 6" xfId="3849" xr:uid="{00000000-0005-0000-0000-000079140000}"/>
    <cellStyle name="20% - Accent3 8 6 2" xfId="7441" xr:uid="{00000000-0005-0000-0000-00007A140000}"/>
    <cellStyle name="20% - Accent3 8 6 2 2" xfId="15412" xr:uid="{00000000-0005-0000-0000-00007B140000}"/>
    <cellStyle name="20% - Accent3 8 6 2 2 2" xfId="39254" xr:uid="{94454EF1-D37F-4A24-8B35-DBF54047CB1C}"/>
    <cellStyle name="20% - Accent3 8 6 2 3" xfId="23358" xr:uid="{00000000-0005-0000-0000-00007C140000}"/>
    <cellStyle name="20% - Accent3 8 6 2 3 2" xfId="47190" xr:uid="{6B95BFA7-BE25-4E39-BC93-433965F186BC}"/>
    <cellStyle name="20% - Accent3 8 6 2 4" xfId="31313" xr:uid="{671BC6A3-AE5F-4A69-97C7-0B24480FBA3F}"/>
    <cellStyle name="20% - Accent3 8 6 3" xfId="11874" xr:uid="{00000000-0005-0000-0000-00007D140000}"/>
    <cellStyle name="20% - Accent3 8 6 3 2" xfId="35723" xr:uid="{9CFF9F51-2F13-42EB-BC3B-F2A569A5B496}"/>
    <cellStyle name="20% - Accent3 8 6 4" xfId="19829" xr:uid="{00000000-0005-0000-0000-00007E140000}"/>
    <cellStyle name="20% - Accent3 8 6 4 2" xfId="43661" xr:uid="{CE423196-BD3F-416A-A1E0-D1E3393E0E96}"/>
    <cellStyle name="20% - Accent3 8 6 5" xfId="27782" xr:uid="{060B50C8-2EB7-4DBA-BC68-9AAE2BAD9B13}"/>
    <cellStyle name="20% - Accent3 8 7" xfId="5669" xr:uid="{00000000-0005-0000-0000-00007F140000}"/>
    <cellStyle name="20% - Accent3 8 7 2" xfId="13653" xr:uid="{00000000-0005-0000-0000-000080140000}"/>
    <cellStyle name="20% - Accent3 8 7 2 2" xfId="37496" xr:uid="{15A81B93-8994-4409-A797-D991C5F0E595}"/>
    <cellStyle name="20% - Accent3 8 7 3" xfId="21601" xr:uid="{00000000-0005-0000-0000-000081140000}"/>
    <cellStyle name="20% - Accent3 8 7 3 2" xfId="45433" xr:uid="{E76309CB-F858-4345-B8EB-826BB8E13353}"/>
    <cellStyle name="20% - Accent3 8 7 4" xfId="29555" xr:uid="{61500F1E-DD39-49E3-8738-7DE91600CAAE}"/>
    <cellStyle name="20% - Accent3 8 8" xfId="9222" xr:uid="{00000000-0005-0000-0000-000082140000}"/>
    <cellStyle name="20% - Accent3 8 8 2" xfId="17180" xr:uid="{00000000-0005-0000-0000-000083140000}"/>
    <cellStyle name="20% - Accent3 8 8 2 2" xfId="41020" xr:uid="{B7A9B587-A5B1-4F2C-B576-DD7B1A582FB7}"/>
    <cellStyle name="20% - Accent3 8 8 3" xfId="25124" xr:uid="{00000000-0005-0000-0000-000084140000}"/>
    <cellStyle name="20% - Accent3 8 8 3 2" xfId="48956" xr:uid="{E2C81954-A407-4134-A1C4-88AE271CF5E2}"/>
    <cellStyle name="20% - Accent3 8 8 4" xfId="33079" xr:uid="{676FABE0-FDE1-447C-9EF6-8CE37DB30680}"/>
    <cellStyle name="20% - Accent3 8 9" xfId="10118" xr:uid="{00000000-0005-0000-0000-000085140000}"/>
    <cellStyle name="20% - Accent3 8 9 2" xfId="33967" xr:uid="{42B8B552-5C59-479C-B05B-9D205F4A2E95}"/>
    <cellStyle name="20% - Accent3 8_Exh G" xfId="2293" xr:uid="{00000000-0005-0000-0000-000086140000}"/>
    <cellStyle name="20% - Accent3 9" xfId="174" xr:uid="{00000000-0005-0000-0000-000087140000}"/>
    <cellStyle name="20% - Accent3 9 10" xfId="18077" xr:uid="{00000000-0005-0000-0000-000088140000}"/>
    <cellStyle name="20% - Accent3 9 10 2" xfId="41909" xr:uid="{385AB4ED-348F-4EB8-8B98-6917D1B491E3}"/>
    <cellStyle name="20% - Accent3 9 11" xfId="26029" xr:uid="{09BCE94D-BE8D-4351-AB22-8C4BD60E4285}"/>
    <cellStyle name="20% - Accent3 9 2" xfId="175" xr:uid="{00000000-0005-0000-0000-000089140000}"/>
    <cellStyle name="20% - Accent3 9 2 2" xfId="176" xr:uid="{00000000-0005-0000-0000-00008A140000}"/>
    <cellStyle name="20% - Accent3 9 2 2 2" xfId="1204" xr:uid="{00000000-0005-0000-0000-00008B140000}"/>
    <cellStyle name="20% - Accent3 9 2 2 2 2" xfId="4734" xr:uid="{00000000-0005-0000-0000-00008C140000}"/>
    <cellStyle name="20% - Accent3 9 2 2 2 2 2" xfId="8325" xr:uid="{00000000-0005-0000-0000-00008D140000}"/>
    <cellStyle name="20% - Accent3 9 2 2 2 2 2 2" xfId="16296" xr:uid="{00000000-0005-0000-0000-00008E140000}"/>
    <cellStyle name="20% - Accent3 9 2 2 2 2 2 2 2" xfId="40138" xr:uid="{B7C12DCF-BA12-4340-A421-0184FD5C8673}"/>
    <cellStyle name="20% - Accent3 9 2 2 2 2 2 3" xfId="24242" xr:uid="{00000000-0005-0000-0000-00008F140000}"/>
    <cellStyle name="20% - Accent3 9 2 2 2 2 2 3 2" xfId="48074" xr:uid="{9DC86057-B758-44D2-AE78-C1AC1C9F32AE}"/>
    <cellStyle name="20% - Accent3 9 2 2 2 2 2 4" xfId="32197" xr:uid="{E67A3762-6167-4E97-8419-F4AFE69F1DE6}"/>
    <cellStyle name="20% - Accent3 9 2 2 2 2 3" xfId="12758" xr:uid="{00000000-0005-0000-0000-000090140000}"/>
    <cellStyle name="20% - Accent3 9 2 2 2 2 3 2" xfId="36607" xr:uid="{998E31BA-EE08-48CE-ABC4-9A96E4130151}"/>
    <cellStyle name="20% - Accent3 9 2 2 2 2 4" xfId="20713" xr:uid="{00000000-0005-0000-0000-000091140000}"/>
    <cellStyle name="20% - Accent3 9 2 2 2 2 4 2" xfId="44545" xr:uid="{82D96AD6-E758-443A-9CEC-DADD3F144C07}"/>
    <cellStyle name="20% - Accent3 9 2 2 2 2 5" xfId="28666" xr:uid="{5B9BF274-CB35-4709-AB8E-E445A607DA6D}"/>
    <cellStyle name="20% - Accent3 9 2 2 2 3" xfId="6566" xr:uid="{00000000-0005-0000-0000-000092140000}"/>
    <cellStyle name="20% - Accent3 9 2 2 2 3 2" xfId="14538" xr:uid="{00000000-0005-0000-0000-000093140000}"/>
    <cellStyle name="20% - Accent3 9 2 2 2 3 2 2" xfId="38380" xr:uid="{AAB87F57-C8C0-437B-8BAF-1FBCDE045C60}"/>
    <cellStyle name="20% - Accent3 9 2 2 2 3 3" xfId="22485" xr:uid="{00000000-0005-0000-0000-000094140000}"/>
    <cellStyle name="20% - Accent3 9 2 2 2 3 3 2" xfId="46317" xr:uid="{6986C662-E857-411A-B5E4-1B0891566021}"/>
    <cellStyle name="20% - Accent3 9 2 2 2 3 4" xfId="30439" xr:uid="{F243C2F3-0773-4704-BF0C-06682BD52898}"/>
    <cellStyle name="20% - Accent3 9 2 2 2 4" xfId="11002" xr:uid="{00000000-0005-0000-0000-000095140000}"/>
    <cellStyle name="20% - Accent3 9 2 2 2 4 2" xfId="34851" xr:uid="{52D1E14A-2D4F-4E25-BF05-53779F16AF63}"/>
    <cellStyle name="20% - Accent3 9 2 2 2 5" xfId="18957" xr:uid="{00000000-0005-0000-0000-000096140000}"/>
    <cellStyle name="20% - Accent3 9 2 2 2 5 2" xfId="42789" xr:uid="{52FE93B9-8E71-4058-9660-8C9D3F3290D8}"/>
    <cellStyle name="20% - Accent3 9 2 2 2 6" xfId="26909" xr:uid="{40DA7A99-5379-422E-8341-BD116841BC35}"/>
    <cellStyle name="20% - Accent3 9 2 2 2_Exh G" xfId="2306" xr:uid="{00000000-0005-0000-0000-000097140000}"/>
    <cellStyle name="20% - Accent3 9 2 2 3" xfId="3855" xr:uid="{00000000-0005-0000-0000-000098140000}"/>
    <cellStyle name="20% - Accent3 9 2 2 3 2" xfId="7447" xr:uid="{00000000-0005-0000-0000-000099140000}"/>
    <cellStyle name="20% - Accent3 9 2 2 3 2 2" xfId="15418" xr:uid="{00000000-0005-0000-0000-00009A140000}"/>
    <cellStyle name="20% - Accent3 9 2 2 3 2 2 2" xfId="39260" xr:uid="{1F528E3A-2C0E-4930-8754-95C65098943F}"/>
    <cellStyle name="20% - Accent3 9 2 2 3 2 3" xfId="23364" xr:uid="{00000000-0005-0000-0000-00009B140000}"/>
    <cellStyle name="20% - Accent3 9 2 2 3 2 3 2" xfId="47196" xr:uid="{FA6D55AA-96C5-4055-8D9A-0AECE54CA5E8}"/>
    <cellStyle name="20% - Accent3 9 2 2 3 2 4" xfId="31319" xr:uid="{6CFD7E09-BF62-4323-8C7F-07655C9F7ACF}"/>
    <cellStyle name="20% - Accent3 9 2 2 3 3" xfId="11880" xr:uid="{00000000-0005-0000-0000-00009C140000}"/>
    <cellStyle name="20% - Accent3 9 2 2 3 3 2" xfId="35729" xr:uid="{5A69B9F8-2F3E-489F-B237-145F2E3C56EA}"/>
    <cellStyle name="20% - Accent3 9 2 2 3 4" xfId="19835" xr:uid="{00000000-0005-0000-0000-00009D140000}"/>
    <cellStyle name="20% - Accent3 9 2 2 3 4 2" xfId="43667" xr:uid="{6A56500B-2538-4B28-ADF7-FB2B382A219E}"/>
    <cellStyle name="20% - Accent3 9 2 2 3 5" xfId="27788" xr:uid="{3570D0A6-F059-4499-839D-17E9F85962F5}"/>
    <cellStyle name="20% - Accent3 9 2 2 4" xfId="5675" xr:uid="{00000000-0005-0000-0000-00009E140000}"/>
    <cellStyle name="20% - Accent3 9 2 2 4 2" xfId="13659" xr:uid="{00000000-0005-0000-0000-00009F140000}"/>
    <cellStyle name="20% - Accent3 9 2 2 4 2 2" xfId="37502" xr:uid="{68F7B1C1-EE94-42E4-875A-7051660CD218}"/>
    <cellStyle name="20% - Accent3 9 2 2 4 3" xfId="21607" xr:uid="{00000000-0005-0000-0000-0000A0140000}"/>
    <cellStyle name="20% - Accent3 9 2 2 4 3 2" xfId="45439" xr:uid="{C8D161E8-A491-4633-ABDF-A6661CF8C8C3}"/>
    <cellStyle name="20% - Accent3 9 2 2 4 4" xfId="29561" xr:uid="{44B99822-9D89-4B58-9D1F-6759686B1D0C}"/>
    <cellStyle name="20% - Accent3 9 2 2 5" xfId="9228" xr:uid="{00000000-0005-0000-0000-0000A1140000}"/>
    <cellStyle name="20% - Accent3 9 2 2 5 2" xfId="17186" xr:uid="{00000000-0005-0000-0000-0000A2140000}"/>
    <cellStyle name="20% - Accent3 9 2 2 5 2 2" xfId="41026" xr:uid="{748A18BA-C181-4995-987F-E1836D9004D2}"/>
    <cellStyle name="20% - Accent3 9 2 2 5 3" xfId="25130" xr:uid="{00000000-0005-0000-0000-0000A3140000}"/>
    <cellStyle name="20% - Accent3 9 2 2 5 3 2" xfId="48962" xr:uid="{112995C9-14F5-4492-80F8-2AD8F6B64B9C}"/>
    <cellStyle name="20% - Accent3 9 2 2 5 4" xfId="33085" xr:uid="{2C8E3B95-9571-4E31-85E5-035B1130BFA7}"/>
    <cellStyle name="20% - Accent3 9 2 2 6" xfId="10124" xr:uid="{00000000-0005-0000-0000-0000A4140000}"/>
    <cellStyle name="20% - Accent3 9 2 2 6 2" xfId="33973" xr:uid="{5CD302B2-031E-449A-90BC-C9E044C3AF93}"/>
    <cellStyle name="20% - Accent3 9 2 2 7" xfId="18079" xr:uid="{00000000-0005-0000-0000-0000A5140000}"/>
    <cellStyle name="20% - Accent3 9 2 2 7 2" xfId="41911" xr:uid="{A20577DB-1215-4715-BD80-7D196E7C9F62}"/>
    <cellStyle name="20% - Accent3 9 2 2 8" xfId="26031" xr:uid="{E9AC216D-BCD9-4DAC-9F31-6B15F0385E7E}"/>
    <cellStyle name="20% - Accent3 9 2 2_Exh G" xfId="2305" xr:uid="{00000000-0005-0000-0000-0000A6140000}"/>
    <cellStyle name="20% - Accent3 9 2 3" xfId="1203" xr:uid="{00000000-0005-0000-0000-0000A7140000}"/>
    <cellStyle name="20% - Accent3 9 2 3 2" xfId="4733" xr:uid="{00000000-0005-0000-0000-0000A8140000}"/>
    <cellStyle name="20% - Accent3 9 2 3 2 2" xfId="8324" xr:uid="{00000000-0005-0000-0000-0000A9140000}"/>
    <cellStyle name="20% - Accent3 9 2 3 2 2 2" xfId="16295" xr:uid="{00000000-0005-0000-0000-0000AA140000}"/>
    <cellStyle name="20% - Accent3 9 2 3 2 2 2 2" xfId="40137" xr:uid="{D7C8AD8F-71F0-4B2C-8C08-54ED0F17C2DC}"/>
    <cellStyle name="20% - Accent3 9 2 3 2 2 3" xfId="24241" xr:uid="{00000000-0005-0000-0000-0000AB140000}"/>
    <cellStyle name="20% - Accent3 9 2 3 2 2 3 2" xfId="48073" xr:uid="{3BE9E440-C78E-4DFE-98FE-6FB394223CD2}"/>
    <cellStyle name="20% - Accent3 9 2 3 2 2 4" xfId="32196" xr:uid="{FF50FCE9-DACD-4C84-8BB0-1B893FBD30BB}"/>
    <cellStyle name="20% - Accent3 9 2 3 2 3" xfId="12757" xr:uid="{00000000-0005-0000-0000-0000AC140000}"/>
    <cellStyle name="20% - Accent3 9 2 3 2 3 2" xfId="36606" xr:uid="{159D6013-0CB2-4919-8352-2573FA4B7549}"/>
    <cellStyle name="20% - Accent3 9 2 3 2 4" xfId="20712" xr:uid="{00000000-0005-0000-0000-0000AD140000}"/>
    <cellStyle name="20% - Accent3 9 2 3 2 4 2" xfId="44544" xr:uid="{1D143755-2056-421A-B0DB-879F98BFFB7F}"/>
    <cellStyle name="20% - Accent3 9 2 3 2 5" xfId="28665" xr:uid="{C7F6E8C0-4126-4838-85B6-90E0B2D4A529}"/>
    <cellStyle name="20% - Accent3 9 2 3 3" xfId="6565" xr:uid="{00000000-0005-0000-0000-0000AE140000}"/>
    <cellStyle name="20% - Accent3 9 2 3 3 2" xfId="14537" xr:uid="{00000000-0005-0000-0000-0000AF140000}"/>
    <cellStyle name="20% - Accent3 9 2 3 3 2 2" xfId="38379" xr:uid="{B8A08A04-2B79-487D-8AC6-97907DCDFF7C}"/>
    <cellStyle name="20% - Accent3 9 2 3 3 3" xfId="22484" xr:uid="{00000000-0005-0000-0000-0000B0140000}"/>
    <cellStyle name="20% - Accent3 9 2 3 3 3 2" xfId="46316" xr:uid="{EA73B769-2DC1-43A8-9E68-C72AF1AA9A38}"/>
    <cellStyle name="20% - Accent3 9 2 3 3 4" xfId="30438" xr:uid="{E199FB02-2E8F-4E70-BDBE-BC54922F5959}"/>
    <cellStyle name="20% - Accent3 9 2 3 4" xfId="11001" xr:uid="{00000000-0005-0000-0000-0000B1140000}"/>
    <cellStyle name="20% - Accent3 9 2 3 4 2" xfId="34850" xr:uid="{41CFD704-F6F2-4B21-B754-8F44B95EC6F5}"/>
    <cellStyle name="20% - Accent3 9 2 3 5" xfId="18956" xr:uid="{00000000-0005-0000-0000-0000B2140000}"/>
    <cellStyle name="20% - Accent3 9 2 3 5 2" xfId="42788" xr:uid="{7AFCAE14-9F78-4743-8E2E-7993C3D7A187}"/>
    <cellStyle name="20% - Accent3 9 2 3 6" xfId="26908" xr:uid="{F1A893C5-DB98-4B96-9BC2-85FC8B3C66E8}"/>
    <cellStyle name="20% - Accent3 9 2 3_Exh G" xfId="2307" xr:uid="{00000000-0005-0000-0000-0000B3140000}"/>
    <cellStyle name="20% - Accent3 9 2 4" xfId="3854" xr:uid="{00000000-0005-0000-0000-0000B4140000}"/>
    <cellStyle name="20% - Accent3 9 2 4 2" xfId="7446" xr:uid="{00000000-0005-0000-0000-0000B5140000}"/>
    <cellStyle name="20% - Accent3 9 2 4 2 2" xfId="15417" xr:uid="{00000000-0005-0000-0000-0000B6140000}"/>
    <cellStyle name="20% - Accent3 9 2 4 2 2 2" xfId="39259" xr:uid="{FB65C384-0791-4618-A720-12CB5D0BFF66}"/>
    <cellStyle name="20% - Accent3 9 2 4 2 3" xfId="23363" xr:uid="{00000000-0005-0000-0000-0000B7140000}"/>
    <cellStyle name="20% - Accent3 9 2 4 2 3 2" xfId="47195" xr:uid="{7F62659A-D286-4CA5-B814-2B05E82834C9}"/>
    <cellStyle name="20% - Accent3 9 2 4 2 4" xfId="31318" xr:uid="{F00DE273-AF3A-4D21-9D64-351A21E2C198}"/>
    <cellStyle name="20% - Accent3 9 2 4 3" xfId="11879" xr:uid="{00000000-0005-0000-0000-0000B8140000}"/>
    <cellStyle name="20% - Accent3 9 2 4 3 2" xfId="35728" xr:uid="{C0601436-0252-4CB9-81D9-EBC318CFAB7B}"/>
    <cellStyle name="20% - Accent3 9 2 4 4" xfId="19834" xr:uid="{00000000-0005-0000-0000-0000B9140000}"/>
    <cellStyle name="20% - Accent3 9 2 4 4 2" xfId="43666" xr:uid="{126865DF-1612-4E2A-AE00-7B32D4B3C4A1}"/>
    <cellStyle name="20% - Accent3 9 2 4 5" xfId="27787" xr:uid="{3DE6927B-4B5D-4118-AC60-DE5437BBC5FF}"/>
    <cellStyle name="20% - Accent3 9 2 5" xfId="5674" xr:uid="{00000000-0005-0000-0000-0000BA140000}"/>
    <cellStyle name="20% - Accent3 9 2 5 2" xfId="13658" xr:uid="{00000000-0005-0000-0000-0000BB140000}"/>
    <cellStyle name="20% - Accent3 9 2 5 2 2" xfId="37501" xr:uid="{EEC900DF-F878-4488-8D67-BC1E4F370D8F}"/>
    <cellStyle name="20% - Accent3 9 2 5 3" xfId="21606" xr:uid="{00000000-0005-0000-0000-0000BC140000}"/>
    <cellStyle name="20% - Accent3 9 2 5 3 2" xfId="45438" xr:uid="{2D91EDB7-996C-44FF-B0BC-0239CD666930}"/>
    <cellStyle name="20% - Accent3 9 2 5 4" xfId="29560" xr:uid="{589391C8-EFA6-4A9E-9848-F7F3E640D6B7}"/>
    <cellStyle name="20% - Accent3 9 2 6" xfId="9227" xr:uid="{00000000-0005-0000-0000-0000BD140000}"/>
    <cellStyle name="20% - Accent3 9 2 6 2" xfId="17185" xr:uid="{00000000-0005-0000-0000-0000BE140000}"/>
    <cellStyle name="20% - Accent3 9 2 6 2 2" xfId="41025" xr:uid="{FE4FD6EA-8F7A-4631-AA78-9F6017D1957C}"/>
    <cellStyle name="20% - Accent3 9 2 6 3" xfId="25129" xr:uid="{00000000-0005-0000-0000-0000BF140000}"/>
    <cellStyle name="20% - Accent3 9 2 6 3 2" xfId="48961" xr:uid="{7D0FCB70-B1A1-4805-9862-90B1CA6DF28A}"/>
    <cellStyle name="20% - Accent3 9 2 6 4" xfId="33084" xr:uid="{5E6C1497-8C33-4672-A783-B0809EDD7062}"/>
    <cellStyle name="20% - Accent3 9 2 7" xfId="10123" xr:uid="{00000000-0005-0000-0000-0000C0140000}"/>
    <cellStyle name="20% - Accent3 9 2 7 2" xfId="33972" xr:uid="{44A06B9B-14CC-4EBE-9CAB-CA33BB3EFE76}"/>
    <cellStyle name="20% - Accent3 9 2 8" xfId="18078" xr:uid="{00000000-0005-0000-0000-0000C1140000}"/>
    <cellStyle name="20% - Accent3 9 2 8 2" xfId="41910" xr:uid="{A4066BE9-333F-4FF8-87DF-58A146C2F78D}"/>
    <cellStyle name="20% - Accent3 9 2 9" xfId="26030" xr:uid="{BF9842D0-CEE7-4954-9394-AB961AE53112}"/>
    <cellStyle name="20% - Accent3 9 2_Exh G" xfId="2304" xr:uid="{00000000-0005-0000-0000-0000C2140000}"/>
    <cellStyle name="20% - Accent3 9 3" xfId="177" xr:uid="{00000000-0005-0000-0000-0000C3140000}"/>
    <cellStyle name="20% - Accent3 9 3 2" xfId="1205" xr:uid="{00000000-0005-0000-0000-0000C4140000}"/>
    <cellStyle name="20% - Accent3 9 3 2 2" xfId="4735" xr:uid="{00000000-0005-0000-0000-0000C5140000}"/>
    <cellStyle name="20% - Accent3 9 3 2 2 2" xfId="8326" xr:uid="{00000000-0005-0000-0000-0000C6140000}"/>
    <cellStyle name="20% - Accent3 9 3 2 2 2 2" xfId="16297" xr:uid="{00000000-0005-0000-0000-0000C7140000}"/>
    <cellStyle name="20% - Accent3 9 3 2 2 2 2 2" xfId="40139" xr:uid="{0CB056F6-12D9-4C80-8E91-D30C4F974D2A}"/>
    <cellStyle name="20% - Accent3 9 3 2 2 2 3" xfId="24243" xr:uid="{00000000-0005-0000-0000-0000C8140000}"/>
    <cellStyle name="20% - Accent3 9 3 2 2 2 3 2" xfId="48075" xr:uid="{352E9727-D09D-45A1-A374-A33875E66BA7}"/>
    <cellStyle name="20% - Accent3 9 3 2 2 2 4" xfId="32198" xr:uid="{2EB79B4D-E15D-4551-9550-EB6C1A1E43D0}"/>
    <cellStyle name="20% - Accent3 9 3 2 2 3" xfId="12759" xr:uid="{00000000-0005-0000-0000-0000C9140000}"/>
    <cellStyle name="20% - Accent3 9 3 2 2 3 2" xfId="36608" xr:uid="{1B6C61F7-268A-4F9B-BCD0-7C8DA32A6817}"/>
    <cellStyle name="20% - Accent3 9 3 2 2 4" xfId="20714" xr:uid="{00000000-0005-0000-0000-0000CA140000}"/>
    <cellStyle name="20% - Accent3 9 3 2 2 4 2" xfId="44546" xr:uid="{9FA5FCF2-22DA-4057-8FB5-BA6AA6EDA75D}"/>
    <cellStyle name="20% - Accent3 9 3 2 2 5" xfId="28667" xr:uid="{BD75BF92-C4A8-4293-9A79-CE9E97058918}"/>
    <cellStyle name="20% - Accent3 9 3 2 3" xfId="6567" xr:uid="{00000000-0005-0000-0000-0000CB140000}"/>
    <cellStyle name="20% - Accent3 9 3 2 3 2" xfId="14539" xr:uid="{00000000-0005-0000-0000-0000CC140000}"/>
    <cellStyle name="20% - Accent3 9 3 2 3 2 2" xfId="38381" xr:uid="{8E332A04-C94C-49F3-A26B-AF5C896E1DDC}"/>
    <cellStyle name="20% - Accent3 9 3 2 3 3" xfId="22486" xr:uid="{00000000-0005-0000-0000-0000CD140000}"/>
    <cellStyle name="20% - Accent3 9 3 2 3 3 2" xfId="46318" xr:uid="{97648D8B-8BB9-4F31-85E9-FD5A900CF7C7}"/>
    <cellStyle name="20% - Accent3 9 3 2 3 4" xfId="30440" xr:uid="{716107AE-F2AB-4B43-B23F-46D8F9A2B74B}"/>
    <cellStyle name="20% - Accent3 9 3 2 4" xfId="11003" xr:uid="{00000000-0005-0000-0000-0000CE140000}"/>
    <cellStyle name="20% - Accent3 9 3 2 4 2" xfId="34852" xr:uid="{85754EB5-C388-4A49-BB50-EEC9DD7F26AD}"/>
    <cellStyle name="20% - Accent3 9 3 2 5" xfId="18958" xr:uid="{00000000-0005-0000-0000-0000CF140000}"/>
    <cellStyle name="20% - Accent3 9 3 2 5 2" xfId="42790" xr:uid="{ED4BF40D-F34E-45B6-B278-66B9381DD7BD}"/>
    <cellStyle name="20% - Accent3 9 3 2 6" xfId="26910" xr:uid="{1C8F9E74-3905-4E9A-A116-3A2D0EBB45E4}"/>
    <cellStyle name="20% - Accent3 9 3 2_Exh G" xfId="2309" xr:uid="{00000000-0005-0000-0000-0000D0140000}"/>
    <cellStyle name="20% - Accent3 9 3 3" xfId="3856" xr:uid="{00000000-0005-0000-0000-0000D1140000}"/>
    <cellStyle name="20% - Accent3 9 3 3 2" xfId="7448" xr:uid="{00000000-0005-0000-0000-0000D2140000}"/>
    <cellStyle name="20% - Accent3 9 3 3 2 2" xfId="15419" xr:uid="{00000000-0005-0000-0000-0000D3140000}"/>
    <cellStyle name="20% - Accent3 9 3 3 2 2 2" xfId="39261" xr:uid="{1139BB4E-B451-440E-A1F1-128030F78C56}"/>
    <cellStyle name="20% - Accent3 9 3 3 2 3" xfId="23365" xr:uid="{00000000-0005-0000-0000-0000D4140000}"/>
    <cellStyle name="20% - Accent3 9 3 3 2 3 2" xfId="47197" xr:uid="{6A7B64D3-A853-4173-A9E2-538E03E86286}"/>
    <cellStyle name="20% - Accent3 9 3 3 2 4" xfId="31320" xr:uid="{298D74C9-877E-4EB2-907E-372F6FF44834}"/>
    <cellStyle name="20% - Accent3 9 3 3 3" xfId="11881" xr:uid="{00000000-0005-0000-0000-0000D5140000}"/>
    <cellStyle name="20% - Accent3 9 3 3 3 2" xfId="35730" xr:uid="{A201DD90-897F-4FE1-BF65-4B813326284E}"/>
    <cellStyle name="20% - Accent3 9 3 3 4" xfId="19836" xr:uid="{00000000-0005-0000-0000-0000D6140000}"/>
    <cellStyle name="20% - Accent3 9 3 3 4 2" xfId="43668" xr:uid="{33BD83C2-2422-4A04-99C2-E7194C8F6F35}"/>
    <cellStyle name="20% - Accent3 9 3 3 5" xfId="27789" xr:uid="{1DF7EA5D-2240-4E66-987C-41452FFC4DAE}"/>
    <cellStyle name="20% - Accent3 9 3 4" xfId="5676" xr:uid="{00000000-0005-0000-0000-0000D7140000}"/>
    <cellStyle name="20% - Accent3 9 3 4 2" xfId="13660" xr:uid="{00000000-0005-0000-0000-0000D8140000}"/>
    <cellStyle name="20% - Accent3 9 3 4 2 2" xfId="37503" xr:uid="{B737035C-C39D-444D-933D-BEA30DC1420C}"/>
    <cellStyle name="20% - Accent3 9 3 4 3" xfId="21608" xr:uid="{00000000-0005-0000-0000-0000D9140000}"/>
    <cellStyle name="20% - Accent3 9 3 4 3 2" xfId="45440" xr:uid="{36D7B509-8E76-4DCF-9153-91D17CC0268C}"/>
    <cellStyle name="20% - Accent3 9 3 4 4" xfId="29562" xr:uid="{9D2135EC-C468-4B1C-A396-117B96D1A1F8}"/>
    <cellStyle name="20% - Accent3 9 3 5" xfId="9229" xr:uid="{00000000-0005-0000-0000-0000DA140000}"/>
    <cellStyle name="20% - Accent3 9 3 5 2" xfId="17187" xr:uid="{00000000-0005-0000-0000-0000DB140000}"/>
    <cellStyle name="20% - Accent3 9 3 5 2 2" xfId="41027" xr:uid="{977DC873-74A3-4DD5-9A61-60B43B7EFCD0}"/>
    <cellStyle name="20% - Accent3 9 3 5 3" xfId="25131" xr:uid="{00000000-0005-0000-0000-0000DC140000}"/>
    <cellStyle name="20% - Accent3 9 3 5 3 2" xfId="48963" xr:uid="{73E6C3DF-16A9-4E7F-8016-16143097B5E7}"/>
    <cellStyle name="20% - Accent3 9 3 5 4" xfId="33086" xr:uid="{B371CBC6-0F27-4EA8-BF23-9DBC849C78F3}"/>
    <cellStyle name="20% - Accent3 9 3 6" xfId="10125" xr:uid="{00000000-0005-0000-0000-0000DD140000}"/>
    <cellStyle name="20% - Accent3 9 3 6 2" xfId="33974" xr:uid="{3DEEBA39-3698-429B-AD7F-097FEEF92B09}"/>
    <cellStyle name="20% - Accent3 9 3 7" xfId="18080" xr:uid="{00000000-0005-0000-0000-0000DE140000}"/>
    <cellStyle name="20% - Accent3 9 3 7 2" xfId="41912" xr:uid="{6BE1AA18-8A0B-433B-B9F5-504B7CFDAC62}"/>
    <cellStyle name="20% - Accent3 9 3 8" xfId="26032" xr:uid="{6A957332-5207-43DF-AD81-CA33499B0451}"/>
    <cellStyle name="20% - Accent3 9 3_Exh G" xfId="2308" xr:uid="{00000000-0005-0000-0000-0000DF140000}"/>
    <cellStyle name="20% - Accent3 9 4" xfId="897" xr:uid="{00000000-0005-0000-0000-0000E0140000}"/>
    <cellStyle name="20% - Accent3 9 4 2" xfId="1828" xr:uid="{00000000-0005-0000-0000-0000E1140000}"/>
    <cellStyle name="20% - Accent3 9 4 2 2" xfId="5346" xr:uid="{00000000-0005-0000-0000-0000E2140000}"/>
    <cellStyle name="20% - Accent3 9 4 2 2 2" xfId="8937" xr:uid="{00000000-0005-0000-0000-0000E3140000}"/>
    <cellStyle name="20% - Accent3 9 4 2 2 2 2" xfId="16908" xr:uid="{00000000-0005-0000-0000-0000E4140000}"/>
    <cellStyle name="20% - Accent3 9 4 2 2 2 2 2" xfId="40750" xr:uid="{FD8E7011-EAC3-4406-9088-03F70BDCBC3F}"/>
    <cellStyle name="20% - Accent3 9 4 2 2 2 3" xfId="24854" xr:uid="{00000000-0005-0000-0000-0000E5140000}"/>
    <cellStyle name="20% - Accent3 9 4 2 2 2 3 2" xfId="48686" xr:uid="{FE034497-E8B0-416B-BABC-077EE98E9477}"/>
    <cellStyle name="20% - Accent3 9 4 2 2 2 4" xfId="32809" xr:uid="{1CDEBDF1-390D-4696-A417-3A81C5BA7F34}"/>
    <cellStyle name="20% - Accent3 9 4 2 2 3" xfId="13370" xr:uid="{00000000-0005-0000-0000-0000E6140000}"/>
    <cellStyle name="20% - Accent3 9 4 2 2 3 2" xfId="37219" xr:uid="{DCAA0EF9-A40B-40CB-8EF5-D73302FD3CCF}"/>
    <cellStyle name="20% - Accent3 9 4 2 2 4" xfId="21325" xr:uid="{00000000-0005-0000-0000-0000E7140000}"/>
    <cellStyle name="20% - Accent3 9 4 2 2 4 2" xfId="45157" xr:uid="{37EF1A8C-DD58-49F5-BA99-F4F942412207}"/>
    <cellStyle name="20% - Accent3 9 4 2 2 5" xfId="29278" xr:uid="{8C8B8036-FF4B-49F6-B78F-785F326CE40E}"/>
    <cellStyle name="20% - Accent3 9 4 2 3" xfId="7178" xr:uid="{00000000-0005-0000-0000-0000E8140000}"/>
    <cellStyle name="20% - Accent3 9 4 2 3 2" xfId="15150" xr:uid="{00000000-0005-0000-0000-0000E9140000}"/>
    <cellStyle name="20% - Accent3 9 4 2 3 2 2" xfId="38992" xr:uid="{773B1E98-480C-492F-9692-943D762E3A0D}"/>
    <cellStyle name="20% - Accent3 9 4 2 3 3" xfId="23097" xr:uid="{00000000-0005-0000-0000-0000EA140000}"/>
    <cellStyle name="20% - Accent3 9 4 2 3 3 2" xfId="46929" xr:uid="{3E089E2E-DDE9-4959-9797-FE352621F73B}"/>
    <cellStyle name="20% - Accent3 9 4 2 3 4" xfId="31051" xr:uid="{4C11658F-3EBB-428C-ABF3-D1EC5127D76F}"/>
    <cellStyle name="20% - Accent3 9 4 2 4" xfId="11614" xr:uid="{00000000-0005-0000-0000-0000EB140000}"/>
    <cellStyle name="20% - Accent3 9 4 2 4 2" xfId="35463" xr:uid="{6E44BD39-1622-484C-9438-40C43B61851A}"/>
    <cellStyle name="20% - Accent3 9 4 2 5" xfId="19569" xr:uid="{00000000-0005-0000-0000-0000EC140000}"/>
    <cellStyle name="20% - Accent3 9 4 2 5 2" xfId="43401" xr:uid="{F12BD5D0-0AEC-4FFA-8038-9AAB8A474C05}"/>
    <cellStyle name="20% - Accent3 9 4 2 6" xfId="27521" xr:uid="{A2A5613E-8C3A-41E4-8B96-D0D75F079804}"/>
    <cellStyle name="20% - Accent3 9 4 2_Exh G" xfId="2311" xr:uid="{00000000-0005-0000-0000-0000ED140000}"/>
    <cellStyle name="20% - Accent3 9 4 3" xfId="4467" xr:uid="{00000000-0005-0000-0000-0000EE140000}"/>
    <cellStyle name="20% - Accent3 9 4 3 2" xfId="8059" xr:uid="{00000000-0005-0000-0000-0000EF140000}"/>
    <cellStyle name="20% - Accent3 9 4 3 2 2" xfId="16030" xr:uid="{00000000-0005-0000-0000-0000F0140000}"/>
    <cellStyle name="20% - Accent3 9 4 3 2 2 2" xfId="39872" xr:uid="{E26EA180-0A2B-40FF-8D53-770B3AD5A5D2}"/>
    <cellStyle name="20% - Accent3 9 4 3 2 3" xfId="23976" xr:uid="{00000000-0005-0000-0000-0000F1140000}"/>
    <cellStyle name="20% - Accent3 9 4 3 2 3 2" xfId="47808" xr:uid="{1B3DD492-688D-4FE6-8E0D-33A356144D56}"/>
    <cellStyle name="20% - Accent3 9 4 3 2 4" xfId="31931" xr:uid="{7F493C64-DFFE-467F-B873-6044DE6628AF}"/>
    <cellStyle name="20% - Accent3 9 4 3 3" xfId="12492" xr:uid="{00000000-0005-0000-0000-0000F2140000}"/>
    <cellStyle name="20% - Accent3 9 4 3 3 2" xfId="36341" xr:uid="{14071E49-62DB-4C3E-B780-8557C106470B}"/>
    <cellStyle name="20% - Accent3 9 4 3 4" xfId="20447" xr:uid="{00000000-0005-0000-0000-0000F3140000}"/>
    <cellStyle name="20% - Accent3 9 4 3 4 2" xfId="44279" xr:uid="{DC7AABC5-78F1-43BF-A2D4-D9AE872283D2}"/>
    <cellStyle name="20% - Accent3 9 4 3 5" xfId="28400" xr:uid="{1A4EB8FD-68C4-42A9-A4E1-E62B63714587}"/>
    <cellStyle name="20% - Accent3 9 4 4" xfId="6297" xr:uid="{00000000-0005-0000-0000-0000F4140000}"/>
    <cellStyle name="20% - Accent3 9 4 4 2" xfId="14272" xr:uid="{00000000-0005-0000-0000-0000F5140000}"/>
    <cellStyle name="20% - Accent3 9 4 4 2 2" xfId="38114" xr:uid="{EBC6B371-61F2-43AC-961F-5CF9DFBC7453}"/>
    <cellStyle name="20% - Accent3 9 4 4 3" xfId="22219" xr:uid="{00000000-0005-0000-0000-0000F6140000}"/>
    <cellStyle name="20% - Accent3 9 4 4 3 2" xfId="46051" xr:uid="{42CD0C5B-FAE8-4662-A7D6-D3B6F7301168}"/>
    <cellStyle name="20% - Accent3 9 4 4 4" xfId="30173" xr:uid="{9FF44706-2102-446E-BFA5-121CE8BF9837}"/>
    <cellStyle name="20% - Accent3 9 4 5" xfId="9840" xr:uid="{00000000-0005-0000-0000-0000F7140000}"/>
    <cellStyle name="20% - Accent3 9 4 5 2" xfId="17798" xr:uid="{00000000-0005-0000-0000-0000F8140000}"/>
    <cellStyle name="20% - Accent3 9 4 5 2 2" xfId="41638" xr:uid="{1C7A1641-43F4-46B8-A178-159AFFA556F4}"/>
    <cellStyle name="20% - Accent3 9 4 5 3" xfId="25742" xr:uid="{00000000-0005-0000-0000-0000F9140000}"/>
    <cellStyle name="20% - Accent3 9 4 5 3 2" xfId="49574" xr:uid="{48143ED0-5113-4383-A492-62EBD8F0C65A}"/>
    <cellStyle name="20% - Accent3 9 4 5 4" xfId="33697" xr:uid="{43DB76FC-39AC-4510-99F4-9759835B1DE3}"/>
    <cellStyle name="20% - Accent3 9 4 6" xfId="10736" xr:uid="{00000000-0005-0000-0000-0000FA140000}"/>
    <cellStyle name="20% - Accent3 9 4 6 2" xfId="34585" xr:uid="{2885A20F-5D2B-4283-9F1E-498F0E5DF4C3}"/>
    <cellStyle name="20% - Accent3 9 4 7" xfId="18691" xr:uid="{00000000-0005-0000-0000-0000FB140000}"/>
    <cellStyle name="20% - Accent3 9 4 7 2" xfId="42523" xr:uid="{24D5E474-F503-41D5-AB35-C1DDFFB94D6F}"/>
    <cellStyle name="20% - Accent3 9 4 8" xfId="26643" xr:uid="{C66B4614-1005-4887-8BE1-DA22156740B1}"/>
    <cellStyle name="20% - Accent3 9 4_Exh G" xfId="2310" xr:uid="{00000000-0005-0000-0000-0000FC140000}"/>
    <cellStyle name="20% - Accent3 9 5" xfId="1202" xr:uid="{00000000-0005-0000-0000-0000FD140000}"/>
    <cellStyle name="20% - Accent3 9 5 2" xfId="4732" xr:uid="{00000000-0005-0000-0000-0000FE140000}"/>
    <cellStyle name="20% - Accent3 9 5 2 2" xfId="8323" xr:uid="{00000000-0005-0000-0000-0000FF140000}"/>
    <cellStyle name="20% - Accent3 9 5 2 2 2" xfId="16294" xr:uid="{00000000-0005-0000-0000-000000150000}"/>
    <cellStyle name="20% - Accent3 9 5 2 2 2 2" xfId="40136" xr:uid="{5F21681E-E8E2-44C7-BC2E-67BD9FFDED20}"/>
    <cellStyle name="20% - Accent3 9 5 2 2 3" xfId="24240" xr:uid="{00000000-0005-0000-0000-000001150000}"/>
    <cellStyle name="20% - Accent3 9 5 2 2 3 2" xfId="48072" xr:uid="{2259CAF4-88E4-4852-B5B6-85A780F85EC3}"/>
    <cellStyle name="20% - Accent3 9 5 2 2 4" xfId="32195" xr:uid="{836AE203-9BEB-4AAF-88FA-465410C13099}"/>
    <cellStyle name="20% - Accent3 9 5 2 3" xfId="12756" xr:uid="{00000000-0005-0000-0000-000002150000}"/>
    <cellStyle name="20% - Accent3 9 5 2 3 2" xfId="36605" xr:uid="{60166B33-2449-44F8-8047-BC1073EFC2BF}"/>
    <cellStyle name="20% - Accent3 9 5 2 4" xfId="20711" xr:uid="{00000000-0005-0000-0000-000003150000}"/>
    <cellStyle name="20% - Accent3 9 5 2 4 2" xfId="44543" xr:uid="{E9C1F6F6-ECCF-414D-81B9-8043215DA4BC}"/>
    <cellStyle name="20% - Accent3 9 5 2 5" xfId="28664" xr:uid="{03DC1EA0-BD09-434E-A8CB-75113258B1F2}"/>
    <cellStyle name="20% - Accent3 9 5 3" xfId="6564" xr:uid="{00000000-0005-0000-0000-000004150000}"/>
    <cellStyle name="20% - Accent3 9 5 3 2" xfId="14536" xr:uid="{00000000-0005-0000-0000-000005150000}"/>
    <cellStyle name="20% - Accent3 9 5 3 2 2" xfId="38378" xr:uid="{46D4F9EE-B09B-428C-AF9F-403A2B3DE642}"/>
    <cellStyle name="20% - Accent3 9 5 3 3" xfId="22483" xr:uid="{00000000-0005-0000-0000-000006150000}"/>
    <cellStyle name="20% - Accent3 9 5 3 3 2" xfId="46315" xr:uid="{54E74C03-31C4-4E24-946D-A3333E98CA96}"/>
    <cellStyle name="20% - Accent3 9 5 3 4" xfId="30437" xr:uid="{7A29D798-DDBC-465C-AED3-91D6C47BE8CC}"/>
    <cellStyle name="20% - Accent3 9 5 4" xfId="11000" xr:uid="{00000000-0005-0000-0000-000007150000}"/>
    <cellStyle name="20% - Accent3 9 5 4 2" xfId="34849" xr:uid="{0B7532A6-4BBF-46CB-8D73-6E9968C74197}"/>
    <cellStyle name="20% - Accent3 9 5 5" xfId="18955" xr:uid="{00000000-0005-0000-0000-000008150000}"/>
    <cellStyle name="20% - Accent3 9 5 5 2" xfId="42787" xr:uid="{DCE1746E-93C9-40B9-9D8D-D32A937F1A7C}"/>
    <cellStyle name="20% - Accent3 9 5 6" xfId="26907" xr:uid="{2F6D3814-1122-4833-9070-4A45659780C1}"/>
    <cellStyle name="20% - Accent3 9 5_Exh G" xfId="2312" xr:uid="{00000000-0005-0000-0000-000009150000}"/>
    <cellStyle name="20% - Accent3 9 6" xfId="3853" xr:uid="{00000000-0005-0000-0000-00000A150000}"/>
    <cellStyle name="20% - Accent3 9 6 2" xfId="7445" xr:uid="{00000000-0005-0000-0000-00000B150000}"/>
    <cellStyle name="20% - Accent3 9 6 2 2" xfId="15416" xr:uid="{00000000-0005-0000-0000-00000C150000}"/>
    <cellStyle name="20% - Accent3 9 6 2 2 2" xfId="39258" xr:uid="{AE63065B-29B2-4575-9B9A-B4BFDF4AEBDD}"/>
    <cellStyle name="20% - Accent3 9 6 2 3" xfId="23362" xr:uid="{00000000-0005-0000-0000-00000D150000}"/>
    <cellStyle name="20% - Accent3 9 6 2 3 2" xfId="47194" xr:uid="{37EBDE0E-3C9C-4E58-8B2E-FDED7C1E817C}"/>
    <cellStyle name="20% - Accent3 9 6 2 4" xfId="31317" xr:uid="{4684D424-CF16-4BF7-9E45-3A5A393626B4}"/>
    <cellStyle name="20% - Accent3 9 6 3" xfId="11878" xr:uid="{00000000-0005-0000-0000-00000E150000}"/>
    <cellStyle name="20% - Accent3 9 6 3 2" xfId="35727" xr:uid="{7403103F-5870-4E9D-8F91-36C9B674380B}"/>
    <cellStyle name="20% - Accent3 9 6 4" xfId="19833" xr:uid="{00000000-0005-0000-0000-00000F150000}"/>
    <cellStyle name="20% - Accent3 9 6 4 2" xfId="43665" xr:uid="{F04D24F0-5D00-4D05-9076-35B74D5F765C}"/>
    <cellStyle name="20% - Accent3 9 6 5" xfId="27786" xr:uid="{32E17575-CBC6-4F53-BC4B-E1A014264D2B}"/>
    <cellStyle name="20% - Accent3 9 7" xfId="5673" xr:uid="{00000000-0005-0000-0000-000010150000}"/>
    <cellStyle name="20% - Accent3 9 7 2" xfId="13657" xr:uid="{00000000-0005-0000-0000-000011150000}"/>
    <cellStyle name="20% - Accent3 9 7 2 2" xfId="37500" xr:uid="{7F3EC53E-C744-45AF-A878-B11A02D1E10E}"/>
    <cellStyle name="20% - Accent3 9 7 3" xfId="21605" xr:uid="{00000000-0005-0000-0000-000012150000}"/>
    <cellStyle name="20% - Accent3 9 7 3 2" xfId="45437" xr:uid="{F095DD1A-0F12-4863-859C-5C441E7CB34C}"/>
    <cellStyle name="20% - Accent3 9 7 4" xfId="29559" xr:uid="{BFFFE00B-0723-4914-A42F-5737CC00CC17}"/>
    <cellStyle name="20% - Accent3 9 8" xfId="9226" xr:uid="{00000000-0005-0000-0000-000013150000}"/>
    <cellStyle name="20% - Accent3 9 8 2" xfId="17184" xr:uid="{00000000-0005-0000-0000-000014150000}"/>
    <cellStyle name="20% - Accent3 9 8 2 2" xfId="41024" xr:uid="{BAC9DA51-2446-4133-A57F-EC0E20A87258}"/>
    <cellStyle name="20% - Accent3 9 8 3" xfId="25128" xr:uid="{00000000-0005-0000-0000-000015150000}"/>
    <cellStyle name="20% - Accent3 9 8 3 2" xfId="48960" xr:uid="{A64122E5-F97F-4244-BCC0-5C1693A80EC2}"/>
    <cellStyle name="20% - Accent3 9 8 4" xfId="33083" xr:uid="{7D538913-FCBE-4525-A31C-F88FAF40DF2A}"/>
    <cellStyle name="20% - Accent3 9 9" xfId="10122" xr:uid="{00000000-0005-0000-0000-000016150000}"/>
    <cellStyle name="20% - Accent3 9 9 2" xfId="33971" xr:uid="{43D3D088-7E98-43DE-8516-B3C42D16493F}"/>
    <cellStyle name="20% - Accent3 9_Exh G" xfId="2303" xr:uid="{00000000-0005-0000-0000-000017150000}"/>
    <cellStyle name="20% - Accent4" xfId="49702" builtinId="42" customBuiltin="1"/>
    <cellStyle name="20% - Accent4 10" xfId="178" xr:uid="{00000000-0005-0000-0000-000018150000}"/>
    <cellStyle name="20% - Accent4 10 10" xfId="18081" xr:uid="{00000000-0005-0000-0000-000019150000}"/>
    <cellStyle name="20% - Accent4 10 10 2" xfId="41913" xr:uid="{16C6ABD7-1802-4D6C-82B9-1FFE6003C3D2}"/>
    <cellStyle name="20% - Accent4 10 11" xfId="26033" xr:uid="{97C73937-31D1-4176-90D5-40B33734DD01}"/>
    <cellStyle name="20% - Accent4 10 2" xfId="179" xr:uid="{00000000-0005-0000-0000-00001A150000}"/>
    <cellStyle name="20% - Accent4 10 2 2" xfId="180" xr:uid="{00000000-0005-0000-0000-00001B150000}"/>
    <cellStyle name="20% - Accent4 10 2 2 2" xfId="1208" xr:uid="{00000000-0005-0000-0000-00001C150000}"/>
    <cellStyle name="20% - Accent4 10 2 2 2 2" xfId="4738" xr:uid="{00000000-0005-0000-0000-00001D150000}"/>
    <cellStyle name="20% - Accent4 10 2 2 2 2 2" xfId="8329" xr:uid="{00000000-0005-0000-0000-00001E150000}"/>
    <cellStyle name="20% - Accent4 10 2 2 2 2 2 2" xfId="16300" xr:uid="{00000000-0005-0000-0000-00001F150000}"/>
    <cellStyle name="20% - Accent4 10 2 2 2 2 2 2 2" xfId="40142" xr:uid="{A8B9E22C-AE54-4DAC-B53B-B5F329ACC4A2}"/>
    <cellStyle name="20% - Accent4 10 2 2 2 2 2 3" xfId="24246" xr:uid="{00000000-0005-0000-0000-000020150000}"/>
    <cellStyle name="20% - Accent4 10 2 2 2 2 2 3 2" xfId="48078" xr:uid="{8C98EADD-1E1F-4331-B63E-D2CB971F071E}"/>
    <cellStyle name="20% - Accent4 10 2 2 2 2 2 4" xfId="32201" xr:uid="{76D1E5AD-7A3B-48FF-AA48-B3F2F0414862}"/>
    <cellStyle name="20% - Accent4 10 2 2 2 2 3" xfId="12762" xr:uid="{00000000-0005-0000-0000-000021150000}"/>
    <cellStyle name="20% - Accent4 10 2 2 2 2 3 2" xfId="36611" xr:uid="{D85BEAC5-D709-403D-86C0-DF8C06DCDB53}"/>
    <cellStyle name="20% - Accent4 10 2 2 2 2 4" xfId="20717" xr:uid="{00000000-0005-0000-0000-000022150000}"/>
    <cellStyle name="20% - Accent4 10 2 2 2 2 4 2" xfId="44549" xr:uid="{37DC7FC6-99AC-4C21-86AA-5D5882461D60}"/>
    <cellStyle name="20% - Accent4 10 2 2 2 2 5" xfId="28670" xr:uid="{4E3D27AB-1A05-4632-975F-73028D8E7BB3}"/>
    <cellStyle name="20% - Accent4 10 2 2 2 3" xfId="6570" xr:uid="{00000000-0005-0000-0000-000023150000}"/>
    <cellStyle name="20% - Accent4 10 2 2 2 3 2" xfId="14542" xr:uid="{00000000-0005-0000-0000-000024150000}"/>
    <cellStyle name="20% - Accent4 10 2 2 2 3 2 2" xfId="38384" xr:uid="{3EF91D84-F058-486B-844F-68CBDA8B1A34}"/>
    <cellStyle name="20% - Accent4 10 2 2 2 3 3" xfId="22489" xr:uid="{00000000-0005-0000-0000-000025150000}"/>
    <cellStyle name="20% - Accent4 10 2 2 2 3 3 2" xfId="46321" xr:uid="{EAB39257-B043-42E9-BA4B-7C06E2481C5A}"/>
    <cellStyle name="20% - Accent4 10 2 2 2 3 4" xfId="30443" xr:uid="{AB493DF0-0326-4D94-88C4-E2179B660D9A}"/>
    <cellStyle name="20% - Accent4 10 2 2 2 4" xfId="11006" xr:uid="{00000000-0005-0000-0000-000026150000}"/>
    <cellStyle name="20% - Accent4 10 2 2 2 4 2" xfId="34855" xr:uid="{066EF958-1E69-4433-A2F8-07592A003C5D}"/>
    <cellStyle name="20% - Accent4 10 2 2 2 5" xfId="18961" xr:uid="{00000000-0005-0000-0000-000027150000}"/>
    <cellStyle name="20% - Accent4 10 2 2 2 5 2" xfId="42793" xr:uid="{8D8142BA-4803-49EC-A306-51EFC522BB5A}"/>
    <cellStyle name="20% - Accent4 10 2 2 2 6" xfId="26913" xr:uid="{57FC2B10-612A-4EB7-9603-C72BC0E71E32}"/>
    <cellStyle name="20% - Accent4 10 2 2 2_Exh G" xfId="2316" xr:uid="{00000000-0005-0000-0000-000028150000}"/>
    <cellStyle name="20% - Accent4 10 2 2 3" xfId="3859" xr:uid="{00000000-0005-0000-0000-000029150000}"/>
    <cellStyle name="20% - Accent4 10 2 2 3 2" xfId="7451" xr:uid="{00000000-0005-0000-0000-00002A150000}"/>
    <cellStyle name="20% - Accent4 10 2 2 3 2 2" xfId="15422" xr:uid="{00000000-0005-0000-0000-00002B150000}"/>
    <cellStyle name="20% - Accent4 10 2 2 3 2 2 2" xfId="39264" xr:uid="{2F5A7FEA-B033-434B-9564-BAFE43B27395}"/>
    <cellStyle name="20% - Accent4 10 2 2 3 2 3" xfId="23368" xr:uid="{00000000-0005-0000-0000-00002C150000}"/>
    <cellStyle name="20% - Accent4 10 2 2 3 2 3 2" xfId="47200" xr:uid="{8BA645BC-DDBB-4133-A76D-DFDBD6D27FEF}"/>
    <cellStyle name="20% - Accent4 10 2 2 3 2 4" xfId="31323" xr:uid="{90A5EBFF-1F23-4019-9C90-5EF19CB9835B}"/>
    <cellStyle name="20% - Accent4 10 2 2 3 3" xfId="11884" xr:uid="{00000000-0005-0000-0000-00002D150000}"/>
    <cellStyle name="20% - Accent4 10 2 2 3 3 2" xfId="35733" xr:uid="{B53CAA47-DAE3-4817-94F3-F3023A5150D8}"/>
    <cellStyle name="20% - Accent4 10 2 2 3 4" xfId="19839" xr:uid="{00000000-0005-0000-0000-00002E150000}"/>
    <cellStyle name="20% - Accent4 10 2 2 3 4 2" xfId="43671" xr:uid="{DA040A11-DCC7-4092-B14C-F398B92E0F6F}"/>
    <cellStyle name="20% - Accent4 10 2 2 3 5" xfId="27792" xr:uid="{39689948-C971-4F16-987D-1872B4DBC146}"/>
    <cellStyle name="20% - Accent4 10 2 2 4" xfId="5679" xr:uid="{00000000-0005-0000-0000-00002F150000}"/>
    <cellStyle name="20% - Accent4 10 2 2 4 2" xfId="13663" xr:uid="{00000000-0005-0000-0000-000030150000}"/>
    <cellStyle name="20% - Accent4 10 2 2 4 2 2" xfId="37506" xr:uid="{4489DA08-9F8E-4D81-AFB8-D9A16F765C88}"/>
    <cellStyle name="20% - Accent4 10 2 2 4 3" xfId="21611" xr:uid="{00000000-0005-0000-0000-000031150000}"/>
    <cellStyle name="20% - Accent4 10 2 2 4 3 2" xfId="45443" xr:uid="{6D9FCA03-4F4C-48FC-851B-A75DD5308898}"/>
    <cellStyle name="20% - Accent4 10 2 2 4 4" xfId="29565" xr:uid="{0D5BDFCC-1B16-40D9-9C6A-39F63943B857}"/>
    <cellStyle name="20% - Accent4 10 2 2 5" xfId="9232" xr:uid="{00000000-0005-0000-0000-000032150000}"/>
    <cellStyle name="20% - Accent4 10 2 2 5 2" xfId="17190" xr:uid="{00000000-0005-0000-0000-000033150000}"/>
    <cellStyle name="20% - Accent4 10 2 2 5 2 2" xfId="41030" xr:uid="{FAA91C26-DBB0-45A7-8678-11E437449C84}"/>
    <cellStyle name="20% - Accent4 10 2 2 5 3" xfId="25134" xr:uid="{00000000-0005-0000-0000-000034150000}"/>
    <cellStyle name="20% - Accent4 10 2 2 5 3 2" xfId="48966" xr:uid="{6563033C-5898-4F1B-AE86-350D51F886DE}"/>
    <cellStyle name="20% - Accent4 10 2 2 5 4" xfId="33089" xr:uid="{261D4A02-0B28-4E1A-AC33-9CF5EC0F07D0}"/>
    <cellStyle name="20% - Accent4 10 2 2 6" xfId="10128" xr:uid="{00000000-0005-0000-0000-000035150000}"/>
    <cellStyle name="20% - Accent4 10 2 2 6 2" xfId="33977" xr:uid="{31E497AF-3310-438B-A346-F072FF4E3FD0}"/>
    <cellStyle name="20% - Accent4 10 2 2 7" xfId="18083" xr:uid="{00000000-0005-0000-0000-000036150000}"/>
    <cellStyle name="20% - Accent4 10 2 2 7 2" xfId="41915" xr:uid="{DF6A3FEB-F0DC-4567-AA96-E34B4C2FD456}"/>
    <cellStyle name="20% - Accent4 10 2 2 8" xfId="26035" xr:uid="{CB2D27BF-7033-4E89-918C-46E95356AE61}"/>
    <cellStyle name="20% - Accent4 10 2 2_Exh G" xfId="2315" xr:uid="{00000000-0005-0000-0000-000037150000}"/>
    <cellStyle name="20% - Accent4 10 2 3" xfId="1207" xr:uid="{00000000-0005-0000-0000-000038150000}"/>
    <cellStyle name="20% - Accent4 10 2 3 2" xfId="4737" xr:uid="{00000000-0005-0000-0000-000039150000}"/>
    <cellStyle name="20% - Accent4 10 2 3 2 2" xfId="8328" xr:uid="{00000000-0005-0000-0000-00003A150000}"/>
    <cellStyle name="20% - Accent4 10 2 3 2 2 2" xfId="16299" xr:uid="{00000000-0005-0000-0000-00003B150000}"/>
    <cellStyle name="20% - Accent4 10 2 3 2 2 2 2" xfId="40141" xr:uid="{64020D15-9BCC-41D2-93DF-9E5BA1ECA8B6}"/>
    <cellStyle name="20% - Accent4 10 2 3 2 2 3" xfId="24245" xr:uid="{00000000-0005-0000-0000-00003C150000}"/>
    <cellStyle name="20% - Accent4 10 2 3 2 2 3 2" xfId="48077" xr:uid="{D8BC23C8-0B8B-4DB2-BBE7-58C237EAE1E8}"/>
    <cellStyle name="20% - Accent4 10 2 3 2 2 4" xfId="32200" xr:uid="{5C3E22D0-EF12-4B2F-99D8-AC1F8E37DB21}"/>
    <cellStyle name="20% - Accent4 10 2 3 2 3" xfId="12761" xr:uid="{00000000-0005-0000-0000-00003D150000}"/>
    <cellStyle name="20% - Accent4 10 2 3 2 3 2" xfId="36610" xr:uid="{445A4A56-D98C-42D8-9EEA-A25E1EF864F2}"/>
    <cellStyle name="20% - Accent4 10 2 3 2 4" xfId="20716" xr:uid="{00000000-0005-0000-0000-00003E150000}"/>
    <cellStyle name="20% - Accent4 10 2 3 2 4 2" xfId="44548" xr:uid="{3B28C993-1FA4-455C-9726-210633B1BA40}"/>
    <cellStyle name="20% - Accent4 10 2 3 2 5" xfId="28669" xr:uid="{1C65A439-CD38-4CFD-B82C-D7BF7BB6BBEA}"/>
    <cellStyle name="20% - Accent4 10 2 3 3" xfId="6569" xr:uid="{00000000-0005-0000-0000-00003F150000}"/>
    <cellStyle name="20% - Accent4 10 2 3 3 2" xfId="14541" xr:uid="{00000000-0005-0000-0000-000040150000}"/>
    <cellStyle name="20% - Accent4 10 2 3 3 2 2" xfId="38383" xr:uid="{BF12241D-D908-420D-B36C-FF50DDC5B8E6}"/>
    <cellStyle name="20% - Accent4 10 2 3 3 3" xfId="22488" xr:uid="{00000000-0005-0000-0000-000041150000}"/>
    <cellStyle name="20% - Accent4 10 2 3 3 3 2" xfId="46320" xr:uid="{5491C274-8EF3-4F92-A437-23CE2088A1C3}"/>
    <cellStyle name="20% - Accent4 10 2 3 3 4" xfId="30442" xr:uid="{D517CD3B-C42F-4EF7-AF62-FEFF30340A2C}"/>
    <cellStyle name="20% - Accent4 10 2 3 4" xfId="11005" xr:uid="{00000000-0005-0000-0000-000042150000}"/>
    <cellStyle name="20% - Accent4 10 2 3 4 2" xfId="34854" xr:uid="{9CA606DC-2B3C-444F-BFF3-BC1FF7501EBF}"/>
    <cellStyle name="20% - Accent4 10 2 3 5" xfId="18960" xr:uid="{00000000-0005-0000-0000-000043150000}"/>
    <cellStyle name="20% - Accent4 10 2 3 5 2" xfId="42792" xr:uid="{61E7E5D9-F51D-488E-A82D-B37D1C3A1637}"/>
    <cellStyle name="20% - Accent4 10 2 3 6" xfId="26912" xr:uid="{CE05AF8C-8E09-4ECC-BC24-14CCA5C7E8BB}"/>
    <cellStyle name="20% - Accent4 10 2 3_Exh G" xfId="2317" xr:uid="{00000000-0005-0000-0000-000044150000}"/>
    <cellStyle name="20% - Accent4 10 2 4" xfId="3858" xr:uid="{00000000-0005-0000-0000-000045150000}"/>
    <cellStyle name="20% - Accent4 10 2 4 2" xfId="7450" xr:uid="{00000000-0005-0000-0000-000046150000}"/>
    <cellStyle name="20% - Accent4 10 2 4 2 2" xfId="15421" xr:uid="{00000000-0005-0000-0000-000047150000}"/>
    <cellStyle name="20% - Accent4 10 2 4 2 2 2" xfId="39263" xr:uid="{22C97E26-C5C8-4C6E-86C5-88D1B0D9910D}"/>
    <cellStyle name="20% - Accent4 10 2 4 2 3" xfId="23367" xr:uid="{00000000-0005-0000-0000-000048150000}"/>
    <cellStyle name="20% - Accent4 10 2 4 2 3 2" xfId="47199" xr:uid="{06E79EAA-CD49-4150-88AF-08259518DF6D}"/>
    <cellStyle name="20% - Accent4 10 2 4 2 4" xfId="31322" xr:uid="{44F41D6A-366C-4848-88B0-D23B63160010}"/>
    <cellStyle name="20% - Accent4 10 2 4 3" xfId="11883" xr:uid="{00000000-0005-0000-0000-000049150000}"/>
    <cellStyle name="20% - Accent4 10 2 4 3 2" xfId="35732" xr:uid="{E96DF573-48BE-450D-9F5B-8C972A64A04C}"/>
    <cellStyle name="20% - Accent4 10 2 4 4" xfId="19838" xr:uid="{00000000-0005-0000-0000-00004A150000}"/>
    <cellStyle name="20% - Accent4 10 2 4 4 2" xfId="43670" xr:uid="{A7163727-4E54-46C6-A482-65F6B7D3A66D}"/>
    <cellStyle name="20% - Accent4 10 2 4 5" xfId="27791" xr:uid="{F6E66A1B-C26A-4DC9-A609-43B5736BF900}"/>
    <cellStyle name="20% - Accent4 10 2 5" xfId="5678" xr:uid="{00000000-0005-0000-0000-00004B150000}"/>
    <cellStyle name="20% - Accent4 10 2 5 2" xfId="13662" xr:uid="{00000000-0005-0000-0000-00004C150000}"/>
    <cellStyle name="20% - Accent4 10 2 5 2 2" xfId="37505" xr:uid="{7E73B51F-52DB-4AA5-913F-0AC3BAAE221B}"/>
    <cellStyle name="20% - Accent4 10 2 5 3" xfId="21610" xr:uid="{00000000-0005-0000-0000-00004D150000}"/>
    <cellStyle name="20% - Accent4 10 2 5 3 2" xfId="45442" xr:uid="{295E67B8-F342-4A69-AAF2-F66941AAFFDC}"/>
    <cellStyle name="20% - Accent4 10 2 5 4" xfId="29564" xr:uid="{5DD75077-557F-40F3-AA4A-0C7615A6E1CC}"/>
    <cellStyle name="20% - Accent4 10 2 6" xfId="9231" xr:uid="{00000000-0005-0000-0000-00004E150000}"/>
    <cellStyle name="20% - Accent4 10 2 6 2" xfId="17189" xr:uid="{00000000-0005-0000-0000-00004F150000}"/>
    <cellStyle name="20% - Accent4 10 2 6 2 2" xfId="41029" xr:uid="{5BE2E86E-C61C-4AED-86D8-BB5F175679FC}"/>
    <cellStyle name="20% - Accent4 10 2 6 3" xfId="25133" xr:uid="{00000000-0005-0000-0000-000050150000}"/>
    <cellStyle name="20% - Accent4 10 2 6 3 2" xfId="48965" xr:uid="{89A07EBA-F341-4163-A3EB-96FFE2819FED}"/>
    <cellStyle name="20% - Accent4 10 2 6 4" xfId="33088" xr:uid="{1B350481-2811-4BE6-B8E9-07876A15FBF6}"/>
    <cellStyle name="20% - Accent4 10 2 7" xfId="10127" xr:uid="{00000000-0005-0000-0000-000051150000}"/>
    <cellStyle name="20% - Accent4 10 2 7 2" xfId="33976" xr:uid="{B706DC68-8B23-42F0-AF55-293B9E89CAF8}"/>
    <cellStyle name="20% - Accent4 10 2 8" xfId="18082" xr:uid="{00000000-0005-0000-0000-000052150000}"/>
    <cellStyle name="20% - Accent4 10 2 8 2" xfId="41914" xr:uid="{782C6BF3-86D9-4FAC-86F1-88DB00384278}"/>
    <cellStyle name="20% - Accent4 10 2 9" xfId="26034" xr:uid="{00BCA8A8-5205-4BE3-996B-46F2B14E9190}"/>
    <cellStyle name="20% - Accent4 10 2_Exh G" xfId="2314" xr:uid="{00000000-0005-0000-0000-000053150000}"/>
    <cellStyle name="20% - Accent4 10 3" xfId="181" xr:uid="{00000000-0005-0000-0000-000054150000}"/>
    <cellStyle name="20% - Accent4 10 3 2" xfId="1209" xr:uid="{00000000-0005-0000-0000-000055150000}"/>
    <cellStyle name="20% - Accent4 10 3 2 2" xfId="4739" xr:uid="{00000000-0005-0000-0000-000056150000}"/>
    <cellStyle name="20% - Accent4 10 3 2 2 2" xfId="8330" xr:uid="{00000000-0005-0000-0000-000057150000}"/>
    <cellStyle name="20% - Accent4 10 3 2 2 2 2" xfId="16301" xr:uid="{00000000-0005-0000-0000-000058150000}"/>
    <cellStyle name="20% - Accent4 10 3 2 2 2 2 2" xfId="40143" xr:uid="{88AF0B6E-8A9B-44C3-B7BC-57F20AA13335}"/>
    <cellStyle name="20% - Accent4 10 3 2 2 2 3" xfId="24247" xr:uid="{00000000-0005-0000-0000-000059150000}"/>
    <cellStyle name="20% - Accent4 10 3 2 2 2 3 2" xfId="48079" xr:uid="{BBE44B71-C689-487A-B263-CE754601966C}"/>
    <cellStyle name="20% - Accent4 10 3 2 2 2 4" xfId="32202" xr:uid="{E8615AE5-AE30-4F77-ACA5-7B2AD9D13E9A}"/>
    <cellStyle name="20% - Accent4 10 3 2 2 3" xfId="12763" xr:uid="{00000000-0005-0000-0000-00005A150000}"/>
    <cellStyle name="20% - Accent4 10 3 2 2 3 2" xfId="36612" xr:uid="{90EE0088-82A5-4C29-A6F6-B4EE03EE446A}"/>
    <cellStyle name="20% - Accent4 10 3 2 2 4" xfId="20718" xr:uid="{00000000-0005-0000-0000-00005B150000}"/>
    <cellStyle name="20% - Accent4 10 3 2 2 4 2" xfId="44550" xr:uid="{4C09EBEF-F8FD-483A-A879-48F1B5FC311E}"/>
    <cellStyle name="20% - Accent4 10 3 2 2 5" xfId="28671" xr:uid="{46D98C04-F832-4EF2-81AC-BB5636FC1278}"/>
    <cellStyle name="20% - Accent4 10 3 2 3" xfId="6571" xr:uid="{00000000-0005-0000-0000-00005C150000}"/>
    <cellStyle name="20% - Accent4 10 3 2 3 2" xfId="14543" xr:uid="{00000000-0005-0000-0000-00005D150000}"/>
    <cellStyle name="20% - Accent4 10 3 2 3 2 2" xfId="38385" xr:uid="{72B511B6-FEB0-43F3-9ADD-7C25EAB6710F}"/>
    <cellStyle name="20% - Accent4 10 3 2 3 3" xfId="22490" xr:uid="{00000000-0005-0000-0000-00005E150000}"/>
    <cellStyle name="20% - Accent4 10 3 2 3 3 2" xfId="46322" xr:uid="{F917EF94-E0ED-4D63-846B-678E8A8BB236}"/>
    <cellStyle name="20% - Accent4 10 3 2 3 4" xfId="30444" xr:uid="{2A7A664E-D013-47C7-AA0A-D47CEA146265}"/>
    <cellStyle name="20% - Accent4 10 3 2 4" xfId="11007" xr:uid="{00000000-0005-0000-0000-00005F150000}"/>
    <cellStyle name="20% - Accent4 10 3 2 4 2" xfId="34856" xr:uid="{3A8FC78D-FCAD-42D2-A932-280DD641FF6F}"/>
    <cellStyle name="20% - Accent4 10 3 2 5" xfId="18962" xr:uid="{00000000-0005-0000-0000-000060150000}"/>
    <cellStyle name="20% - Accent4 10 3 2 5 2" xfId="42794" xr:uid="{06BC5900-B804-447A-8598-FDBD97B561F0}"/>
    <cellStyle name="20% - Accent4 10 3 2 6" xfId="26914" xr:uid="{B8DD3B67-50AB-4C6A-9017-D0373F4DD4B9}"/>
    <cellStyle name="20% - Accent4 10 3 2_Exh G" xfId="2319" xr:uid="{00000000-0005-0000-0000-000061150000}"/>
    <cellStyle name="20% - Accent4 10 3 3" xfId="3860" xr:uid="{00000000-0005-0000-0000-000062150000}"/>
    <cellStyle name="20% - Accent4 10 3 3 2" xfId="7452" xr:uid="{00000000-0005-0000-0000-000063150000}"/>
    <cellStyle name="20% - Accent4 10 3 3 2 2" xfId="15423" xr:uid="{00000000-0005-0000-0000-000064150000}"/>
    <cellStyle name="20% - Accent4 10 3 3 2 2 2" xfId="39265" xr:uid="{66AFA5DE-19C3-4984-8E21-A1C95642B567}"/>
    <cellStyle name="20% - Accent4 10 3 3 2 3" xfId="23369" xr:uid="{00000000-0005-0000-0000-000065150000}"/>
    <cellStyle name="20% - Accent4 10 3 3 2 3 2" xfId="47201" xr:uid="{607587A6-0F4B-424A-A584-D0F5646D3034}"/>
    <cellStyle name="20% - Accent4 10 3 3 2 4" xfId="31324" xr:uid="{CA69BBCD-8A58-4F01-93DF-3E8D5FB24911}"/>
    <cellStyle name="20% - Accent4 10 3 3 3" xfId="11885" xr:uid="{00000000-0005-0000-0000-000066150000}"/>
    <cellStyle name="20% - Accent4 10 3 3 3 2" xfId="35734" xr:uid="{C1263396-4B69-486C-9531-46FD5AE0DFBC}"/>
    <cellStyle name="20% - Accent4 10 3 3 4" xfId="19840" xr:uid="{00000000-0005-0000-0000-000067150000}"/>
    <cellStyle name="20% - Accent4 10 3 3 4 2" xfId="43672" xr:uid="{1F8284BE-CAFA-4C14-ABFE-980F295D5565}"/>
    <cellStyle name="20% - Accent4 10 3 3 5" xfId="27793" xr:uid="{CFBF4359-758E-4C55-8CDB-6F2310C31F2A}"/>
    <cellStyle name="20% - Accent4 10 3 4" xfId="5680" xr:uid="{00000000-0005-0000-0000-000068150000}"/>
    <cellStyle name="20% - Accent4 10 3 4 2" xfId="13664" xr:uid="{00000000-0005-0000-0000-000069150000}"/>
    <cellStyle name="20% - Accent4 10 3 4 2 2" xfId="37507" xr:uid="{72BE41A8-603C-421A-BAE9-54C3A800786A}"/>
    <cellStyle name="20% - Accent4 10 3 4 3" xfId="21612" xr:uid="{00000000-0005-0000-0000-00006A150000}"/>
    <cellStyle name="20% - Accent4 10 3 4 3 2" xfId="45444" xr:uid="{7F7C401C-B6A8-47B3-955D-9FC9E6F0AB2E}"/>
    <cellStyle name="20% - Accent4 10 3 4 4" xfId="29566" xr:uid="{2513CE3D-D20D-411F-B961-89DF08BAB0E4}"/>
    <cellStyle name="20% - Accent4 10 3 5" xfId="9233" xr:uid="{00000000-0005-0000-0000-00006B150000}"/>
    <cellStyle name="20% - Accent4 10 3 5 2" xfId="17191" xr:uid="{00000000-0005-0000-0000-00006C150000}"/>
    <cellStyle name="20% - Accent4 10 3 5 2 2" xfId="41031" xr:uid="{D7D6B323-0647-498C-9CAF-18518797503F}"/>
    <cellStyle name="20% - Accent4 10 3 5 3" xfId="25135" xr:uid="{00000000-0005-0000-0000-00006D150000}"/>
    <cellStyle name="20% - Accent4 10 3 5 3 2" xfId="48967" xr:uid="{6A459695-B6A8-4FF4-9384-54F2282F17D5}"/>
    <cellStyle name="20% - Accent4 10 3 5 4" xfId="33090" xr:uid="{FF61CA36-A66B-4E2F-B945-B6A595F19641}"/>
    <cellStyle name="20% - Accent4 10 3 6" xfId="10129" xr:uid="{00000000-0005-0000-0000-00006E150000}"/>
    <cellStyle name="20% - Accent4 10 3 6 2" xfId="33978" xr:uid="{C2367BA0-4F52-4E29-8B7B-5BC8FEA1B396}"/>
    <cellStyle name="20% - Accent4 10 3 7" xfId="18084" xr:uid="{00000000-0005-0000-0000-00006F150000}"/>
    <cellStyle name="20% - Accent4 10 3 7 2" xfId="41916" xr:uid="{E2530F8E-D264-4147-8499-BF3C094B04E1}"/>
    <cellStyle name="20% - Accent4 10 3 8" xfId="26036" xr:uid="{66AD16FB-BA04-4ECB-A8B8-9B728DCEDF67}"/>
    <cellStyle name="20% - Accent4 10 3_Exh G" xfId="2318" xr:uid="{00000000-0005-0000-0000-000070150000}"/>
    <cellStyle name="20% - Accent4 10 4" xfId="898" xr:uid="{00000000-0005-0000-0000-000071150000}"/>
    <cellStyle name="20% - Accent4 10 5" xfId="1206" xr:uid="{00000000-0005-0000-0000-000072150000}"/>
    <cellStyle name="20% - Accent4 10 5 2" xfId="4736" xr:uid="{00000000-0005-0000-0000-000073150000}"/>
    <cellStyle name="20% - Accent4 10 5 2 2" xfId="8327" xr:uid="{00000000-0005-0000-0000-000074150000}"/>
    <cellStyle name="20% - Accent4 10 5 2 2 2" xfId="16298" xr:uid="{00000000-0005-0000-0000-000075150000}"/>
    <cellStyle name="20% - Accent4 10 5 2 2 2 2" xfId="40140" xr:uid="{DC966311-1FDA-4A47-94D1-D467F7C833E1}"/>
    <cellStyle name="20% - Accent4 10 5 2 2 3" xfId="24244" xr:uid="{00000000-0005-0000-0000-000076150000}"/>
    <cellStyle name="20% - Accent4 10 5 2 2 3 2" xfId="48076" xr:uid="{BF85413C-2207-4095-AC37-5E282D267E8F}"/>
    <cellStyle name="20% - Accent4 10 5 2 2 4" xfId="32199" xr:uid="{AEFEF5D5-0ABC-4AF6-AB98-D787ECD71C1C}"/>
    <cellStyle name="20% - Accent4 10 5 2 3" xfId="12760" xr:uid="{00000000-0005-0000-0000-000077150000}"/>
    <cellStyle name="20% - Accent4 10 5 2 3 2" xfId="36609" xr:uid="{80360BFC-A6DA-48EF-A3B1-45B49562EA7D}"/>
    <cellStyle name="20% - Accent4 10 5 2 4" xfId="20715" xr:uid="{00000000-0005-0000-0000-000078150000}"/>
    <cellStyle name="20% - Accent4 10 5 2 4 2" xfId="44547" xr:uid="{81CC9945-CDE2-47B5-A5F5-E3B51F3FB8C6}"/>
    <cellStyle name="20% - Accent4 10 5 2 5" xfId="28668" xr:uid="{72F968E1-DB0B-496E-8224-16BF7FF32F18}"/>
    <cellStyle name="20% - Accent4 10 5 3" xfId="6568" xr:uid="{00000000-0005-0000-0000-000079150000}"/>
    <cellStyle name="20% - Accent4 10 5 3 2" xfId="14540" xr:uid="{00000000-0005-0000-0000-00007A150000}"/>
    <cellStyle name="20% - Accent4 10 5 3 2 2" xfId="38382" xr:uid="{5A7E1C88-3899-4154-AB64-97D635B4055E}"/>
    <cellStyle name="20% - Accent4 10 5 3 3" xfId="22487" xr:uid="{00000000-0005-0000-0000-00007B150000}"/>
    <cellStyle name="20% - Accent4 10 5 3 3 2" xfId="46319" xr:uid="{B7C09F68-6FE0-4642-BC02-1AC88F871475}"/>
    <cellStyle name="20% - Accent4 10 5 3 4" xfId="30441" xr:uid="{6A9493D7-E681-40AC-89C8-A7956FBA598E}"/>
    <cellStyle name="20% - Accent4 10 5 4" xfId="11004" xr:uid="{00000000-0005-0000-0000-00007C150000}"/>
    <cellStyle name="20% - Accent4 10 5 4 2" xfId="34853" xr:uid="{C9D46572-DE55-45E4-9598-FFD468BCBFE4}"/>
    <cellStyle name="20% - Accent4 10 5 5" xfId="18959" xr:uid="{00000000-0005-0000-0000-00007D150000}"/>
    <cellStyle name="20% - Accent4 10 5 5 2" xfId="42791" xr:uid="{70530A8C-0299-49FD-852A-71098D9398B9}"/>
    <cellStyle name="20% - Accent4 10 5 6" xfId="26911" xr:uid="{AA1396D1-0391-4138-B96C-030BDC9C70F4}"/>
    <cellStyle name="20% - Accent4 10 5_Exh G" xfId="2320" xr:uid="{00000000-0005-0000-0000-00007E150000}"/>
    <cellStyle name="20% - Accent4 10 6" xfId="3857" xr:uid="{00000000-0005-0000-0000-00007F150000}"/>
    <cellStyle name="20% - Accent4 10 6 2" xfId="7449" xr:uid="{00000000-0005-0000-0000-000080150000}"/>
    <cellStyle name="20% - Accent4 10 6 2 2" xfId="15420" xr:uid="{00000000-0005-0000-0000-000081150000}"/>
    <cellStyle name="20% - Accent4 10 6 2 2 2" xfId="39262" xr:uid="{616EDD69-1E13-4391-8FCB-8AFF043D4D17}"/>
    <cellStyle name="20% - Accent4 10 6 2 3" xfId="23366" xr:uid="{00000000-0005-0000-0000-000082150000}"/>
    <cellStyle name="20% - Accent4 10 6 2 3 2" xfId="47198" xr:uid="{77E21415-4792-4DBC-B7BB-49B77C3232B8}"/>
    <cellStyle name="20% - Accent4 10 6 2 4" xfId="31321" xr:uid="{10795B4A-B4BA-4A41-980A-3F8DA2717DF4}"/>
    <cellStyle name="20% - Accent4 10 6 3" xfId="11882" xr:uid="{00000000-0005-0000-0000-000083150000}"/>
    <cellStyle name="20% - Accent4 10 6 3 2" xfId="35731" xr:uid="{B931BB6D-1D79-4F5A-99D3-716D8B8A15B8}"/>
    <cellStyle name="20% - Accent4 10 6 4" xfId="19837" xr:uid="{00000000-0005-0000-0000-000084150000}"/>
    <cellStyle name="20% - Accent4 10 6 4 2" xfId="43669" xr:uid="{A8496F56-5BF2-409D-843B-116F66FB3D3D}"/>
    <cellStyle name="20% - Accent4 10 6 5" xfId="27790" xr:uid="{0F5433B6-CE89-407F-AD74-AF5685366957}"/>
    <cellStyle name="20% - Accent4 10 7" xfId="5677" xr:uid="{00000000-0005-0000-0000-000085150000}"/>
    <cellStyle name="20% - Accent4 10 7 2" xfId="13661" xr:uid="{00000000-0005-0000-0000-000086150000}"/>
    <cellStyle name="20% - Accent4 10 7 2 2" xfId="37504" xr:uid="{360EC7BB-BE3A-4146-AFA8-7FA6DBF5FBF0}"/>
    <cellStyle name="20% - Accent4 10 7 3" xfId="21609" xr:uid="{00000000-0005-0000-0000-000087150000}"/>
    <cellStyle name="20% - Accent4 10 7 3 2" xfId="45441" xr:uid="{8CC2091E-1631-4652-8B6B-693C64ADBE64}"/>
    <cellStyle name="20% - Accent4 10 7 4" xfId="29563" xr:uid="{E447226C-6292-48B5-BE89-5D2D36213063}"/>
    <cellStyle name="20% - Accent4 10 8" xfId="9230" xr:uid="{00000000-0005-0000-0000-000088150000}"/>
    <cellStyle name="20% - Accent4 10 8 2" xfId="17188" xr:uid="{00000000-0005-0000-0000-000089150000}"/>
    <cellStyle name="20% - Accent4 10 8 2 2" xfId="41028" xr:uid="{8EF4ABF5-726D-48FA-818E-310C3FFF2042}"/>
    <cellStyle name="20% - Accent4 10 8 3" xfId="25132" xr:uid="{00000000-0005-0000-0000-00008A150000}"/>
    <cellStyle name="20% - Accent4 10 8 3 2" xfId="48964" xr:uid="{45170288-4A42-439F-B4A7-A02FF1801083}"/>
    <cellStyle name="20% - Accent4 10 8 4" xfId="33087" xr:uid="{63C29B17-AA96-4155-BCF2-D03A8CCC1CEE}"/>
    <cellStyle name="20% - Accent4 10 9" xfId="10126" xr:uid="{00000000-0005-0000-0000-00008B150000}"/>
    <cellStyle name="20% - Accent4 10 9 2" xfId="33975" xr:uid="{EA705EE1-3753-4CC8-96A2-297EABDDA327}"/>
    <cellStyle name="20% - Accent4 10_Exh G" xfId="2313" xr:uid="{00000000-0005-0000-0000-00008C150000}"/>
    <cellStyle name="20% - Accent4 11" xfId="182" xr:uid="{00000000-0005-0000-0000-00008D150000}"/>
    <cellStyle name="20% - Accent4 11 10" xfId="26037" xr:uid="{BDC8E03A-CF4B-44AB-8E7D-DAA683D261AB}"/>
    <cellStyle name="20% - Accent4 11 2" xfId="183" xr:uid="{00000000-0005-0000-0000-00008E150000}"/>
    <cellStyle name="20% - Accent4 11 2 2" xfId="184" xr:uid="{00000000-0005-0000-0000-00008F150000}"/>
    <cellStyle name="20% - Accent4 11 2 2 2" xfId="1212" xr:uid="{00000000-0005-0000-0000-000090150000}"/>
    <cellStyle name="20% - Accent4 11 2 2 2 2" xfId="4742" xr:uid="{00000000-0005-0000-0000-000091150000}"/>
    <cellStyle name="20% - Accent4 11 2 2 2 2 2" xfId="8333" xr:uid="{00000000-0005-0000-0000-000092150000}"/>
    <cellStyle name="20% - Accent4 11 2 2 2 2 2 2" xfId="16304" xr:uid="{00000000-0005-0000-0000-000093150000}"/>
    <cellStyle name="20% - Accent4 11 2 2 2 2 2 2 2" xfId="40146" xr:uid="{1DCEF28A-5918-4FAF-8C04-EB41EE47AEB1}"/>
    <cellStyle name="20% - Accent4 11 2 2 2 2 2 3" xfId="24250" xr:uid="{00000000-0005-0000-0000-000094150000}"/>
    <cellStyle name="20% - Accent4 11 2 2 2 2 2 3 2" xfId="48082" xr:uid="{D93BBA92-FCA8-4810-9BFB-432DA6CC59CF}"/>
    <cellStyle name="20% - Accent4 11 2 2 2 2 2 4" xfId="32205" xr:uid="{B5D2352D-1FE3-4ED7-B163-D1AC479AE4B0}"/>
    <cellStyle name="20% - Accent4 11 2 2 2 2 3" xfId="12766" xr:uid="{00000000-0005-0000-0000-000095150000}"/>
    <cellStyle name="20% - Accent4 11 2 2 2 2 3 2" xfId="36615" xr:uid="{8FE521DC-BDDC-4BB2-9491-78C6DF392424}"/>
    <cellStyle name="20% - Accent4 11 2 2 2 2 4" xfId="20721" xr:uid="{00000000-0005-0000-0000-000096150000}"/>
    <cellStyle name="20% - Accent4 11 2 2 2 2 4 2" xfId="44553" xr:uid="{AE59A4F6-2C83-4D14-92BE-56AC0698E9DD}"/>
    <cellStyle name="20% - Accent4 11 2 2 2 2 5" xfId="28674" xr:uid="{46DBD68E-CFDC-4692-8F9A-DEC2D90D31AD}"/>
    <cellStyle name="20% - Accent4 11 2 2 2 3" xfId="6574" xr:uid="{00000000-0005-0000-0000-000097150000}"/>
    <cellStyle name="20% - Accent4 11 2 2 2 3 2" xfId="14546" xr:uid="{00000000-0005-0000-0000-000098150000}"/>
    <cellStyle name="20% - Accent4 11 2 2 2 3 2 2" xfId="38388" xr:uid="{FF6AF8F9-F833-4DA1-98F3-060929277860}"/>
    <cellStyle name="20% - Accent4 11 2 2 2 3 3" xfId="22493" xr:uid="{00000000-0005-0000-0000-000099150000}"/>
    <cellStyle name="20% - Accent4 11 2 2 2 3 3 2" xfId="46325" xr:uid="{1BC7A11E-8135-4B2D-952F-692EB6BB4225}"/>
    <cellStyle name="20% - Accent4 11 2 2 2 3 4" xfId="30447" xr:uid="{50A6A34A-16A4-4D3E-AA8C-90F9794294EE}"/>
    <cellStyle name="20% - Accent4 11 2 2 2 4" xfId="11010" xr:uid="{00000000-0005-0000-0000-00009A150000}"/>
    <cellStyle name="20% - Accent4 11 2 2 2 4 2" xfId="34859" xr:uid="{36B84685-B312-4CBE-8A6A-B39C32ED79D0}"/>
    <cellStyle name="20% - Accent4 11 2 2 2 5" xfId="18965" xr:uid="{00000000-0005-0000-0000-00009B150000}"/>
    <cellStyle name="20% - Accent4 11 2 2 2 5 2" xfId="42797" xr:uid="{7B4A3263-650A-4760-B1D9-84FDBE2D2952}"/>
    <cellStyle name="20% - Accent4 11 2 2 2 6" xfId="26917" xr:uid="{72FFB77F-B781-49CA-9D03-025BA4C08C9F}"/>
    <cellStyle name="20% - Accent4 11 2 2 2_Exh G" xfId="2324" xr:uid="{00000000-0005-0000-0000-00009C150000}"/>
    <cellStyle name="20% - Accent4 11 2 2 3" xfId="3863" xr:uid="{00000000-0005-0000-0000-00009D150000}"/>
    <cellStyle name="20% - Accent4 11 2 2 3 2" xfId="7455" xr:uid="{00000000-0005-0000-0000-00009E150000}"/>
    <cellStyle name="20% - Accent4 11 2 2 3 2 2" xfId="15426" xr:uid="{00000000-0005-0000-0000-00009F150000}"/>
    <cellStyle name="20% - Accent4 11 2 2 3 2 2 2" xfId="39268" xr:uid="{16726827-DEF0-411B-8CE7-C7F1B636F07E}"/>
    <cellStyle name="20% - Accent4 11 2 2 3 2 3" xfId="23372" xr:uid="{00000000-0005-0000-0000-0000A0150000}"/>
    <cellStyle name="20% - Accent4 11 2 2 3 2 3 2" xfId="47204" xr:uid="{7C6793B9-7A7F-4AC4-A826-0BAC4313E1EC}"/>
    <cellStyle name="20% - Accent4 11 2 2 3 2 4" xfId="31327" xr:uid="{A44B9F49-2425-411F-AEDD-59CCFF5FE34E}"/>
    <cellStyle name="20% - Accent4 11 2 2 3 3" xfId="11888" xr:uid="{00000000-0005-0000-0000-0000A1150000}"/>
    <cellStyle name="20% - Accent4 11 2 2 3 3 2" xfId="35737" xr:uid="{E5EC2F9D-3BB3-4C0F-BEB6-3B889B643435}"/>
    <cellStyle name="20% - Accent4 11 2 2 3 4" xfId="19843" xr:uid="{00000000-0005-0000-0000-0000A2150000}"/>
    <cellStyle name="20% - Accent4 11 2 2 3 4 2" xfId="43675" xr:uid="{9B256A4F-F09F-46EA-A31F-C0E48DC176F4}"/>
    <cellStyle name="20% - Accent4 11 2 2 3 5" xfId="27796" xr:uid="{2AAC4CCB-2173-470C-9B85-413E23992960}"/>
    <cellStyle name="20% - Accent4 11 2 2 4" xfId="5683" xr:uid="{00000000-0005-0000-0000-0000A3150000}"/>
    <cellStyle name="20% - Accent4 11 2 2 4 2" xfId="13667" xr:uid="{00000000-0005-0000-0000-0000A4150000}"/>
    <cellStyle name="20% - Accent4 11 2 2 4 2 2" xfId="37510" xr:uid="{3911875F-FE4A-408F-AA30-D3F382890120}"/>
    <cellStyle name="20% - Accent4 11 2 2 4 3" xfId="21615" xr:uid="{00000000-0005-0000-0000-0000A5150000}"/>
    <cellStyle name="20% - Accent4 11 2 2 4 3 2" xfId="45447" xr:uid="{4FB36950-C87D-405B-B1A3-49ED4914A3B9}"/>
    <cellStyle name="20% - Accent4 11 2 2 4 4" xfId="29569" xr:uid="{9E520545-9DDF-4136-84F8-E5B384C04576}"/>
    <cellStyle name="20% - Accent4 11 2 2 5" xfId="9236" xr:uid="{00000000-0005-0000-0000-0000A6150000}"/>
    <cellStyle name="20% - Accent4 11 2 2 5 2" xfId="17194" xr:uid="{00000000-0005-0000-0000-0000A7150000}"/>
    <cellStyle name="20% - Accent4 11 2 2 5 2 2" xfId="41034" xr:uid="{CB2184E6-2B2D-4D61-B2E4-DBFFD8E0538E}"/>
    <cellStyle name="20% - Accent4 11 2 2 5 3" xfId="25138" xr:uid="{00000000-0005-0000-0000-0000A8150000}"/>
    <cellStyle name="20% - Accent4 11 2 2 5 3 2" xfId="48970" xr:uid="{862C3AC2-04B7-4A26-ADDB-46518EB59C27}"/>
    <cellStyle name="20% - Accent4 11 2 2 5 4" xfId="33093" xr:uid="{190C4582-674A-410A-85C7-8CD1F0752740}"/>
    <cellStyle name="20% - Accent4 11 2 2 6" xfId="10132" xr:uid="{00000000-0005-0000-0000-0000A9150000}"/>
    <cellStyle name="20% - Accent4 11 2 2 6 2" xfId="33981" xr:uid="{7A18680E-170D-4E18-80E5-14DA0FFE9095}"/>
    <cellStyle name="20% - Accent4 11 2 2 7" xfId="18087" xr:uid="{00000000-0005-0000-0000-0000AA150000}"/>
    <cellStyle name="20% - Accent4 11 2 2 7 2" xfId="41919" xr:uid="{21C73FCF-4C56-431A-9E11-8040D61A7C1B}"/>
    <cellStyle name="20% - Accent4 11 2 2 8" xfId="26039" xr:uid="{1A44994F-B61E-4F2C-9854-EE619F78077F}"/>
    <cellStyle name="20% - Accent4 11 2 2_Exh G" xfId="2323" xr:uid="{00000000-0005-0000-0000-0000AB150000}"/>
    <cellStyle name="20% - Accent4 11 2 3" xfId="1211" xr:uid="{00000000-0005-0000-0000-0000AC150000}"/>
    <cellStyle name="20% - Accent4 11 2 3 2" xfId="4741" xr:uid="{00000000-0005-0000-0000-0000AD150000}"/>
    <cellStyle name="20% - Accent4 11 2 3 2 2" xfId="8332" xr:uid="{00000000-0005-0000-0000-0000AE150000}"/>
    <cellStyle name="20% - Accent4 11 2 3 2 2 2" xfId="16303" xr:uid="{00000000-0005-0000-0000-0000AF150000}"/>
    <cellStyle name="20% - Accent4 11 2 3 2 2 2 2" xfId="40145" xr:uid="{B52CA9B9-4FF5-4E92-9F73-00CA6D71CF0C}"/>
    <cellStyle name="20% - Accent4 11 2 3 2 2 3" xfId="24249" xr:uid="{00000000-0005-0000-0000-0000B0150000}"/>
    <cellStyle name="20% - Accent4 11 2 3 2 2 3 2" xfId="48081" xr:uid="{2EBC5B06-F692-4274-BAB3-4E69E0BC1AAC}"/>
    <cellStyle name="20% - Accent4 11 2 3 2 2 4" xfId="32204" xr:uid="{26F1D267-3AAA-448F-95B1-71756A69EF51}"/>
    <cellStyle name="20% - Accent4 11 2 3 2 3" xfId="12765" xr:uid="{00000000-0005-0000-0000-0000B1150000}"/>
    <cellStyle name="20% - Accent4 11 2 3 2 3 2" xfId="36614" xr:uid="{E82EC15C-7652-4017-9553-B32DC6A3B640}"/>
    <cellStyle name="20% - Accent4 11 2 3 2 4" xfId="20720" xr:uid="{00000000-0005-0000-0000-0000B2150000}"/>
    <cellStyle name="20% - Accent4 11 2 3 2 4 2" xfId="44552" xr:uid="{191BF4FC-AD25-4A32-B012-3B83D1E12456}"/>
    <cellStyle name="20% - Accent4 11 2 3 2 5" xfId="28673" xr:uid="{C16D68CA-94F1-4A95-9380-3B2B681B63D7}"/>
    <cellStyle name="20% - Accent4 11 2 3 3" xfId="6573" xr:uid="{00000000-0005-0000-0000-0000B3150000}"/>
    <cellStyle name="20% - Accent4 11 2 3 3 2" xfId="14545" xr:uid="{00000000-0005-0000-0000-0000B4150000}"/>
    <cellStyle name="20% - Accent4 11 2 3 3 2 2" xfId="38387" xr:uid="{9A2D6161-1EE3-444F-A5C3-BC59A68A4405}"/>
    <cellStyle name="20% - Accent4 11 2 3 3 3" xfId="22492" xr:uid="{00000000-0005-0000-0000-0000B5150000}"/>
    <cellStyle name="20% - Accent4 11 2 3 3 3 2" xfId="46324" xr:uid="{81611B60-D9F5-4712-9BC9-25E94DBF9190}"/>
    <cellStyle name="20% - Accent4 11 2 3 3 4" xfId="30446" xr:uid="{EB6F2FCA-31FF-409A-BB69-7BFD7B19175D}"/>
    <cellStyle name="20% - Accent4 11 2 3 4" xfId="11009" xr:uid="{00000000-0005-0000-0000-0000B6150000}"/>
    <cellStyle name="20% - Accent4 11 2 3 4 2" xfId="34858" xr:uid="{E12BF34E-163E-4B36-BEA6-FC3C630A016F}"/>
    <cellStyle name="20% - Accent4 11 2 3 5" xfId="18964" xr:uid="{00000000-0005-0000-0000-0000B7150000}"/>
    <cellStyle name="20% - Accent4 11 2 3 5 2" xfId="42796" xr:uid="{047DD8DA-2550-49E4-93DE-F197C3801332}"/>
    <cellStyle name="20% - Accent4 11 2 3 6" xfId="26916" xr:uid="{7B1ADCDB-BB59-45BD-AA04-1F09FEE865B9}"/>
    <cellStyle name="20% - Accent4 11 2 3_Exh G" xfId="2325" xr:uid="{00000000-0005-0000-0000-0000B8150000}"/>
    <cellStyle name="20% - Accent4 11 2 4" xfId="3862" xr:uid="{00000000-0005-0000-0000-0000B9150000}"/>
    <cellStyle name="20% - Accent4 11 2 4 2" xfId="7454" xr:uid="{00000000-0005-0000-0000-0000BA150000}"/>
    <cellStyle name="20% - Accent4 11 2 4 2 2" xfId="15425" xr:uid="{00000000-0005-0000-0000-0000BB150000}"/>
    <cellStyle name="20% - Accent4 11 2 4 2 2 2" xfId="39267" xr:uid="{28C065E6-9F04-4BE9-A979-87FFE44C6971}"/>
    <cellStyle name="20% - Accent4 11 2 4 2 3" xfId="23371" xr:uid="{00000000-0005-0000-0000-0000BC150000}"/>
    <cellStyle name="20% - Accent4 11 2 4 2 3 2" xfId="47203" xr:uid="{77637918-0B6E-4C41-AE82-91C2FFB6142E}"/>
    <cellStyle name="20% - Accent4 11 2 4 2 4" xfId="31326" xr:uid="{613C1F34-F3CE-47C1-88AF-C194955C82E9}"/>
    <cellStyle name="20% - Accent4 11 2 4 3" xfId="11887" xr:uid="{00000000-0005-0000-0000-0000BD150000}"/>
    <cellStyle name="20% - Accent4 11 2 4 3 2" xfId="35736" xr:uid="{CCADD2EE-7D3B-4017-A173-768869842A4D}"/>
    <cellStyle name="20% - Accent4 11 2 4 4" xfId="19842" xr:uid="{00000000-0005-0000-0000-0000BE150000}"/>
    <cellStyle name="20% - Accent4 11 2 4 4 2" xfId="43674" xr:uid="{BE8F8A70-1ACF-45AF-B64F-0423B59AF7F2}"/>
    <cellStyle name="20% - Accent4 11 2 4 5" xfId="27795" xr:uid="{5293BF40-E20C-4D30-9B0B-076A64D4D6EC}"/>
    <cellStyle name="20% - Accent4 11 2 5" xfId="5682" xr:uid="{00000000-0005-0000-0000-0000BF150000}"/>
    <cellStyle name="20% - Accent4 11 2 5 2" xfId="13666" xr:uid="{00000000-0005-0000-0000-0000C0150000}"/>
    <cellStyle name="20% - Accent4 11 2 5 2 2" xfId="37509" xr:uid="{5E3808ED-2AE4-4C64-9A18-FA4B71E33504}"/>
    <cellStyle name="20% - Accent4 11 2 5 3" xfId="21614" xr:uid="{00000000-0005-0000-0000-0000C1150000}"/>
    <cellStyle name="20% - Accent4 11 2 5 3 2" xfId="45446" xr:uid="{5620B62D-8670-4D86-ADCC-ED3108FCA52B}"/>
    <cellStyle name="20% - Accent4 11 2 5 4" xfId="29568" xr:uid="{82C00095-CC8B-464B-888F-0D5E9F3D7AD1}"/>
    <cellStyle name="20% - Accent4 11 2 6" xfId="9235" xr:uid="{00000000-0005-0000-0000-0000C2150000}"/>
    <cellStyle name="20% - Accent4 11 2 6 2" xfId="17193" xr:uid="{00000000-0005-0000-0000-0000C3150000}"/>
    <cellStyle name="20% - Accent4 11 2 6 2 2" xfId="41033" xr:uid="{8774B525-0832-4359-BA37-309241B43472}"/>
    <cellStyle name="20% - Accent4 11 2 6 3" xfId="25137" xr:uid="{00000000-0005-0000-0000-0000C4150000}"/>
    <cellStyle name="20% - Accent4 11 2 6 3 2" xfId="48969" xr:uid="{0E098764-382C-4343-A95E-F384DC4BDC63}"/>
    <cellStyle name="20% - Accent4 11 2 6 4" xfId="33092" xr:uid="{303714C6-20F5-4554-A3FE-B7AB0E60BC1B}"/>
    <cellStyle name="20% - Accent4 11 2 7" xfId="10131" xr:uid="{00000000-0005-0000-0000-0000C5150000}"/>
    <cellStyle name="20% - Accent4 11 2 7 2" xfId="33980" xr:uid="{75C603DF-C886-4D9B-A9C9-74DD753D09C3}"/>
    <cellStyle name="20% - Accent4 11 2 8" xfId="18086" xr:uid="{00000000-0005-0000-0000-0000C6150000}"/>
    <cellStyle name="20% - Accent4 11 2 8 2" xfId="41918" xr:uid="{627FC1CC-D8B2-4D58-AE9A-20929063093D}"/>
    <cellStyle name="20% - Accent4 11 2 9" xfId="26038" xr:uid="{EC190855-D00B-48C7-BB2B-2734C5165676}"/>
    <cellStyle name="20% - Accent4 11 2_Exh G" xfId="2322" xr:uid="{00000000-0005-0000-0000-0000C7150000}"/>
    <cellStyle name="20% - Accent4 11 3" xfId="185" xr:uid="{00000000-0005-0000-0000-0000C8150000}"/>
    <cellStyle name="20% - Accent4 11 3 2" xfId="1213" xr:uid="{00000000-0005-0000-0000-0000C9150000}"/>
    <cellStyle name="20% - Accent4 11 3 2 2" xfId="4743" xr:uid="{00000000-0005-0000-0000-0000CA150000}"/>
    <cellStyle name="20% - Accent4 11 3 2 2 2" xfId="8334" xr:uid="{00000000-0005-0000-0000-0000CB150000}"/>
    <cellStyle name="20% - Accent4 11 3 2 2 2 2" xfId="16305" xr:uid="{00000000-0005-0000-0000-0000CC150000}"/>
    <cellStyle name="20% - Accent4 11 3 2 2 2 2 2" xfId="40147" xr:uid="{7728494C-6A0D-496F-BF2F-B0C672699AEB}"/>
    <cellStyle name="20% - Accent4 11 3 2 2 2 3" xfId="24251" xr:uid="{00000000-0005-0000-0000-0000CD150000}"/>
    <cellStyle name="20% - Accent4 11 3 2 2 2 3 2" xfId="48083" xr:uid="{BC8552C0-4A44-49C4-9C01-DD01D14DBB36}"/>
    <cellStyle name="20% - Accent4 11 3 2 2 2 4" xfId="32206" xr:uid="{96AF4C8C-B981-45CB-BAF6-3D46E0F3E5AB}"/>
    <cellStyle name="20% - Accent4 11 3 2 2 3" xfId="12767" xr:uid="{00000000-0005-0000-0000-0000CE150000}"/>
    <cellStyle name="20% - Accent4 11 3 2 2 3 2" xfId="36616" xr:uid="{1D3DFF48-3C72-46CA-BC38-80CA0DE4986E}"/>
    <cellStyle name="20% - Accent4 11 3 2 2 4" xfId="20722" xr:uid="{00000000-0005-0000-0000-0000CF150000}"/>
    <cellStyle name="20% - Accent4 11 3 2 2 4 2" xfId="44554" xr:uid="{CFC8B57C-0B90-434C-A67A-651BEBAEC3E4}"/>
    <cellStyle name="20% - Accent4 11 3 2 2 5" xfId="28675" xr:uid="{5B6A203E-49B6-44D9-B7F6-4B109D71E16D}"/>
    <cellStyle name="20% - Accent4 11 3 2 3" xfId="6575" xr:uid="{00000000-0005-0000-0000-0000D0150000}"/>
    <cellStyle name="20% - Accent4 11 3 2 3 2" xfId="14547" xr:uid="{00000000-0005-0000-0000-0000D1150000}"/>
    <cellStyle name="20% - Accent4 11 3 2 3 2 2" xfId="38389" xr:uid="{FC2F5D1F-36B0-42F6-A4F6-1928079D75D2}"/>
    <cellStyle name="20% - Accent4 11 3 2 3 3" xfId="22494" xr:uid="{00000000-0005-0000-0000-0000D2150000}"/>
    <cellStyle name="20% - Accent4 11 3 2 3 3 2" xfId="46326" xr:uid="{6AAFA889-38A0-4C19-A980-243F10E190EB}"/>
    <cellStyle name="20% - Accent4 11 3 2 3 4" xfId="30448" xr:uid="{1339FB02-E09E-49BF-8B06-6AFDDB977E69}"/>
    <cellStyle name="20% - Accent4 11 3 2 4" xfId="11011" xr:uid="{00000000-0005-0000-0000-0000D3150000}"/>
    <cellStyle name="20% - Accent4 11 3 2 4 2" xfId="34860" xr:uid="{B852E5B6-B9E1-4701-91F7-9CF4544878DE}"/>
    <cellStyle name="20% - Accent4 11 3 2 5" xfId="18966" xr:uid="{00000000-0005-0000-0000-0000D4150000}"/>
    <cellStyle name="20% - Accent4 11 3 2 5 2" xfId="42798" xr:uid="{7FB4DE12-992C-40BD-9141-2966A2DFBC38}"/>
    <cellStyle name="20% - Accent4 11 3 2 6" xfId="26918" xr:uid="{C749CE0F-A5F1-4187-A42D-DF9AA1308E69}"/>
    <cellStyle name="20% - Accent4 11 3 2_Exh G" xfId="2327" xr:uid="{00000000-0005-0000-0000-0000D5150000}"/>
    <cellStyle name="20% - Accent4 11 3 3" xfId="3864" xr:uid="{00000000-0005-0000-0000-0000D6150000}"/>
    <cellStyle name="20% - Accent4 11 3 3 2" xfId="7456" xr:uid="{00000000-0005-0000-0000-0000D7150000}"/>
    <cellStyle name="20% - Accent4 11 3 3 2 2" xfId="15427" xr:uid="{00000000-0005-0000-0000-0000D8150000}"/>
    <cellStyle name="20% - Accent4 11 3 3 2 2 2" xfId="39269" xr:uid="{1E9F6D65-D2BB-4F1A-8737-3D51B4D5B6EA}"/>
    <cellStyle name="20% - Accent4 11 3 3 2 3" xfId="23373" xr:uid="{00000000-0005-0000-0000-0000D9150000}"/>
    <cellStyle name="20% - Accent4 11 3 3 2 3 2" xfId="47205" xr:uid="{7F0B8D72-1E74-4611-A571-9E3D416F464B}"/>
    <cellStyle name="20% - Accent4 11 3 3 2 4" xfId="31328" xr:uid="{E1E4F0F1-1AFD-4985-88B3-FD5E8F6AF94D}"/>
    <cellStyle name="20% - Accent4 11 3 3 3" xfId="11889" xr:uid="{00000000-0005-0000-0000-0000DA150000}"/>
    <cellStyle name="20% - Accent4 11 3 3 3 2" xfId="35738" xr:uid="{B675256A-A566-4BA8-8AFA-E9C5C20E4C42}"/>
    <cellStyle name="20% - Accent4 11 3 3 4" xfId="19844" xr:uid="{00000000-0005-0000-0000-0000DB150000}"/>
    <cellStyle name="20% - Accent4 11 3 3 4 2" xfId="43676" xr:uid="{16E6D20D-8BC6-4E4C-A01D-EE513D469C97}"/>
    <cellStyle name="20% - Accent4 11 3 3 5" xfId="27797" xr:uid="{A116636C-45ED-4FFC-AE37-DE7A9D33E912}"/>
    <cellStyle name="20% - Accent4 11 3 4" xfId="5684" xr:uid="{00000000-0005-0000-0000-0000DC150000}"/>
    <cellStyle name="20% - Accent4 11 3 4 2" xfId="13668" xr:uid="{00000000-0005-0000-0000-0000DD150000}"/>
    <cellStyle name="20% - Accent4 11 3 4 2 2" xfId="37511" xr:uid="{5570DA48-BCEE-4011-A409-DF6EAC4660D1}"/>
    <cellStyle name="20% - Accent4 11 3 4 3" xfId="21616" xr:uid="{00000000-0005-0000-0000-0000DE150000}"/>
    <cellStyle name="20% - Accent4 11 3 4 3 2" xfId="45448" xr:uid="{C1CE9D3D-4FE6-4950-A2D1-C1AEF0737231}"/>
    <cellStyle name="20% - Accent4 11 3 4 4" xfId="29570" xr:uid="{27F7CF36-0CE1-45EF-A228-64DCE6D4612B}"/>
    <cellStyle name="20% - Accent4 11 3 5" xfId="9237" xr:uid="{00000000-0005-0000-0000-0000DF150000}"/>
    <cellStyle name="20% - Accent4 11 3 5 2" xfId="17195" xr:uid="{00000000-0005-0000-0000-0000E0150000}"/>
    <cellStyle name="20% - Accent4 11 3 5 2 2" xfId="41035" xr:uid="{45EAC9B6-C599-48DE-BAEA-79C5F3D4B74D}"/>
    <cellStyle name="20% - Accent4 11 3 5 3" xfId="25139" xr:uid="{00000000-0005-0000-0000-0000E1150000}"/>
    <cellStyle name="20% - Accent4 11 3 5 3 2" xfId="48971" xr:uid="{460F77A9-A846-4706-B1D7-F7DE910AE2E2}"/>
    <cellStyle name="20% - Accent4 11 3 5 4" xfId="33094" xr:uid="{C0224C64-4C73-41A4-B386-38CE82D5F219}"/>
    <cellStyle name="20% - Accent4 11 3 6" xfId="10133" xr:uid="{00000000-0005-0000-0000-0000E2150000}"/>
    <cellStyle name="20% - Accent4 11 3 6 2" xfId="33982" xr:uid="{0A279D6F-2117-464D-8CDB-26FD79AAEDD4}"/>
    <cellStyle name="20% - Accent4 11 3 7" xfId="18088" xr:uid="{00000000-0005-0000-0000-0000E3150000}"/>
    <cellStyle name="20% - Accent4 11 3 7 2" xfId="41920" xr:uid="{58B6D9FA-7AAA-47B0-875A-4F0BCFA2036F}"/>
    <cellStyle name="20% - Accent4 11 3 8" xfId="26040" xr:uid="{BE95DE7F-A7D1-4308-B6BD-2EF5DD5EC435}"/>
    <cellStyle name="20% - Accent4 11 3_Exh G" xfId="2326" xr:uid="{00000000-0005-0000-0000-0000E4150000}"/>
    <cellStyle name="20% - Accent4 11 4" xfId="1210" xr:uid="{00000000-0005-0000-0000-0000E5150000}"/>
    <cellStyle name="20% - Accent4 11 4 2" xfId="4740" xr:uid="{00000000-0005-0000-0000-0000E6150000}"/>
    <cellStyle name="20% - Accent4 11 4 2 2" xfId="8331" xr:uid="{00000000-0005-0000-0000-0000E7150000}"/>
    <cellStyle name="20% - Accent4 11 4 2 2 2" xfId="16302" xr:uid="{00000000-0005-0000-0000-0000E8150000}"/>
    <cellStyle name="20% - Accent4 11 4 2 2 2 2" xfId="40144" xr:uid="{A998DDC2-269A-4C23-8834-0184B925F188}"/>
    <cellStyle name="20% - Accent4 11 4 2 2 3" xfId="24248" xr:uid="{00000000-0005-0000-0000-0000E9150000}"/>
    <cellStyle name="20% - Accent4 11 4 2 2 3 2" xfId="48080" xr:uid="{A103453B-3AA8-4D62-B358-55F582DABC03}"/>
    <cellStyle name="20% - Accent4 11 4 2 2 4" xfId="32203" xr:uid="{93F9D95F-31BC-44F3-B485-D263935DC85C}"/>
    <cellStyle name="20% - Accent4 11 4 2 3" xfId="12764" xr:uid="{00000000-0005-0000-0000-0000EA150000}"/>
    <cellStyle name="20% - Accent4 11 4 2 3 2" xfId="36613" xr:uid="{5E68E9DC-C0FD-4917-9F43-8F559C0887B8}"/>
    <cellStyle name="20% - Accent4 11 4 2 4" xfId="20719" xr:uid="{00000000-0005-0000-0000-0000EB150000}"/>
    <cellStyle name="20% - Accent4 11 4 2 4 2" xfId="44551" xr:uid="{7AD58E3F-4841-4153-80F2-822BE5B7C772}"/>
    <cellStyle name="20% - Accent4 11 4 2 5" xfId="28672" xr:uid="{A150AA2E-95C7-4A89-ACBF-B064D8D62743}"/>
    <cellStyle name="20% - Accent4 11 4 3" xfId="6572" xr:uid="{00000000-0005-0000-0000-0000EC150000}"/>
    <cellStyle name="20% - Accent4 11 4 3 2" xfId="14544" xr:uid="{00000000-0005-0000-0000-0000ED150000}"/>
    <cellStyle name="20% - Accent4 11 4 3 2 2" xfId="38386" xr:uid="{0B7A7551-3A6D-4624-8D3A-3DA6EA2E1249}"/>
    <cellStyle name="20% - Accent4 11 4 3 3" xfId="22491" xr:uid="{00000000-0005-0000-0000-0000EE150000}"/>
    <cellStyle name="20% - Accent4 11 4 3 3 2" xfId="46323" xr:uid="{F9DAA9DE-3076-4831-A404-58A7B24F427A}"/>
    <cellStyle name="20% - Accent4 11 4 3 4" xfId="30445" xr:uid="{6FDB28F6-1BFC-40CD-AAE7-52876BBE4377}"/>
    <cellStyle name="20% - Accent4 11 4 4" xfId="11008" xr:uid="{00000000-0005-0000-0000-0000EF150000}"/>
    <cellStyle name="20% - Accent4 11 4 4 2" xfId="34857" xr:uid="{13D90BF1-FEC8-49D7-911F-D495089D32CE}"/>
    <cellStyle name="20% - Accent4 11 4 5" xfId="18963" xr:uid="{00000000-0005-0000-0000-0000F0150000}"/>
    <cellStyle name="20% - Accent4 11 4 5 2" xfId="42795" xr:uid="{3675DEE1-BB06-471A-BBAC-6A594B7235B8}"/>
    <cellStyle name="20% - Accent4 11 4 6" xfId="26915" xr:uid="{7FB80FB8-8686-4A35-8CCC-75ED76CB7FB0}"/>
    <cellStyle name="20% - Accent4 11 4_Exh G" xfId="2328" xr:uid="{00000000-0005-0000-0000-0000F1150000}"/>
    <cellStyle name="20% - Accent4 11 5" xfId="3861" xr:uid="{00000000-0005-0000-0000-0000F2150000}"/>
    <cellStyle name="20% - Accent4 11 5 2" xfId="7453" xr:uid="{00000000-0005-0000-0000-0000F3150000}"/>
    <cellStyle name="20% - Accent4 11 5 2 2" xfId="15424" xr:uid="{00000000-0005-0000-0000-0000F4150000}"/>
    <cellStyle name="20% - Accent4 11 5 2 2 2" xfId="39266" xr:uid="{618C9EAE-688C-4B0F-8DA8-31CADBB94FD5}"/>
    <cellStyle name="20% - Accent4 11 5 2 3" xfId="23370" xr:uid="{00000000-0005-0000-0000-0000F5150000}"/>
    <cellStyle name="20% - Accent4 11 5 2 3 2" xfId="47202" xr:uid="{80BC86B9-4065-47EC-82B2-A3CC2B827394}"/>
    <cellStyle name="20% - Accent4 11 5 2 4" xfId="31325" xr:uid="{1830D61E-FD9B-4B00-B4FD-9036132E4D42}"/>
    <cellStyle name="20% - Accent4 11 5 3" xfId="11886" xr:uid="{00000000-0005-0000-0000-0000F6150000}"/>
    <cellStyle name="20% - Accent4 11 5 3 2" xfId="35735" xr:uid="{81872AB2-41EC-420E-A112-91C8952400DC}"/>
    <cellStyle name="20% - Accent4 11 5 4" xfId="19841" xr:uid="{00000000-0005-0000-0000-0000F7150000}"/>
    <cellStyle name="20% - Accent4 11 5 4 2" xfId="43673" xr:uid="{A895BF5E-E28D-4746-8E1D-92D61A407552}"/>
    <cellStyle name="20% - Accent4 11 5 5" xfId="27794" xr:uid="{67D5B266-9462-4AB2-BA03-869CF452AF5C}"/>
    <cellStyle name="20% - Accent4 11 6" xfId="5681" xr:uid="{00000000-0005-0000-0000-0000F8150000}"/>
    <cellStyle name="20% - Accent4 11 6 2" xfId="13665" xr:uid="{00000000-0005-0000-0000-0000F9150000}"/>
    <cellStyle name="20% - Accent4 11 6 2 2" xfId="37508" xr:uid="{D6BF039A-DA00-4688-B0DB-808D306CDA85}"/>
    <cellStyle name="20% - Accent4 11 6 3" xfId="21613" xr:uid="{00000000-0005-0000-0000-0000FA150000}"/>
    <cellStyle name="20% - Accent4 11 6 3 2" xfId="45445" xr:uid="{AAB5CFD3-B575-4116-9249-AA27677E06E0}"/>
    <cellStyle name="20% - Accent4 11 6 4" xfId="29567" xr:uid="{E840B43D-BC31-45E7-9EC8-44D98725A90C}"/>
    <cellStyle name="20% - Accent4 11 7" xfId="9234" xr:uid="{00000000-0005-0000-0000-0000FB150000}"/>
    <cellStyle name="20% - Accent4 11 7 2" xfId="17192" xr:uid="{00000000-0005-0000-0000-0000FC150000}"/>
    <cellStyle name="20% - Accent4 11 7 2 2" xfId="41032" xr:uid="{6FF4B179-E7CD-473D-BAFB-B23BDA2296B5}"/>
    <cellStyle name="20% - Accent4 11 7 3" xfId="25136" xr:uid="{00000000-0005-0000-0000-0000FD150000}"/>
    <cellStyle name="20% - Accent4 11 7 3 2" xfId="48968" xr:uid="{69B3B36C-0A43-423E-A5BC-63F2D1C6962C}"/>
    <cellStyle name="20% - Accent4 11 7 4" xfId="33091" xr:uid="{063298CE-8FC6-4C29-B26D-924544C42493}"/>
    <cellStyle name="20% - Accent4 11 8" xfId="10130" xr:uid="{00000000-0005-0000-0000-0000FE150000}"/>
    <cellStyle name="20% - Accent4 11 8 2" xfId="33979" xr:uid="{B22BF482-ECC3-4444-890B-7EC4FC668881}"/>
    <cellStyle name="20% - Accent4 11 9" xfId="18085" xr:uid="{00000000-0005-0000-0000-0000FF150000}"/>
    <cellStyle name="20% - Accent4 11 9 2" xfId="41917" xr:uid="{771DD72A-4A69-428D-B94D-63FED03EE4CD}"/>
    <cellStyle name="20% - Accent4 11_Exh G" xfId="2321" xr:uid="{00000000-0005-0000-0000-000000160000}"/>
    <cellStyle name="20% - Accent4 12" xfId="186" xr:uid="{00000000-0005-0000-0000-000001160000}"/>
    <cellStyle name="20% - Accent4 12 10" xfId="26041" xr:uid="{6CF9B369-A0DC-4D39-8240-A40D811BA7D2}"/>
    <cellStyle name="20% - Accent4 12 2" xfId="187" xr:uid="{00000000-0005-0000-0000-000002160000}"/>
    <cellStyle name="20% - Accent4 12 2 2" xfId="188" xr:uid="{00000000-0005-0000-0000-000003160000}"/>
    <cellStyle name="20% - Accent4 12 2 2 2" xfId="1216" xr:uid="{00000000-0005-0000-0000-000004160000}"/>
    <cellStyle name="20% - Accent4 12 2 2 2 2" xfId="4746" xr:uid="{00000000-0005-0000-0000-000005160000}"/>
    <cellStyle name="20% - Accent4 12 2 2 2 2 2" xfId="8337" xr:uid="{00000000-0005-0000-0000-000006160000}"/>
    <cellStyle name="20% - Accent4 12 2 2 2 2 2 2" xfId="16308" xr:uid="{00000000-0005-0000-0000-000007160000}"/>
    <cellStyle name="20% - Accent4 12 2 2 2 2 2 2 2" xfId="40150" xr:uid="{B4687F4C-827B-494E-A64D-1A827BADEFCE}"/>
    <cellStyle name="20% - Accent4 12 2 2 2 2 2 3" xfId="24254" xr:uid="{00000000-0005-0000-0000-000008160000}"/>
    <cellStyle name="20% - Accent4 12 2 2 2 2 2 3 2" xfId="48086" xr:uid="{85DCC25F-E9E8-41F1-A222-70D1F9CDC450}"/>
    <cellStyle name="20% - Accent4 12 2 2 2 2 2 4" xfId="32209" xr:uid="{48DE0789-4362-472F-970C-D04002C9358C}"/>
    <cellStyle name="20% - Accent4 12 2 2 2 2 3" xfId="12770" xr:uid="{00000000-0005-0000-0000-000009160000}"/>
    <cellStyle name="20% - Accent4 12 2 2 2 2 3 2" xfId="36619" xr:uid="{FF774A3F-F5F0-4432-872F-A9BCF8F6F92B}"/>
    <cellStyle name="20% - Accent4 12 2 2 2 2 4" xfId="20725" xr:uid="{00000000-0005-0000-0000-00000A160000}"/>
    <cellStyle name="20% - Accent4 12 2 2 2 2 4 2" xfId="44557" xr:uid="{2C401732-7D73-438D-9BCC-7E7A4AA48556}"/>
    <cellStyle name="20% - Accent4 12 2 2 2 2 5" xfId="28678" xr:uid="{3CA61447-7D31-4F87-AB9A-5BA80C4CEEE4}"/>
    <cellStyle name="20% - Accent4 12 2 2 2 3" xfId="6578" xr:uid="{00000000-0005-0000-0000-00000B160000}"/>
    <cellStyle name="20% - Accent4 12 2 2 2 3 2" xfId="14550" xr:uid="{00000000-0005-0000-0000-00000C160000}"/>
    <cellStyle name="20% - Accent4 12 2 2 2 3 2 2" xfId="38392" xr:uid="{63B2B3FD-4C6F-4B4F-B268-942616333834}"/>
    <cellStyle name="20% - Accent4 12 2 2 2 3 3" xfId="22497" xr:uid="{00000000-0005-0000-0000-00000D160000}"/>
    <cellStyle name="20% - Accent4 12 2 2 2 3 3 2" xfId="46329" xr:uid="{AFB0BF52-B507-4E5A-B01C-78318A30ED17}"/>
    <cellStyle name="20% - Accent4 12 2 2 2 3 4" xfId="30451" xr:uid="{B4AEC5AC-C58A-40CB-A4BC-5D61AA40828A}"/>
    <cellStyle name="20% - Accent4 12 2 2 2 4" xfId="11014" xr:uid="{00000000-0005-0000-0000-00000E160000}"/>
    <cellStyle name="20% - Accent4 12 2 2 2 4 2" xfId="34863" xr:uid="{CA393414-21BE-4FDA-9325-4032802D7C89}"/>
    <cellStyle name="20% - Accent4 12 2 2 2 5" xfId="18969" xr:uid="{00000000-0005-0000-0000-00000F160000}"/>
    <cellStyle name="20% - Accent4 12 2 2 2 5 2" xfId="42801" xr:uid="{B4BFB7E3-5FF5-4553-A4A0-2A19D28B32BB}"/>
    <cellStyle name="20% - Accent4 12 2 2 2 6" xfId="26921" xr:uid="{D28F58A1-CAC5-4230-A67A-628C505784BF}"/>
    <cellStyle name="20% - Accent4 12 2 2 2_Exh G" xfId="2332" xr:uid="{00000000-0005-0000-0000-000010160000}"/>
    <cellStyle name="20% - Accent4 12 2 2 3" xfId="3867" xr:uid="{00000000-0005-0000-0000-000011160000}"/>
    <cellStyle name="20% - Accent4 12 2 2 3 2" xfId="7459" xr:uid="{00000000-0005-0000-0000-000012160000}"/>
    <cellStyle name="20% - Accent4 12 2 2 3 2 2" xfId="15430" xr:uid="{00000000-0005-0000-0000-000013160000}"/>
    <cellStyle name="20% - Accent4 12 2 2 3 2 2 2" xfId="39272" xr:uid="{33196827-927C-4430-B571-4E4BC202DD2F}"/>
    <cellStyle name="20% - Accent4 12 2 2 3 2 3" xfId="23376" xr:uid="{00000000-0005-0000-0000-000014160000}"/>
    <cellStyle name="20% - Accent4 12 2 2 3 2 3 2" xfId="47208" xr:uid="{2C878BAC-0574-46FC-BAD6-7B6C7637C95C}"/>
    <cellStyle name="20% - Accent4 12 2 2 3 2 4" xfId="31331" xr:uid="{548D2F52-5DEF-4364-A7FC-DDE67C04DA98}"/>
    <cellStyle name="20% - Accent4 12 2 2 3 3" xfId="11892" xr:uid="{00000000-0005-0000-0000-000015160000}"/>
    <cellStyle name="20% - Accent4 12 2 2 3 3 2" xfId="35741" xr:uid="{9821DF50-50D9-4A33-BB33-9CFD09AA0D5E}"/>
    <cellStyle name="20% - Accent4 12 2 2 3 4" xfId="19847" xr:uid="{00000000-0005-0000-0000-000016160000}"/>
    <cellStyle name="20% - Accent4 12 2 2 3 4 2" xfId="43679" xr:uid="{AF9E34B7-89AA-495B-BC71-21C5C4033E81}"/>
    <cellStyle name="20% - Accent4 12 2 2 3 5" xfId="27800" xr:uid="{0804760C-BEDD-4707-ADBD-E3AC0D4C2D95}"/>
    <cellStyle name="20% - Accent4 12 2 2 4" xfId="5687" xr:uid="{00000000-0005-0000-0000-000017160000}"/>
    <cellStyle name="20% - Accent4 12 2 2 4 2" xfId="13671" xr:uid="{00000000-0005-0000-0000-000018160000}"/>
    <cellStyle name="20% - Accent4 12 2 2 4 2 2" xfId="37514" xr:uid="{EA39DBBD-7366-4222-93E4-C53431CEC142}"/>
    <cellStyle name="20% - Accent4 12 2 2 4 3" xfId="21619" xr:uid="{00000000-0005-0000-0000-000019160000}"/>
    <cellStyle name="20% - Accent4 12 2 2 4 3 2" xfId="45451" xr:uid="{2270718A-5DB1-4BB3-9871-EFD3743C4E4D}"/>
    <cellStyle name="20% - Accent4 12 2 2 4 4" xfId="29573" xr:uid="{1094387D-B8F1-4E2A-A2B2-C21CCB467F4D}"/>
    <cellStyle name="20% - Accent4 12 2 2 5" xfId="9240" xr:uid="{00000000-0005-0000-0000-00001A160000}"/>
    <cellStyle name="20% - Accent4 12 2 2 5 2" xfId="17198" xr:uid="{00000000-0005-0000-0000-00001B160000}"/>
    <cellStyle name="20% - Accent4 12 2 2 5 2 2" xfId="41038" xr:uid="{DFC49B45-4D09-48ED-A481-DDFE2925EA0C}"/>
    <cellStyle name="20% - Accent4 12 2 2 5 3" xfId="25142" xr:uid="{00000000-0005-0000-0000-00001C160000}"/>
    <cellStyle name="20% - Accent4 12 2 2 5 3 2" xfId="48974" xr:uid="{ADA11EF1-84A3-484E-BF12-0BA3AD08D069}"/>
    <cellStyle name="20% - Accent4 12 2 2 5 4" xfId="33097" xr:uid="{F54C9D6C-1FC2-4C1C-9969-EC6C95382B5E}"/>
    <cellStyle name="20% - Accent4 12 2 2 6" xfId="10136" xr:uid="{00000000-0005-0000-0000-00001D160000}"/>
    <cellStyle name="20% - Accent4 12 2 2 6 2" xfId="33985" xr:uid="{C5BBCFFE-7841-487A-A647-A3A615C6EF66}"/>
    <cellStyle name="20% - Accent4 12 2 2 7" xfId="18091" xr:uid="{00000000-0005-0000-0000-00001E160000}"/>
    <cellStyle name="20% - Accent4 12 2 2 7 2" xfId="41923" xr:uid="{B3CE8B93-4AA6-4F54-BC8A-90ED8CB03368}"/>
    <cellStyle name="20% - Accent4 12 2 2 8" xfId="26043" xr:uid="{9EAB7A8C-2ADA-490C-86B7-AF518CCE1ADA}"/>
    <cellStyle name="20% - Accent4 12 2 2_Exh G" xfId="2331" xr:uid="{00000000-0005-0000-0000-00001F160000}"/>
    <cellStyle name="20% - Accent4 12 2 3" xfId="1215" xr:uid="{00000000-0005-0000-0000-000020160000}"/>
    <cellStyle name="20% - Accent4 12 2 3 2" xfId="4745" xr:uid="{00000000-0005-0000-0000-000021160000}"/>
    <cellStyle name="20% - Accent4 12 2 3 2 2" xfId="8336" xr:uid="{00000000-0005-0000-0000-000022160000}"/>
    <cellStyle name="20% - Accent4 12 2 3 2 2 2" xfId="16307" xr:uid="{00000000-0005-0000-0000-000023160000}"/>
    <cellStyle name="20% - Accent4 12 2 3 2 2 2 2" xfId="40149" xr:uid="{3DFB20A8-DC3E-4997-AC31-E855F10ADFCE}"/>
    <cellStyle name="20% - Accent4 12 2 3 2 2 3" xfId="24253" xr:uid="{00000000-0005-0000-0000-000024160000}"/>
    <cellStyle name="20% - Accent4 12 2 3 2 2 3 2" xfId="48085" xr:uid="{DF116907-2E82-40E9-9D3B-080B5FE86B98}"/>
    <cellStyle name="20% - Accent4 12 2 3 2 2 4" xfId="32208" xr:uid="{6E385BA1-B135-4356-97C4-BEC990311311}"/>
    <cellStyle name="20% - Accent4 12 2 3 2 3" xfId="12769" xr:uid="{00000000-0005-0000-0000-000025160000}"/>
    <cellStyle name="20% - Accent4 12 2 3 2 3 2" xfId="36618" xr:uid="{B1FEF9EE-87CD-4333-AD4E-A21D0ED6675B}"/>
    <cellStyle name="20% - Accent4 12 2 3 2 4" xfId="20724" xr:uid="{00000000-0005-0000-0000-000026160000}"/>
    <cellStyle name="20% - Accent4 12 2 3 2 4 2" xfId="44556" xr:uid="{B0DA0BAB-B6E5-42DD-BCB4-576049BE992E}"/>
    <cellStyle name="20% - Accent4 12 2 3 2 5" xfId="28677" xr:uid="{4E14BD1E-9297-4768-AAE2-EEF06FDE441D}"/>
    <cellStyle name="20% - Accent4 12 2 3 3" xfId="6577" xr:uid="{00000000-0005-0000-0000-000027160000}"/>
    <cellStyle name="20% - Accent4 12 2 3 3 2" xfId="14549" xr:uid="{00000000-0005-0000-0000-000028160000}"/>
    <cellStyle name="20% - Accent4 12 2 3 3 2 2" xfId="38391" xr:uid="{ECC57FC2-056F-46DA-8899-C318981C6FEA}"/>
    <cellStyle name="20% - Accent4 12 2 3 3 3" xfId="22496" xr:uid="{00000000-0005-0000-0000-000029160000}"/>
    <cellStyle name="20% - Accent4 12 2 3 3 3 2" xfId="46328" xr:uid="{4710358D-B554-435F-BB54-AA84420697C7}"/>
    <cellStyle name="20% - Accent4 12 2 3 3 4" xfId="30450" xr:uid="{0EE95819-EC54-4B5E-98A7-E8D3DF96B6E9}"/>
    <cellStyle name="20% - Accent4 12 2 3 4" xfId="11013" xr:uid="{00000000-0005-0000-0000-00002A160000}"/>
    <cellStyle name="20% - Accent4 12 2 3 4 2" xfId="34862" xr:uid="{94F6A2C6-5AB1-4AA5-80BF-42C6604CFC90}"/>
    <cellStyle name="20% - Accent4 12 2 3 5" xfId="18968" xr:uid="{00000000-0005-0000-0000-00002B160000}"/>
    <cellStyle name="20% - Accent4 12 2 3 5 2" xfId="42800" xr:uid="{FAD97375-234B-4B26-884A-CC227FF847C1}"/>
    <cellStyle name="20% - Accent4 12 2 3 6" xfId="26920" xr:uid="{C0BAE6C6-A157-4414-8C46-6BF26C67ECDA}"/>
    <cellStyle name="20% - Accent4 12 2 3_Exh G" xfId="2333" xr:uid="{00000000-0005-0000-0000-00002C160000}"/>
    <cellStyle name="20% - Accent4 12 2 4" xfId="3866" xr:uid="{00000000-0005-0000-0000-00002D160000}"/>
    <cellStyle name="20% - Accent4 12 2 4 2" xfId="7458" xr:uid="{00000000-0005-0000-0000-00002E160000}"/>
    <cellStyle name="20% - Accent4 12 2 4 2 2" xfId="15429" xr:uid="{00000000-0005-0000-0000-00002F160000}"/>
    <cellStyle name="20% - Accent4 12 2 4 2 2 2" xfId="39271" xr:uid="{A11B3628-D79A-4D88-A3D1-2B315F6CF3B3}"/>
    <cellStyle name="20% - Accent4 12 2 4 2 3" xfId="23375" xr:uid="{00000000-0005-0000-0000-000030160000}"/>
    <cellStyle name="20% - Accent4 12 2 4 2 3 2" xfId="47207" xr:uid="{6BADF46B-BAAD-41DF-BA8D-D0EA4CBDBE30}"/>
    <cellStyle name="20% - Accent4 12 2 4 2 4" xfId="31330" xr:uid="{8C6FBD2F-90B5-4164-98B4-DE2E502FC86F}"/>
    <cellStyle name="20% - Accent4 12 2 4 3" xfId="11891" xr:uid="{00000000-0005-0000-0000-000031160000}"/>
    <cellStyle name="20% - Accent4 12 2 4 3 2" xfId="35740" xr:uid="{918B7B0B-D0E8-42CF-BBFC-042498FDDA0C}"/>
    <cellStyle name="20% - Accent4 12 2 4 4" xfId="19846" xr:uid="{00000000-0005-0000-0000-000032160000}"/>
    <cellStyle name="20% - Accent4 12 2 4 4 2" xfId="43678" xr:uid="{3EFEE22A-1123-46A3-84DB-EC4627565886}"/>
    <cellStyle name="20% - Accent4 12 2 4 5" xfId="27799" xr:uid="{51CE409C-A06B-4F59-8838-6E3091E21B85}"/>
    <cellStyle name="20% - Accent4 12 2 5" xfId="5686" xr:uid="{00000000-0005-0000-0000-000033160000}"/>
    <cellStyle name="20% - Accent4 12 2 5 2" xfId="13670" xr:uid="{00000000-0005-0000-0000-000034160000}"/>
    <cellStyle name="20% - Accent4 12 2 5 2 2" xfId="37513" xr:uid="{2E0AE052-505B-4C03-9338-F17A88A9756A}"/>
    <cellStyle name="20% - Accent4 12 2 5 3" xfId="21618" xr:uid="{00000000-0005-0000-0000-000035160000}"/>
    <cellStyle name="20% - Accent4 12 2 5 3 2" xfId="45450" xr:uid="{7AA24F0F-D850-4EBC-B426-9E52E9DDE38C}"/>
    <cellStyle name="20% - Accent4 12 2 5 4" xfId="29572" xr:uid="{BC16B37B-4185-4D9B-BBA7-6D9800F51F3E}"/>
    <cellStyle name="20% - Accent4 12 2 6" xfId="9239" xr:uid="{00000000-0005-0000-0000-000036160000}"/>
    <cellStyle name="20% - Accent4 12 2 6 2" xfId="17197" xr:uid="{00000000-0005-0000-0000-000037160000}"/>
    <cellStyle name="20% - Accent4 12 2 6 2 2" xfId="41037" xr:uid="{FD3D546A-B85D-4766-AF90-3511A8F59FAC}"/>
    <cellStyle name="20% - Accent4 12 2 6 3" xfId="25141" xr:uid="{00000000-0005-0000-0000-000038160000}"/>
    <cellStyle name="20% - Accent4 12 2 6 3 2" xfId="48973" xr:uid="{F1EBBB8C-A1D1-4959-BFAC-E3F10B782B6E}"/>
    <cellStyle name="20% - Accent4 12 2 6 4" xfId="33096" xr:uid="{CCF29C7C-44F2-4B25-8CA1-4D6349ADC44F}"/>
    <cellStyle name="20% - Accent4 12 2 7" xfId="10135" xr:uid="{00000000-0005-0000-0000-000039160000}"/>
    <cellStyle name="20% - Accent4 12 2 7 2" xfId="33984" xr:uid="{AC43B768-2689-45EE-B2EA-6BF664411DD5}"/>
    <cellStyle name="20% - Accent4 12 2 8" xfId="18090" xr:uid="{00000000-0005-0000-0000-00003A160000}"/>
    <cellStyle name="20% - Accent4 12 2 8 2" xfId="41922" xr:uid="{67645EAE-B615-4E32-ACFD-DA15F4E6CE48}"/>
    <cellStyle name="20% - Accent4 12 2 9" xfId="26042" xr:uid="{810BA896-AE9C-4AA2-8744-CAEA6D45E4CD}"/>
    <cellStyle name="20% - Accent4 12 2_Exh G" xfId="2330" xr:uid="{00000000-0005-0000-0000-00003B160000}"/>
    <cellStyle name="20% - Accent4 12 3" xfId="189" xr:uid="{00000000-0005-0000-0000-00003C160000}"/>
    <cellStyle name="20% - Accent4 12 3 2" xfId="1217" xr:uid="{00000000-0005-0000-0000-00003D160000}"/>
    <cellStyle name="20% - Accent4 12 3 2 2" xfId="4747" xr:uid="{00000000-0005-0000-0000-00003E160000}"/>
    <cellStyle name="20% - Accent4 12 3 2 2 2" xfId="8338" xr:uid="{00000000-0005-0000-0000-00003F160000}"/>
    <cellStyle name="20% - Accent4 12 3 2 2 2 2" xfId="16309" xr:uid="{00000000-0005-0000-0000-000040160000}"/>
    <cellStyle name="20% - Accent4 12 3 2 2 2 2 2" xfId="40151" xr:uid="{7C13217E-7768-4471-B807-2AE0B296B37A}"/>
    <cellStyle name="20% - Accent4 12 3 2 2 2 3" xfId="24255" xr:uid="{00000000-0005-0000-0000-000041160000}"/>
    <cellStyle name="20% - Accent4 12 3 2 2 2 3 2" xfId="48087" xr:uid="{01D2C9AE-C03F-4FA6-84FF-7331DF7EDDCF}"/>
    <cellStyle name="20% - Accent4 12 3 2 2 2 4" xfId="32210" xr:uid="{C77EC8E7-50D0-46AC-9104-4859EF505F41}"/>
    <cellStyle name="20% - Accent4 12 3 2 2 3" xfId="12771" xr:uid="{00000000-0005-0000-0000-000042160000}"/>
    <cellStyle name="20% - Accent4 12 3 2 2 3 2" xfId="36620" xr:uid="{801A5FC0-7538-473D-AEFB-89AC5090B8AB}"/>
    <cellStyle name="20% - Accent4 12 3 2 2 4" xfId="20726" xr:uid="{00000000-0005-0000-0000-000043160000}"/>
    <cellStyle name="20% - Accent4 12 3 2 2 4 2" xfId="44558" xr:uid="{45909E42-B398-4CC3-9BDA-61B2C5B81D1C}"/>
    <cellStyle name="20% - Accent4 12 3 2 2 5" xfId="28679" xr:uid="{9014D20B-6CD7-45A2-B8D0-0FA638B89061}"/>
    <cellStyle name="20% - Accent4 12 3 2 3" xfId="6579" xr:uid="{00000000-0005-0000-0000-000044160000}"/>
    <cellStyle name="20% - Accent4 12 3 2 3 2" xfId="14551" xr:uid="{00000000-0005-0000-0000-000045160000}"/>
    <cellStyle name="20% - Accent4 12 3 2 3 2 2" xfId="38393" xr:uid="{E0512257-90F0-4E0F-8995-9AC5214C8D1B}"/>
    <cellStyle name="20% - Accent4 12 3 2 3 3" xfId="22498" xr:uid="{00000000-0005-0000-0000-000046160000}"/>
    <cellStyle name="20% - Accent4 12 3 2 3 3 2" xfId="46330" xr:uid="{250F8098-E0F5-40F9-BB0F-54D1D3120A25}"/>
    <cellStyle name="20% - Accent4 12 3 2 3 4" xfId="30452" xr:uid="{08305654-87E4-48AB-B609-CF23DCAEBC43}"/>
    <cellStyle name="20% - Accent4 12 3 2 4" xfId="11015" xr:uid="{00000000-0005-0000-0000-000047160000}"/>
    <cellStyle name="20% - Accent4 12 3 2 4 2" xfId="34864" xr:uid="{0C0BD62C-F074-46F2-B1BE-7AB8150706A7}"/>
    <cellStyle name="20% - Accent4 12 3 2 5" xfId="18970" xr:uid="{00000000-0005-0000-0000-000048160000}"/>
    <cellStyle name="20% - Accent4 12 3 2 5 2" xfId="42802" xr:uid="{5D6F59D5-6437-474C-BBA8-02E8388A3037}"/>
    <cellStyle name="20% - Accent4 12 3 2 6" xfId="26922" xr:uid="{D7EF6FED-7F42-4392-8584-DDF360AE38A0}"/>
    <cellStyle name="20% - Accent4 12 3 2_Exh G" xfId="2335" xr:uid="{00000000-0005-0000-0000-000049160000}"/>
    <cellStyle name="20% - Accent4 12 3 3" xfId="3868" xr:uid="{00000000-0005-0000-0000-00004A160000}"/>
    <cellStyle name="20% - Accent4 12 3 3 2" xfId="7460" xr:uid="{00000000-0005-0000-0000-00004B160000}"/>
    <cellStyle name="20% - Accent4 12 3 3 2 2" xfId="15431" xr:uid="{00000000-0005-0000-0000-00004C160000}"/>
    <cellStyle name="20% - Accent4 12 3 3 2 2 2" xfId="39273" xr:uid="{AEE72240-C820-4473-89FF-532D355813A6}"/>
    <cellStyle name="20% - Accent4 12 3 3 2 3" xfId="23377" xr:uid="{00000000-0005-0000-0000-00004D160000}"/>
    <cellStyle name="20% - Accent4 12 3 3 2 3 2" xfId="47209" xr:uid="{1D2D67F2-22F8-47C0-9DEB-C6B6FB0F2763}"/>
    <cellStyle name="20% - Accent4 12 3 3 2 4" xfId="31332" xr:uid="{18CA2048-8CEA-4DFD-8676-9AA6E1A0BD2A}"/>
    <cellStyle name="20% - Accent4 12 3 3 3" xfId="11893" xr:uid="{00000000-0005-0000-0000-00004E160000}"/>
    <cellStyle name="20% - Accent4 12 3 3 3 2" xfId="35742" xr:uid="{0A107440-AF17-494D-9C24-B82487B02001}"/>
    <cellStyle name="20% - Accent4 12 3 3 4" xfId="19848" xr:uid="{00000000-0005-0000-0000-00004F160000}"/>
    <cellStyle name="20% - Accent4 12 3 3 4 2" xfId="43680" xr:uid="{8D3638BA-7C0C-4BE6-B6E4-DE7D34AD5ACB}"/>
    <cellStyle name="20% - Accent4 12 3 3 5" xfId="27801" xr:uid="{B752CB4A-FB73-4A57-AFCC-B2762DB52DDA}"/>
    <cellStyle name="20% - Accent4 12 3 4" xfId="5688" xr:uid="{00000000-0005-0000-0000-000050160000}"/>
    <cellStyle name="20% - Accent4 12 3 4 2" xfId="13672" xr:uid="{00000000-0005-0000-0000-000051160000}"/>
    <cellStyle name="20% - Accent4 12 3 4 2 2" xfId="37515" xr:uid="{4C4762D3-5FFD-471F-84AE-97918CDD42F5}"/>
    <cellStyle name="20% - Accent4 12 3 4 3" xfId="21620" xr:uid="{00000000-0005-0000-0000-000052160000}"/>
    <cellStyle name="20% - Accent4 12 3 4 3 2" xfId="45452" xr:uid="{DF444F12-ECD3-480B-AD68-078C9889CEA7}"/>
    <cellStyle name="20% - Accent4 12 3 4 4" xfId="29574" xr:uid="{C7227B8A-6B42-4139-910E-C3A5C8DD3447}"/>
    <cellStyle name="20% - Accent4 12 3 5" xfId="9241" xr:uid="{00000000-0005-0000-0000-000053160000}"/>
    <cellStyle name="20% - Accent4 12 3 5 2" xfId="17199" xr:uid="{00000000-0005-0000-0000-000054160000}"/>
    <cellStyle name="20% - Accent4 12 3 5 2 2" xfId="41039" xr:uid="{37E58E72-77B5-47E3-978D-0C9F39B55748}"/>
    <cellStyle name="20% - Accent4 12 3 5 3" xfId="25143" xr:uid="{00000000-0005-0000-0000-000055160000}"/>
    <cellStyle name="20% - Accent4 12 3 5 3 2" xfId="48975" xr:uid="{9B422FBD-10B4-4970-88BD-B6106D1E4CC9}"/>
    <cellStyle name="20% - Accent4 12 3 5 4" xfId="33098" xr:uid="{BF4892AE-B876-454D-A651-ABC7060F26BC}"/>
    <cellStyle name="20% - Accent4 12 3 6" xfId="10137" xr:uid="{00000000-0005-0000-0000-000056160000}"/>
    <cellStyle name="20% - Accent4 12 3 6 2" xfId="33986" xr:uid="{6319D469-3022-4DC5-A449-2F52BE44D15B}"/>
    <cellStyle name="20% - Accent4 12 3 7" xfId="18092" xr:uid="{00000000-0005-0000-0000-000057160000}"/>
    <cellStyle name="20% - Accent4 12 3 7 2" xfId="41924" xr:uid="{D56BEDF7-2E85-4E47-9432-10ABFD887027}"/>
    <cellStyle name="20% - Accent4 12 3 8" xfId="26044" xr:uid="{50EC9E41-1503-4680-B762-248BA242EF28}"/>
    <cellStyle name="20% - Accent4 12 3_Exh G" xfId="2334" xr:uid="{00000000-0005-0000-0000-000058160000}"/>
    <cellStyle name="20% - Accent4 12 4" xfId="1214" xr:uid="{00000000-0005-0000-0000-000059160000}"/>
    <cellStyle name="20% - Accent4 12 4 2" xfId="4744" xr:uid="{00000000-0005-0000-0000-00005A160000}"/>
    <cellStyle name="20% - Accent4 12 4 2 2" xfId="8335" xr:uid="{00000000-0005-0000-0000-00005B160000}"/>
    <cellStyle name="20% - Accent4 12 4 2 2 2" xfId="16306" xr:uid="{00000000-0005-0000-0000-00005C160000}"/>
    <cellStyle name="20% - Accent4 12 4 2 2 2 2" xfId="40148" xr:uid="{FB3CA43B-E3AA-4622-828A-71E821D02732}"/>
    <cellStyle name="20% - Accent4 12 4 2 2 3" xfId="24252" xr:uid="{00000000-0005-0000-0000-00005D160000}"/>
    <cellStyle name="20% - Accent4 12 4 2 2 3 2" xfId="48084" xr:uid="{2808A028-AC6A-4F5F-A528-F22B1CF4C6E2}"/>
    <cellStyle name="20% - Accent4 12 4 2 2 4" xfId="32207" xr:uid="{92F1B3C4-F7F7-4A3D-8856-72E40CFDDE02}"/>
    <cellStyle name="20% - Accent4 12 4 2 3" xfId="12768" xr:uid="{00000000-0005-0000-0000-00005E160000}"/>
    <cellStyle name="20% - Accent4 12 4 2 3 2" xfId="36617" xr:uid="{3768BB8F-D4FB-4749-9269-D8C2780C8718}"/>
    <cellStyle name="20% - Accent4 12 4 2 4" xfId="20723" xr:uid="{00000000-0005-0000-0000-00005F160000}"/>
    <cellStyle name="20% - Accent4 12 4 2 4 2" xfId="44555" xr:uid="{7BE0F957-6567-490B-89DE-545C30E3CC3E}"/>
    <cellStyle name="20% - Accent4 12 4 2 5" xfId="28676" xr:uid="{BCA0D2E8-58E0-4E04-9E82-B7EAEB6595F9}"/>
    <cellStyle name="20% - Accent4 12 4 3" xfId="6576" xr:uid="{00000000-0005-0000-0000-000060160000}"/>
    <cellStyle name="20% - Accent4 12 4 3 2" xfId="14548" xr:uid="{00000000-0005-0000-0000-000061160000}"/>
    <cellStyle name="20% - Accent4 12 4 3 2 2" xfId="38390" xr:uid="{8B8BB47E-B409-4317-98A6-5CBFFF2676CA}"/>
    <cellStyle name="20% - Accent4 12 4 3 3" xfId="22495" xr:uid="{00000000-0005-0000-0000-000062160000}"/>
    <cellStyle name="20% - Accent4 12 4 3 3 2" xfId="46327" xr:uid="{99A45C95-B149-4C19-8592-9993A0F95C5D}"/>
    <cellStyle name="20% - Accent4 12 4 3 4" xfId="30449" xr:uid="{2345F73D-86FA-471D-9BD8-D29BEC5A3801}"/>
    <cellStyle name="20% - Accent4 12 4 4" xfId="11012" xr:uid="{00000000-0005-0000-0000-000063160000}"/>
    <cellStyle name="20% - Accent4 12 4 4 2" xfId="34861" xr:uid="{895E5F28-5822-4C72-878F-C9F9B3C3F776}"/>
    <cellStyle name="20% - Accent4 12 4 5" xfId="18967" xr:uid="{00000000-0005-0000-0000-000064160000}"/>
    <cellStyle name="20% - Accent4 12 4 5 2" xfId="42799" xr:uid="{33B25F61-224D-44FF-BBDA-BDF1EEDAF02A}"/>
    <cellStyle name="20% - Accent4 12 4 6" xfId="26919" xr:uid="{4845F2E3-575E-497C-9014-ACDEF4F8251F}"/>
    <cellStyle name="20% - Accent4 12 4_Exh G" xfId="2336" xr:uid="{00000000-0005-0000-0000-000065160000}"/>
    <cellStyle name="20% - Accent4 12 5" xfId="3865" xr:uid="{00000000-0005-0000-0000-000066160000}"/>
    <cellStyle name="20% - Accent4 12 5 2" xfId="7457" xr:uid="{00000000-0005-0000-0000-000067160000}"/>
    <cellStyle name="20% - Accent4 12 5 2 2" xfId="15428" xr:uid="{00000000-0005-0000-0000-000068160000}"/>
    <cellStyle name="20% - Accent4 12 5 2 2 2" xfId="39270" xr:uid="{B9237904-DDF7-4531-8808-578AC898F258}"/>
    <cellStyle name="20% - Accent4 12 5 2 3" xfId="23374" xr:uid="{00000000-0005-0000-0000-000069160000}"/>
    <cellStyle name="20% - Accent4 12 5 2 3 2" xfId="47206" xr:uid="{AE2348D7-F613-4436-9A77-2094E53A3598}"/>
    <cellStyle name="20% - Accent4 12 5 2 4" xfId="31329" xr:uid="{E8AE57A0-DB30-406A-BFAD-D542F5852DD9}"/>
    <cellStyle name="20% - Accent4 12 5 3" xfId="11890" xr:uid="{00000000-0005-0000-0000-00006A160000}"/>
    <cellStyle name="20% - Accent4 12 5 3 2" xfId="35739" xr:uid="{39630328-C66F-44E1-8806-01AB66484C27}"/>
    <cellStyle name="20% - Accent4 12 5 4" xfId="19845" xr:uid="{00000000-0005-0000-0000-00006B160000}"/>
    <cellStyle name="20% - Accent4 12 5 4 2" xfId="43677" xr:uid="{ED507C33-DDE7-44FD-A20A-0BE7031E778F}"/>
    <cellStyle name="20% - Accent4 12 5 5" xfId="27798" xr:uid="{90651E93-AC7D-4879-B0B0-E6DFA7F3575B}"/>
    <cellStyle name="20% - Accent4 12 6" xfId="5685" xr:uid="{00000000-0005-0000-0000-00006C160000}"/>
    <cellStyle name="20% - Accent4 12 6 2" xfId="13669" xr:uid="{00000000-0005-0000-0000-00006D160000}"/>
    <cellStyle name="20% - Accent4 12 6 2 2" xfId="37512" xr:uid="{524392F8-9FF7-499C-9CF6-C6240402CA80}"/>
    <cellStyle name="20% - Accent4 12 6 3" xfId="21617" xr:uid="{00000000-0005-0000-0000-00006E160000}"/>
    <cellStyle name="20% - Accent4 12 6 3 2" xfId="45449" xr:uid="{A577D628-D9E7-4105-BED8-CC07CBE2BE99}"/>
    <cellStyle name="20% - Accent4 12 6 4" xfId="29571" xr:uid="{0CF89D1A-94BA-4405-AD12-2195D356D0EE}"/>
    <cellStyle name="20% - Accent4 12 7" xfId="9238" xr:uid="{00000000-0005-0000-0000-00006F160000}"/>
    <cellStyle name="20% - Accent4 12 7 2" xfId="17196" xr:uid="{00000000-0005-0000-0000-000070160000}"/>
    <cellStyle name="20% - Accent4 12 7 2 2" xfId="41036" xr:uid="{24F6F55A-77FE-4B14-BB03-250EAA3EF1DC}"/>
    <cellStyle name="20% - Accent4 12 7 3" xfId="25140" xr:uid="{00000000-0005-0000-0000-000071160000}"/>
    <cellStyle name="20% - Accent4 12 7 3 2" xfId="48972" xr:uid="{B1E16701-4202-4BE8-8E47-45512DB237CA}"/>
    <cellStyle name="20% - Accent4 12 7 4" xfId="33095" xr:uid="{8C25E8D8-D9AE-4CC5-9BD7-488619B0779B}"/>
    <cellStyle name="20% - Accent4 12 8" xfId="10134" xr:uid="{00000000-0005-0000-0000-000072160000}"/>
    <cellStyle name="20% - Accent4 12 8 2" xfId="33983" xr:uid="{B5D4C626-70BA-4D25-9632-6F225F5B6B9A}"/>
    <cellStyle name="20% - Accent4 12 9" xfId="18089" xr:uid="{00000000-0005-0000-0000-000073160000}"/>
    <cellStyle name="20% - Accent4 12 9 2" xfId="41921" xr:uid="{1524F188-B1C7-4A71-8D63-41CEF65E045D}"/>
    <cellStyle name="20% - Accent4 12_Exh G" xfId="2329" xr:uid="{00000000-0005-0000-0000-000074160000}"/>
    <cellStyle name="20% - Accent4 13" xfId="190" xr:uid="{00000000-0005-0000-0000-000075160000}"/>
    <cellStyle name="20% - Accent4 13 10" xfId="26045" xr:uid="{D4291A3F-414A-46E7-B053-504E8B60AC0D}"/>
    <cellStyle name="20% - Accent4 13 2" xfId="191" xr:uid="{00000000-0005-0000-0000-000076160000}"/>
    <cellStyle name="20% - Accent4 13 2 2" xfId="192" xr:uid="{00000000-0005-0000-0000-000077160000}"/>
    <cellStyle name="20% - Accent4 13 2 2 2" xfId="1220" xr:uid="{00000000-0005-0000-0000-000078160000}"/>
    <cellStyle name="20% - Accent4 13 2 2 2 2" xfId="4750" xr:uid="{00000000-0005-0000-0000-000079160000}"/>
    <cellStyle name="20% - Accent4 13 2 2 2 2 2" xfId="8341" xr:uid="{00000000-0005-0000-0000-00007A160000}"/>
    <cellStyle name="20% - Accent4 13 2 2 2 2 2 2" xfId="16312" xr:uid="{00000000-0005-0000-0000-00007B160000}"/>
    <cellStyle name="20% - Accent4 13 2 2 2 2 2 2 2" xfId="40154" xr:uid="{93BC912A-5323-4100-BA59-7D7052A62878}"/>
    <cellStyle name="20% - Accent4 13 2 2 2 2 2 3" xfId="24258" xr:uid="{00000000-0005-0000-0000-00007C160000}"/>
    <cellStyle name="20% - Accent4 13 2 2 2 2 2 3 2" xfId="48090" xr:uid="{6E39FB3C-3E67-4902-9DB7-94CD50D1FF3A}"/>
    <cellStyle name="20% - Accent4 13 2 2 2 2 2 4" xfId="32213" xr:uid="{595AA259-EFA7-4F80-9D74-BBB70D15AFB6}"/>
    <cellStyle name="20% - Accent4 13 2 2 2 2 3" xfId="12774" xr:uid="{00000000-0005-0000-0000-00007D160000}"/>
    <cellStyle name="20% - Accent4 13 2 2 2 2 3 2" xfId="36623" xr:uid="{5AB80783-BC78-41DD-BA24-D738077A69BA}"/>
    <cellStyle name="20% - Accent4 13 2 2 2 2 4" xfId="20729" xr:uid="{00000000-0005-0000-0000-00007E160000}"/>
    <cellStyle name="20% - Accent4 13 2 2 2 2 4 2" xfId="44561" xr:uid="{638998BE-BC2C-4F75-B01E-3F851AD8658C}"/>
    <cellStyle name="20% - Accent4 13 2 2 2 2 5" xfId="28682" xr:uid="{FC0076F4-7519-4138-A819-BB0F04712745}"/>
    <cellStyle name="20% - Accent4 13 2 2 2 3" xfId="6582" xr:uid="{00000000-0005-0000-0000-00007F160000}"/>
    <cellStyle name="20% - Accent4 13 2 2 2 3 2" xfId="14554" xr:uid="{00000000-0005-0000-0000-000080160000}"/>
    <cellStyle name="20% - Accent4 13 2 2 2 3 2 2" xfId="38396" xr:uid="{A1596840-FD52-493B-A9CE-212301011CFE}"/>
    <cellStyle name="20% - Accent4 13 2 2 2 3 3" xfId="22501" xr:uid="{00000000-0005-0000-0000-000081160000}"/>
    <cellStyle name="20% - Accent4 13 2 2 2 3 3 2" xfId="46333" xr:uid="{EFE1EB5C-CD55-4660-B096-4737AC67D455}"/>
    <cellStyle name="20% - Accent4 13 2 2 2 3 4" xfId="30455" xr:uid="{58FEEFC6-A2AD-4D4D-BD6B-3EA89F808618}"/>
    <cellStyle name="20% - Accent4 13 2 2 2 4" xfId="11018" xr:uid="{00000000-0005-0000-0000-000082160000}"/>
    <cellStyle name="20% - Accent4 13 2 2 2 4 2" xfId="34867" xr:uid="{438C4B3F-6418-42F7-B2D3-4EB08141E8A0}"/>
    <cellStyle name="20% - Accent4 13 2 2 2 5" xfId="18973" xr:uid="{00000000-0005-0000-0000-000083160000}"/>
    <cellStyle name="20% - Accent4 13 2 2 2 5 2" xfId="42805" xr:uid="{D74EC25B-979F-4E1F-9221-E14E4B78B49E}"/>
    <cellStyle name="20% - Accent4 13 2 2 2 6" xfId="26925" xr:uid="{B3085CAC-0825-4DAA-91C2-009D12CB5D30}"/>
    <cellStyle name="20% - Accent4 13 2 2 2_Exh G" xfId="2340" xr:uid="{00000000-0005-0000-0000-000084160000}"/>
    <cellStyle name="20% - Accent4 13 2 2 3" xfId="3871" xr:uid="{00000000-0005-0000-0000-000085160000}"/>
    <cellStyle name="20% - Accent4 13 2 2 3 2" xfId="7463" xr:uid="{00000000-0005-0000-0000-000086160000}"/>
    <cellStyle name="20% - Accent4 13 2 2 3 2 2" xfId="15434" xr:uid="{00000000-0005-0000-0000-000087160000}"/>
    <cellStyle name="20% - Accent4 13 2 2 3 2 2 2" xfId="39276" xr:uid="{219C8540-BD4B-4595-9364-D565034AE3EA}"/>
    <cellStyle name="20% - Accent4 13 2 2 3 2 3" xfId="23380" xr:uid="{00000000-0005-0000-0000-000088160000}"/>
    <cellStyle name="20% - Accent4 13 2 2 3 2 3 2" xfId="47212" xr:uid="{38C36C08-F9FD-46B8-BFAB-A6141AD559A3}"/>
    <cellStyle name="20% - Accent4 13 2 2 3 2 4" xfId="31335" xr:uid="{A7AECAA7-5FCF-4874-B638-D84C4DC8902E}"/>
    <cellStyle name="20% - Accent4 13 2 2 3 3" xfId="11896" xr:uid="{00000000-0005-0000-0000-000089160000}"/>
    <cellStyle name="20% - Accent4 13 2 2 3 3 2" xfId="35745" xr:uid="{E3AA8188-4F1A-4624-934C-741D36430526}"/>
    <cellStyle name="20% - Accent4 13 2 2 3 4" xfId="19851" xr:uid="{00000000-0005-0000-0000-00008A160000}"/>
    <cellStyle name="20% - Accent4 13 2 2 3 4 2" xfId="43683" xr:uid="{9311AF6A-6174-4B8F-A4E4-242DCBF182AB}"/>
    <cellStyle name="20% - Accent4 13 2 2 3 5" xfId="27804" xr:uid="{6DB9AF1B-CB93-4295-AA0C-CC754E71CED6}"/>
    <cellStyle name="20% - Accent4 13 2 2 4" xfId="5691" xr:uid="{00000000-0005-0000-0000-00008B160000}"/>
    <cellStyle name="20% - Accent4 13 2 2 4 2" xfId="13675" xr:uid="{00000000-0005-0000-0000-00008C160000}"/>
    <cellStyle name="20% - Accent4 13 2 2 4 2 2" xfId="37518" xr:uid="{E330ACED-BD08-4789-8859-1C47B9ABBB11}"/>
    <cellStyle name="20% - Accent4 13 2 2 4 3" xfId="21623" xr:uid="{00000000-0005-0000-0000-00008D160000}"/>
    <cellStyle name="20% - Accent4 13 2 2 4 3 2" xfId="45455" xr:uid="{53F7D085-935C-423F-B899-90E5F21C45BD}"/>
    <cellStyle name="20% - Accent4 13 2 2 4 4" xfId="29577" xr:uid="{B4FA69E8-199E-43B6-8A24-41D006A4B279}"/>
    <cellStyle name="20% - Accent4 13 2 2 5" xfId="9244" xr:uid="{00000000-0005-0000-0000-00008E160000}"/>
    <cellStyle name="20% - Accent4 13 2 2 5 2" xfId="17202" xr:uid="{00000000-0005-0000-0000-00008F160000}"/>
    <cellStyle name="20% - Accent4 13 2 2 5 2 2" xfId="41042" xr:uid="{419DDD08-8159-4E03-9E14-8F83BC69239A}"/>
    <cellStyle name="20% - Accent4 13 2 2 5 3" xfId="25146" xr:uid="{00000000-0005-0000-0000-000090160000}"/>
    <cellStyle name="20% - Accent4 13 2 2 5 3 2" xfId="48978" xr:uid="{1E5D8B98-BB2C-4C55-BF6A-5E32E4E2E0B6}"/>
    <cellStyle name="20% - Accent4 13 2 2 5 4" xfId="33101" xr:uid="{B3886C09-7161-4084-9A37-7F6797289940}"/>
    <cellStyle name="20% - Accent4 13 2 2 6" xfId="10140" xr:uid="{00000000-0005-0000-0000-000091160000}"/>
    <cellStyle name="20% - Accent4 13 2 2 6 2" xfId="33989" xr:uid="{6524EAD6-7AA4-413C-A514-9D67E917A4D1}"/>
    <cellStyle name="20% - Accent4 13 2 2 7" xfId="18095" xr:uid="{00000000-0005-0000-0000-000092160000}"/>
    <cellStyle name="20% - Accent4 13 2 2 7 2" xfId="41927" xr:uid="{ABA138B7-F3FB-4A6A-AACA-C3A1F9ED1218}"/>
    <cellStyle name="20% - Accent4 13 2 2 8" xfId="26047" xr:uid="{D6416472-E482-47D6-8571-67237B387BA8}"/>
    <cellStyle name="20% - Accent4 13 2 2_Exh G" xfId="2339" xr:uid="{00000000-0005-0000-0000-000093160000}"/>
    <cellStyle name="20% - Accent4 13 2 3" xfId="1219" xr:uid="{00000000-0005-0000-0000-000094160000}"/>
    <cellStyle name="20% - Accent4 13 2 3 2" xfId="4749" xr:uid="{00000000-0005-0000-0000-000095160000}"/>
    <cellStyle name="20% - Accent4 13 2 3 2 2" xfId="8340" xr:uid="{00000000-0005-0000-0000-000096160000}"/>
    <cellStyle name="20% - Accent4 13 2 3 2 2 2" xfId="16311" xr:uid="{00000000-0005-0000-0000-000097160000}"/>
    <cellStyle name="20% - Accent4 13 2 3 2 2 2 2" xfId="40153" xr:uid="{D36C803C-5522-4A84-9D74-A4B21CB75BCF}"/>
    <cellStyle name="20% - Accent4 13 2 3 2 2 3" xfId="24257" xr:uid="{00000000-0005-0000-0000-000098160000}"/>
    <cellStyle name="20% - Accent4 13 2 3 2 2 3 2" xfId="48089" xr:uid="{51F5E3C6-F2FE-49E0-8824-98E7363175E6}"/>
    <cellStyle name="20% - Accent4 13 2 3 2 2 4" xfId="32212" xr:uid="{09F1CFF7-9FE9-4BBE-AA6A-37425424E15F}"/>
    <cellStyle name="20% - Accent4 13 2 3 2 3" xfId="12773" xr:uid="{00000000-0005-0000-0000-000099160000}"/>
    <cellStyle name="20% - Accent4 13 2 3 2 3 2" xfId="36622" xr:uid="{9139D4DF-B399-40CF-BE19-CA88B50706C5}"/>
    <cellStyle name="20% - Accent4 13 2 3 2 4" xfId="20728" xr:uid="{00000000-0005-0000-0000-00009A160000}"/>
    <cellStyle name="20% - Accent4 13 2 3 2 4 2" xfId="44560" xr:uid="{491AC1F5-A324-4023-9709-2643FBCAAFEE}"/>
    <cellStyle name="20% - Accent4 13 2 3 2 5" xfId="28681" xr:uid="{3D5C4BC0-92BA-4C28-AFA9-ED7436C36DF0}"/>
    <cellStyle name="20% - Accent4 13 2 3 3" xfId="6581" xr:uid="{00000000-0005-0000-0000-00009B160000}"/>
    <cellStyle name="20% - Accent4 13 2 3 3 2" xfId="14553" xr:uid="{00000000-0005-0000-0000-00009C160000}"/>
    <cellStyle name="20% - Accent4 13 2 3 3 2 2" xfId="38395" xr:uid="{9E3E76C7-EC21-498E-8A39-2546278BE68D}"/>
    <cellStyle name="20% - Accent4 13 2 3 3 3" xfId="22500" xr:uid="{00000000-0005-0000-0000-00009D160000}"/>
    <cellStyle name="20% - Accent4 13 2 3 3 3 2" xfId="46332" xr:uid="{0350D9BB-D0D6-4CB7-A644-A7A6958434A7}"/>
    <cellStyle name="20% - Accent4 13 2 3 3 4" xfId="30454" xr:uid="{E18166B5-A674-4A65-A8E2-EF47CFD30483}"/>
    <cellStyle name="20% - Accent4 13 2 3 4" xfId="11017" xr:uid="{00000000-0005-0000-0000-00009E160000}"/>
    <cellStyle name="20% - Accent4 13 2 3 4 2" xfId="34866" xr:uid="{358DEC09-5B58-4E98-A652-35CEE0B342A7}"/>
    <cellStyle name="20% - Accent4 13 2 3 5" xfId="18972" xr:uid="{00000000-0005-0000-0000-00009F160000}"/>
    <cellStyle name="20% - Accent4 13 2 3 5 2" xfId="42804" xr:uid="{A99982D9-DCAA-40A7-8DBE-D5A2E560DA51}"/>
    <cellStyle name="20% - Accent4 13 2 3 6" xfId="26924" xr:uid="{2ACA430F-5BB9-4BCA-8BB0-0C837A705042}"/>
    <cellStyle name="20% - Accent4 13 2 3_Exh G" xfId="2341" xr:uid="{00000000-0005-0000-0000-0000A0160000}"/>
    <cellStyle name="20% - Accent4 13 2 4" xfId="3870" xr:uid="{00000000-0005-0000-0000-0000A1160000}"/>
    <cellStyle name="20% - Accent4 13 2 4 2" xfId="7462" xr:uid="{00000000-0005-0000-0000-0000A2160000}"/>
    <cellStyle name="20% - Accent4 13 2 4 2 2" xfId="15433" xr:uid="{00000000-0005-0000-0000-0000A3160000}"/>
    <cellStyle name="20% - Accent4 13 2 4 2 2 2" xfId="39275" xr:uid="{AD53B4E5-99DB-405A-AFF9-E8893DBDC163}"/>
    <cellStyle name="20% - Accent4 13 2 4 2 3" xfId="23379" xr:uid="{00000000-0005-0000-0000-0000A4160000}"/>
    <cellStyle name="20% - Accent4 13 2 4 2 3 2" xfId="47211" xr:uid="{F95A938B-C873-4F86-8FEA-2E13EF03FBD4}"/>
    <cellStyle name="20% - Accent4 13 2 4 2 4" xfId="31334" xr:uid="{E09F9DF6-139B-4FE0-B4DE-DA5DD46CEF75}"/>
    <cellStyle name="20% - Accent4 13 2 4 3" xfId="11895" xr:uid="{00000000-0005-0000-0000-0000A5160000}"/>
    <cellStyle name="20% - Accent4 13 2 4 3 2" xfId="35744" xr:uid="{98B07F47-8B7D-46CF-81A4-A6EC3FDEA86F}"/>
    <cellStyle name="20% - Accent4 13 2 4 4" xfId="19850" xr:uid="{00000000-0005-0000-0000-0000A6160000}"/>
    <cellStyle name="20% - Accent4 13 2 4 4 2" xfId="43682" xr:uid="{BA956439-630A-413C-B8D5-7BF01A7FE0ED}"/>
    <cellStyle name="20% - Accent4 13 2 4 5" xfId="27803" xr:uid="{75099FD4-58D1-4D73-BE7D-A41E5E1B03E1}"/>
    <cellStyle name="20% - Accent4 13 2 5" xfId="5690" xr:uid="{00000000-0005-0000-0000-0000A7160000}"/>
    <cellStyle name="20% - Accent4 13 2 5 2" xfId="13674" xr:uid="{00000000-0005-0000-0000-0000A8160000}"/>
    <cellStyle name="20% - Accent4 13 2 5 2 2" xfId="37517" xr:uid="{9CE4B0EA-AF5E-44DB-ABC5-BCE18AF8277A}"/>
    <cellStyle name="20% - Accent4 13 2 5 3" xfId="21622" xr:uid="{00000000-0005-0000-0000-0000A9160000}"/>
    <cellStyle name="20% - Accent4 13 2 5 3 2" xfId="45454" xr:uid="{CB575A8C-6303-4B18-BC66-0926BA40CF8A}"/>
    <cellStyle name="20% - Accent4 13 2 5 4" xfId="29576" xr:uid="{E6CAAD17-32A5-4EFA-B8FD-E514FE87D2FF}"/>
    <cellStyle name="20% - Accent4 13 2 6" xfId="9243" xr:uid="{00000000-0005-0000-0000-0000AA160000}"/>
    <cellStyle name="20% - Accent4 13 2 6 2" xfId="17201" xr:uid="{00000000-0005-0000-0000-0000AB160000}"/>
    <cellStyle name="20% - Accent4 13 2 6 2 2" xfId="41041" xr:uid="{B40B941D-E761-4FEF-A4EE-C381D39F9030}"/>
    <cellStyle name="20% - Accent4 13 2 6 3" xfId="25145" xr:uid="{00000000-0005-0000-0000-0000AC160000}"/>
    <cellStyle name="20% - Accent4 13 2 6 3 2" xfId="48977" xr:uid="{F6847A46-69C8-473B-A201-CAB799ADCBC8}"/>
    <cellStyle name="20% - Accent4 13 2 6 4" xfId="33100" xr:uid="{999100CC-D78B-422F-BF8F-279F9ED585A1}"/>
    <cellStyle name="20% - Accent4 13 2 7" xfId="10139" xr:uid="{00000000-0005-0000-0000-0000AD160000}"/>
    <cellStyle name="20% - Accent4 13 2 7 2" xfId="33988" xr:uid="{99F5D4C6-09EB-4E18-A134-ED2F8218D1B1}"/>
    <cellStyle name="20% - Accent4 13 2 8" xfId="18094" xr:uid="{00000000-0005-0000-0000-0000AE160000}"/>
    <cellStyle name="20% - Accent4 13 2 8 2" xfId="41926" xr:uid="{6CDFF79E-BFDB-49E3-8C3D-1FFE7C5E806E}"/>
    <cellStyle name="20% - Accent4 13 2 9" xfId="26046" xr:uid="{8DC3B285-9095-4C3B-AD10-B624AB1A7675}"/>
    <cellStyle name="20% - Accent4 13 2_Exh G" xfId="2338" xr:uid="{00000000-0005-0000-0000-0000AF160000}"/>
    <cellStyle name="20% - Accent4 13 3" xfId="193" xr:uid="{00000000-0005-0000-0000-0000B0160000}"/>
    <cellStyle name="20% - Accent4 13 3 2" xfId="1221" xr:uid="{00000000-0005-0000-0000-0000B1160000}"/>
    <cellStyle name="20% - Accent4 13 3 2 2" xfId="4751" xr:uid="{00000000-0005-0000-0000-0000B2160000}"/>
    <cellStyle name="20% - Accent4 13 3 2 2 2" xfId="8342" xr:uid="{00000000-0005-0000-0000-0000B3160000}"/>
    <cellStyle name="20% - Accent4 13 3 2 2 2 2" xfId="16313" xr:uid="{00000000-0005-0000-0000-0000B4160000}"/>
    <cellStyle name="20% - Accent4 13 3 2 2 2 2 2" xfId="40155" xr:uid="{0DC25DEF-2982-4F4A-8B8B-C2E94AC3ECA9}"/>
    <cellStyle name="20% - Accent4 13 3 2 2 2 3" xfId="24259" xr:uid="{00000000-0005-0000-0000-0000B5160000}"/>
    <cellStyle name="20% - Accent4 13 3 2 2 2 3 2" xfId="48091" xr:uid="{722E2D52-CE1E-49E4-BD12-13C828065C11}"/>
    <cellStyle name="20% - Accent4 13 3 2 2 2 4" xfId="32214" xr:uid="{41A23DAB-4796-4141-B075-CF311AEA94C8}"/>
    <cellStyle name="20% - Accent4 13 3 2 2 3" xfId="12775" xr:uid="{00000000-0005-0000-0000-0000B6160000}"/>
    <cellStyle name="20% - Accent4 13 3 2 2 3 2" xfId="36624" xr:uid="{6DE20F79-5DF7-404A-83F2-BE9FB5A21FF6}"/>
    <cellStyle name="20% - Accent4 13 3 2 2 4" xfId="20730" xr:uid="{00000000-0005-0000-0000-0000B7160000}"/>
    <cellStyle name="20% - Accent4 13 3 2 2 4 2" xfId="44562" xr:uid="{8A3F4BA0-1991-4FE9-A173-03D7F5EEC6EF}"/>
    <cellStyle name="20% - Accent4 13 3 2 2 5" xfId="28683" xr:uid="{832EB1C9-7E49-4F21-A33F-31EB966E91A8}"/>
    <cellStyle name="20% - Accent4 13 3 2 3" xfId="6583" xr:uid="{00000000-0005-0000-0000-0000B8160000}"/>
    <cellStyle name="20% - Accent4 13 3 2 3 2" xfId="14555" xr:uid="{00000000-0005-0000-0000-0000B9160000}"/>
    <cellStyle name="20% - Accent4 13 3 2 3 2 2" xfId="38397" xr:uid="{350CEC10-DC72-4EE7-8DD0-9B5B5E48256E}"/>
    <cellStyle name="20% - Accent4 13 3 2 3 3" xfId="22502" xr:uid="{00000000-0005-0000-0000-0000BA160000}"/>
    <cellStyle name="20% - Accent4 13 3 2 3 3 2" xfId="46334" xr:uid="{AC816138-D89D-48AE-9977-3CE88F66F57E}"/>
    <cellStyle name="20% - Accent4 13 3 2 3 4" xfId="30456" xr:uid="{99CB161C-8021-4DFB-9CB8-62A218EB4168}"/>
    <cellStyle name="20% - Accent4 13 3 2 4" xfId="11019" xr:uid="{00000000-0005-0000-0000-0000BB160000}"/>
    <cellStyle name="20% - Accent4 13 3 2 4 2" xfId="34868" xr:uid="{5BEECA1A-AF40-4CE7-B870-3F009AFF5D88}"/>
    <cellStyle name="20% - Accent4 13 3 2 5" xfId="18974" xr:uid="{00000000-0005-0000-0000-0000BC160000}"/>
    <cellStyle name="20% - Accent4 13 3 2 5 2" xfId="42806" xr:uid="{0DBC125F-FFF3-457B-B1DE-E112EFE39768}"/>
    <cellStyle name="20% - Accent4 13 3 2 6" xfId="26926" xr:uid="{EE04A0C7-2426-473C-A2BA-D9276617D58F}"/>
    <cellStyle name="20% - Accent4 13 3 2_Exh G" xfId="2343" xr:uid="{00000000-0005-0000-0000-0000BD160000}"/>
    <cellStyle name="20% - Accent4 13 3 3" xfId="3872" xr:uid="{00000000-0005-0000-0000-0000BE160000}"/>
    <cellStyle name="20% - Accent4 13 3 3 2" xfId="7464" xr:uid="{00000000-0005-0000-0000-0000BF160000}"/>
    <cellStyle name="20% - Accent4 13 3 3 2 2" xfId="15435" xr:uid="{00000000-0005-0000-0000-0000C0160000}"/>
    <cellStyle name="20% - Accent4 13 3 3 2 2 2" xfId="39277" xr:uid="{114D1867-A3BE-4183-AC17-3C075260C2BC}"/>
    <cellStyle name="20% - Accent4 13 3 3 2 3" xfId="23381" xr:uid="{00000000-0005-0000-0000-0000C1160000}"/>
    <cellStyle name="20% - Accent4 13 3 3 2 3 2" xfId="47213" xr:uid="{6E3D4F43-07D7-445F-A652-1355DC0E1870}"/>
    <cellStyle name="20% - Accent4 13 3 3 2 4" xfId="31336" xr:uid="{C7DB0A00-215F-4907-A3A1-8A4824D46885}"/>
    <cellStyle name="20% - Accent4 13 3 3 3" xfId="11897" xr:uid="{00000000-0005-0000-0000-0000C2160000}"/>
    <cellStyle name="20% - Accent4 13 3 3 3 2" xfId="35746" xr:uid="{86C8EDE0-A43C-4145-924C-9A0EEC9ECAEC}"/>
    <cellStyle name="20% - Accent4 13 3 3 4" xfId="19852" xr:uid="{00000000-0005-0000-0000-0000C3160000}"/>
    <cellStyle name="20% - Accent4 13 3 3 4 2" xfId="43684" xr:uid="{027F0D0B-73F2-45C1-828B-3B3CC4A553DD}"/>
    <cellStyle name="20% - Accent4 13 3 3 5" xfId="27805" xr:uid="{9FFD55B5-6440-418C-A89B-8950F5A75CF4}"/>
    <cellStyle name="20% - Accent4 13 3 4" xfId="5692" xr:uid="{00000000-0005-0000-0000-0000C4160000}"/>
    <cellStyle name="20% - Accent4 13 3 4 2" xfId="13676" xr:uid="{00000000-0005-0000-0000-0000C5160000}"/>
    <cellStyle name="20% - Accent4 13 3 4 2 2" xfId="37519" xr:uid="{92EEB93A-1589-4AAF-BA69-23FE2A72B3FA}"/>
    <cellStyle name="20% - Accent4 13 3 4 3" xfId="21624" xr:uid="{00000000-0005-0000-0000-0000C6160000}"/>
    <cellStyle name="20% - Accent4 13 3 4 3 2" xfId="45456" xr:uid="{C21DF2C6-E035-48D0-8E51-1C1EEFABE086}"/>
    <cellStyle name="20% - Accent4 13 3 4 4" xfId="29578" xr:uid="{3AAF420C-246D-4B81-9F0E-85C4EB02B35A}"/>
    <cellStyle name="20% - Accent4 13 3 5" xfId="9245" xr:uid="{00000000-0005-0000-0000-0000C7160000}"/>
    <cellStyle name="20% - Accent4 13 3 5 2" xfId="17203" xr:uid="{00000000-0005-0000-0000-0000C8160000}"/>
    <cellStyle name="20% - Accent4 13 3 5 2 2" xfId="41043" xr:uid="{1F099ADE-E1DD-43CD-9B03-0D63F350AC7B}"/>
    <cellStyle name="20% - Accent4 13 3 5 3" xfId="25147" xr:uid="{00000000-0005-0000-0000-0000C9160000}"/>
    <cellStyle name="20% - Accent4 13 3 5 3 2" xfId="48979" xr:uid="{BD033275-FDCD-4438-BAC5-BFE9684DAC3F}"/>
    <cellStyle name="20% - Accent4 13 3 5 4" xfId="33102" xr:uid="{D8FFE303-D360-453F-ABDE-DBF95A8543D0}"/>
    <cellStyle name="20% - Accent4 13 3 6" xfId="10141" xr:uid="{00000000-0005-0000-0000-0000CA160000}"/>
    <cellStyle name="20% - Accent4 13 3 6 2" xfId="33990" xr:uid="{6B577A7C-EDAF-41B5-B55A-3B2EA90754D5}"/>
    <cellStyle name="20% - Accent4 13 3 7" xfId="18096" xr:uid="{00000000-0005-0000-0000-0000CB160000}"/>
    <cellStyle name="20% - Accent4 13 3 7 2" xfId="41928" xr:uid="{8ABEBB06-94B0-409E-9921-0DACD56B7D72}"/>
    <cellStyle name="20% - Accent4 13 3 8" xfId="26048" xr:uid="{6D1432C4-3775-4950-90BE-C95D0E63763B}"/>
    <cellStyle name="20% - Accent4 13 3_Exh G" xfId="2342" xr:uid="{00000000-0005-0000-0000-0000CC160000}"/>
    <cellStyle name="20% - Accent4 13 4" xfId="1218" xr:uid="{00000000-0005-0000-0000-0000CD160000}"/>
    <cellStyle name="20% - Accent4 13 4 2" xfId="4748" xr:uid="{00000000-0005-0000-0000-0000CE160000}"/>
    <cellStyle name="20% - Accent4 13 4 2 2" xfId="8339" xr:uid="{00000000-0005-0000-0000-0000CF160000}"/>
    <cellStyle name="20% - Accent4 13 4 2 2 2" xfId="16310" xr:uid="{00000000-0005-0000-0000-0000D0160000}"/>
    <cellStyle name="20% - Accent4 13 4 2 2 2 2" xfId="40152" xr:uid="{923AD39E-13BC-4739-97E0-83D0D4CBA6AA}"/>
    <cellStyle name="20% - Accent4 13 4 2 2 3" xfId="24256" xr:uid="{00000000-0005-0000-0000-0000D1160000}"/>
    <cellStyle name="20% - Accent4 13 4 2 2 3 2" xfId="48088" xr:uid="{7310053E-BA2E-44DD-8810-A538AFF24C46}"/>
    <cellStyle name="20% - Accent4 13 4 2 2 4" xfId="32211" xr:uid="{16FF6839-1531-4B2D-8196-2215F988C783}"/>
    <cellStyle name="20% - Accent4 13 4 2 3" xfId="12772" xr:uid="{00000000-0005-0000-0000-0000D2160000}"/>
    <cellStyle name="20% - Accent4 13 4 2 3 2" xfId="36621" xr:uid="{5C207924-8D91-4958-8FCD-03037E5C7F45}"/>
    <cellStyle name="20% - Accent4 13 4 2 4" xfId="20727" xr:uid="{00000000-0005-0000-0000-0000D3160000}"/>
    <cellStyle name="20% - Accent4 13 4 2 4 2" xfId="44559" xr:uid="{3CC53B0D-E850-4C87-814F-3E03AAF55234}"/>
    <cellStyle name="20% - Accent4 13 4 2 5" xfId="28680" xr:uid="{24270C27-B2BC-402C-A970-ECF81C02D254}"/>
    <cellStyle name="20% - Accent4 13 4 3" xfId="6580" xr:uid="{00000000-0005-0000-0000-0000D4160000}"/>
    <cellStyle name="20% - Accent4 13 4 3 2" xfId="14552" xr:uid="{00000000-0005-0000-0000-0000D5160000}"/>
    <cellStyle name="20% - Accent4 13 4 3 2 2" xfId="38394" xr:uid="{9F8577F8-E104-48D9-BDDD-645F250ED85D}"/>
    <cellStyle name="20% - Accent4 13 4 3 3" xfId="22499" xr:uid="{00000000-0005-0000-0000-0000D6160000}"/>
    <cellStyle name="20% - Accent4 13 4 3 3 2" xfId="46331" xr:uid="{70B0DFBF-B433-4BE1-A9BD-27859F52AC9E}"/>
    <cellStyle name="20% - Accent4 13 4 3 4" xfId="30453" xr:uid="{F284EAD2-763A-472C-86FF-8FCB4888E3A4}"/>
    <cellStyle name="20% - Accent4 13 4 4" xfId="11016" xr:uid="{00000000-0005-0000-0000-0000D7160000}"/>
    <cellStyle name="20% - Accent4 13 4 4 2" xfId="34865" xr:uid="{B5910FB1-8066-423B-9D04-21349308A650}"/>
    <cellStyle name="20% - Accent4 13 4 5" xfId="18971" xr:uid="{00000000-0005-0000-0000-0000D8160000}"/>
    <cellStyle name="20% - Accent4 13 4 5 2" xfId="42803" xr:uid="{3755B577-E4D6-45B9-8465-34F6C211625C}"/>
    <cellStyle name="20% - Accent4 13 4 6" xfId="26923" xr:uid="{8F88AA6A-02F0-4D92-BF61-9BBA23653F2E}"/>
    <cellStyle name="20% - Accent4 13 4_Exh G" xfId="2344" xr:uid="{00000000-0005-0000-0000-0000D9160000}"/>
    <cellStyle name="20% - Accent4 13 5" xfId="3869" xr:uid="{00000000-0005-0000-0000-0000DA160000}"/>
    <cellStyle name="20% - Accent4 13 5 2" xfId="7461" xr:uid="{00000000-0005-0000-0000-0000DB160000}"/>
    <cellStyle name="20% - Accent4 13 5 2 2" xfId="15432" xr:uid="{00000000-0005-0000-0000-0000DC160000}"/>
    <cellStyle name="20% - Accent4 13 5 2 2 2" xfId="39274" xr:uid="{E365F234-0643-4E0F-881D-3D415D79E7B1}"/>
    <cellStyle name="20% - Accent4 13 5 2 3" xfId="23378" xr:uid="{00000000-0005-0000-0000-0000DD160000}"/>
    <cellStyle name="20% - Accent4 13 5 2 3 2" xfId="47210" xr:uid="{A986F7DE-3B42-4CE9-B17C-941EDE2AF926}"/>
    <cellStyle name="20% - Accent4 13 5 2 4" xfId="31333" xr:uid="{8504541A-08B0-4E29-A371-44E5A5CB7EEE}"/>
    <cellStyle name="20% - Accent4 13 5 3" xfId="11894" xr:uid="{00000000-0005-0000-0000-0000DE160000}"/>
    <cellStyle name="20% - Accent4 13 5 3 2" xfId="35743" xr:uid="{50BE7DFE-46BC-477A-94A4-D52DE45B1D7F}"/>
    <cellStyle name="20% - Accent4 13 5 4" xfId="19849" xr:uid="{00000000-0005-0000-0000-0000DF160000}"/>
    <cellStyle name="20% - Accent4 13 5 4 2" xfId="43681" xr:uid="{FE89A493-8F7B-4807-B616-6B086BDC3794}"/>
    <cellStyle name="20% - Accent4 13 5 5" xfId="27802" xr:uid="{4270BAE5-43F8-42DB-ADE4-C72B6696A283}"/>
    <cellStyle name="20% - Accent4 13 6" xfId="5689" xr:uid="{00000000-0005-0000-0000-0000E0160000}"/>
    <cellStyle name="20% - Accent4 13 6 2" xfId="13673" xr:uid="{00000000-0005-0000-0000-0000E1160000}"/>
    <cellStyle name="20% - Accent4 13 6 2 2" xfId="37516" xr:uid="{60A58195-267E-4936-BC8E-15DE99061FF2}"/>
    <cellStyle name="20% - Accent4 13 6 3" xfId="21621" xr:uid="{00000000-0005-0000-0000-0000E2160000}"/>
    <cellStyle name="20% - Accent4 13 6 3 2" xfId="45453" xr:uid="{8346CAC8-13B5-444B-A3A1-B526EC8B102F}"/>
    <cellStyle name="20% - Accent4 13 6 4" xfId="29575" xr:uid="{E06B8E18-89A2-4FD3-9C35-37F481C9A1FC}"/>
    <cellStyle name="20% - Accent4 13 7" xfId="9242" xr:uid="{00000000-0005-0000-0000-0000E3160000}"/>
    <cellStyle name="20% - Accent4 13 7 2" xfId="17200" xr:uid="{00000000-0005-0000-0000-0000E4160000}"/>
    <cellStyle name="20% - Accent4 13 7 2 2" xfId="41040" xr:uid="{E366A280-9B5F-4CE5-801F-0BABAA5F60D8}"/>
    <cellStyle name="20% - Accent4 13 7 3" xfId="25144" xr:uid="{00000000-0005-0000-0000-0000E5160000}"/>
    <cellStyle name="20% - Accent4 13 7 3 2" xfId="48976" xr:uid="{534567AC-3FFD-4BFE-9616-012A914DEE27}"/>
    <cellStyle name="20% - Accent4 13 7 4" xfId="33099" xr:uid="{DEA603BC-E014-4491-8BAE-643252EC5E70}"/>
    <cellStyle name="20% - Accent4 13 8" xfId="10138" xr:uid="{00000000-0005-0000-0000-0000E6160000}"/>
    <cellStyle name="20% - Accent4 13 8 2" xfId="33987" xr:uid="{2B8C8135-A4F5-43B2-B3AE-515CB3FB93A9}"/>
    <cellStyle name="20% - Accent4 13 9" xfId="18093" xr:uid="{00000000-0005-0000-0000-0000E7160000}"/>
    <cellStyle name="20% - Accent4 13 9 2" xfId="41925" xr:uid="{339C0F4E-3E6D-4E11-84C1-DBF450B1CA64}"/>
    <cellStyle name="20% - Accent4 13_Exh G" xfId="2337" xr:uid="{00000000-0005-0000-0000-0000E8160000}"/>
    <cellStyle name="20% - Accent4 14" xfId="194" xr:uid="{00000000-0005-0000-0000-0000E9160000}"/>
    <cellStyle name="20% - Accent4 14 2" xfId="195" xr:uid="{00000000-0005-0000-0000-0000EA160000}"/>
    <cellStyle name="20% - Accent4 14 2 2" xfId="1223" xr:uid="{00000000-0005-0000-0000-0000EB160000}"/>
    <cellStyle name="20% - Accent4 14 2 2 2" xfId="4753" xr:uid="{00000000-0005-0000-0000-0000EC160000}"/>
    <cellStyle name="20% - Accent4 14 2 2 2 2" xfId="8344" xr:uid="{00000000-0005-0000-0000-0000ED160000}"/>
    <cellStyle name="20% - Accent4 14 2 2 2 2 2" xfId="16315" xr:uid="{00000000-0005-0000-0000-0000EE160000}"/>
    <cellStyle name="20% - Accent4 14 2 2 2 2 2 2" xfId="40157" xr:uid="{C32D841F-D7A1-4E0F-9917-AAB343FDAC43}"/>
    <cellStyle name="20% - Accent4 14 2 2 2 2 3" xfId="24261" xr:uid="{00000000-0005-0000-0000-0000EF160000}"/>
    <cellStyle name="20% - Accent4 14 2 2 2 2 3 2" xfId="48093" xr:uid="{F9E983C5-1098-498B-840F-044A2D7DBC01}"/>
    <cellStyle name="20% - Accent4 14 2 2 2 2 4" xfId="32216" xr:uid="{37A8640F-33AC-46F2-B20A-0BDB29FE871F}"/>
    <cellStyle name="20% - Accent4 14 2 2 2 3" xfId="12777" xr:uid="{00000000-0005-0000-0000-0000F0160000}"/>
    <cellStyle name="20% - Accent4 14 2 2 2 3 2" xfId="36626" xr:uid="{BC89C606-0BCB-4986-8946-D2715DD034C8}"/>
    <cellStyle name="20% - Accent4 14 2 2 2 4" xfId="20732" xr:uid="{00000000-0005-0000-0000-0000F1160000}"/>
    <cellStyle name="20% - Accent4 14 2 2 2 4 2" xfId="44564" xr:uid="{7FD4411F-798D-4397-BB03-3B71F8128062}"/>
    <cellStyle name="20% - Accent4 14 2 2 2 5" xfId="28685" xr:uid="{927FA1A3-90AA-4A4B-9BAD-14F19E9FC051}"/>
    <cellStyle name="20% - Accent4 14 2 2 3" xfId="6585" xr:uid="{00000000-0005-0000-0000-0000F2160000}"/>
    <cellStyle name="20% - Accent4 14 2 2 3 2" xfId="14557" xr:uid="{00000000-0005-0000-0000-0000F3160000}"/>
    <cellStyle name="20% - Accent4 14 2 2 3 2 2" xfId="38399" xr:uid="{DABBEEE2-0483-4FE4-9FB3-A91C299FD002}"/>
    <cellStyle name="20% - Accent4 14 2 2 3 3" xfId="22504" xr:uid="{00000000-0005-0000-0000-0000F4160000}"/>
    <cellStyle name="20% - Accent4 14 2 2 3 3 2" xfId="46336" xr:uid="{086E5833-8F99-4937-99FE-ED8B67DFF434}"/>
    <cellStyle name="20% - Accent4 14 2 2 3 4" xfId="30458" xr:uid="{503F1774-AB54-469F-8D40-0B4FFC259F2A}"/>
    <cellStyle name="20% - Accent4 14 2 2 4" xfId="11021" xr:uid="{00000000-0005-0000-0000-0000F5160000}"/>
    <cellStyle name="20% - Accent4 14 2 2 4 2" xfId="34870" xr:uid="{92A56B23-2F3F-4B9D-94C4-48298D169646}"/>
    <cellStyle name="20% - Accent4 14 2 2 5" xfId="18976" xr:uid="{00000000-0005-0000-0000-0000F6160000}"/>
    <cellStyle name="20% - Accent4 14 2 2 5 2" xfId="42808" xr:uid="{15C111E8-3C71-43A4-B3BB-723A51AB72A3}"/>
    <cellStyle name="20% - Accent4 14 2 2 6" xfId="26928" xr:uid="{086BD844-6A97-4524-8F1A-FF046D015898}"/>
    <cellStyle name="20% - Accent4 14 2 2_Exh G" xfId="2347" xr:uid="{00000000-0005-0000-0000-0000F7160000}"/>
    <cellStyle name="20% - Accent4 14 2 3" xfId="3874" xr:uid="{00000000-0005-0000-0000-0000F8160000}"/>
    <cellStyle name="20% - Accent4 14 2 3 2" xfId="7466" xr:uid="{00000000-0005-0000-0000-0000F9160000}"/>
    <cellStyle name="20% - Accent4 14 2 3 2 2" xfId="15437" xr:uid="{00000000-0005-0000-0000-0000FA160000}"/>
    <cellStyle name="20% - Accent4 14 2 3 2 2 2" xfId="39279" xr:uid="{4245480D-032D-442A-8BAB-AE836BDDAE85}"/>
    <cellStyle name="20% - Accent4 14 2 3 2 3" xfId="23383" xr:uid="{00000000-0005-0000-0000-0000FB160000}"/>
    <cellStyle name="20% - Accent4 14 2 3 2 3 2" xfId="47215" xr:uid="{5760C9BF-2D27-4B5F-A9C7-ECD324DAA4FC}"/>
    <cellStyle name="20% - Accent4 14 2 3 2 4" xfId="31338" xr:uid="{623F45FE-9971-48DD-9704-D77954BF9F0C}"/>
    <cellStyle name="20% - Accent4 14 2 3 3" xfId="11899" xr:uid="{00000000-0005-0000-0000-0000FC160000}"/>
    <cellStyle name="20% - Accent4 14 2 3 3 2" xfId="35748" xr:uid="{567D2F68-61FF-4228-8861-021DF35D15D5}"/>
    <cellStyle name="20% - Accent4 14 2 3 4" xfId="19854" xr:uid="{00000000-0005-0000-0000-0000FD160000}"/>
    <cellStyle name="20% - Accent4 14 2 3 4 2" xfId="43686" xr:uid="{80142DB7-7015-439C-9372-424E1D900706}"/>
    <cellStyle name="20% - Accent4 14 2 3 5" xfId="27807" xr:uid="{7D3C456B-8A18-4284-8093-42A06BBF223A}"/>
    <cellStyle name="20% - Accent4 14 2 4" xfId="5694" xr:uid="{00000000-0005-0000-0000-0000FE160000}"/>
    <cellStyle name="20% - Accent4 14 2 4 2" xfId="13678" xr:uid="{00000000-0005-0000-0000-0000FF160000}"/>
    <cellStyle name="20% - Accent4 14 2 4 2 2" xfId="37521" xr:uid="{4922EE77-081C-480F-A3F7-67CE2FCA114E}"/>
    <cellStyle name="20% - Accent4 14 2 4 3" xfId="21626" xr:uid="{00000000-0005-0000-0000-000000170000}"/>
    <cellStyle name="20% - Accent4 14 2 4 3 2" xfId="45458" xr:uid="{93143FDC-6027-45CD-9D4F-75A113CF058F}"/>
    <cellStyle name="20% - Accent4 14 2 4 4" xfId="29580" xr:uid="{EB6C9867-AA8E-4EDE-B3CB-B1DE718463CE}"/>
    <cellStyle name="20% - Accent4 14 2 5" xfId="9247" xr:uid="{00000000-0005-0000-0000-000001170000}"/>
    <cellStyle name="20% - Accent4 14 2 5 2" xfId="17205" xr:uid="{00000000-0005-0000-0000-000002170000}"/>
    <cellStyle name="20% - Accent4 14 2 5 2 2" xfId="41045" xr:uid="{28ADEFDF-DE9C-45EE-B8E8-9B9D4B961DE2}"/>
    <cellStyle name="20% - Accent4 14 2 5 3" xfId="25149" xr:uid="{00000000-0005-0000-0000-000003170000}"/>
    <cellStyle name="20% - Accent4 14 2 5 3 2" xfId="48981" xr:uid="{66EDFA78-4465-4B34-9C6C-4217D5E4E3FB}"/>
    <cellStyle name="20% - Accent4 14 2 5 4" xfId="33104" xr:uid="{9145C565-AE3F-47BB-BA67-52C480673C1B}"/>
    <cellStyle name="20% - Accent4 14 2 6" xfId="10143" xr:uid="{00000000-0005-0000-0000-000004170000}"/>
    <cellStyle name="20% - Accent4 14 2 6 2" xfId="33992" xr:uid="{80C56B1F-344F-42A5-82C5-6B3341AAF974}"/>
    <cellStyle name="20% - Accent4 14 2 7" xfId="18098" xr:uid="{00000000-0005-0000-0000-000005170000}"/>
    <cellStyle name="20% - Accent4 14 2 7 2" xfId="41930" xr:uid="{1AF1DB51-FC89-441F-A39B-F4CD62B5ACAF}"/>
    <cellStyle name="20% - Accent4 14 2 8" xfId="26050" xr:uid="{5E2A6C53-F600-40F6-9C6F-3DF23F6F99DD}"/>
    <cellStyle name="20% - Accent4 14 2_Exh G" xfId="2346" xr:uid="{00000000-0005-0000-0000-000006170000}"/>
    <cellStyle name="20% - Accent4 14 3" xfId="1222" xr:uid="{00000000-0005-0000-0000-000007170000}"/>
    <cellStyle name="20% - Accent4 14 3 2" xfId="4752" xr:uid="{00000000-0005-0000-0000-000008170000}"/>
    <cellStyle name="20% - Accent4 14 3 2 2" xfId="8343" xr:uid="{00000000-0005-0000-0000-000009170000}"/>
    <cellStyle name="20% - Accent4 14 3 2 2 2" xfId="16314" xr:uid="{00000000-0005-0000-0000-00000A170000}"/>
    <cellStyle name="20% - Accent4 14 3 2 2 2 2" xfId="40156" xr:uid="{38748E51-3FED-488F-B548-2DC71C2F6500}"/>
    <cellStyle name="20% - Accent4 14 3 2 2 3" xfId="24260" xr:uid="{00000000-0005-0000-0000-00000B170000}"/>
    <cellStyle name="20% - Accent4 14 3 2 2 3 2" xfId="48092" xr:uid="{D821BCF6-6CEF-4966-88BA-C3A0741D8E09}"/>
    <cellStyle name="20% - Accent4 14 3 2 2 4" xfId="32215" xr:uid="{9F7D4069-FBBE-47FF-AD04-8A12F58A80BA}"/>
    <cellStyle name="20% - Accent4 14 3 2 3" xfId="12776" xr:uid="{00000000-0005-0000-0000-00000C170000}"/>
    <cellStyle name="20% - Accent4 14 3 2 3 2" xfId="36625" xr:uid="{92D67C95-86C7-4F05-BB31-501CD41E2350}"/>
    <cellStyle name="20% - Accent4 14 3 2 4" xfId="20731" xr:uid="{00000000-0005-0000-0000-00000D170000}"/>
    <cellStyle name="20% - Accent4 14 3 2 4 2" xfId="44563" xr:uid="{A2CA2D2E-043A-4C00-B4FD-0E292D744F36}"/>
    <cellStyle name="20% - Accent4 14 3 2 5" xfId="28684" xr:uid="{03C89482-C8AD-4C93-A18E-BE8EA9C3F5ED}"/>
    <cellStyle name="20% - Accent4 14 3 3" xfId="6584" xr:uid="{00000000-0005-0000-0000-00000E170000}"/>
    <cellStyle name="20% - Accent4 14 3 3 2" xfId="14556" xr:uid="{00000000-0005-0000-0000-00000F170000}"/>
    <cellStyle name="20% - Accent4 14 3 3 2 2" xfId="38398" xr:uid="{23695DBA-49F9-4342-AB84-DDE71DBF68BF}"/>
    <cellStyle name="20% - Accent4 14 3 3 3" xfId="22503" xr:uid="{00000000-0005-0000-0000-000010170000}"/>
    <cellStyle name="20% - Accent4 14 3 3 3 2" xfId="46335" xr:uid="{8E1EBDBD-4CAE-4292-A5EA-62AC11B3AF30}"/>
    <cellStyle name="20% - Accent4 14 3 3 4" xfId="30457" xr:uid="{C25E913A-A521-4BE6-A059-2E42575A2167}"/>
    <cellStyle name="20% - Accent4 14 3 4" xfId="11020" xr:uid="{00000000-0005-0000-0000-000011170000}"/>
    <cellStyle name="20% - Accent4 14 3 4 2" xfId="34869" xr:uid="{6830F753-668C-4FEA-9235-9E5458C52460}"/>
    <cellStyle name="20% - Accent4 14 3 5" xfId="18975" xr:uid="{00000000-0005-0000-0000-000012170000}"/>
    <cellStyle name="20% - Accent4 14 3 5 2" xfId="42807" xr:uid="{3A8DDCC0-F238-493A-8B1F-E98592922C03}"/>
    <cellStyle name="20% - Accent4 14 3 6" xfId="26927" xr:uid="{EB1FFAEA-8614-4916-9095-6994DADB9682}"/>
    <cellStyle name="20% - Accent4 14 3_Exh G" xfId="2348" xr:uid="{00000000-0005-0000-0000-000013170000}"/>
    <cellStyle name="20% - Accent4 14 4" xfId="3873" xr:uid="{00000000-0005-0000-0000-000014170000}"/>
    <cellStyle name="20% - Accent4 14 4 2" xfId="7465" xr:uid="{00000000-0005-0000-0000-000015170000}"/>
    <cellStyle name="20% - Accent4 14 4 2 2" xfId="15436" xr:uid="{00000000-0005-0000-0000-000016170000}"/>
    <cellStyle name="20% - Accent4 14 4 2 2 2" xfId="39278" xr:uid="{3F0B3E9B-F193-4C09-842D-7A6B0CB912AF}"/>
    <cellStyle name="20% - Accent4 14 4 2 3" xfId="23382" xr:uid="{00000000-0005-0000-0000-000017170000}"/>
    <cellStyle name="20% - Accent4 14 4 2 3 2" xfId="47214" xr:uid="{5808C5D5-420A-436A-A8D6-790BB905EF0C}"/>
    <cellStyle name="20% - Accent4 14 4 2 4" xfId="31337" xr:uid="{38C81D4D-0F8E-49C7-800F-4FCA07FCEF5C}"/>
    <cellStyle name="20% - Accent4 14 4 3" xfId="11898" xr:uid="{00000000-0005-0000-0000-000018170000}"/>
    <cellStyle name="20% - Accent4 14 4 3 2" xfId="35747" xr:uid="{727C6BA1-E010-4372-9B6E-20C9A5F1C347}"/>
    <cellStyle name="20% - Accent4 14 4 4" xfId="19853" xr:uid="{00000000-0005-0000-0000-000019170000}"/>
    <cellStyle name="20% - Accent4 14 4 4 2" xfId="43685" xr:uid="{B4D7331E-CADE-4424-940E-C4A596B14411}"/>
    <cellStyle name="20% - Accent4 14 4 5" xfId="27806" xr:uid="{004B2CAF-A353-4E6A-8AD7-D5C81CE73BE0}"/>
    <cellStyle name="20% - Accent4 14 5" xfId="5693" xr:uid="{00000000-0005-0000-0000-00001A170000}"/>
    <cellStyle name="20% - Accent4 14 5 2" xfId="13677" xr:uid="{00000000-0005-0000-0000-00001B170000}"/>
    <cellStyle name="20% - Accent4 14 5 2 2" xfId="37520" xr:uid="{0365D99F-EA6F-4788-B437-D351B9ED8350}"/>
    <cellStyle name="20% - Accent4 14 5 3" xfId="21625" xr:uid="{00000000-0005-0000-0000-00001C170000}"/>
    <cellStyle name="20% - Accent4 14 5 3 2" xfId="45457" xr:uid="{19CFFE20-88EF-4BCC-A43C-25A9BB90A5C2}"/>
    <cellStyle name="20% - Accent4 14 5 4" xfId="29579" xr:uid="{DBBBA0B2-EA7F-485F-B254-54B5E1F5DF8E}"/>
    <cellStyle name="20% - Accent4 14 6" xfId="9246" xr:uid="{00000000-0005-0000-0000-00001D170000}"/>
    <cellStyle name="20% - Accent4 14 6 2" xfId="17204" xr:uid="{00000000-0005-0000-0000-00001E170000}"/>
    <cellStyle name="20% - Accent4 14 6 2 2" xfId="41044" xr:uid="{1A8B8A87-9158-4897-93CA-002D0169D5BE}"/>
    <cellStyle name="20% - Accent4 14 6 3" xfId="25148" xr:uid="{00000000-0005-0000-0000-00001F170000}"/>
    <cellStyle name="20% - Accent4 14 6 3 2" xfId="48980" xr:uid="{46F47240-899E-415F-A01F-DB94AC2CC264}"/>
    <cellStyle name="20% - Accent4 14 6 4" xfId="33103" xr:uid="{30CD99CF-1150-46D6-999D-55556EE84E51}"/>
    <cellStyle name="20% - Accent4 14 7" xfId="10142" xr:uid="{00000000-0005-0000-0000-000020170000}"/>
    <cellStyle name="20% - Accent4 14 7 2" xfId="33991" xr:uid="{95139D4A-DE7E-4511-A7D0-A6E5A093EB00}"/>
    <cellStyle name="20% - Accent4 14 8" xfId="18097" xr:uid="{00000000-0005-0000-0000-000021170000}"/>
    <cellStyle name="20% - Accent4 14 8 2" xfId="41929" xr:uid="{3AABBC34-758F-405F-81F3-9BD6DF31D8CC}"/>
    <cellStyle name="20% - Accent4 14 9" xfId="26049" xr:uid="{3E8DC8F9-024B-45F8-840E-779CCE601BA0}"/>
    <cellStyle name="20% - Accent4 14_Exh G" xfId="2345" xr:uid="{00000000-0005-0000-0000-000022170000}"/>
    <cellStyle name="20% - Accent4 15" xfId="196" xr:uid="{00000000-0005-0000-0000-000023170000}"/>
    <cellStyle name="20% - Accent4 15 2" xfId="1224" xr:uid="{00000000-0005-0000-0000-000024170000}"/>
    <cellStyle name="20% - Accent4 15 2 2" xfId="4754" xr:uid="{00000000-0005-0000-0000-000025170000}"/>
    <cellStyle name="20% - Accent4 15 2 2 2" xfId="8345" xr:uid="{00000000-0005-0000-0000-000026170000}"/>
    <cellStyle name="20% - Accent4 15 2 2 2 2" xfId="16316" xr:uid="{00000000-0005-0000-0000-000027170000}"/>
    <cellStyle name="20% - Accent4 15 2 2 2 2 2" xfId="40158" xr:uid="{989074A1-F261-4600-A8CE-3574BF960507}"/>
    <cellStyle name="20% - Accent4 15 2 2 2 3" xfId="24262" xr:uid="{00000000-0005-0000-0000-000028170000}"/>
    <cellStyle name="20% - Accent4 15 2 2 2 3 2" xfId="48094" xr:uid="{6BC15B6C-3687-4954-B86B-0C4BE72314C0}"/>
    <cellStyle name="20% - Accent4 15 2 2 2 4" xfId="32217" xr:uid="{9BC06D1E-8891-4C2B-A84C-24E7901D7BD2}"/>
    <cellStyle name="20% - Accent4 15 2 2 3" xfId="12778" xr:uid="{00000000-0005-0000-0000-000029170000}"/>
    <cellStyle name="20% - Accent4 15 2 2 3 2" xfId="36627" xr:uid="{EC4CEB87-6773-4141-A24E-0946E9BA4FA5}"/>
    <cellStyle name="20% - Accent4 15 2 2 4" xfId="20733" xr:uid="{00000000-0005-0000-0000-00002A170000}"/>
    <cellStyle name="20% - Accent4 15 2 2 4 2" xfId="44565" xr:uid="{EBEC06D7-27C5-4C00-93C6-6BDC5FF51AC2}"/>
    <cellStyle name="20% - Accent4 15 2 2 5" xfId="28686" xr:uid="{DF885BA2-61F8-41E1-B4C3-DDF522C05C03}"/>
    <cellStyle name="20% - Accent4 15 2 3" xfId="6586" xr:uid="{00000000-0005-0000-0000-00002B170000}"/>
    <cellStyle name="20% - Accent4 15 2 3 2" xfId="14558" xr:uid="{00000000-0005-0000-0000-00002C170000}"/>
    <cellStyle name="20% - Accent4 15 2 3 2 2" xfId="38400" xr:uid="{9C0634E1-6A94-469C-A84F-97B88F28BAFA}"/>
    <cellStyle name="20% - Accent4 15 2 3 3" xfId="22505" xr:uid="{00000000-0005-0000-0000-00002D170000}"/>
    <cellStyle name="20% - Accent4 15 2 3 3 2" xfId="46337" xr:uid="{2DFCAB1B-4B6F-4B86-B724-12F872EE6D41}"/>
    <cellStyle name="20% - Accent4 15 2 3 4" xfId="30459" xr:uid="{9DF45BDB-C2F5-41B3-8DD2-B2890D639D12}"/>
    <cellStyle name="20% - Accent4 15 2 4" xfId="11022" xr:uid="{00000000-0005-0000-0000-00002E170000}"/>
    <cellStyle name="20% - Accent4 15 2 4 2" xfId="34871" xr:uid="{CDBC5F66-56F6-4B01-AF26-0095489ED651}"/>
    <cellStyle name="20% - Accent4 15 2 5" xfId="18977" xr:uid="{00000000-0005-0000-0000-00002F170000}"/>
    <cellStyle name="20% - Accent4 15 2 5 2" xfId="42809" xr:uid="{9F99904C-89CF-44A6-816B-FEC0DD68E183}"/>
    <cellStyle name="20% - Accent4 15 2 6" xfId="26929" xr:uid="{C61A2DB6-8B0D-4B6A-921B-FC234368EDF1}"/>
    <cellStyle name="20% - Accent4 15 2_Exh G" xfId="2350" xr:uid="{00000000-0005-0000-0000-000030170000}"/>
    <cellStyle name="20% - Accent4 15 3" xfId="3875" xr:uid="{00000000-0005-0000-0000-000031170000}"/>
    <cellStyle name="20% - Accent4 15 3 2" xfId="7467" xr:uid="{00000000-0005-0000-0000-000032170000}"/>
    <cellStyle name="20% - Accent4 15 3 2 2" xfId="15438" xr:uid="{00000000-0005-0000-0000-000033170000}"/>
    <cellStyle name="20% - Accent4 15 3 2 2 2" xfId="39280" xr:uid="{F65F53FD-4942-4E08-BFEE-51E2C9A1C876}"/>
    <cellStyle name="20% - Accent4 15 3 2 3" xfId="23384" xr:uid="{00000000-0005-0000-0000-000034170000}"/>
    <cellStyle name="20% - Accent4 15 3 2 3 2" xfId="47216" xr:uid="{E7BCC480-CE96-4537-A4C0-6C65D060E57D}"/>
    <cellStyle name="20% - Accent4 15 3 2 4" xfId="31339" xr:uid="{93169730-431E-4173-9CE7-D0A744BA614A}"/>
    <cellStyle name="20% - Accent4 15 3 3" xfId="11900" xr:uid="{00000000-0005-0000-0000-000035170000}"/>
    <cellStyle name="20% - Accent4 15 3 3 2" xfId="35749" xr:uid="{F0D7CC91-7917-456D-904C-2EEF1F6CA42C}"/>
    <cellStyle name="20% - Accent4 15 3 4" xfId="19855" xr:uid="{00000000-0005-0000-0000-000036170000}"/>
    <cellStyle name="20% - Accent4 15 3 4 2" xfId="43687" xr:uid="{B7CA0CE2-5827-41E5-B231-730CC2FDEA61}"/>
    <cellStyle name="20% - Accent4 15 3 5" xfId="27808" xr:uid="{327C44DA-EA47-4F06-9E44-F2AD0E3051D9}"/>
    <cellStyle name="20% - Accent4 15 4" xfId="5695" xr:uid="{00000000-0005-0000-0000-000037170000}"/>
    <cellStyle name="20% - Accent4 15 4 2" xfId="13679" xr:uid="{00000000-0005-0000-0000-000038170000}"/>
    <cellStyle name="20% - Accent4 15 4 2 2" xfId="37522" xr:uid="{EA388CB9-7207-4BDE-BBB6-1DA8CBA71A6E}"/>
    <cellStyle name="20% - Accent4 15 4 3" xfId="21627" xr:uid="{00000000-0005-0000-0000-000039170000}"/>
    <cellStyle name="20% - Accent4 15 4 3 2" xfId="45459" xr:uid="{A7C0C54F-EC9D-4353-97F1-ACB0D48FB975}"/>
    <cellStyle name="20% - Accent4 15 4 4" xfId="29581" xr:uid="{F7B13615-49B4-4718-9A95-A16244C3BDB0}"/>
    <cellStyle name="20% - Accent4 15 5" xfId="9248" xr:uid="{00000000-0005-0000-0000-00003A170000}"/>
    <cellStyle name="20% - Accent4 15 5 2" xfId="17206" xr:uid="{00000000-0005-0000-0000-00003B170000}"/>
    <cellStyle name="20% - Accent4 15 5 2 2" xfId="41046" xr:uid="{61B90E74-A252-4BC6-A86E-B93BE49A8E0A}"/>
    <cellStyle name="20% - Accent4 15 5 3" xfId="25150" xr:uid="{00000000-0005-0000-0000-00003C170000}"/>
    <cellStyle name="20% - Accent4 15 5 3 2" xfId="48982" xr:uid="{96D9BE28-55FC-4109-A3FC-ADE518747308}"/>
    <cellStyle name="20% - Accent4 15 5 4" xfId="33105" xr:uid="{FE1AE523-1051-4725-8728-AFE6D1E5D55B}"/>
    <cellStyle name="20% - Accent4 15 6" xfId="10144" xr:uid="{00000000-0005-0000-0000-00003D170000}"/>
    <cellStyle name="20% - Accent4 15 6 2" xfId="33993" xr:uid="{ADC246E7-2171-471C-96B1-A278E9AFBDDD}"/>
    <cellStyle name="20% - Accent4 15 7" xfId="18099" xr:uid="{00000000-0005-0000-0000-00003E170000}"/>
    <cellStyle name="20% - Accent4 15 7 2" xfId="41931" xr:uid="{BADE1D0D-7E90-492C-8509-C4D21AF13FF4}"/>
    <cellStyle name="20% - Accent4 15 8" xfId="26051" xr:uid="{D1283B97-7871-4CF8-BD35-14417B9BF528}"/>
    <cellStyle name="20% - Accent4 15_Exh G" xfId="2349" xr:uid="{00000000-0005-0000-0000-00003F170000}"/>
    <cellStyle name="20% - Accent4 16" xfId="846" xr:uid="{00000000-0005-0000-0000-000040170000}"/>
    <cellStyle name="20% - Accent4 16 2" xfId="1785" xr:uid="{00000000-0005-0000-0000-000041170000}"/>
    <cellStyle name="20% - Accent4 16 2 2" xfId="5306" xr:uid="{00000000-0005-0000-0000-000042170000}"/>
    <cellStyle name="20% - Accent4 16 2 2 2" xfId="8897" xr:uid="{00000000-0005-0000-0000-000043170000}"/>
    <cellStyle name="20% - Accent4 16 2 2 2 2" xfId="16868" xr:uid="{00000000-0005-0000-0000-000044170000}"/>
    <cellStyle name="20% - Accent4 16 2 2 2 2 2" xfId="40710" xr:uid="{F137ADA0-C888-45A7-9170-9C42AD3A8143}"/>
    <cellStyle name="20% - Accent4 16 2 2 2 3" xfId="24814" xr:uid="{00000000-0005-0000-0000-000045170000}"/>
    <cellStyle name="20% - Accent4 16 2 2 2 3 2" xfId="48646" xr:uid="{55D11711-46AD-4FCD-ADC9-A83F018D342D}"/>
    <cellStyle name="20% - Accent4 16 2 2 2 4" xfId="32769" xr:uid="{65CD79EB-4795-4673-97BA-28F5E509FB33}"/>
    <cellStyle name="20% - Accent4 16 2 2 3" xfId="13330" xr:uid="{00000000-0005-0000-0000-000046170000}"/>
    <cellStyle name="20% - Accent4 16 2 2 3 2" xfId="37179" xr:uid="{E60670D0-E343-426B-BD4C-4B6EDCCECA3C}"/>
    <cellStyle name="20% - Accent4 16 2 2 4" xfId="21285" xr:uid="{00000000-0005-0000-0000-000047170000}"/>
    <cellStyle name="20% - Accent4 16 2 2 4 2" xfId="45117" xr:uid="{9A538044-39F2-4500-AB23-F3021051946C}"/>
    <cellStyle name="20% - Accent4 16 2 2 5" xfId="29238" xr:uid="{4551AB6C-5CAF-4A4F-AE33-3561B27C75E9}"/>
    <cellStyle name="20% - Accent4 16 2 3" xfId="7138" xr:uid="{00000000-0005-0000-0000-000048170000}"/>
    <cellStyle name="20% - Accent4 16 2 3 2" xfId="15110" xr:uid="{00000000-0005-0000-0000-000049170000}"/>
    <cellStyle name="20% - Accent4 16 2 3 2 2" xfId="38952" xr:uid="{970DB323-39D4-4FA5-A36E-D3F8374C5FD7}"/>
    <cellStyle name="20% - Accent4 16 2 3 3" xfId="23057" xr:uid="{00000000-0005-0000-0000-00004A170000}"/>
    <cellStyle name="20% - Accent4 16 2 3 3 2" xfId="46889" xr:uid="{054030E9-6C1E-4743-B02F-AEF334C6D239}"/>
    <cellStyle name="20% - Accent4 16 2 3 4" xfId="31011" xr:uid="{1ECCBA5F-E463-48E8-B445-C491EA4272AC}"/>
    <cellStyle name="20% - Accent4 16 2 4" xfId="11574" xr:uid="{00000000-0005-0000-0000-00004B170000}"/>
    <cellStyle name="20% - Accent4 16 2 4 2" xfId="35423" xr:uid="{E7DCE463-44E5-4D51-9F07-1EE496DAD930}"/>
    <cellStyle name="20% - Accent4 16 2 5" xfId="19529" xr:uid="{00000000-0005-0000-0000-00004C170000}"/>
    <cellStyle name="20% - Accent4 16 2 5 2" xfId="43361" xr:uid="{5BC5D26D-0C9E-4854-8D15-C11D5AF11E4C}"/>
    <cellStyle name="20% - Accent4 16 2 6" xfId="27481" xr:uid="{E51F6549-8DF3-450B-9132-1AC9146D0F8E}"/>
    <cellStyle name="20% - Accent4 16 2_Exh G" xfId="2352" xr:uid="{00000000-0005-0000-0000-00004D170000}"/>
    <cellStyle name="20% - Accent4 16 3" xfId="4427" xr:uid="{00000000-0005-0000-0000-00004E170000}"/>
    <cellStyle name="20% - Accent4 16 3 2" xfId="8019" xr:uid="{00000000-0005-0000-0000-00004F170000}"/>
    <cellStyle name="20% - Accent4 16 3 2 2" xfId="15990" xr:uid="{00000000-0005-0000-0000-000050170000}"/>
    <cellStyle name="20% - Accent4 16 3 2 2 2" xfId="39832" xr:uid="{95B9B319-B2DD-41DA-9692-07732CDFC607}"/>
    <cellStyle name="20% - Accent4 16 3 2 3" xfId="23936" xr:uid="{00000000-0005-0000-0000-000051170000}"/>
    <cellStyle name="20% - Accent4 16 3 2 3 2" xfId="47768" xr:uid="{6F80BE8C-F24B-4537-8C1D-FA347C24FDB8}"/>
    <cellStyle name="20% - Accent4 16 3 2 4" xfId="31891" xr:uid="{36E05F18-E447-414C-9A2A-F30A53A5AF77}"/>
    <cellStyle name="20% - Accent4 16 3 3" xfId="12452" xr:uid="{00000000-0005-0000-0000-000052170000}"/>
    <cellStyle name="20% - Accent4 16 3 3 2" xfId="36301" xr:uid="{29E7A8F5-4F5E-44C9-AC9B-C376EC0DC428}"/>
    <cellStyle name="20% - Accent4 16 3 4" xfId="20407" xr:uid="{00000000-0005-0000-0000-000053170000}"/>
    <cellStyle name="20% - Accent4 16 3 4 2" xfId="44239" xr:uid="{0D35CB14-3E66-4794-8560-535D327DA903}"/>
    <cellStyle name="20% - Accent4 16 3 5" xfId="28360" xr:uid="{8AA19283-E416-42C4-916C-CAECA3CBF613}"/>
    <cellStyle name="20% - Accent4 16 4" xfId="6257" xr:uid="{00000000-0005-0000-0000-000054170000}"/>
    <cellStyle name="20% - Accent4 16 4 2" xfId="14232" xr:uid="{00000000-0005-0000-0000-000055170000}"/>
    <cellStyle name="20% - Accent4 16 4 2 2" xfId="38074" xr:uid="{2E851126-EA59-41B8-BBEC-80359B690313}"/>
    <cellStyle name="20% - Accent4 16 4 3" xfId="22179" xr:uid="{00000000-0005-0000-0000-000056170000}"/>
    <cellStyle name="20% - Accent4 16 4 3 2" xfId="46011" xr:uid="{CBA17560-3F1F-40B4-A1F7-A7765EEEE483}"/>
    <cellStyle name="20% - Accent4 16 4 4" xfId="30133" xr:uid="{4786A4CF-2DE4-459E-9B9E-4C59CD214542}"/>
    <cellStyle name="20% - Accent4 16 5" xfId="9800" xr:uid="{00000000-0005-0000-0000-000057170000}"/>
    <cellStyle name="20% - Accent4 16 5 2" xfId="17758" xr:uid="{00000000-0005-0000-0000-000058170000}"/>
    <cellStyle name="20% - Accent4 16 5 2 2" xfId="41598" xr:uid="{FB78A3B1-E949-41E8-AEF6-716834A3A70A}"/>
    <cellStyle name="20% - Accent4 16 5 3" xfId="25702" xr:uid="{00000000-0005-0000-0000-000059170000}"/>
    <cellStyle name="20% - Accent4 16 5 3 2" xfId="49534" xr:uid="{215AE99F-E6D7-4E93-8E35-492FEDCFD8BD}"/>
    <cellStyle name="20% - Accent4 16 5 4" xfId="33657" xr:uid="{78952F3D-7208-4073-9EC3-8008B71390F3}"/>
    <cellStyle name="20% - Accent4 16 6" xfId="10696" xr:uid="{00000000-0005-0000-0000-00005A170000}"/>
    <cellStyle name="20% - Accent4 16 6 2" xfId="34545" xr:uid="{BABD544C-ED19-421F-9A01-0E317EF3C38C}"/>
    <cellStyle name="20% - Accent4 16 7" xfId="18651" xr:uid="{00000000-0005-0000-0000-00005B170000}"/>
    <cellStyle name="20% - Accent4 16 7 2" xfId="42483" xr:uid="{8095F00B-5331-4BF7-8A86-C56165B76D74}"/>
    <cellStyle name="20% - Accent4 16 8" xfId="26603" xr:uid="{8F243F6F-702D-4258-A63B-8FCC91F643EC}"/>
    <cellStyle name="20% - Accent4 16_Exh G" xfId="2351" xr:uid="{00000000-0005-0000-0000-00005C170000}"/>
    <cellStyle name="20% - Accent4 17" xfId="49800" xr:uid="{A3501623-C8C2-484F-8D1E-F1490D9A75DE}"/>
    <cellStyle name="20% - Accent4 2" xfId="197" xr:uid="{00000000-0005-0000-0000-00005D170000}"/>
    <cellStyle name="20% - Accent4 2 10" xfId="18100" xr:uid="{00000000-0005-0000-0000-00005E170000}"/>
    <cellStyle name="20% - Accent4 2 10 2" xfId="41932" xr:uid="{CB52BEBC-5CC3-45DE-BA66-96418013B0F3}"/>
    <cellStyle name="20% - Accent4 2 11" xfId="26052" xr:uid="{30CF67D0-D4A9-47C7-B828-319DE0D0C45E}"/>
    <cellStyle name="20% - Accent4 2 12" xfId="49785" xr:uid="{EFEC892A-EA61-455C-B0F7-D0FEFE212ADF}"/>
    <cellStyle name="20% - Accent4 2 13" xfId="49813" xr:uid="{1F55978E-94B2-40ED-B708-93BCE7F77B75}"/>
    <cellStyle name="20% - Accent4 2 2" xfId="198" xr:uid="{00000000-0005-0000-0000-00005F170000}"/>
    <cellStyle name="20% - Accent4 2 2 10" xfId="26053" xr:uid="{BA715756-92D4-45B8-8527-D3C1CA93EE88}"/>
    <cellStyle name="20% - Accent4 2 2 2" xfId="199" xr:uid="{00000000-0005-0000-0000-000060170000}"/>
    <cellStyle name="20% - Accent4 2 2 2 2" xfId="1227" xr:uid="{00000000-0005-0000-0000-000061170000}"/>
    <cellStyle name="20% - Accent4 2 2 2 2 2" xfId="4757" xr:uid="{00000000-0005-0000-0000-000062170000}"/>
    <cellStyle name="20% - Accent4 2 2 2 2 2 2" xfId="8348" xr:uid="{00000000-0005-0000-0000-000063170000}"/>
    <cellStyle name="20% - Accent4 2 2 2 2 2 2 2" xfId="16319" xr:uid="{00000000-0005-0000-0000-000064170000}"/>
    <cellStyle name="20% - Accent4 2 2 2 2 2 2 2 2" xfId="40161" xr:uid="{EAEB31A5-D1C9-4676-9FC5-FD088F13B903}"/>
    <cellStyle name="20% - Accent4 2 2 2 2 2 2 3" xfId="24265" xr:uid="{00000000-0005-0000-0000-000065170000}"/>
    <cellStyle name="20% - Accent4 2 2 2 2 2 2 3 2" xfId="48097" xr:uid="{E1158F46-8CC2-44B3-9F0D-551C6B5A9D4D}"/>
    <cellStyle name="20% - Accent4 2 2 2 2 2 2 4" xfId="32220" xr:uid="{7FF72CDA-FCDA-47EC-85DB-8013A9B0F6FF}"/>
    <cellStyle name="20% - Accent4 2 2 2 2 2 3" xfId="12781" xr:uid="{00000000-0005-0000-0000-000066170000}"/>
    <cellStyle name="20% - Accent4 2 2 2 2 2 3 2" xfId="36630" xr:uid="{85AA059A-4132-4C65-9919-D4268D9D0766}"/>
    <cellStyle name="20% - Accent4 2 2 2 2 2 4" xfId="20736" xr:uid="{00000000-0005-0000-0000-000067170000}"/>
    <cellStyle name="20% - Accent4 2 2 2 2 2 4 2" xfId="44568" xr:uid="{5FD00FAA-9107-432B-AD19-ABBC88A50A2C}"/>
    <cellStyle name="20% - Accent4 2 2 2 2 2 5" xfId="28689" xr:uid="{0EB94025-24B1-4BFE-BDF9-3A414DD06E47}"/>
    <cellStyle name="20% - Accent4 2 2 2 2 3" xfId="6589" xr:uid="{00000000-0005-0000-0000-000068170000}"/>
    <cellStyle name="20% - Accent4 2 2 2 2 3 2" xfId="14561" xr:uid="{00000000-0005-0000-0000-000069170000}"/>
    <cellStyle name="20% - Accent4 2 2 2 2 3 2 2" xfId="38403" xr:uid="{35EF343B-66CF-42D8-B981-636D1FE9449B}"/>
    <cellStyle name="20% - Accent4 2 2 2 2 3 3" xfId="22508" xr:uid="{00000000-0005-0000-0000-00006A170000}"/>
    <cellStyle name="20% - Accent4 2 2 2 2 3 3 2" xfId="46340" xr:uid="{D288FCEB-3558-454E-8ABA-8E1926A247F2}"/>
    <cellStyle name="20% - Accent4 2 2 2 2 3 4" xfId="30462" xr:uid="{D8137F13-0242-4B9E-8A84-A4274AFBAC38}"/>
    <cellStyle name="20% - Accent4 2 2 2 2 4" xfId="11025" xr:uid="{00000000-0005-0000-0000-00006B170000}"/>
    <cellStyle name="20% - Accent4 2 2 2 2 4 2" xfId="34874" xr:uid="{06C5E298-BFBA-48A1-B131-463FF0F5F5C2}"/>
    <cellStyle name="20% - Accent4 2 2 2 2 5" xfId="18980" xr:uid="{00000000-0005-0000-0000-00006C170000}"/>
    <cellStyle name="20% - Accent4 2 2 2 2 5 2" xfId="42812" xr:uid="{FB8CC742-9C99-4E66-B30A-B8F2A9EADE05}"/>
    <cellStyle name="20% - Accent4 2 2 2 2 6" xfId="26932" xr:uid="{539D815E-593A-4D44-9A71-C7CE22952752}"/>
    <cellStyle name="20% - Accent4 2 2 2 2_Exh G" xfId="2356" xr:uid="{00000000-0005-0000-0000-00006D170000}"/>
    <cellStyle name="20% - Accent4 2 2 2 3" xfId="3878" xr:uid="{00000000-0005-0000-0000-00006E170000}"/>
    <cellStyle name="20% - Accent4 2 2 2 3 2" xfId="7470" xr:uid="{00000000-0005-0000-0000-00006F170000}"/>
    <cellStyle name="20% - Accent4 2 2 2 3 2 2" xfId="15441" xr:uid="{00000000-0005-0000-0000-000070170000}"/>
    <cellStyle name="20% - Accent4 2 2 2 3 2 2 2" xfId="39283" xr:uid="{E7690FAE-A223-4167-8A5D-415194C6E582}"/>
    <cellStyle name="20% - Accent4 2 2 2 3 2 3" xfId="23387" xr:uid="{00000000-0005-0000-0000-000071170000}"/>
    <cellStyle name="20% - Accent4 2 2 2 3 2 3 2" xfId="47219" xr:uid="{8903D47C-8FAD-474A-A86B-DB1EEB3A96B1}"/>
    <cellStyle name="20% - Accent4 2 2 2 3 2 4" xfId="31342" xr:uid="{38D40906-69B7-4BDF-8377-93EF6FDCB9B0}"/>
    <cellStyle name="20% - Accent4 2 2 2 3 3" xfId="11903" xr:uid="{00000000-0005-0000-0000-000072170000}"/>
    <cellStyle name="20% - Accent4 2 2 2 3 3 2" xfId="35752" xr:uid="{F0697F26-C651-431D-9CF0-8C9FBF6811C9}"/>
    <cellStyle name="20% - Accent4 2 2 2 3 4" xfId="19858" xr:uid="{00000000-0005-0000-0000-000073170000}"/>
    <cellStyle name="20% - Accent4 2 2 2 3 4 2" xfId="43690" xr:uid="{F1C2C5FB-6831-4AD3-85B9-E56B9E0889FF}"/>
    <cellStyle name="20% - Accent4 2 2 2 3 5" xfId="27811" xr:uid="{CFE1F9A5-903F-403F-977D-EC1AC830E9EF}"/>
    <cellStyle name="20% - Accent4 2 2 2 4" xfId="5698" xr:uid="{00000000-0005-0000-0000-000074170000}"/>
    <cellStyle name="20% - Accent4 2 2 2 4 2" xfId="13682" xr:uid="{00000000-0005-0000-0000-000075170000}"/>
    <cellStyle name="20% - Accent4 2 2 2 4 2 2" xfId="37525" xr:uid="{67BB0CCE-B1A0-4520-B377-47B87BFEDB44}"/>
    <cellStyle name="20% - Accent4 2 2 2 4 3" xfId="21630" xr:uid="{00000000-0005-0000-0000-000076170000}"/>
    <cellStyle name="20% - Accent4 2 2 2 4 3 2" xfId="45462" xr:uid="{196AB59F-64CF-4EE5-BB2B-9B5802FB18B7}"/>
    <cellStyle name="20% - Accent4 2 2 2 4 4" xfId="29584" xr:uid="{61BE72BB-EAF4-48F1-B6FE-95035D8922C1}"/>
    <cellStyle name="20% - Accent4 2 2 2 5" xfId="9251" xr:uid="{00000000-0005-0000-0000-000077170000}"/>
    <cellStyle name="20% - Accent4 2 2 2 5 2" xfId="17209" xr:uid="{00000000-0005-0000-0000-000078170000}"/>
    <cellStyle name="20% - Accent4 2 2 2 5 2 2" xfId="41049" xr:uid="{1C0924EF-522E-4C26-887B-24BE62F82356}"/>
    <cellStyle name="20% - Accent4 2 2 2 5 3" xfId="25153" xr:uid="{00000000-0005-0000-0000-000079170000}"/>
    <cellStyle name="20% - Accent4 2 2 2 5 3 2" xfId="48985" xr:uid="{C698AC9C-A77F-4DE2-B5A2-4C1B70FF62FB}"/>
    <cellStyle name="20% - Accent4 2 2 2 5 4" xfId="33108" xr:uid="{6B4B839D-783F-4F73-91B4-2E35D10FC1A0}"/>
    <cellStyle name="20% - Accent4 2 2 2 6" xfId="10147" xr:uid="{00000000-0005-0000-0000-00007A170000}"/>
    <cellStyle name="20% - Accent4 2 2 2 6 2" xfId="33996" xr:uid="{033836CC-741F-4245-A849-D54D8E238DD0}"/>
    <cellStyle name="20% - Accent4 2 2 2 7" xfId="18102" xr:uid="{00000000-0005-0000-0000-00007B170000}"/>
    <cellStyle name="20% - Accent4 2 2 2 7 2" xfId="41934" xr:uid="{74D9BF60-16EC-490F-ADC9-9D56DA556B23}"/>
    <cellStyle name="20% - Accent4 2 2 2 8" xfId="26054" xr:uid="{A39D4093-CACD-4C0D-B784-68BE037521C1}"/>
    <cellStyle name="20% - Accent4 2 2 2_Exh G" xfId="2355" xr:uid="{00000000-0005-0000-0000-00007C170000}"/>
    <cellStyle name="20% - Accent4 2 2 3" xfId="900" xr:uid="{00000000-0005-0000-0000-00007D170000}"/>
    <cellStyle name="20% - Accent4 2 2 3 2" xfId="1830" xr:uid="{00000000-0005-0000-0000-00007E170000}"/>
    <cellStyle name="20% - Accent4 2 2 3 2 2" xfId="5348" xr:uid="{00000000-0005-0000-0000-00007F170000}"/>
    <cellStyle name="20% - Accent4 2 2 3 2 2 2" xfId="8939" xr:uid="{00000000-0005-0000-0000-000080170000}"/>
    <cellStyle name="20% - Accent4 2 2 3 2 2 2 2" xfId="16910" xr:uid="{00000000-0005-0000-0000-000081170000}"/>
    <cellStyle name="20% - Accent4 2 2 3 2 2 2 2 2" xfId="40752" xr:uid="{81705839-7991-45E5-9789-9F492B65C3F3}"/>
    <cellStyle name="20% - Accent4 2 2 3 2 2 2 3" xfId="24856" xr:uid="{00000000-0005-0000-0000-000082170000}"/>
    <cellStyle name="20% - Accent4 2 2 3 2 2 2 3 2" xfId="48688" xr:uid="{C0229657-C043-4740-8B25-EB1AABC77124}"/>
    <cellStyle name="20% - Accent4 2 2 3 2 2 2 4" xfId="32811" xr:uid="{A6280398-8A45-4647-80E9-2B6CD600E2DA}"/>
    <cellStyle name="20% - Accent4 2 2 3 2 2 3" xfId="13372" xr:uid="{00000000-0005-0000-0000-000083170000}"/>
    <cellStyle name="20% - Accent4 2 2 3 2 2 3 2" xfId="37221" xr:uid="{9B42E893-CE5B-4CF2-8B1F-C20A49E2B9AC}"/>
    <cellStyle name="20% - Accent4 2 2 3 2 2 4" xfId="21327" xr:uid="{00000000-0005-0000-0000-000084170000}"/>
    <cellStyle name="20% - Accent4 2 2 3 2 2 4 2" xfId="45159" xr:uid="{0205325A-FC04-426F-9218-2017080AAEB5}"/>
    <cellStyle name="20% - Accent4 2 2 3 2 2 5" xfId="29280" xr:uid="{24075E4F-268F-4148-9557-6F95D8B18322}"/>
    <cellStyle name="20% - Accent4 2 2 3 2 3" xfId="7180" xr:uid="{00000000-0005-0000-0000-000085170000}"/>
    <cellStyle name="20% - Accent4 2 2 3 2 3 2" xfId="15152" xr:uid="{00000000-0005-0000-0000-000086170000}"/>
    <cellStyle name="20% - Accent4 2 2 3 2 3 2 2" xfId="38994" xr:uid="{128A7981-2073-4A31-A1D5-1F50FADA54C4}"/>
    <cellStyle name="20% - Accent4 2 2 3 2 3 3" xfId="23099" xr:uid="{00000000-0005-0000-0000-000087170000}"/>
    <cellStyle name="20% - Accent4 2 2 3 2 3 3 2" xfId="46931" xr:uid="{97AEC2DC-3AEC-4C62-8E6D-E9C8B646CAEA}"/>
    <cellStyle name="20% - Accent4 2 2 3 2 3 4" xfId="31053" xr:uid="{444776EF-061C-4257-9345-C1159A6EA85F}"/>
    <cellStyle name="20% - Accent4 2 2 3 2 4" xfId="11616" xr:uid="{00000000-0005-0000-0000-000088170000}"/>
    <cellStyle name="20% - Accent4 2 2 3 2 4 2" xfId="35465" xr:uid="{F19D0D50-7C04-4D21-9B21-CFAEAFBA82FC}"/>
    <cellStyle name="20% - Accent4 2 2 3 2 5" xfId="19571" xr:uid="{00000000-0005-0000-0000-000089170000}"/>
    <cellStyle name="20% - Accent4 2 2 3 2 5 2" xfId="43403" xr:uid="{D4BB04FC-8E62-4E1C-8BD4-39B94C76B4B5}"/>
    <cellStyle name="20% - Accent4 2 2 3 2 6" xfId="27523" xr:uid="{2B8933B1-D8E6-4806-96B6-C02FC94EFE59}"/>
    <cellStyle name="20% - Accent4 2 2 3 2_Exh G" xfId="2358" xr:uid="{00000000-0005-0000-0000-00008A170000}"/>
    <cellStyle name="20% - Accent4 2 2 3 3" xfId="4469" xr:uid="{00000000-0005-0000-0000-00008B170000}"/>
    <cellStyle name="20% - Accent4 2 2 3 3 2" xfId="8061" xr:uid="{00000000-0005-0000-0000-00008C170000}"/>
    <cellStyle name="20% - Accent4 2 2 3 3 2 2" xfId="16032" xr:uid="{00000000-0005-0000-0000-00008D170000}"/>
    <cellStyle name="20% - Accent4 2 2 3 3 2 2 2" xfId="39874" xr:uid="{2C538735-C988-4BE1-9F38-369AA5F6DC92}"/>
    <cellStyle name="20% - Accent4 2 2 3 3 2 3" xfId="23978" xr:uid="{00000000-0005-0000-0000-00008E170000}"/>
    <cellStyle name="20% - Accent4 2 2 3 3 2 3 2" xfId="47810" xr:uid="{4970337A-00EB-45BD-96DA-48960BF6AEFF}"/>
    <cellStyle name="20% - Accent4 2 2 3 3 2 4" xfId="31933" xr:uid="{3BF6054C-E4B6-4FE8-9748-AC2C84CAF3A7}"/>
    <cellStyle name="20% - Accent4 2 2 3 3 3" xfId="12494" xr:uid="{00000000-0005-0000-0000-00008F170000}"/>
    <cellStyle name="20% - Accent4 2 2 3 3 3 2" xfId="36343" xr:uid="{F5D99096-EE9A-424C-9B37-6A4357754104}"/>
    <cellStyle name="20% - Accent4 2 2 3 3 4" xfId="20449" xr:uid="{00000000-0005-0000-0000-000090170000}"/>
    <cellStyle name="20% - Accent4 2 2 3 3 4 2" xfId="44281" xr:uid="{1DF64DDB-00ED-41B7-A745-915A3F15EFDD}"/>
    <cellStyle name="20% - Accent4 2 2 3 3 5" xfId="28402" xr:uid="{F7E120AA-417A-4713-88D9-96E93DFD5FDD}"/>
    <cellStyle name="20% - Accent4 2 2 3 4" xfId="6299" xr:uid="{00000000-0005-0000-0000-000091170000}"/>
    <cellStyle name="20% - Accent4 2 2 3 4 2" xfId="14274" xr:uid="{00000000-0005-0000-0000-000092170000}"/>
    <cellStyle name="20% - Accent4 2 2 3 4 2 2" xfId="38116" xr:uid="{C5236C5D-9CDD-40C5-84C5-7E386BA6BEAC}"/>
    <cellStyle name="20% - Accent4 2 2 3 4 3" xfId="22221" xr:uid="{00000000-0005-0000-0000-000093170000}"/>
    <cellStyle name="20% - Accent4 2 2 3 4 3 2" xfId="46053" xr:uid="{C1F779A1-8362-440F-8817-7C8F24D01F93}"/>
    <cellStyle name="20% - Accent4 2 2 3 4 4" xfId="30175" xr:uid="{A28E082B-0101-4EB6-B37A-8AEE931B1A51}"/>
    <cellStyle name="20% - Accent4 2 2 3 5" xfId="9842" xr:uid="{00000000-0005-0000-0000-000094170000}"/>
    <cellStyle name="20% - Accent4 2 2 3 5 2" xfId="17800" xr:uid="{00000000-0005-0000-0000-000095170000}"/>
    <cellStyle name="20% - Accent4 2 2 3 5 2 2" xfId="41640" xr:uid="{B911CF3A-C6AA-4583-B1C6-066962674650}"/>
    <cellStyle name="20% - Accent4 2 2 3 5 3" xfId="25744" xr:uid="{00000000-0005-0000-0000-000096170000}"/>
    <cellStyle name="20% - Accent4 2 2 3 5 3 2" xfId="49576" xr:uid="{55C3EB57-EDF8-40A2-B112-5155639EF200}"/>
    <cellStyle name="20% - Accent4 2 2 3 5 4" xfId="33699" xr:uid="{37C8E50B-01F3-48D5-BDDD-DB0CC6C6134C}"/>
    <cellStyle name="20% - Accent4 2 2 3 6" xfId="10738" xr:uid="{00000000-0005-0000-0000-000097170000}"/>
    <cellStyle name="20% - Accent4 2 2 3 6 2" xfId="34587" xr:uid="{7B7F1C12-176C-4D57-B18A-901285BFFE1A}"/>
    <cellStyle name="20% - Accent4 2 2 3 7" xfId="18693" xr:uid="{00000000-0005-0000-0000-000098170000}"/>
    <cellStyle name="20% - Accent4 2 2 3 7 2" xfId="42525" xr:uid="{F599B3B9-A7FE-4E58-A5D6-DC95F6B7DFEA}"/>
    <cellStyle name="20% - Accent4 2 2 3 8" xfId="26645" xr:uid="{E2302838-B027-4AF9-A5E0-29893AF85E40}"/>
    <cellStyle name="20% - Accent4 2 2 3_Exh G" xfId="2357" xr:uid="{00000000-0005-0000-0000-000099170000}"/>
    <cellStyle name="20% - Accent4 2 2 4" xfId="1226" xr:uid="{00000000-0005-0000-0000-00009A170000}"/>
    <cellStyle name="20% - Accent4 2 2 4 2" xfId="4756" xr:uid="{00000000-0005-0000-0000-00009B170000}"/>
    <cellStyle name="20% - Accent4 2 2 4 2 2" xfId="8347" xr:uid="{00000000-0005-0000-0000-00009C170000}"/>
    <cellStyle name="20% - Accent4 2 2 4 2 2 2" xfId="16318" xr:uid="{00000000-0005-0000-0000-00009D170000}"/>
    <cellStyle name="20% - Accent4 2 2 4 2 2 2 2" xfId="40160" xr:uid="{3DE873F7-8CC0-4CE2-896E-B117E1F053B4}"/>
    <cellStyle name="20% - Accent4 2 2 4 2 2 3" xfId="24264" xr:uid="{00000000-0005-0000-0000-00009E170000}"/>
    <cellStyle name="20% - Accent4 2 2 4 2 2 3 2" xfId="48096" xr:uid="{65756777-4E21-4E52-B940-3F3FBE7C639B}"/>
    <cellStyle name="20% - Accent4 2 2 4 2 2 4" xfId="32219" xr:uid="{93808944-AB31-4046-ACF2-0A9B8D3B7E64}"/>
    <cellStyle name="20% - Accent4 2 2 4 2 3" xfId="12780" xr:uid="{00000000-0005-0000-0000-00009F170000}"/>
    <cellStyle name="20% - Accent4 2 2 4 2 3 2" xfId="36629" xr:uid="{CF60472F-5300-4202-838B-7B989B3C3F69}"/>
    <cellStyle name="20% - Accent4 2 2 4 2 4" xfId="20735" xr:uid="{00000000-0005-0000-0000-0000A0170000}"/>
    <cellStyle name="20% - Accent4 2 2 4 2 4 2" xfId="44567" xr:uid="{46C1FE31-3750-4AC6-912E-6F56C1B77D16}"/>
    <cellStyle name="20% - Accent4 2 2 4 2 5" xfId="28688" xr:uid="{35AA868D-3B95-4EA9-9E63-9FB379617442}"/>
    <cellStyle name="20% - Accent4 2 2 4 3" xfId="6588" xr:uid="{00000000-0005-0000-0000-0000A1170000}"/>
    <cellStyle name="20% - Accent4 2 2 4 3 2" xfId="14560" xr:uid="{00000000-0005-0000-0000-0000A2170000}"/>
    <cellStyle name="20% - Accent4 2 2 4 3 2 2" xfId="38402" xr:uid="{28AB7F7E-CA70-433B-A83E-7B4213F086D4}"/>
    <cellStyle name="20% - Accent4 2 2 4 3 3" xfId="22507" xr:uid="{00000000-0005-0000-0000-0000A3170000}"/>
    <cellStyle name="20% - Accent4 2 2 4 3 3 2" xfId="46339" xr:uid="{0325A4D3-E61C-47E0-A23E-193564E66523}"/>
    <cellStyle name="20% - Accent4 2 2 4 3 4" xfId="30461" xr:uid="{9AA1C9F5-92B5-48FC-859F-BB46973475E0}"/>
    <cellStyle name="20% - Accent4 2 2 4 4" xfId="11024" xr:uid="{00000000-0005-0000-0000-0000A4170000}"/>
    <cellStyle name="20% - Accent4 2 2 4 4 2" xfId="34873" xr:uid="{99B7BD67-3EFB-4082-A972-A997897152FC}"/>
    <cellStyle name="20% - Accent4 2 2 4 5" xfId="18979" xr:uid="{00000000-0005-0000-0000-0000A5170000}"/>
    <cellStyle name="20% - Accent4 2 2 4 5 2" xfId="42811" xr:uid="{D147BF5F-DCC0-4DFC-8070-D1DEA0DA98E7}"/>
    <cellStyle name="20% - Accent4 2 2 4 6" xfId="26931" xr:uid="{58226BD9-D771-4BBD-9E48-C3907388B87B}"/>
    <cellStyle name="20% - Accent4 2 2 4_Exh G" xfId="2359" xr:uid="{00000000-0005-0000-0000-0000A6170000}"/>
    <cellStyle name="20% - Accent4 2 2 5" xfId="3877" xr:uid="{00000000-0005-0000-0000-0000A7170000}"/>
    <cellStyle name="20% - Accent4 2 2 5 2" xfId="7469" xr:uid="{00000000-0005-0000-0000-0000A8170000}"/>
    <cellStyle name="20% - Accent4 2 2 5 2 2" xfId="15440" xr:uid="{00000000-0005-0000-0000-0000A9170000}"/>
    <cellStyle name="20% - Accent4 2 2 5 2 2 2" xfId="39282" xr:uid="{BAEAEED1-7536-4521-B704-990C751C2D9A}"/>
    <cellStyle name="20% - Accent4 2 2 5 2 3" xfId="23386" xr:uid="{00000000-0005-0000-0000-0000AA170000}"/>
    <cellStyle name="20% - Accent4 2 2 5 2 3 2" xfId="47218" xr:uid="{00E44BE5-C352-47AB-846E-3F2C576937D0}"/>
    <cellStyle name="20% - Accent4 2 2 5 2 4" xfId="31341" xr:uid="{FE27C434-69A2-4502-92D6-953253303118}"/>
    <cellStyle name="20% - Accent4 2 2 5 3" xfId="11902" xr:uid="{00000000-0005-0000-0000-0000AB170000}"/>
    <cellStyle name="20% - Accent4 2 2 5 3 2" xfId="35751" xr:uid="{A66011AD-DE21-4968-8E93-0589C303A561}"/>
    <cellStyle name="20% - Accent4 2 2 5 4" xfId="19857" xr:uid="{00000000-0005-0000-0000-0000AC170000}"/>
    <cellStyle name="20% - Accent4 2 2 5 4 2" xfId="43689" xr:uid="{BEBC7BEA-05D4-41E8-AC9E-A9592A47D703}"/>
    <cellStyle name="20% - Accent4 2 2 5 5" xfId="27810" xr:uid="{5D25E19F-8002-41CF-B848-B044E90AEBD4}"/>
    <cellStyle name="20% - Accent4 2 2 6" xfId="5697" xr:uid="{00000000-0005-0000-0000-0000AD170000}"/>
    <cellStyle name="20% - Accent4 2 2 6 2" xfId="13681" xr:uid="{00000000-0005-0000-0000-0000AE170000}"/>
    <cellStyle name="20% - Accent4 2 2 6 2 2" xfId="37524" xr:uid="{985182FF-6225-46A9-9380-F57EAE71E820}"/>
    <cellStyle name="20% - Accent4 2 2 6 3" xfId="21629" xr:uid="{00000000-0005-0000-0000-0000AF170000}"/>
    <cellStyle name="20% - Accent4 2 2 6 3 2" xfId="45461" xr:uid="{8B788C11-EC62-4363-971A-C416DF47069A}"/>
    <cellStyle name="20% - Accent4 2 2 6 4" xfId="29583" xr:uid="{7A37C9A6-D913-48D7-9FDE-3C189100E874}"/>
    <cellStyle name="20% - Accent4 2 2 7" xfId="9250" xr:uid="{00000000-0005-0000-0000-0000B0170000}"/>
    <cellStyle name="20% - Accent4 2 2 7 2" xfId="17208" xr:uid="{00000000-0005-0000-0000-0000B1170000}"/>
    <cellStyle name="20% - Accent4 2 2 7 2 2" xfId="41048" xr:uid="{5B2901B8-747E-4332-A7E1-5F132199E10C}"/>
    <cellStyle name="20% - Accent4 2 2 7 3" xfId="25152" xr:uid="{00000000-0005-0000-0000-0000B2170000}"/>
    <cellStyle name="20% - Accent4 2 2 7 3 2" xfId="48984" xr:uid="{B6A4E830-1225-4E92-8087-4A3B1E1FFFE3}"/>
    <cellStyle name="20% - Accent4 2 2 7 4" xfId="33107" xr:uid="{42E2955B-E3D1-4071-90D0-31CED751F251}"/>
    <cellStyle name="20% - Accent4 2 2 8" xfId="10146" xr:uid="{00000000-0005-0000-0000-0000B3170000}"/>
    <cellStyle name="20% - Accent4 2 2 8 2" xfId="33995" xr:uid="{778039E7-D279-4544-BD3F-752434B1CBF6}"/>
    <cellStyle name="20% - Accent4 2 2 9" xfId="18101" xr:uid="{00000000-0005-0000-0000-0000B4170000}"/>
    <cellStyle name="20% - Accent4 2 2 9 2" xfId="41933" xr:uid="{C311BF55-2F6A-4560-99D2-CD4FE946587B}"/>
    <cellStyle name="20% - Accent4 2 2_Exh G" xfId="2354" xr:uid="{00000000-0005-0000-0000-0000B5170000}"/>
    <cellStyle name="20% - Accent4 2 3" xfId="200" xr:uid="{00000000-0005-0000-0000-0000B6170000}"/>
    <cellStyle name="20% - Accent4 2 3 2" xfId="1228" xr:uid="{00000000-0005-0000-0000-0000B7170000}"/>
    <cellStyle name="20% - Accent4 2 3 2 2" xfId="4758" xr:uid="{00000000-0005-0000-0000-0000B8170000}"/>
    <cellStyle name="20% - Accent4 2 3 2 2 2" xfId="8349" xr:uid="{00000000-0005-0000-0000-0000B9170000}"/>
    <cellStyle name="20% - Accent4 2 3 2 2 2 2" xfId="16320" xr:uid="{00000000-0005-0000-0000-0000BA170000}"/>
    <cellStyle name="20% - Accent4 2 3 2 2 2 2 2" xfId="40162" xr:uid="{4624DF0C-183B-4BB9-8788-CF43F166B852}"/>
    <cellStyle name="20% - Accent4 2 3 2 2 2 3" xfId="24266" xr:uid="{00000000-0005-0000-0000-0000BB170000}"/>
    <cellStyle name="20% - Accent4 2 3 2 2 2 3 2" xfId="48098" xr:uid="{9D42FC55-8AE1-45A2-A7AB-3FA9E51061B8}"/>
    <cellStyle name="20% - Accent4 2 3 2 2 2 4" xfId="32221" xr:uid="{5738710B-D389-445E-A4A8-6D7D997BB607}"/>
    <cellStyle name="20% - Accent4 2 3 2 2 3" xfId="12782" xr:uid="{00000000-0005-0000-0000-0000BC170000}"/>
    <cellStyle name="20% - Accent4 2 3 2 2 3 2" xfId="36631" xr:uid="{806853C9-153C-48E8-B2F9-E87D1CC2D747}"/>
    <cellStyle name="20% - Accent4 2 3 2 2 4" xfId="20737" xr:uid="{00000000-0005-0000-0000-0000BD170000}"/>
    <cellStyle name="20% - Accent4 2 3 2 2 4 2" xfId="44569" xr:uid="{6B69F587-7CA3-4A07-9FD1-E50AEDE965BD}"/>
    <cellStyle name="20% - Accent4 2 3 2 2 5" xfId="28690" xr:uid="{A7B69231-345F-4A5F-AA6D-F0801B3095D5}"/>
    <cellStyle name="20% - Accent4 2 3 2 3" xfId="6590" xr:uid="{00000000-0005-0000-0000-0000BE170000}"/>
    <cellStyle name="20% - Accent4 2 3 2 3 2" xfId="14562" xr:uid="{00000000-0005-0000-0000-0000BF170000}"/>
    <cellStyle name="20% - Accent4 2 3 2 3 2 2" xfId="38404" xr:uid="{BFC885FD-2DFA-4CD4-B451-A66513D6FF20}"/>
    <cellStyle name="20% - Accent4 2 3 2 3 3" xfId="22509" xr:uid="{00000000-0005-0000-0000-0000C0170000}"/>
    <cellStyle name="20% - Accent4 2 3 2 3 3 2" xfId="46341" xr:uid="{9059BE67-0206-413C-A2AE-643E611D9191}"/>
    <cellStyle name="20% - Accent4 2 3 2 3 4" xfId="30463" xr:uid="{ADB2B39D-0122-4C60-A80F-6F9076F8E42D}"/>
    <cellStyle name="20% - Accent4 2 3 2 4" xfId="11026" xr:uid="{00000000-0005-0000-0000-0000C1170000}"/>
    <cellStyle name="20% - Accent4 2 3 2 4 2" xfId="34875" xr:uid="{66438CAD-9CFA-4B4C-B8EA-D380333A6837}"/>
    <cellStyle name="20% - Accent4 2 3 2 5" xfId="18981" xr:uid="{00000000-0005-0000-0000-0000C2170000}"/>
    <cellStyle name="20% - Accent4 2 3 2 5 2" xfId="42813" xr:uid="{D1E0C1A2-5A06-44E8-A9E0-2C46B2030942}"/>
    <cellStyle name="20% - Accent4 2 3 2 6" xfId="26933" xr:uid="{C72733A2-4A24-4FC0-A52F-1C2E42E6482D}"/>
    <cellStyle name="20% - Accent4 2 3 2_Exh G" xfId="2361" xr:uid="{00000000-0005-0000-0000-0000C3170000}"/>
    <cellStyle name="20% - Accent4 2 3 3" xfId="3879" xr:uid="{00000000-0005-0000-0000-0000C4170000}"/>
    <cellStyle name="20% - Accent4 2 3 3 2" xfId="7471" xr:uid="{00000000-0005-0000-0000-0000C5170000}"/>
    <cellStyle name="20% - Accent4 2 3 3 2 2" xfId="15442" xr:uid="{00000000-0005-0000-0000-0000C6170000}"/>
    <cellStyle name="20% - Accent4 2 3 3 2 2 2" xfId="39284" xr:uid="{DCC188D0-25D4-46F4-B635-C1E016559534}"/>
    <cellStyle name="20% - Accent4 2 3 3 2 3" xfId="23388" xr:uid="{00000000-0005-0000-0000-0000C7170000}"/>
    <cellStyle name="20% - Accent4 2 3 3 2 3 2" xfId="47220" xr:uid="{1D32CEAF-C808-49F8-8C75-E7CBEF38E81D}"/>
    <cellStyle name="20% - Accent4 2 3 3 2 4" xfId="31343" xr:uid="{E410A4B4-70D6-4BC0-81DB-DC1DE92964EA}"/>
    <cellStyle name="20% - Accent4 2 3 3 3" xfId="11904" xr:uid="{00000000-0005-0000-0000-0000C8170000}"/>
    <cellStyle name="20% - Accent4 2 3 3 3 2" xfId="35753" xr:uid="{CA6DB454-31C9-4F11-999E-6BD7F5FF2AF7}"/>
    <cellStyle name="20% - Accent4 2 3 3 4" xfId="19859" xr:uid="{00000000-0005-0000-0000-0000C9170000}"/>
    <cellStyle name="20% - Accent4 2 3 3 4 2" xfId="43691" xr:uid="{BA128C8F-38BA-475B-917A-3F1A165928C9}"/>
    <cellStyle name="20% - Accent4 2 3 3 5" xfId="27812" xr:uid="{3B0F2D31-BFA3-43BD-93F3-465B145E0722}"/>
    <cellStyle name="20% - Accent4 2 3 4" xfId="5699" xr:uid="{00000000-0005-0000-0000-0000CA170000}"/>
    <cellStyle name="20% - Accent4 2 3 4 2" xfId="13683" xr:uid="{00000000-0005-0000-0000-0000CB170000}"/>
    <cellStyle name="20% - Accent4 2 3 4 2 2" xfId="37526" xr:uid="{745F584E-86BB-447D-ADCC-EC853960F016}"/>
    <cellStyle name="20% - Accent4 2 3 4 3" xfId="21631" xr:uid="{00000000-0005-0000-0000-0000CC170000}"/>
    <cellStyle name="20% - Accent4 2 3 4 3 2" xfId="45463" xr:uid="{ACE7484F-5343-4C86-AC05-18A04243ECEF}"/>
    <cellStyle name="20% - Accent4 2 3 4 4" xfId="29585" xr:uid="{A93E9081-C109-4449-9783-EBE00E359C93}"/>
    <cellStyle name="20% - Accent4 2 3 5" xfId="9252" xr:uid="{00000000-0005-0000-0000-0000CD170000}"/>
    <cellStyle name="20% - Accent4 2 3 5 2" xfId="17210" xr:uid="{00000000-0005-0000-0000-0000CE170000}"/>
    <cellStyle name="20% - Accent4 2 3 5 2 2" xfId="41050" xr:uid="{5373338D-3A4E-4161-8D06-BDFD4F08ABAA}"/>
    <cellStyle name="20% - Accent4 2 3 5 3" xfId="25154" xr:uid="{00000000-0005-0000-0000-0000CF170000}"/>
    <cellStyle name="20% - Accent4 2 3 5 3 2" xfId="48986" xr:uid="{134A20B0-D045-480A-AD73-3CDF44058E00}"/>
    <cellStyle name="20% - Accent4 2 3 5 4" xfId="33109" xr:uid="{3267C9DA-6102-4242-BE7C-3B12957F6687}"/>
    <cellStyle name="20% - Accent4 2 3 6" xfId="10148" xr:uid="{00000000-0005-0000-0000-0000D0170000}"/>
    <cellStyle name="20% - Accent4 2 3 6 2" xfId="33997" xr:uid="{2E6E4B39-F14E-471D-B9E2-996490E3D0FD}"/>
    <cellStyle name="20% - Accent4 2 3 7" xfId="18103" xr:uid="{00000000-0005-0000-0000-0000D1170000}"/>
    <cellStyle name="20% - Accent4 2 3 7 2" xfId="41935" xr:uid="{5B3378D2-A0CD-41AC-8DD1-7A57BF2EEAFB}"/>
    <cellStyle name="20% - Accent4 2 3 8" xfId="26055" xr:uid="{53CD08F3-6546-4903-A2B4-9BEC7FA715B0}"/>
    <cellStyle name="20% - Accent4 2 3_Exh G" xfId="2360" xr:uid="{00000000-0005-0000-0000-0000D2170000}"/>
    <cellStyle name="20% - Accent4 2 4" xfId="899" xr:uid="{00000000-0005-0000-0000-0000D3170000}"/>
    <cellStyle name="20% - Accent4 2 4 2" xfId="1829" xr:uid="{00000000-0005-0000-0000-0000D4170000}"/>
    <cellStyle name="20% - Accent4 2 4 2 2" xfId="5347" xr:uid="{00000000-0005-0000-0000-0000D5170000}"/>
    <cellStyle name="20% - Accent4 2 4 2 2 2" xfId="8938" xr:uid="{00000000-0005-0000-0000-0000D6170000}"/>
    <cellStyle name="20% - Accent4 2 4 2 2 2 2" xfId="16909" xr:uid="{00000000-0005-0000-0000-0000D7170000}"/>
    <cellStyle name="20% - Accent4 2 4 2 2 2 2 2" xfId="40751" xr:uid="{B2F6C926-9588-46EC-9F77-703259EF437E}"/>
    <cellStyle name="20% - Accent4 2 4 2 2 2 3" xfId="24855" xr:uid="{00000000-0005-0000-0000-0000D8170000}"/>
    <cellStyle name="20% - Accent4 2 4 2 2 2 3 2" xfId="48687" xr:uid="{541EF48E-4503-4C0B-B73B-A921028FCD51}"/>
    <cellStyle name="20% - Accent4 2 4 2 2 2 4" xfId="32810" xr:uid="{0569DE58-1A97-4FCB-B02D-0776272B1275}"/>
    <cellStyle name="20% - Accent4 2 4 2 2 3" xfId="13371" xr:uid="{00000000-0005-0000-0000-0000D9170000}"/>
    <cellStyle name="20% - Accent4 2 4 2 2 3 2" xfId="37220" xr:uid="{DC86F292-0647-48F0-A1E5-38DF81DAE11B}"/>
    <cellStyle name="20% - Accent4 2 4 2 2 4" xfId="21326" xr:uid="{00000000-0005-0000-0000-0000DA170000}"/>
    <cellStyle name="20% - Accent4 2 4 2 2 4 2" xfId="45158" xr:uid="{8F2249C3-EC29-47D9-B716-F3EC93F42F47}"/>
    <cellStyle name="20% - Accent4 2 4 2 2 5" xfId="29279" xr:uid="{3660CD6F-662E-49A0-B93F-9AB5E322A0D5}"/>
    <cellStyle name="20% - Accent4 2 4 2 3" xfId="7179" xr:uid="{00000000-0005-0000-0000-0000DB170000}"/>
    <cellStyle name="20% - Accent4 2 4 2 3 2" xfId="15151" xr:uid="{00000000-0005-0000-0000-0000DC170000}"/>
    <cellStyle name="20% - Accent4 2 4 2 3 2 2" xfId="38993" xr:uid="{81D1DFC6-AB5B-40C4-8637-DE20AAC8C966}"/>
    <cellStyle name="20% - Accent4 2 4 2 3 3" xfId="23098" xr:uid="{00000000-0005-0000-0000-0000DD170000}"/>
    <cellStyle name="20% - Accent4 2 4 2 3 3 2" xfId="46930" xr:uid="{929352B9-60B8-46C8-AF93-E18B0E06A685}"/>
    <cellStyle name="20% - Accent4 2 4 2 3 4" xfId="31052" xr:uid="{0E79C24F-5B2F-4B5F-951B-8BCA238B4F79}"/>
    <cellStyle name="20% - Accent4 2 4 2 4" xfId="11615" xr:uid="{00000000-0005-0000-0000-0000DE170000}"/>
    <cellStyle name="20% - Accent4 2 4 2 4 2" xfId="35464" xr:uid="{283B8180-B3A1-4DB5-A874-7F5C329B23F9}"/>
    <cellStyle name="20% - Accent4 2 4 2 5" xfId="19570" xr:uid="{00000000-0005-0000-0000-0000DF170000}"/>
    <cellStyle name="20% - Accent4 2 4 2 5 2" xfId="43402" xr:uid="{8DBF051F-1283-426F-9A34-17F8202E34C2}"/>
    <cellStyle name="20% - Accent4 2 4 2 6" xfId="27522" xr:uid="{0E43922A-361E-4F65-AF8E-91730E51D28E}"/>
    <cellStyle name="20% - Accent4 2 4 2_Exh G" xfId="2363" xr:uid="{00000000-0005-0000-0000-0000E0170000}"/>
    <cellStyle name="20% - Accent4 2 4 3" xfId="4468" xr:uid="{00000000-0005-0000-0000-0000E1170000}"/>
    <cellStyle name="20% - Accent4 2 4 3 2" xfId="8060" xr:uid="{00000000-0005-0000-0000-0000E2170000}"/>
    <cellStyle name="20% - Accent4 2 4 3 2 2" xfId="16031" xr:uid="{00000000-0005-0000-0000-0000E3170000}"/>
    <cellStyle name="20% - Accent4 2 4 3 2 2 2" xfId="39873" xr:uid="{8CDB6056-7D06-46B3-B637-7A54DF2C4DC8}"/>
    <cellStyle name="20% - Accent4 2 4 3 2 3" xfId="23977" xr:uid="{00000000-0005-0000-0000-0000E4170000}"/>
    <cellStyle name="20% - Accent4 2 4 3 2 3 2" xfId="47809" xr:uid="{1719F63E-4B8B-4F03-8C76-DC933E4CCF5C}"/>
    <cellStyle name="20% - Accent4 2 4 3 2 4" xfId="31932" xr:uid="{D78E6479-7460-44AD-8E52-BF582F96E9BB}"/>
    <cellStyle name="20% - Accent4 2 4 3 3" xfId="12493" xr:uid="{00000000-0005-0000-0000-0000E5170000}"/>
    <cellStyle name="20% - Accent4 2 4 3 3 2" xfId="36342" xr:uid="{D81F208F-B082-4A05-855A-AEA35600359B}"/>
    <cellStyle name="20% - Accent4 2 4 3 4" xfId="20448" xr:uid="{00000000-0005-0000-0000-0000E6170000}"/>
    <cellStyle name="20% - Accent4 2 4 3 4 2" xfId="44280" xr:uid="{421F3FE3-95A5-44F2-BD4E-E7E9D00916BC}"/>
    <cellStyle name="20% - Accent4 2 4 3 5" xfId="28401" xr:uid="{4AE424C2-B3E7-470F-A0B1-73953B2E8E70}"/>
    <cellStyle name="20% - Accent4 2 4 4" xfId="6298" xr:uid="{00000000-0005-0000-0000-0000E7170000}"/>
    <cellStyle name="20% - Accent4 2 4 4 2" xfId="14273" xr:uid="{00000000-0005-0000-0000-0000E8170000}"/>
    <cellStyle name="20% - Accent4 2 4 4 2 2" xfId="38115" xr:uid="{2539587D-9040-4A43-827B-D887B0B032B1}"/>
    <cellStyle name="20% - Accent4 2 4 4 3" xfId="22220" xr:uid="{00000000-0005-0000-0000-0000E9170000}"/>
    <cellStyle name="20% - Accent4 2 4 4 3 2" xfId="46052" xr:uid="{BB15F966-2F66-4CE2-90C2-4E0A3F5E429C}"/>
    <cellStyle name="20% - Accent4 2 4 4 4" xfId="30174" xr:uid="{00E373F6-EC3B-41EF-8C93-0E2B9E0F8BA9}"/>
    <cellStyle name="20% - Accent4 2 4 5" xfId="9841" xr:uid="{00000000-0005-0000-0000-0000EA170000}"/>
    <cellStyle name="20% - Accent4 2 4 5 2" xfId="17799" xr:uid="{00000000-0005-0000-0000-0000EB170000}"/>
    <cellStyle name="20% - Accent4 2 4 5 2 2" xfId="41639" xr:uid="{4AFDCB7B-57DE-4704-AADF-ED2E625AD3DA}"/>
    <cellStyle name="20% - Accent4 2 4 5 3" xfId="25743" xr:uid="{00000000-0005-0000-0000-0000EC170000}"/>
    <cellStyle name="20% - Accent4 2 4 5 3 2" xfId="49575" xr:uid="{3B71FEBD-8E1D-4ECF-B045-8B5C05BA62BF}"/>
    <cellStyle name="20% - Accent4 2 4 5 4" xfId="33698" xr:uid="{0D54D9C8-FDE4-4758-B3BC-BAD29A9F0F7B}"/>
    <cellStyle name="20% - Accent4 2 4 6" xfId="10737" xr:uid="{00000000-0005-0000-0000-0000ED170000}"/>
    <cellStyle name="20% - Accent4 2 4 6 2" xfId="34586" xr:uid="{A8E3F315-BC69-465B-8525-7C25883272D8}"/>
    <cellStyle name="20% - Accent4 2 4 7" xfId="18692" xr:uid="{00000000-0005-0000-0000-0000EE170000}"/>
    <cellStyle name="20% - Accent4 2 4 7 2" xfId="42524" xr:uid="{08531CE4-0193-4D9F-860D-CF136151E925}"/>
    <cellStyle name="20% - Accent4 2 4 8" xfId="26644" xr:uid="{136F1A79-ABAF-4AE8-A942-5BDA6757DC35}"/>
    <cellStyle name="20% - Accent4 2 4_Exh G" xfId="2362" xr:uid="{00000000-0005-0000-0000-0000EF170000}"/>
    <cellStyle name="20% - Accent4 2 5" xfId="1225" xr:uid="{00000000-0005-0000-0000-0000F0170000}"/>
    <cellStyle name="20% - Accent4 2 5 2" xfId="4755" xr:uid="{00000000-0005-0000-0000-0000F1170000}"/>
    <cellStyle name="20% - Accent4 2 5 2 2" xfId="8346" xr:uid="{00000000-0005-0000-0000-0000F2170000}"/>
    <cellStyle name="20% - Accent4 2 5 2 2 2" xfId="16317" xr:uid="{00000000-0005-0000-0000-0000F3170000}"/>
    <cellStyle name="20% - Accent4 2 5 2 2 2 2" xfId="40159" xr:uid="{FA4982BE-911B-485F-8F7C-554FCE54E2A6}"/>
    <cellStyle name="20% - Accent4 2 5 2 2 3" xfId="24263" xr:uid="{00000000-0005-0000-0000-0000F4170000}"/>
    <cellStyle name="20% - Accent4 2 5 2 2 3 2" xfId="48095" xr:uid="{4A8ECD83-C059-4408-9422-E34E7C46F850}"/>
    <cellStyle name="20% - Accent4 2 5 2 2 4" xfId="32218" xr:uid="{507FF0D8-9C60-4646-904F-19624DF0134B}"/>
    <cellStyle name="20% - Accent4 2 5 2 3" xfId="12779" xr:uid="{00000000-0005-0000-0000-0000F5170000}"/>
    <cellStyle name="20% - Accent4 2 5 2 3 2" xfId="36628" xr:uid="{BFC7A005-01C7-4ABA-A558-83832F44221F}"/>
    <cellStyle name="20% - Accent4 2 5 2 4" xfId="20734" xr:uid="{00000000-0005-0000-0000-0000F6170000}"/>
    <cellStyle name="20% - Accent4 2 5 2 4 2" xfId="44566" xr:uid="{73CCF1E2-8991-48B8-B94F-D6EE213069A1}"/>
    <cellStyle name="20% - Accent4 2 5 2 5" xfId="28687" xr:uid="{86B997B2-08E0-4C23-9F48-5F0ED45829D1}"/>
    <cellStyle name="20% - Accent4 2 5 3" xfId="6587" xr:uid="{00000000-0005-0000-0000-0000F7170000}"/>
    <cellStyle name="20% - Accent4 2 5 3 2" xfId="14559" xr:uid="{00000000-0005-0000-0000-0000F8170000}"/>
    <cellStyle name="20% - Accent4 2 5 3 2 2" xfId="38401" xr:uid="{74BB3FB2-68C5-4AE3-AF13-FAE083055D66}"/>
    <cellStyle name="20% - Accent4 2 5 3 3" xfId="22506" xr:uid="{00000000-0005-0000-0000-0000F9170000}"/>
    <cellStyle name="20% - Accent4 2 5 3 3 2" xfId="46338" xr:uid="{EBBABF23-27BE-4D91-B3AC-31171E596AA3}"/>
    <cellStyle name="20% - Accent4 2 5 3 4" xfId="30460" xr:uid="{BB07EB93-57C9-4249-8419-39F0C38D3EEF}"/>
    <cellStyle name="20% - Accent4 2 5 4" xfId="11023" xr:uid="{00000000-0005-0000-0000-0000FA170000}"/>
    <cellStyle name="20% - Accent4 2 5 4 2" xfId="34872" xr:uid="{C3ACD3BE-38C6-44F1-B4D7-B6F0314F59CB}"/>
    <cellStyle name="20% - Accent4 2 5 5" xfId="18978" xr:uid="{00000000-0005-0000-0000-0000FB170000}"/>
    <cellStyle name="20% - Accent4 2 5 5 2" xfId="42810" xr:uid="{107703FF-28B7-4095-9398-57BAFFE12CE2}"/>
    <cellStyle name="20% - Accent4 2 5 6" xfId="26930" xr:uid="{A0260C63-958E-42D1-95C9-68C6688EDAC0}"/>
    <cellStyle name="20% - Accent4 2 5_Exh G" xfId="2364" xr:uid="{00000000-0005-0000-0000-0000FC170000}"/>
    <cellStyle name="20% - Accent4 2 6" xfId="3876" xr:uid="{00000000-0005-0000-0000-0000FD170000}"/>
    <cellStyle name="20% - Accent4 2 6 2" xfId="7468" xr:uid="{00000000-0005-0000-0000-0000FE170000}"/>
    <cellStyle name="20% - Accent4 2 6 2 2" xfId="15439" xr:uid="{00000000-0005-0000-0000-0000FF170000}"/>
    <cellStyle name="20% - Accent4 2 6 2 2 2" xfId="39281" xr:uid="{17E5C8B3-D730-4108-B96E-08A4753671EB}"/>
    <cellStyle name="20% - Accent4 2 6 2 3" xfId="23385" xr:uid="{00000000-0005-0000-0000-000000180000}"/>
    <cellStyle name="20% - Accent4 2 6 2 3 2" xfId="47217" xr:uid="{1E6E6CD4-16D1-4ECB-AD88-4BC294B2AF8C}"/>
    <cellStyle name="20% - Accent4 2 6 2 4" xfId="31340" xr:uid="{192EBFF9-B497-4102-A0D4-C3597C4A3B3C}"/>
    <cellStyle name="20% - Accent4 2 6 3" xfId="11901" xr:uid="{00000000-0005-0000-0000-000001180000}"/>
    <cellStyle name="20% - Accent4 2 6 3 2" xfId="35750" xr:uid="{E0CAC92F-C040-40DC-9F9A-55F0BE3A2C4A}"/>
    <cellStyle name="20% - Accent4 2 6 4" xfId="19856" xr:uid="{00000000-0005-0000-0000-000002180000}"/>
    <cellStyle name="20% - Accent4 2 6 4 2" xfId="43688" xr:uid="{CA363DC4-3278-4AA7-826D-659B1BAE3E3C}"/>
    <cellStyle name="20% - Accent4 2 6 5" xfId="27809" xr:uid="{178B1926-A214-4090-9FB3-FF9435326FA4}"/>
    <cellStyle name="20% - Accent4 2 7" xfId="5696" xr:uid="{00000000-0005-0000-0000-000003180000}"/>
    <cellStyle name="20% - Accent4 2 7 2" xfId="13680" xr:uid="{00000000-0005-0000-0000-000004180000}"/>
    <cellStyle name="20% - Accent4 2 7 2 2" xfId="37523" xr:uid="{A80AA4A9-6B85-4AAA-A81F-21A8AA0C026C}"/>
    <cellStyle name="20% - Accent4 2 7 3" xfId="21628" xr:uid="{00000000-0005-0000-0000-000005180000}"/>
    <cellStyle name="20% - Accent4 2 7 3 2" xfId="45460" xr:uid="{882CD716-E087-4615-A6F9-7D88B8EFA52D}"/>
    <cellStyle name="20% - Accent4 2 7 4" xfId="29582" xr:uid="{9B475ACE-D641-4341-8682-2F5E76851CE8}"/>
    <cellStyle name="20% - Accent4 2 8" xfId="9249" xr:uid="{00000000-0005-0000-0000-000006180000}"/>
    <cellStyle name="20% - Accent4 2 8 2" xfId="17207" xr:uid="{00000000-0005-0000-0000-000007180000}"/>
    <cellStyle name="20% - Accent4 2 8 2 2" xfId="41047" xr:uid="{229C4A23-AB44-4528-ABE3-4AB9FBC745B6}"/>
    <cellStyle name="20% - Accent4 2 8 3" xfId="25151" xr:uid="{00000000-0005-0000-0000-000008180000}"/>
    <cellStyle name="20% - Accent4 2 8 3 2" xfId="48983" xr:uid="{39A6C18A-A856-42A8-9789-F953883AEB76}"/>
    <cellStyle name="20% - Accent4 2 8 4" xfId="33106" xr:uid="{B12F2BDC-51B8-4933-BAE0-514B7B509F23}"/>
    <cellStyle name="20% - Accent4 2 9" xfId="10145" xr:uid="{00000000-0005-0000-0000-000009180000}"/>
    <cellStyle name="20% - Accent4 2 9 2" xfId="33994" xr:uid="{5FC07871-4595-4185-9B82-50DAB79158A9}"/>
    <cellStyle name="20% - Accent4 2_Exh G" xfId="2353" xr:uid="{00000000-0005-0000-0000-00000A180000}"/>
    <cellStyle name="20% - Accent4 3" xfId="201" xr:uid="{00000000-0005-0000-0000-00000B180000}"/>
    <cellStyle name="20% - Accent4 3 10" xfId="18104" xr:uid="{00000000-0005-0000-0000-00000C180000}"/>
    <cellStyle name="20% - Accent4 3 10 2" xfId="41936" xr:uid="{0509B170-ADF7-423C-9975-D3C80B7433CE}"/>
    <cellStyle name="20% - Accent4 3 11" xfId="26056" xr:uid="{B0F290DE-C083-4408-A36B-E34776972175}"/>
    <cellStyle name="20% - Accent4 3 12" xfId="49771" xr:uid="{1E383888-81A5-4DA1-9954-657F544F9775}"/>
    <cellStyle name="20% - Accent4 3 13" xfId="49825" xr:uid="{F79DD019-C9D3-43F5-A6CD-1027756ABF35}"/>
    <cellStyle name="20% - Accent4 3 2" xfId="202" xr:uid="{00000000-0005-0000-0000-00000D180000}"/>
    <cellStyle name="20% - Accent4 3 2 10" xfId="26057" xr:uid="{26D9F2E0-6076-47B5-A62F-1B30D525A70B}"/>
    <cellStyle name="20% - Accent4 3 2 2" xfId="203" xr:uid="{00000000-0005-0000-0000-00000E180000}"/>
    <cellStyle name="20% - Accent4 3 2 2 2" xfId="1231" xr:uid="{00000000-0005-0000-0000-00000F180000}"/>
    <cellStyle name="20% - Accent4 3 2 2 2 2" xfId="4761" xr:uid="{00000000-0005-0000-0000-000010180000}"/>
    <cellStyle name="20% - Accent4 3 2 2 2 2 2" xfId="8352" xr:uid="{00000000-0005-0000-0000-000011180000}"/>
    <cellStyle name="20% - Accent4 3 2 2 2 2 2 2" xfId="16323" xr:uid="{00000000-0005-0000-0000-000012180000}"/>
    <cellStyle name="20% - Accent4 3 2 2 2 2 2 2 2" xfId="40165" xr:uid="{7B67E401-D7C1-48F5-9495-0E03E672068F}"/>
    <cellStyle name="20% - Accent4 3 2 2 2 2 2 3" xfId="24269" xr:uid="{00000000-0005-0000-0000-000013180000}"/>
    <cellStyle name="20% - Accent4 3 2 2 2 2 2 3 2" xfId="48101" xr:uid="{8D850C18-04F4-4AF2-8FF6-C7AB91300BC8}"/>
    <cellStyle name="20% - Accent4 3 2 2 2 2 2 4" xfId="32224" xr:uid="{22EDD5E1-D285-44EF-B28E-F0094746B0F8}"/>
    <cellStyle name="20% - Accent4 3 2 2 2 2 3" xfId="12785" xr:uid="{00000000-0005-0000-0000-000014180000}"/>
    <cellStyle name="20% - Accent4 3 2 2 2 2 3 2" xfId="36634" xr:uid="{988872B8-D2A9-4DFF-BA5C-69DBD99CF0A5}"/>
    <cellStyle name="20% - Accent4 3 2 2 2 2 4" xfId="20740" xr:uid="{00000000-0005-0000-0000-000015180000}"/>
    <cellStyle name="20% - Accent4 3 2 2 2 2 4 2" xfId="44572" xr:uid="{4232A31E-42A0-48AA-A160-441B6B66C6EC}"/>
    <cellStyle name="20% - Accent4 3 2 2 2 2 5" xfId="28693" xr:uid="{DC81DA72-AD10-4821-94D7-055D01C378EE}"/>
    <cellStyle name="20% - Accent4 3 2 2 2 3" xfId="6593" xr:uid="{00000000-0005-0000-0000-000016180000}"/>
    <cellStyle name="20% - Accent4 3 2 2 2 3 2" xfId="14565" xr:uid="{00000000-0005-0000-0000-000017180000}"/>
    <cellStyle name="20% - Accent4 3 2 2 2 3 2 2" xfId="38407" xr:uid="{2C7D19D6-7C89-450C-9988-61F6127370EE}"/>
    <cellStyle name="20% - Accent4 3 2 2 2 3 3" xfId="22512" xr:uid="{00000000-0005-0000-0000-000018180000}"/>
    <cellStyle name="20% - Accent4 3 2 2 2 3 3 2" xfId="46344" xr:uid="{8AB46DE1-6096-411C-A3DF-E9CFB175AA4C}"/>
    <cellStyle name="20% - Accent4 3 2 2 2 3 4" xfId="30466" xr:uid="{6BFDECF9-AACF-49FE-8A83-667D9E6AB5DC}"/>
    <cellStyle name="20% - Accent4 3 2 2 2 4" xfId="11029" xr:uid="{00000000-0005-0000-0000-000019180000}"/>
    <cellStyle name="20% - Accent4 3 2 2 2 4 2" xfId="34878" xr:uid="{56289D73-C434-4384-A5B1-E3CE4AFA8316}"/>
    <cellStyle name="20% - Accent4 3 2 2 2 5" xfId="18984" xr:uid="{00000000-0005-0000-0000-00001A180000}"/>
    <cellStyle name="20% - Accent4 3 2 2 2 5 2" xfId="42816" xr:uid="{AF04367A-D082-4317-9046-1DC7FD76F5EF}"/>
    <cellStyle name="20% - Accent4 3 2 2 2 6" xfId="26936" xr:uid="{FD8FE2A7-1406-452A-A5E7-27A9F1099B5B}"/>
    <cellStyle name="20% - Accent4 3 2 2 2_Exh G" xfId="2368" xr:uid="{00000000-0005-0000-0000-00001B180000}"/>
    <cellStyle name="20% - Accent4 3 2 2 3" xfId="3882" xr:uid="{00000000-0005-0000-0000-00001C180000}"/>
    <cellStyle name="20% - Accent4 3 2 2 3 2" xfId="7474" xr:uid="{00000000-0005-0000-0000-00001D180000}"/>
    <cellStyle name="20% - Accent4 3 2 2 3 2 2" xfId="15445" xr:uid="{00000000-0005-0000-0000-00001E180000}"/>
    <cellStyle name="20% - Accent4 3 2 2 3 2 2 2" xfId="39287" xr:uid="{A2D75F10-4B50-4F7E-A68B-C11E096456ED}"/>
    <cellStyle name="20% - Accent4 3 2 2 3 2 3" xfId="23391" xr:uid="{00000000-0005-0000-0000-00001F180000}"/>
    <cellStyle name="20% - Accent4 3 2 2 3 2 3 2" xfId="47223" xr:uid="{19445C6B-950C-4416-8F43-BB9393487FA1}"/>
    <cellStyle name="20% - Accent4 3 2 2 3 2 4" xfId="31346" xr:uid="{0CDA4981-C3F0-4133-B8E4-F25612B34F11}"/>
    <cellStyle name="20% - Accent4 3 2 2 3 3" xfId="11907" xr:uid="{00000000-0005-0000-0000-000020180000}"/>
    <cellStyle name="20% - Accent4 3 2 2 3 3 2" xfId="35756" xr:uid="{FB4D7702-9903-4506-B98E-C37088070096}"/>
    <cellStyle name="20% - Accent4 3 2 2 3 4" xfId="19862" xr:uid="{00000000-0005-0000-0000-000021180000}"/>
    <cellStyle name="20% - Accent4 3 2 2 3 4 2" xfId="43694" xr:uid="{F907F6C6-FEB7-4FF0-8406-85B99FEAB31E}"/>
    <cellStyle name="20% - Accent4 3 2 2 3 5" xfId="27815" xr:uid="{FE1D6E2D-2333-4E05-A3E4-C85E38769A39}"/>
    <cellStyle name="20% - Accent4 3 2 2 4" xfId="5702" xr:uid="{00000000-0005-0000-0000-000022180000}"/>
    <cellStyle name="20% - Accent4 3 2 2 4 2" xfId="13686" xr:uid="{00000000-0005-0000-0000-000023180000}"/>
    <cellStyle name="20% - Accent4 3 2 2 4 2 2" xfId="37529" xr:uid="{E59E9C9A-A728-45F6-9931-0F9F93FE71B5}"/>
    <cellStyle name="20% - Accent4 3 2 2 4 3" xfId="21634" xr:uid="{00000000-0005-0000-0000-000024180000}"/>
    <cellStyle name="20% - Accent4 3 2 2 4 3 2" xfId="45466" xr:uid="{4C912C84-2B47-4253-8838-D02189A8ED0D}"/>
    <cellStyle name="20% - Accent4 3 2 2 4 4" xfId="29588" xr:uid="{C1D4716D-C4B2-4BD3-B694-397C9CE8CC3F}"/>
    <cellStyle name="20% - Accent4 3 2 2 5" xfId="9255" xr:uid="{00000000-0005-0000-0000-000025180000}"/>
    <cellStyle name="20% - Accent4 3 2 2 5 2" xfId="17213" xr:uid="{00000000-0005-0000-0000-000026180000}"/>
    <cellStyle name="20% - Accent4 3 2 2 5 2 2" xfId="41053" xr:uid="{479043FE-7488-4D7B-A6EC-19B77B0B85DA}"/>
    <cellStyle name="20% - Accent4 3 2 2 5 3" xfId="25157" xr:uid="{00000000-0005-0000-0000-000027180000}"/>
    <cellStyle name="20% - Accent4 3 2 2 5 3 2" xfId="48989" xr:uid="{2608688E-70DB-4907-8B37-64D86B477C54}"/>
    <cellStyle name="20% - Accent4 3 2 2 5 4" xfId="33112" xr:uid="{A4BCDC4A-1E01-49C7-ACD0-E6A48620EFB9}"/>
    <cellStyle name="20% - Accent4 3 2 2 6" xfId="10151" xr:uid="{00000000-0005-0000-0000-000028180000}"/>
    <cellStyle name="20% - Accent4 3 2 2 6 2" xfId="34000" xr:uid="{422C1FF8-0053-4BDC-A8E5-C80838938F27}"/>
    <cellStyle name="20% - Accent4 3 2 2 7" xfId="18106" xr:uid="{00000000-0005-0000-0000-000029180000}"/>
    <cellStyle name="20% - Accent4 3 2 2 7 2" xfId="41938" xr:uid="{4E768A42-E352-4077-8ECF-CE9F4AD90279}"/>
    <cellStyle name="20% - Accent4 3 2 2 8" xfId="26058" xr:uid="{BB663F3C-19EF-438C-ADD8-8C511447BD52}"/>
    <cellStyle name="20% - Accent4 3 2 2_Exh G" xfId="2367" xr:uid="{00000000-0005-0000-0000-00002A180000}"/>
    <cellStyle name="20% - Accent4 3 2 3" xfId="902" xr:uid="{00000000-0005-0000-0000-00002B180000}"/>
    <cellStyle name="20% - Accent4 3 2 3 2" xfId="1832" xr:uid="{00000000-0005-0000-0000-00002C180000}"/>
    <cellStyle name="20% - Accent4 3 2 3 2 2" xfId="5350" xr:uid="{00000000-0005-0000-0000-00002D180000}"/>
    <cellStyle name="20% - Accent4 3 2 3 2 2 2" xfId="8941" xr:uid="{00000000-0005-0000-0000-00002E180000}"/>
    <cellStyle name="20% - Accent4 3 2 3 2 2 2 2" xfId="16912" xr:uid="{00000000-0005-0000-0000-00002F180000}"/>
    <cellStyle name="20% - Accent4 3 2 3 2 2 2 2 2" xfId="40754" xr:uid="{EFBFD81C-21F4-43AB-B2EC-15392152FD58}"/>
    <cellStyle name="20% - Accent4 3 2 3 2 2 2 3" xfId="24858" xr:uid="{00000000-0005-0000-0000-000030180000}"/>
    <cellStyle name="20% - Accent4 3 2 3 2 2 2 3 2" xfId="48690" xr:uid="{4193BFC3-26F1-4913-95A7-FA5E04CC5648}"/>
    <cellStyle name="20% - Accent4 3 2 3 2 2 2 4" xfId="32813" xr:uid="{36217E06-B64C-4AF2-91BA-A7F858971A89}"/>
    <cellStyle name="20% - Accent4 3 2 3 2 2 3" xfId="13374" xr:uid="{00000000-0005-0000-0000-000031180000}"/>
    <cellStyle name="20% - Accent4 3 2 3 2 2 3 2" xfId="37223" xr:uid="{0BE49310-34DE-431A-8938-A897410B9569}"/>
    <cellStyle name="20% - Accent4 3 2 3 2 2 4" xfId="21329" xr:uid="{00000000-0005-0000-0000-000032180000}"/>
    <cellStyle name="20% - Accent4 3 2 3 2 2 4 2" xfId="45161" xr:uid="{2C2BC845-6663-4CB9-AEFB-B571A092703A}"/>
    <cellStyle name="20% - Accent4 3 2 3 2 2 5" xfId="29282" xr:uid="{8F9CC3E0-5F95-4338-A1AE-4DCF1C5167A2}"/>
    <cellStyle name="20% - Accent4 3 2 3 2 3" xfId="7182" xr:uid="{00000000-0005-0000-0000-000033180000}"/>
    <cellStyle name="20% - Accent4 3 2 3 2 3 2" xfId="15154" xr:uid="{00000000-0005-0000-0000-000034180000}"/>
    <cellStyle name="20% - Accent4 3 2 3 2 3 2 2" xfId="38996" xr:uid="{20402812-467A-40CD-A52A-7F26C088180C}"/>
    <cellStyle name="20% - Accent4 3 2 3 2 3 3" xfId="23101" xr:uid="{00000000-0005-0000-0000-000035180000}"/>
    <cellStyle name="20% - Accent4 3 2 3 2 3 3 2" xfId="46933" xr:uid="{F0FE19DC-BA5F-4766-ABF2-693CD8205EA1}"/>
    <cellStyle name="20% - Accent4 3 2 3 2 3 4" xfId="31055" xr:uid="{14686A12-23A2-4F75-BE25-D800802A9936}"/>
    <cellStyle name="20% - Accent4 3 2 3 2 4" xfId="11618" xr:uid="{00000000-0005-0000-0000-000036180000}"/>
    <cellStyle name="20% - Accent4 3 2 3 2 4 2" xfId="35467" xr:uid="{23C6F866-CDAB-47AB-AA05-A583EF0DAFE2}"/>
    <cellStyle name="20% - Accent4 3 2 3 2 5" xfId="19573" xr:uid="{00000000-0005-0000-0000-000037180000}"/>
    <cellStyle name="20% - Accent4 3 2 3 2 5 2" xfId="43405" xr:uid="{BED2AB90-DEEC-49B7-A3CA-5FF0857A805F}"/>
    <cellStyle name="20% - Accent4 3 2 3 2 6" xfId="27525" xr:uid="{18BC153A-B43F-48A7-AA9D-6CD1C4657E62}"/>
    <cellStyle name="20% - Accent4 3 2 3 2_Exh G" xfId="2370" xr:uid="{00000000-0005-0000-0000-000038180000}"/>
    <cellStyle name="20% - Accent4 3 2 3 3" xfId="4471" xr:uid="{00000000-0005-0000-0000-000039180000}"/>
    <cellStyle name="20% - Accent4 3 2 3 3 2" xfId="8063" xr:uid="{00000000-0005-0000-0000-00003A180000}"/>
    <cellStyle name="20% - Accent4 3 2 3 3 2 2" xfId="16034" xr:uid="{00000000-0005-0000-0000-00003B180000}"/>
    <cellStyle name="20% - Accent4 3 2 3 3 2 2 2" xfId="39876" xr:uid="{B3316EDB-88ED-4982-9A3F-B80A6EA6EA52}"/>
    <cellStyle name="20% - Accent4 3 2 3 3 2 3" xfId="23980" xr:uid="{00000000-0005-0000-0000-00003C180000}"/>
    <cellStyle name="20% - Accent4 3 2 3 3 2 3 2" xfId="47812" xr:uid="{FF19FA01-1817-4E4E-99FA-8D160B43E7AB}"/>
    <cellStyle name="20% - Accent4 3 2 3 3 2 4" xfId="31935" xr:uid="{7ED8491F-3B00-47D5-84A2-95D4B64ADF20}"/>
    <cellStyle name="20% - Accent4 3 2 3 3 3" xfId="12496" xr:uid="{00000000-0005-0000-0000-00003D180000}"/>
    <cellStyle name="20% - Accent4 3 2 3 3 3 2" xfId="36345" xr:uid="{FC874051-02FA-4B29-AAA9-DB79CF8092A5}"/>
    <cellStyle name="20% - Accent4 3 2 3 3 4" xfId="20451" xr:uid="{00000000-0005-0000-0000-00003E180000}"/>
    <cellStyle name="20% - Accent4 3 2 3 3 4 2" xfId="44283" xr:uid="{34161DF1-81B8-47B3-842F-0969E9928F82}"/>
    <cellStyle name="20% - Accent4 3 2 3 3 5" xfId="28404" xr:uid="{AD10088C-22D0-4EE9-9DD0-7E140C46A03E}"/>
    <cellStyle name="20% - Accent4 3 2 3 4" xfId="6301" xr:uid="{00000000-0005-0000-0000-00003F180000}"/>
    <cellStyle name="20% - Accent4 3 2 3 4 2" xfId="14276" xr:uid="{00000000-0005-0000-0000-000040180000}"/>
    <cellStyle name="20% - Accent4 3 2 3 4 2 2" xfId="38118" xr:uid="{6D38B09A-3137-49F3-BE17-161546F44B59}"/>
    <cellStyle name="20% - Accent4 3 2 3 4 3" xfId="22223" xr:uid="{00000000-0005-0000-0000-000041180000}"/>
    <cellStyle name="20% - Accent4 3 2 3 4 3 2" xfId="46055" xr:uid="{1083641B-95DC-49D2-BF1B-4873C213124A}"/>
    <cellStyle name="20% - Accent4 3 2 3 4 4" xfId="30177" xr:uid="{882803BC-608A-47F8-A07F-0AC2E7BAEEA3}"/>
    <cellStyle name="20% - Accent4 3 2 3 5" xfId="9844" xr:uid="{00000000-0005-0000-0000-000042180000}"/>
    <cellStyle name="20% - Accent4 3 2 3 5 2" xfId="17802" xr:uid="{00000000-0005-0000-0000-000043180000}"/>
    <cellStyle name="20% - Accent4 3 2 3 5 2 2" xfId="41642" xr:uid="{E4BA669E-5CB5-4485-A57B-A41580BC65F9}"/>
    <cellStyle name="20% - Accent4 3 2 3 5 3" xfId="25746" xr:uid="{00000000-0005-0000-0000-000044180000}"/>
    <cellStyle name="20% - Accent4 3 2 3 5 3 2" xfId="49578" xr:uid="{A9E4EEB6-CF3F-4ADC-8D48-37D95D5C6CAA}"/>
    <cellStyle name="20% - Accent4 3 2 3 5 4" xfId="33701" xr:uid="{1ED4667A-1FB7-47F9-9744-56F0D33CE9D8}"/>
    <cellStyle name="20% - Accent4 3 2 3 6" xfId="10740" xr:uid="{00000000-0005-0000-0000-000045180000}"/>
    <cellStyle name="20% - Accent4 3 2 3 6 2" xfId="34589" xr:uid="{5B00020D-A07E-44AC-8A64-36315951C897}"/>
    <cellStyle name="20% - Accent4 3 2 3 7" xfId="18695" xr:uid="{00000000-0005-0000-0000-000046180000}"/>
    <cellStyle name="20% - Accent4 3 2 3 7 2" xfId="42527" xr:uid="{948DF309-99D0-479B-B4D2-7BD83D29BDD6}"/>
    <cellStyle name="20% - Accent4 3 2 3 8" xfId="26647" xr:uid="{0BF14FFC-53B0-4474-84C2-C45638B267EE}"/>
    <cellStyle name="20% - Accent4 3 2 3_Exh G" xfId="2369" xr:uid="{00000000-0005-0000-0000-000047180000}"/>
    <cellStyle name="20% - Accent4 3 2 4" xfId="1230" xr:uid="{00000000-0005-0000-0000-000048180000}"/>
    <cellStyle name="20% - Accent4 3 2 4 2" xfId="4760" xr:uid="{00000000-0005-0000-0000-000049180000}"/>
    <cellStyle name="20% - Accent4 3 2 4 2 2" xfId="8351" xr:uid="{00000000-0005-0000-0000-00004A180000}"/>
    <cellStyle name="20% - Accent4 3 2 4 2 2 2" xfId="16322" xr:uid="{00000000-0005-0000-0000-00004B180000}"/>
    <cellStyle name="20% - Accent4 3 2 4 2 2 2 2" xfId="40164" xr:uid="{58AA22B2-E8F2-4F53-BDFE-8AE0EA6C67B7}"/>
    <cellStyle name="20% - Accent4 3 2 4 2 2 3" xfId="24268" xr:uid="{00000000-0005-0000-0000-00004C180000}"/>
    <cellStyle name="20% - Accent4 3 2 4 2 2 3 2" xfId="48100" xr:uid="{D2C278DA-CD49-4837-90AB-F938CA6E4CAE}"/>
    <cellStyle name="20% - Accent4 3 2 4 2 2 4" xfId="32223" xr:uid="{E468A719-3952-45B7-99E7-2535C5104F24}"/>
    <cellStyle name="20% - Accent4 3 2 4 2 3" xfId="12784" xr:uid="{00000000-0005-0000-0000-00004D180000}"/>
    <cellStyle name="20% - Accent4 3 2 4 2 3 2" xfId="36633" xr:uid="{F37AEE8E-089F-40FF-9FD3-4270EFF6ABB2}"/>
    <cellStyle name="20% - Accent4 3 2 4 2 4" xfId="20739" xr:uid="{00000000-0005-0000-0000-00004E180000}"/>
    <cellStyle name="20% - Accent4 3 2 4 2 4 2" xfId="44571" xr:uid="{413B5096-7398-47FA-8B09-26F1E6F594A8}"/>
    <cellStyle name="20% - Accent4 3 2 4 2 5" xfId="28692" xr:uid="{DE5D7150-3F2D-453E-8041-CA6F18B5852C}"/>
    <cellStyle name="20% - Accent4 3 2 4 3" xfId="6592" xr:uid="{00000000-0005-0000-0000-00004F180000}"/>
    <cellStyle name="20% - Accent4 3 2 4 3 2" xfId="14564" xr:uid="{00000000-0005-0000-0000-000050180000}"/>
    <cellStyle name="20% - Accent4 3 2 4 3 2 2" xfId="38406" xr:uid="{E27CE1C3-1FB0-4138-B059-ADAEB69BFAC7}"/>
    <cellStyle name="20% - Accent4 3 2 4 3 3" xfId="22511" xr:uid="{00000000-0005-0000-0000-000051180000}"/>
    <cellStyle name="20% - Accent4 3 2 4 3 3 2" xfId="46343" xr:uid="{12649156-1840-4448-A299-B8B3DE95D07F}"/>
    <cellStyle name="20% - Accent4 3 2 4 3 4" xfId="30465" xr:uid="{C33ACC22-17A4-4246-A36E-652029430726}"/>
    <cellStyle name="20% - Accent4 3 2 4 4" xfId="11028" xr:uid="{00000000-0005-0000-0000-000052180000}"/>
    <cellStyle name="20% - Accent4 3 2 4 4 2" xfId="34877" xr:uid="{74354A07-9225-4231-82E2-173A9996CE91}"/>
    <cellStyle name="20% - Accent4 3 2 4 5" xfId="18983" xr:uid="{00000000-0005-0000-0000-000053180000}"/>
    <cellStyle name="20% - Accent4 3 2 4 5 2" xfId="42815" xr:uid="{D1039971-94A0-4C6B-8388-1AA5E1D90747}"/>
    <cellStyle name="20% - Accent4 3 2 4 6" xfId="26935" xr:uid="{90A457B1-E646-47B8-B199-02393B4BEA21}"/>
    <cellStyle name="20% - Accent4 3 2 4_Exh G" xfId="2371" xr:uid="{00000000-0005-0000-0000-000054180000}"/>
    <cellStyle name="20% - Accent4 3 2 5" xfId="3881" xr:uid="{00000000-0005-0000-0000-000055180000}"/>
    <cellStyle name="20% - Accent4 3 2 5 2" xfId="7473" xr:uid="{00000000-0005-0000-0000-000056180000}"/>
    <cellStyle name="20% - Accent4 3 2 5 2 2" xfId="15444" xr:uid="{00000000-0005-0000-0000-000057180000}"/>
    <cellStyle name="20% - Accent4 3 2 5 2 2 2" xfId="39286" xr:uid="{588ADB82-80E4-4CA3-814A-7D45B13E91A9}"/>
    <cellStyle name="20% - Accent4 3 2 5 2 3" xfId="23390" xr:uid="{00000000-0005-0000-0000-000058180000}"/>
    <cellStyle name="20% - Accent4 3 2 5 2 3 2" xfId="47222" xr:uid="{26979B8C-43F7-428C-B21C-087A4E02A45D}"/>
    <cellStyle name="20% - Accent4 3 2 5 2 4" xfId="31345" xr:uid="{19C798D4-6B14-48C4-BDD0-FF6E589F0049}"/>
    <cellStyle name="20% - Accent4 3 2 5 3" xfId="11906" xr:uid="{00000000-0005-0000-0000-000059180000}"/>
    <cellStyle name="20% - Accent4 3 2 5 3 2" xfId="35755" xr:uid="{0D5C8798-7BD4-4D4F-B809-059C78394C82}"/>
    <cellStyle name="20% - Accent4 3 2 5 4" xfId="19861" xr:uid="{00000000-0005-0000-0000-00005A180000}"/>
    <cellStyle name="20% - Accent4 3 2 5 4 2" xfId="43693" xr:uid="{DAAF87D2-FE06-4E38-AA07-1DC88D138890}"/>
    <cellStyle name="20% - Accent4 3 2 5 5" xfId="27814" xr:uid="{32141005-B651-4134-A163-8AE9AC47836D}"/>
    <cellStyle name="20% - Accent4 3 2 6" xfId="5701" xr:uid="{00000000-0005-0000-0000-00005B180000}"/>
    <cellStyle name="20% - Accent4 3 2 6 2" xfId="13685" xr:uid="{00000000-0005-0000-0000-00005C180000}"/>
    <cellStyle name="20% - Accent4 3 2 6 2 2" xfId="37528" xr:uid="{BDEDF55C-B9D9-4EFA-BAFC-C04EFF72E339}"/>
    <cellStyle name="20% - Accent4 3 2 6 3" xfId="21633" xr:uid="{00000000-0005-0000-0000-00005D180000}"/>
    <cellStyle name="20% - Accent4 3 2 6 3 2" xfId="45465" xr:uid="{0B9C55BE-6032-4D82-A7A7-B82AD02A42C4}"/>
    <cellStyle name="20% - Accent4 3 2 6 4" xfId="29587" xr:uid="{90A5E544-5597-41B8-A301-8E28ACBF6744}"/>
    <cellStyle name="20% - Accent4 3 2 7" xfId="9254" xr:uid="{00000000-0005-0000-0000-00005E180000}"/>
    <cellStyle name="20% - Accent4 3 2 7 2" xfId="17212" xr:uid="{00000000-0005-0000-0000-00005F180000}"/>
    <cellStyle name="20% - Accent4 3 2 7 2 2" xfId="41052" xr:uid="{D3622A92-13F2-4831-9736-59760BD8BD71}"/>
    <cellStyle name="20% - Accent4 3 2 7 3" xfId="25156" xr:uid="{00000000-0005-0000-0000-000060180000}"/>
    <cellStyle name="20% - Accent4 3 2 7 3 2" xfId="48988" xr:uid="{E7DE4974-F557-42F0-8D9A-47583CB5C995}"/>
    <cellStyle name="20% - Accent4 3 2 7 4" xfId="33111" xr:uid="{622D8568-3145-4F14-A726-0D583A96ADDC}"/>
    <cellStyle name="20% - Accent4 3 2 8" xfId="10150" xr:uid="{00000000-0005-0000-0000-000061180000}"/>
    <cellStyle name="20% - Accent4 3 2 8 2" xfId="33999" xr:uid="{6D98A7BD-0DE4-45B6-BFCB-BC402C507E49}"/>
    <cellStyle name="20% - Accent4 3 2 9" xfId="18105" xr:uid="{00000000-0005-0000-0000-000062180000}"/>
    <cellStyle name="20% - Accent4 3 2 9 2" xfId="41937" xr:uid="{EE4D988C-DB09-4058-83A4-EF2542A1768C}"/>
    <cellStyle name="20% - Accent4 3 2_Exh G" xfId="2366" xr:uid="{00000000-0005-0000-0000-000063180000}"/>
    <cellStyle name="20% - Accent4 3 3" xfId="204" xr:uid="{00000000-0005-0000-0000-000064180000}"/>
    <cellStyle name="20% - Accent4 3 3 2" xfId="1232" xr:uid="{00000000-0005-0000-0000-000065180000}"/>
    <cellStyle name="20% - Accent4 3 3 2 2" xfId="4762" xr:uid="{00000000-0005-0000-0000-000066180000}"/>
    <cellStyle name="20% - Accent4 3 3 2 2 2" xfId="8353" xr:uid="{00000000-0005-0000-0000-000067180000}"/>
    <cellStyle name="20% - Accent4 3 3 2 2 2 2" xfId="16324" xr:uid="{00000000-0005-0000-0000-000068180000}"/>
    <cellStyle name="20% - Accent4 3 3 2 2 2 2 2" xfId="40166" xr:uid="{DA0BEF9E-DF08-4197-91A0-7A4C8E6CCF80}"/>
    <cellStyle name="20% - Accent4 3 3 2 2 2 3" xfId="24270" xr:uid="{00000000-0005-0000-0000-000069180000}"/>
    <cellStyle name="20% - Accent4 3 3 2 2 2 3 2" xfId="48102" xr:uid="{59FD1B81-87A8-4BCC-B64B-33ABF982D466}"/>
    <cellStyle name="20% - Accent4 3 3 2 2 2 4" xfId="32225" xr:uid="{8BCD1698-1D1C-4C61-9209-E115798DDB18}"/>
    <cellStyle name="20% - Accent4 3 3 2 2 3" xfId="12786" xr:uid="{00000000-0005-0000-0000-00006A180000}"/>
    <cellStyle name="20% - Accent4 3 3 2 2 3 2" xfId="36635" xr:uid="{EEF38257-446C-4882-8673-8A18926F99C1}"/>
    <cellStyle name="20% - Accent4 3 3 2 2 4" xfId="20741" xr:uid="{00000000-0005-0000-0000-00006B180000}"/>
    <cellStyle name="20% - Accent4 3 3 2 2 4 2" xfId="44573" xr:uid="{1F55B2FB-6EED-4ED8-A6EF-716D37F00646}"/>
    <cellStyle name="20% - Accent4 3 3 2 2 5" xfId="28694" xr:uid="{C758CAF6-0181-475F-8B53-CB4405ADC5B5}"/>
    <cellStyle name="20% - Accent4 3 3 2 3" xfId="6594" xr:uid="{00000000-0005-0000-0000-00006C180000}"/>
    <cellStyle name="20% - Accent4 3 3 2 3 2" xfId="14566" xr:uid="{00000000-0005-0000-0000-00006D180000}"/>
    <cellStyle name="20% - Accent4 3 3 2 3 2 2" xfId="38408" xr:uid="{7538599D-2598-470E-BDAE-F8C8B7C01350}"/>
    <cellStyle name="20% - Accent4 3 3 2 3 3" xfId="22513" xr:uid="{00000000-0005-0000-0000-00006E180000}"/>
    <cellStyle name="20% - Accent4 3 3 2 3 3 2" xfId="46345" xr:uid="{97FC5B00-570C-468C-B10F-92D36C0288D2}"/>
    <cellStyle name="20% - Accent4 3 3 2 3 4" xfId="30467" xr:uid="{4A291C75-4F39-437D-81CB-AFB4AEB11B21}"/>
    <cellStyle name="20% - Accent4 3 3 2 4" xfId="11030" xr:uid="{00000000-0005-0000-0000-00006F180000}"/>
    <cellStyle name="20% - Accent4 3 3 2 4 2" xfId="34879" xr:uid="{4AB02AD5-2E53-49A7-9782-A1A43782E5DC}"/>
    <cellStyle name="20% - Accent4 3 3 2 5" xfId="18985" xr:uid="{00000000-0005-0000-0000-000070180000}"/>
    <cellStyle name="20% - Accent4 3 3 2 5 2" xfId="42817" xr:uid="{DA90E7F7-0E26-4D56-B775-3A4E9C296F8F}"/>
    <cellStyle name="20% - Accent4 3 3 2 6" xfId="26937" xr:uid="{B7899A48-BE0E-431F-81C5-82F8BA0CB8F6}"/>
    <cellStyle name="20% - Accent4 3 3 2_Exh G" xfId="2373" xr:uid="{00000000-0005-0000-0000-000071180000}"/>
    <cellStyle name="20% - Accent4 3 3 3" xfId="3883" xr:uid="{00000000-0005-0000-0000-000072180000}"/>
    <cellStyle name="20% - Accent4 3 3 3 2" xfId="7475" xr:uid="{00000000-0005-0000-0000-000073180000}"/>
    <cellStyle name="20% - Accent4 3 3 3 2 2" xfId="15446" xr:uid="{00000000-0005-0000-0000-000074180000}"/>
    <cellStyle name="20% - Accent4 3 3 3 2 2 2" xfId="39288" xr:uid="{2F6CE684-BDBA-43D7-9011-44D417D4F3B5}"/>
    <cellStyle name="20% - Accent4 3 3 3 2 3" xfId="23392" xr:uid="{00000000-0005-0000-0000-000075180000}"/>
    <cellStyle name="20% - Accent4 3 3 3 2 3 2" xfId="47224" xr:uid="{F397E2B5-625F-4013-A0AF-89D91CE68CE5}"/>
    <cellStyle name="20% - Accent4 3 3 3 2 4" xfId="31347" xr:uid="{736D5F5E-05AC-4379-9217-E49CD4F89E1D}"/>
    <cellStyle name="20% - Accent4 3 3 3 3" xfId="11908" xr:uid="{00000000-0005-0000-0000-000076180000}"/>
    <cellStyle name="20% - Accent4 3 3 3 3 2" xfId="35757" xr:uid="{0C2B5804-A629-4D4B-AD31-E9C86E5FA8F5}"/>
    <cellStyle name="20% - Accent4 3 3 3 4" xfId="19863" xr:uid="{00000000-0005-0000-0000-000077180000}"/>
    <cellStyle name="20% - Accent4 3 3 3 4 2" xfId="43695" xr:uid="{89AC1766-647F-4432-9214-FEFF9EB0A9BB}"/>
    <cellStyle name="20% - Accent4 3 3 3 5" xfId="27816" xr:uid="{BA497687-E720-4DCE-8509-755CE516EBD6}"/>
    <cellStyle name="20% - Accent4 3 3 4" xfId="5703" xr:uid="{00000000-0005-0000-0000-000078180000}"/>
    <cellStyle name="20% - Accent4 3 3 4 2" xfId="13687" xr:uid="{00000000-0005-0000-0000-000079180000}"/>
    <cellStyle name="20% - Accent4 3 3 4 2 2" xfId="37530" xr:uid="{591219AF-B68F-478C-89FC-86EFBDDDEBFA}"/>
    <cellStyle name="20% - Accent4 3 3 4 3" xfId="21635" xr:uid="{00000000-0005-0000-0000-00007A180000}"/>
    <cellStyle name="20% - Accent4 3 3 4 3 2" xfId="45467" xr:uid="{76D1CCC9-BA0A-420C-BD34-4A5E73D0CFFE}"/>
    <cellStyle name="20% - Accent4 3 3 4 4" xfId="29589" xr:uid="{9D9F04AB-D65B-4C31-983A-6E2EE2FE506B}"/>
    <cellStyle name="20% - Accent4 3 3 5" xfId="9256" xr:uid="{00000000-0005-0000-0000-00007B180000}"/>
    <cellStyle name="20% - Accent4 3 3 5 2" xfId="17214" xr:uid="{00000000-0005-0000-0000-00007C180000}"/>
    <cellStyle name="20% - Accent4 3 3 5 2 2" xfId="41054" xr:uid="{2FF137A8-DA8C-4CCF-ADC2-CE2E7F3D2426}"/>
    <cellStyle name="20% - Accent4 3 3 5 3" xfId="25158" xr:uid="{00000000-0005-0000-0000-00007D180000}"/>
    <cellStyle name="20% - Accent4 3 3 5 3 2" xfId="48990" xr:uid="{A8C85F45-754E-4126-AB39-C74B139C7E61}"/>
    <cellStyle name="20% - Accent4 3 3 5 4" xfId="33113" xr:uid="{FC52C37B-DE46-4771-B06D-0972B1BF2402}"/>
    <cellStyle name="20% - Accent4 3 3 6" xfId="10152" xr:uid="{00000000-0005-0000-0000-00007E180000}"/>
    <cellStyle name="20% - Accent4 3 3 6 2" xfId="34001" xr:uid="{1CC5096A-C43B-421F-AB3A-880C98436CBA}"/>
    <cellStyle name="20% - Accent4 3 3 7" xfId="18107" xr:uid="{00000000-0005-0000-0000-00007F180000}"/>
    <cellStyle name="20% - Accent4 3 3 7 2" xfId="41939" xr:uid="{A84DF19E-C726-4F28-BC72-807EEF0E2A45}"/>
    <cellStyle name="20% - Accent4 3 3 8" xfId="26059" xr:uid="{A8474EA1-C13C-4BF2-B692-6E9BD8A7C2F2}"/>
    <cellStyle name="20% - Accent4 3 3_Exh G" xfId="2372" xr:uid="{00000000-0005-0000-0000-000080180000}"/>
    <cellStyle name="20% - Accent4 3 4" xfId="901" xr:uid="{00000000-0005-0000-0000-000081180000}"/>
    <cellStyle name="20% - Accent4 3 4 2" xfId="1831" xr:uid="{00000000-0005-0000-0000-000082180000}"/>
    <cellStyle name="20% - Accent4 3 4 2 2" xfId="5349" xr:uid="{00000000-0005-0000-0000-000083180000}"/>
    <cellStyle name="20% - Accent4 3 4 2 2 2" xfId="8940" xr:uid="{00000000-0005-0000-0000-000084180000}"/>
    <cellStyle name="20% - Accent4 3 4 2 2 2 2" xfId="16911" xr:uid="{00000000-0005-0000-0000-000085180000}"/>
    <cellStyle name="20% - Accent4 3 4 2 2 2 2 2" xfId="40753" xr:uid="{2B38F8BA-E3E1-4558-B322-7A255067C764}"/>
    <cellStyle name="20% - Accent4 3 4 2 2 2 3" xfId="24857" xr:uid="{00000000-0005-0000-0000-000086180000}"/>
    <cellStyle name="20% - Accent4 3 4 2 2 2 3 2" xfId="48689" xr:uid="{84F4B8E8-B2A1-4896-BB79-ACB98BEFA594}"/>
    <cellStyle name="20% - Accent4 3 4 2 2 2 4" xfId="32812" xr:uid="{7CC1F626-D42A-4847-B046-B013968CB0FB}"/>
    <cellStyle name="20% - Accent4 3 4 2 2 3" xfId="13373" xr:uid="{00000000-0005-0000-0000-000087180000}"/>
    <cellStyle name="20% - Accent4 3 4 2 2 3 2" xfId="37222" xr:uid="{97359D57-82CD-40B0-836B-1BBF5F9C7685}"/>
    <cellStyle name="20% - Accent4 3 4 2 2 4" xfId="21328" xr:uid="{00000000-0005-0000-0000-000088180000}"/>
    <cellStyle name="20% - Accent4 3 4 2 2 4 2" xfId="45160" xr:uid="{4847B3F0-B954-45BF-BB20-09F7A85D9E43}"/>
    <cellStyle name="20% - Accent4 3 4 2 2 5" xfId="29281" xr:uid="{F06FEAC0-9224-47BB-A6BE-1F448EF3AB40}"/>
    <cellStyle name="20% - Accent4 3 4 2 3" xfId="7181" xr:uid="{00000000-0005-0000-0000-000089180000}"/>
    <cellStyle name="20% - Accent4 3 4 2 3 2" xfId="15153" xr:uid="{00000000-0005-0000-0000-00008A180000}"/>
    <cellStyle name="20% - Accent4 3 4 2 3 2 2" xfId="38995" xr:uid="{1BB10337-1C18-426F-88CD-11151329C1B4}"/>
    <cellStyle name="20% - Accent4 3 4 2 3 3" xfId="23100" xr:uid="{00000000-0005-0000-0000-00008B180000}"/>
    <cellStyle name="20% - Accent4 3 4 2 3 3 2" xfId="46932" xr:uid="{D106FC7C-0F28-4271-9D9A-2D594B6FBBA5}"/>
    <cellStyle name="20% - Accent4 3 4 2 3 4" xfId="31054" xr:uid="{95D2551D-5FCF-4963-BBA0-BECF81AC094E}"/>
    <cellStyle name="20% - Accent4 3 4 2 4" xfId="11617" xr:uid="{00000000-0005-0000-0000-00008C180000}"/>
    <cellStyle name="20% - Accent4 3 4 2 4 2" xfId="35466" xr:uid="{21EF7F22-A50E-4800-9C71-0405BD2B8C79}"/>
    <cellStyle name="20% - Accent4 3 4 2 5" xfId="19572" xr:uid="{00000000-0005-0000-0000-00008D180000}"/>
    <cellStyle name="20% - Accent4 3 4 2 5 2" xfId="43404" xr:uid="{7E20AA12-C001-4C30-A2D1-1001FC5F8D39}"/>
    <cellStyle name="20% - Accent4 3 4 2 6" xfId="27524" xr:uid="{14312039-58AA-4028-8B78-A78742030589}"/>
    <cellStyle name="20% - Accent4 3 4 2_Exh G" xfId="2375" xr:uid="{00000000-0005-0000-0000-00008E180000}"/>
    <cellStyle name="20% - Accent4 3 4 3" xfId="4470" xr:uid="{00000000-0005-0000-0000-00008F180000}"/>
    <cellStyle name="20% - Accent4 3 4 3 2" xfId="8062" xr:uid="{00000000-0005-0000-0000-000090180000}"/>
    <cellStyle name="20% - Accent4 3 4 3 2 2" xfId="16033" xr:uid="{00000000-0005-0000-0000-000091180000}"/>
    <cellStyle name="20% - Accent4 3 4 3 2 2 2" xfId="39875" xr:uid="{FD7A002C-8041-436F-B465-8F821DB43F1C}"/>
    <cellStyle name="20% - Accent4 3 4 3 2 3" xfId="23979" xr:uid="{00000000-0005-0000-0000-000092180000}"/>
    <cellStyle name="20% - Accent4 3 4 3 2 3 2" xfId="47811" xr:uid="{470B4035-B245-4B6F-899E-56DBE70CD734}"/>
    <cellStyle name="20% - Accent4 3 4 3 2 4" xfId="31934" xr:uid="{C3E99150-118C-445A-8B35-995F07F7E669}"/>
    <cellStyle name="20% - Accent4 3 4 3 3" xfId="12495" xr:uid="{00000000-0005-0000-0000-000093180000}"/>
    <cellStyle name="20% - Accent4 3 4 3 3 2" xfId="36344" xr:uid="{990D9589-786C-4E55-A122-03A27430ACB6}"/>
    <cellStyle name="20% - Accent4 3 4 3 4" xfId="20450" xr:uid="{00000000-0005-0000-0000-000094180000}"/>
    <cellStyle name="20% - Accent4 3 4 3 4 2" xfId="44282" xr:uid="{C607D60E-0808-4F05-866E-FE78427AE6FE}"/>
    <cellStyle name="20% - Accent4 3 4 3 5" xfId="28403" xr:uid="{57007A74-427B-4CC8-B913-140A0F083483}"/>
    <cellStyle name="20% - Accent4 3 4 4" xfId="6300" xr:uid="{00000000-0005-0000-0000-000095180000}"/>
    <cellStyle name="20% - Accent4 3 4 4 2" xfId="14275" xr:uid="{00000000-0005-0000-0000-000096180000}"/>
    <cellStyle name="20% - Accent4 3 4 4 2 2" xfId="38117" xr:uid="{AFFCFE7C-137D-40D1-8A1D-8B75A737420D}"/>
    <cellStyle name="20% - Accent4 3 4 4 3" xfId="22222" xr:uid="{00000000-0005-0000-0000-000097180000}"/>
    <cellStyle name="20% - Accent4 3 4 4 3 2" xfId="46054" xr:uid="{78662869-7E18-4DF9-B5B7-B3608AE7526A}"/>
    <cellStyle name="20% - Accent4 3 4 4 4" xfId="30176" xr:uid="{9C034F8F-6191-4E5A-B239-D2500855E7BC}"/>
    <cellStyle name="20% - Accent4 3 4 5" xfId="9843" xr:uid="{00000000-0005-0000-0000-000098180000}"/>
    <cellStyle name="20% - Accent4 3 4 5 2" xfId="17801" xr:uid="{00000000-0005-0000-0000-000099180000}"/>
    <cellStyle name="20% - Accent4 3 4 5 2 2" xfId="41641" xr:uid="{12A1B8E3-B127-4C9B-9019-00EE6D16EF5C}"/>
    <cellStyle name="20% - Accent4 3 4 5 3" xfId="25745" xr:uid="{00000000-0005-0000-0000-00009A180000}"/>
    <cellStyle name="20% - Accent4 3 4 5 3 2" xfId="49577" xr:uid="{1F0EDF82-6437-41A4-BFDC-AEB1CBC0725A}"/>
    <cellStyle name="20% - Accent4 3 4 5 4" xfId="33700" xr:uid="{2ABD34F3-9CD8-488C-BEAD-EC91BBC89972}"/>
    <cellStyle name="20% - Accent4 3 4 6" xfId="10739" xr:uid="{00000000-0005-0000-0000-00009B180000}"/>
    <cellStyle name="20% - Accent4 3 4 6 2" xfId="34588" xr:uid="{47073609-76E7-483D-94A5-1C638166A8E5}"/>
    <cellStyle name="20% - Accent4 3 4 7" xfId="18694" xr:uid="{00000000-0005-0000-0000-00009C180000}"/>
    <cellStyle name="20% - Accent4 3 4 7 2" xfId="42526" xr:uid="{3E35AE34-4F13-4B18-B0ED-C9D4457E6E94}"/>
    <cellStyle name="20% - Accent4 3 4 8" xfId="26646" xr:uid="{A1A3F3F7-B4DF-4DB7-B239-ED4C1BFB5065}"/>
    <cellStyle name="20% - Accent4 3 4_Exh G" xfId="2374" xr:uid="{00000000-0005-0000-0000-00009D180000}"/>
    <cellStyle name="20% - Accent4 3 5" xfId="1229" xr:uid="{00000000-0005-0000-0000-00009E180000}"/>
    <cellStyle name="20% - Accent4 3 5 2" xfId="4759" xr:uid="{00000000-0005-0000-0000-00009F180000}"/>
    <cellStyle name="20% - Accent4 3 5 2 2" xfId="8350" xr:uid="{00000000-0005-0000-0000-0000A0180000}"/>
    <cellStyle name="20% - Accent4 3 5 2 2 2" xfId="16321" xr:uid="{00000000-0005-0000-0000-0000A1180000}"/>
    <cellStyle name="20% - Accent4 3 5 2 2 2 2" xfId="40163" xr:uid="{B2D3F9DE-97C8-4D77-B180-59FB5BBE9A1F}"/>
    <cellStyle name="20% - Accent4 3 5 2 2 3" xfId="24267" xr:uid="{00000000-0005-0000-0000-0000A2180000}"/>
    <cellStyle name="20% - Accent4 3 5 2 2 3 2" xfId="48099" xr:uid="{53E31DA5-7352-4DB1-9388-9352713E52E7}"/>
    <cellStyle name="20% - Accent4 3 5 2 2 4" xfId="32222" xr:uid="{96084648-2945-4A45-897E-15C251970D9B}"/>
    <cellStyle name="20% - Accent4 3 5 2 3" xfId="12783" xr:uid="{00000000-0005-0000-0000-0000A3180000}"/>
    <cellStyle name="20% - Accent4 3 5 2 3 2" xfId="36632" xr:uid="{E5504299-626C-4760-B2AA-6BD5820C5B00}"/>
    <cellStyle name="20% - Accent4 3 5 2 4" xfId="20738" xr:uid="{00000000-0005-0000-0000-0000A4180000}"/>
    <cellStyle name="20% - Accent4 3 5 2 4 2" xfId="44570" xr:uid="{72D84A8E-80E3-43BA-9B25-D9D562EF76F9}"/>
    <cellStyle name="20% - Accent4 3 5 2 5" xfId="28691" xr:uid="{BC1E3040-5066-4ED0-97C6-56146A41A883}"/>
    <cellStyle name="20% - Accent4 3 5 3" xfId="6591" xr:uid="{00000000-0005-0000-0000-0000A5180000}"/>
    <cellStyle name="20% - Accent4 3 5 3 2" xfId="14563" xr:uid="{00000000-0005-0000-0000-0000A6180000}"/>
    <cellStyle name="20% - Accent4 3 5 3 2 2" xfId="38405" xr:uid="{2C34B29A-9168-4BB9-80B4-828C6848306C}"/>
    <cellStyle name="20% - Accent4 3 5 3 3" xfId="22510" xr:uid="{00000000-0005-0000-0000-0000A7180000}"/>
    <cellStyle name="20% - Accent4 3 5 3 3 2" xfId="46342" xr:uid="{59D227B7-91A0-4FEE-ADEC-7423161ECF31}"/>
    <cellStyle name="20% - Accent4 3 5 3 4" xfId="30464" xr:uid="{CFCB81EC-4CB9-405B-A939-A4B09346964B}"/>
    <cellStyle name="20% - Accent4 3 5 4" xfId="11027" xr:uid="{00000000-0005-0000-0000-0000A8180000}"/>
    <cellStyle name="20% - Accent4 3 5 4 2" xfId="34876" xr:uid="{E7BE1A7F-C736-4E8B-B891-A8DBB49A1557}"/>
    <cellStyle name="20% - Accent4 3 5 5" xfId="18982" xr:uid="{00000000-0005-0000-0000-0000A9180000}"/>
    <cellStyle name="20% - Accent4 3 5 5 2" xfId="42814" xr:uid="{6F27BC5D-1758-4F7F-B0A9-28073507947C}"/>
    <cellStyle name="20% - Accent4 3 5 6" xfId="26934" xr:uid="{CFCBFFEA-4A40-4E59-B1A3-A382058BB593}"/>
    <cellStyle name="20% - Accent4 3 5_Exh G" xfId="2376" xr:uid="{00000000-0005-0000-0000-0000AA180000}"/>
    <cellStyle name="20% - Accent4 3 6" xfId="3880" xr:uid="{00000000-0005-0000-0000-0000AB180000}"/>
    <cellStyle name="20% - Accent4 3 6 2" xfId="7472" xr:uid="{00000000-0005-0000-0000-0000AC180000}"/>
    <cellStyle name="20% - Accent4 3 6 2 2" xfId="15443" xr:uid="{00000000-0005-0000-0000-0000AD180000}"/>
    <cellStyle name="20% - Accent4 3 6 2 2 2" xfId="39285" xr:uid="{80A09F6D-C93D-4C52-B037-756C8C8DF9A1}"/>
    <cellStyle name="20% - Accent4 3 6 2 3" xfId="23389" xr:uid="{00000000-0005-0000-0000-0000AE180000}"/>
    <cellStyle name="20% - Accent4 3 6 2 3 2" xfId="47221" xr:uid="{CF5B78E4-41C4-402F-B4CB-0D86842D8A53}"/>
    <cellStyle name="20% - Accent4 3 6 2 4" xfId="31344" xr:uid="{A5CDB62B-CB78-41E1-82D2-0F18B5A7863F}"/>
    <cellStyle name="20% - Accent4 3 6 3" xfId="11905" xr:uid="{00000000-0005-0000-0000-0000AF180000}"/>
    <cellStyle name="20% - Accent4 3 6 3 2" xfId="35754" xr:uid="{4C3A4C9C-56CF-4298-864A-1E4AF6A6B964}"/>
    <cellStyle name="20% - Accent4 3 6 4" xfId="19860" xr:uid="{00000000-0005-0000-0000-0000B0180000}"/>
    <cellStyle name="20% - Accent4 3 6 4 2" xfId="43692" xr:uid="{12E4BD6C-3741-45A1-9799-F879FD8DF22D}"/>
    <cellStyle name="20% - Accent4 3 6 5" xfId="27813" xr:uid="{7753C07A-34D6-48A6-8D03-4B3BBB376BD2}"/>
    <cellStyle name="20% - Accent4 3 7" xfId="5700" xr:uid="{00000000-0005-0000-0000-0000B1180000}"/>
    <cellStyle name="20% - Accent4 3 7 2" xfId="13684" xr:uid="{00000000-0005-0000-0000-0000B2180000}"/>
    <cellStyle name="20% - Accent4 3 7 2 2" xfId="37527" xr:uid="{649C1FD2-3AC3-4520-83FC-527A04951D9C}"/>
    <cellStyle name="20% - Accent4 3 7 3" xfId="21632" xr:uid="{00000000-0005-0000-0000-0000B3180000}"/>
    <cellStyle name="20% - Accent4 3 7 3 2" xfId="45464" xr:uid="{E589193B-6359-4428-99C6-CAB3D220CAFD}"/>
    <cellStyle name="20% - Accent4 3 7 4" xfId="29586" xr:uid="{53324198-DD17-46AA-B150-7D605D3A7D88}"/>
    <cellStyle name="20% - Accent4 3 8" xfId="9253" xr:uid="{00000000-0005-0000-0000-0000B4180000}"/>
    <cellStyle name="20% - Accent4 3 8 2" xfId="17211" xr:uid="{00000000-0005-0000-0000-0000B5180000}"/>
    <cellStyle name="20% - Accent4 3 8 2 2" xfId="41051" xr:uid="{0EF6ECBA-C333-4420-8509-F91DE1DE6B35}"/>
    <cellStyle name="20% - Accent4 3 8 3" xfId="25155" xr:uid="{00000000-0005-0000-0000-0000B6180000}"/>
    <cellStyle name="20% - Accent4 3 8 3 2" xfId="48987" xr:uid="{93876F96-D965-48B2-BB65-8D564B696ACD}"/>
    <cellStyle name="20% - Accent4 3 8 4" xfId="33110" xr:uid="{3BEA6EF0-9438-4F70-8884-7FD51DCA223A}"/>
    <cellStyle name="20% - Accent4 3 9" xfId="10149" xr:uid="{00000000-0005-0000-0000-0000B7180000}"/>
    <cellStyle name="20% - Accent4 3 9 2" xfId="33998" xr:uid="{684EA3D2-5CB6-47E3-AAB3-69DFB2B66A63}"/>
    <cellStyle name="20% - Accent4 3_Exh G" xfId="2365" xr:uid="{00000000-0005-0000-0000-0000B8180000}"/>
    <cellStyle name="20% - Accent4 4" xfId="205" xr:uid="{00000000-0005-0000-0000-0000B9180000}"/>
    <cellStyle name="20% - Accent4 4 10" xfId="18108" xr:uid="{00000000-0005-0000-0000-0000BA180000}"/>
    <cellStyle name="20% - Accent4 4 10 2" xfId="41940" xr:uid="{B28E6980-1C52-4890-911E-7560E89E3FD0}"/>
    <cellStyle name="20% - Accent4 4 11" xfId="26060" xr:uid="{40A3A78E-8F8F-401F-8FE8-70E5DF4E454D}"/>
    <cellStyle name="20% - Accent4 4 2" xfId="206" xr:uid="{00000000-0005-0000-0000-0000BB180000}"/>
    <cellStyle name="20% - Accent4 4 2 10" xfId="26061" xr:uid="{9772F1EE-EB58-45B1-BD29-8751FE56B7DD}"/>
    <cellStyle name="20% - Accent4 4 2 2" xfId="207" xr:uid="{00000000-0005-0000-0000-0000BC180000}"/>
    <cellStyle name="20% - Accent4 4 2 2 2" xfId="1235" xr:uid="{00000000-0005-0000-0000-0000BD180000}"/>
    <cellStyle name="20% - Accent4 4 2 2 2 2" xfId="4765" xr:uid="{00000000-0005-0000-0000-0000BE180000}"/>
    <cellStyle name="20% - Accent4 4 2 2 2 2 2" xfId="8356" xr:uid="{00000000-0005-0000-0000-0000BF180000}"/>
    <cellStyle name="20% - Accent4 4 2 2 2 2 2 2" xfId="16327" xr:uid="{00000000-0005-0000-0000-0000C0180000}"/>
    <cellStyle name="20% - Accent4 4 2 2 2 2 2 2 2" xfId="40169" xr:uid="{0049F0CD-924B-4D0C-8434-914CF283FBA9}"/>
    <cellStyle name="20% - Accent4 4 2 2 2 2 2 3" xfId="24273" xr:uid="{00000000-0005-0000-0000-0000C1180000}"/>
    <cellStyle name="20% - Accent4 4 2 2 2 2 2 3 2" xfId="48105" xr:uid="{FBDD3DA7-15BE-4143-9D38-94D6A9FA40F2}"/>
    <cellStyle name="20% - Accent4 4 2 2 2 2 2 4" xfId="32228" xr:uid="{754CA452-0C55-4C2D-AEC0-0A7C84A5B7BC}"/>
    <cellStyle name="20% - Accent4 4 2 2 2 2 3" xfId="12789" xr:uid="{00000000-0005-0000-0000-0000C2180000}"/>
    <cellStyle name="20% - Accent4 4 2 2 2 2 3 2" xfId="36638" xr:uid="{037EFE4B-2E67-4A3D-A703-39400DC2788C}"/>
    <cellStyle name="20% - Accent4 4 2 2 2 2 4" xfId="20744" xr:uid="{00000000-0005-0000-0000-0000C3180000}"/>
    <cellStyle name="20% - Accent4 4 2 2 2 2 4 2" xfId="44576" xr:uid="{CFA8A87B-8E75-4EA9-B165-3288738C008F}"/>
    <cellStyle name="20% - Accent4 4 2 2 2 2 5" xfId="28697" xr:uid="{B008E19C-0688-4EF7-B6A8-33895EDF63D1}"/>
    <cellStyle name="20% - Accent4 4 2 2 2 3" xfId="6597" xr:uid="{00000000-0005-0000-0000-0000C4180000}"/>
    <cellStyle name="20% - Accent4 4 2 2 2 3 2" xfId="14569" xr:uid="{00000000-0005-0000-0000-0000C5180000}"/>
    <cellStyle name="20% - Accent4 4 2 2 2 3 2 2" xfId="38411" xr:uid="{3F7EE4AB-7F68-4AFB-86E5-551E483CA06C}"/>
    <cellStyle name="20% - Accent4 4 2 2 2 3 3" xfId="22516" xr:uid="{00000000-0005-0000-0000-0000C6180000}"/>
    <cellStyle name="20% - Accent4 4 2 2 2 3 3 2" xfId="46348" xr:uid="{AE64747D-A4DC-4648-8C71-8A7B03326AC1}"/>
    <cellStyle name="20% - Accent4 4 2 2 2 3 4" xfId="30470" xr:uid="{947C2BA0-6147-4EF6-808A-E63404E35CA5}"/>
    <cellStyle name="20% - Accent4 4 2 2 2 4" xfId="11033" xr:uid="{00000000-0005-0000-0000-0000C7180000}"/>
    <cellStyle name="20% - Accent4 4 2 2 2 4 2" xfId="34882" xr:uid="{6F0FB9FC-19CB-40EB-A88A-A7B2F962C7EB}"/>
    <cellStyle name="20% - Accent4 4 2 2 2 5" xfId="18988" xr:uid="{00000000-0005-0000-0000-0000C8180000}"/>
    <cellStyle name="20% - Accent4 4 2 2 2 5 2" xfId="42820" xr:uid="{4FDB7F7C-5E28-4D23-876C-B7D60F6E1996}"/>
    <cellStyle name="20% - Accent4 4 2 2 2 6" xfId="26940" xr:uid="{ACFEF6C0-5A10-4D86-B75C-664F3D9DC052}"/>
    <cellStyle name="20% - Accent4 4 2 2 2_Exh G" xfId="2380" xr:uid="{00000000-0005-0000-0000-0000C9180000}"/>
    <cellStyle name="20% - Accent4 4 2 2 3" xfId="3886" xr:uid="{00000000-0005-0000-0000-0000CA180000}"/>
    <cellStyle name="20% - Accent4 4 2 2 3 2" xfId="7478" xr:uid="{00000000-0005-0000-0000-0000CB180000}"/>
    <cellStyle name="20% - Accent4 4 2 2 3 2 2" xfId="15449" xr:uid="{00000000-0005-0000-0000-0000CC180000}"/>
    <cellStyle name="20% - Accent4 4 2 2 3 2 2 2" xfId="39291" xr:uid="{142EC341-E898-419A-8A3F-B1B69C7BD9C3}"/>
    <cellStyle name="20% - Accent4 4 2 2 3 2 3" xfId="23395" xr:uid="{00000000-0005-0000-0000-0000CD180000}"/>
    <cellStyle name="20% - Accent4 4 2 2 3 2 3 2" xfId="47227" xr:uid="{EB538F9A-DEB1-426F-B871-BA2577D04BAB}"/>
    <cellStyle name="20% - Accent4 4 2 2 3 2 4" xfId="31350" xr:uid="{3A0F1D70-2F1A-4FB4-9607-8F96E27D3B76}"/>
    <cellStyle name="20% - Accent4 4 2 2 3 3" xfId="11911" xr:uid="{00000000-0005-0000-0000-0000CE180000}"/>
    <cellStyle name="20% - Accent4 4 2 2 3 3 2" xfId="35760" xr:uid="{3ADEF30F-D67C-413C-A0BC-4AF1D908791B}"/>
    <cellStyle name="20% - Accent4 4 2 2 3 4" xfId="19866" xr:uid="{00000000-0005-0000-0000-0000CF180000}"/>
    <cellStyle name="20% - Accent4 4 2 2 3 4 2" xfId="43698" xr:uid="{1AB7E19B-0379-4F16-B895-76DD36820ED4}"/>
    <cellStyle name="20% - Accent4 4 2 2 3 5" xfId="27819" xr:uid="{55A7B49E-3886-47CB-8B0D-ED3B074592DE}"/>
    <cellStyle name="20% - Accent4 4 2 2 4" xfId="5706" xr:uid="{00000000-0005-0000-0000-0000D0180000}"/>
    <cellStyle name="20% - Accent4 4 2 2 4 2" xfId="13690" xr:uid="{00000000-0005-0000-0000-0000D1180000}"/>
    <cellStyle name="20% - Accent4 4 2 2 4 2 2" xfId="37533" xr:uid="{462DFDEE-46DB-4F42-9544-254500D1E561}"/>
    <cellStyle name="20% - Accent4 4 2 2 4 3" xfId="21638" xr:uid="{00000000-0005-0000-0000-0000D2180000}"/>
    <cellStyle name="20% - Accent4 4 2 2 4 3 2" xfId="45470" xr:uid="{FD9D52E5-E633-43D7-BA9C-C79D56AD2584}"/>
    <cellStyle name="20% - Accent4 4 2 2 4 4" xfId="29592" xr:uid="{417F894B-F396-49F2-86EF-79DD82EF2BA3}"/>
    <cellStyle name="20% - Accent4 4 2 2 5" xfId="9259" xr:uid="{00000000-0005-0000-0000-0000D3180000}"/>
    <cellStyle name="20% - Accent4 4 2 2 5 2" xfId="17217" xr:uid="{00000000-0005-0000-0000-0000D4180000}"/>
    <cellStyle name="20% - Accent4 4 2 2 5 2 2" xfId="41057" xr:uid="{59B9035A-D0E6-44FB-9EE2-FEFABFD20EF3}"/>
    <cellStyle name="20% - Accent4 4 2 2 5 3" xfId="25161" xr:uid="{00000000-0005-0000-0000-0000D5180000}"/>
    <cellStyle name="20% - Accent4 4 2 2 5 3 2" xfId="48993" xr:uid="{8DDC0BDC-DF42-406F-A4D8-C1249F2DD087}"/>
    <cellStyle name="20% - Accent4 4 2 2 5 4" xfId="33116" xr:uid="{579B1DE1-BBF4-4C5D-A3C1-B77BF5C5777C}"/>
    <cellStyle name="20% - Accent4 4 2 2 6" xfId="10155" xr:uid="{00000000-0005-0000-0000-0000D6180000}"/>
    <cellStyle name="20% - Accent4 4 2 2 6 2" xfId="34004" xr:uid="{48B3B52D-5E90-4A28-8674-4619AEDEBB93}"/>
    <cellStyle name="20% - Accent4 4 2 2 7" xfId="18110" xr:uid="{00000000-0005-0000-0000-0000D7180000}"/>
    <cellStyle name="20% - Accent4 4 2 2 7 2" xfId="41942" xr:uid="{70354A5F-043C-45D9-BD41-024030B26D29}"/>
    <cellStyle name="20% - Accent4 4 2 2 8" xfId="26062" xr:uid="{9F2D9447-7EFD-4630-AD1B-B55690293A24}"/>
    <cellStyle name="20% - Accent4 4 2 2_Exh G" xfId="2379" xr:uid="{00000000-0005-0000-0000-0000D8180000}"/>
    <cellStyle name="20% - Accent4 4 2 3" xfId="904" xr:uid="{00000000-0005-0000-0000-0000D9180000}"/>
    <cellStyle name="20% - Accent4 4 2 3 2" xfId="1834" xr:uid="{00000000-0005-0000-0000-0000DA180000}"/>
    <cellStyle name="20% - Accent4 4 2 3 2 2" xfId="5352" xr:uid="{00000000-0005-0000-0000-0000DB180000}"/>
    <cellStyle name="20% - Accent4 4 2 3 2 2 2" xfId="8943" xr:uid="{00000000-0005-0000-0000-0000DC180000}"/>
    <cellStyle name="20% - Accent4 4 2 3 2 2 2 2" xfId="16914" xr:uid="{00000000-0005-0000-0000-0000DD180000}"/>
    <cellStyle name="20% - Accent4 4 2 3 2 2 2 2 2" xfId="40756" xr:uid="{12709120-A611-4C16-AD55-DB5EF6413BE0}"/>
    <cellStyle name="20% - Accent4 4 2 3 2 2 2 3" xfId="24860" xr:uid="{00000000-0005-0000-0000-0000DE180000}"/>
    <cellStyle name="20% - Accent4 4 2 3 2 2 2 3 2" xfId="48692" xr:uid="{C80AFD1B-8A45-4BDB-97F1-46C6B9D6B69F}"/>
    <cellStyle name="20% - Accent4 4 2 3 2 2 2 4" xfId="32815" xr:uid="{B2FDBC7B-A4B4-42C8-9A8F-9836FADAAE52}"/>
    <cellStyle name="20% - Accent4 4 2 3 2 2 3" xfId="13376" xr:uid="{00000000-0005-0000-0000-0000DF180000}"/>
    <cellStyle name="20% - Accent4 4 2 3 2 2 3 2" xfId="37225" xr:uid="{C2E5212A-C074-487F-AA1E-1C515B864FBA}"/>
    <cellStyle name="20% - Accent4 4 2 3 2 2 4" xfId="21331" xr:uid="{00000000-0005-0000-0000-0000E0180000}"/>
    <cellStyle name="20% - Accent4 4 2 3 2 2 4 2" xfId="45163" xr:uid="{6CE4DEE6-32CE-46C1-81AB-822BB1C4DF41}"/>
    <cellStyle name="20% - Accent4 4 2 3 2 2 5" xfId="29284" xr:uid="{26D6E037-24CE-4BA7-A93E-1EFBC34074BA}"/>
    <cellStyle name="20% - Accent4 4 2 3 2 3" xfId="7184" xr:uid="{00000000-0005-0000-0000-0000E1180000}"/>
    <cellStyle name="20% - Accent4 4 2 3 2 3 2" xfId="15156" xr:uid="{00000000-0005-0000-0000-0000E2180000}"/>
    <cellStyle name="20% - Accent4 4 2 3 2 3 2 2" xfId="38998" xr:uid="{61347781-111F-40C9-820B-1D4E3ECF54F9}"/>
    <cellStyle name="20% - Accent4 4 2 3 2 3 3" xfId="23103" xr:uid="{00000000-0005-0000-0000-0000E3180000}"/>
    <cellStyle name="20% - Accent4 4 2 3 2 3 3 2" xfId="46935" xr:uid="{2FB32FC0-DAAC-43D5-A596-78E193C0B877}"/>
    <cellStyle name="20% - Accent4 4 2 3 2 3 4" xfId="31057" xr:uid="{8FB4567D-FDFB-4C67-9707-135F4CEEC41F}"/>
    <cellStyle name="20% - Accent4 4 2 3 2 4" xfId="11620" xr:uid="{00000000-0005-0000-0000-0000E4180000}"/>
    <cellStyle name="20% - Accent4 4 2 3 2 4 2" xfId="35469" xr:uid="{00FBEE66-0020-4CD0-A29B-37961A389D3A}"/>
    <cellStyle name="20% - Accent4 4 2 3 2 5" xfId="19575" xr:uid="{00000000-0005-0000-0000-0000E5180000}"/>
    <cellStyle name="20% - Accent4 4 2 3 2 5 2" xfId="43407" xr:uid="{1503843F-A5A4-4293-8601-6FF34951324E}"/>
    <cellStyle name="20% - Accent4 4 2 3 2 6" xfId="27527" xr:uid="{315A6D1F-4035-4C69-BDAE-8E3C2E2C9DAD}"/>
    <cellStyle name="20% - Accent4 4 2 3 2_Exh G" xfId="2382" xr:uid="{00000000-0005-0000-0000-0000E6180000}"/>
    <cellStyle name="20% - Accent4 4 2 3 3" xfId="4473" xr:uid="{00000000-0005-0000-0000-0000E7180000}"/>
    <cellStyle name="20% - Accent4 4 2 3 3 2" xfId="8065" xr:uid="{00000000-0005-0000-0000-0000E8180000}"/>
    <cellStyle name="20% - Accent4 4 2 3 3 2 2" xfId="16036" xr:uid="{00000000-0005-0000-0000-0000E9180000}"/>
    <cellStyle name="20% - Accent4 4 2 3 3 2 2 2" xfId="39878" xr:uid="{3A5E5FE9-DD18-46DB-86DE-DC7CF98F6136}"/>
    <cellStyle name="20% - Accent4 4 2 3 3 2 3" xfId="23982" xr:uid="{00000000-0005-0000-0000-0000EA180000}"/>
    <cellStyle name="20% - Accent4 4 2 3 3 2 3 2" xfId="47814" xr:uid="{4353020C-F3B4-454E-9CE6-CA437C40E38B}"/>
    <cellStyle name="20% - Accent4 4 2 3 3 2 4" xfId="31937" xr:uid="{9EF8A89D-4A7E-4F9E-877A-DC3706106437}"/>
    <cellStyle name="20% - Accent4 4 2 3 3 3" xfId="12498" xr:uid="{00000000-0005-0000-0000-0000EB180000}"/>
    <cellStyle name="20% - Accent4 4 2 3 3 3 2" xfId="36347" xr:uid="{22239A8F-9A0F-4AA9-AD2D-D4174F122ECF}"/>
    <cellStyle name="20% - Accent4 4 2 3 3 4" xfId="20453" xr:uid="{00000000-0005-0000-0000-0000EC180000}"/>
    <cellStyle name="20% - Accent4 4 2 3 3 4 2" xfId="44285" xr:uid="{193DC27A-2680-4ADF-842D-F110E3597C58}"/>
    <cellStyle name="20% - Accent4 4 2 3 3 5" xfId="28406" xr:uid="{7B9553D2-8001-47A2-8CA2-A911BE74E46B}"/>
    <cellStyle name="20% - Accent4 4 2 3 4" xfId="6303" xr:uid="{00000000-0005-0000-0000-0000ED180000}"/>
    <cellStyle name="20% - Accent4 4 2 3 4 2" xfId="14278" xr:uid="{00000000-0005-0000-0000-0000EE180000}"/>
    <cellStyle name="20% - Accent4 4 2 3 4 2 2" xfId="38120" xr:uid="{65EDFBEA-B587-4899-8089-4430C3D1335C}"/>
    <cellStyle name="20% - Accent4 4 2 3 4 3" xfId="22225" xr:uid="{00000000-0005-0000-0000-0000EF180000}"/>
    <cellStyle name="20% - Accent4 4 2 3 4 3 2" xfId="46057" xr:uid="{04CC20A5-AF70-4E3A-9364-8EE523C9BAF2}"/>
    <cellStyle name="20% - Accent4 4 2 3 4 4" xfId="30179" xr:uid="{83E20831-1C3C-477A-A23E-FDA464284263}"/>
    <cellStyle name="20% - Accent4 4 2 3 5" xfId="9846" xr:uid="{00000000-0005-0000-0000-0000F0180000}"/>
    <cellStyle name="20% - Accent4 4 2 3 5 2" xfId="17804" xr:uid="{00000000-0005-0000-0000-0000F1180000}"/>
    <cellStyle name="20% - Accent4 4 2 3 5 2 2" xfId="41644" xr:uid="{567FBFD8-19B8-4ED5-A568-CBBDDDF98074}"/>
    <cellStyle name="20% - Accent4 4 2 3 5 3" xfId="25748" xr:uid="{00000000-0005-0000-0000-0000F2180000}"/>
    <cellStyle name="20% - Accent4 4 2 3 5 3 2" xfId="49580" xr:uid="{927A507B-8C93-486C-94E9-812F990E74D3}"/>
    <cellStyle name="20% - Accent4 4 2 3 5 4" xfId="33703" xr:uid="{C2DC4B3E-5D88-432B-A0B8-E6D6B6C163A0}"/>
    <cellStyle name="20% - Accent4 4 2 3 6" xfId="10742" xr:uid="{00000000-0005-0000-0000-0000F3180000}"/>
    <cellStyle name="20% - Accent4 4 2 3 6 2" xfId="34591" xr:uid="{953A779C-CFBB-46E6-BA35-9EDED8C4DB20}"/>
    <cellStyle name="20% - Accent4 4 2 3 7" xfId="18697" xr:uid="{00000000-0005-0000-0000-0000F4180000}"/>
    <cellStyle name="20% - Accent4 4 2 3 7 2" xfId="42529" xr:uid="{4E2B5F9E-57F2-44E5-A5B7-96174DC59C34}"/>
    <cellStyle name="20% - Accent4 4 2 3 8" xfId="26649" xr:uid="{6A268E3D-C67B-45FA-8F66-E2E72F08FD5E}"/>
    <cellStyle name="20% - Accent4 4 2 3_Exh G" xfId="2381" xr:uid="{00000000-0005-0000-0000-0000F5180000}"/>
    <cellStyle name="20% - Accent4 4 2 4" xfId="1234" xr:uid="{00000000-0005-0000-0000-0000F6180000}"/>
    <cellStyle name="20% - Accent4 4 2 4 2" xfId="4764" xr:uid="{00000000-0005-0000-0000-0000F7180000}"/>
    <cellStyle name="20% - Accent4 4 2 4 2 2" xfId="8355" xr:uid="{00000000-0005-0000-0000-0000F8180000}"/>
    <cellStyle name="20% - Accent4 4 2 4 2 2 2" xfId="16326" xr:uid="{00000000-0005-0000-0000-0000F9180000}"/>
    <cellStyle name="20% - Accent4 4 2 4 2 2 2 2" xfId="40168" xr:uid="{CD9125C5-9D51-4156-B712-74E08D8F720A}"/>
    <cellStyle name="20% - Accent4 4 2 4 2 2 3" xfId="24272" xr:uid="{00000000-0005-0000-0000-0000FA180000}"/>
    <cellStyle name="20% - Accent4 4 2 4 2 2 3 2" xfId="48104" xr:uid="{FDA62518-1821-45BA-B9CE-B5D48DD61CD6}"/>
    <cellStyle name="20% - Accent4 4 2 4 2 2 4" xfId="32227" xr:uid="{95CBE286-346D-4F4E-95CE-B60CC2EE8DA1}"/>
    <cellStyle name="20% - Accent4 4 2 4 2 3" xfId="12788" xr:uid="{00000000-0005-0000-0000-0000FB180000}"/>
    <cellStyle name="20% - Accent4 4 2 4 2 3 2" xfId="36637" xr:uid="{4B5E0C03-B0DE-4EBF-945F-5169AFBF7029}"/>
    <cellStyle name="20% - Accent4 4 2 4 2 4" xfId="20743" xr:uid="{00000000-0005-0000-0000-0000FC180000}"/>
    <cellStyle name="20% - Accent4 4 2 4 2 4 2" xfId="44575" xr:uid="{194DDEDF-5A47-45C0-8911-D53EDDD64EB6}"/>
    <cellStyle name="20% - Accent4 4 2 4 2 5" xfId="28696" xr:uid="{AE5C3A18-4C21-446B-814D-644017AA9A9B}"/>
    <cellStyle name="20% - Accent4 4 2 4 3" xfId="6596" xr:uid="{00000000-0005-0000-0000-0000FD180000}"/>
    <cellStyle name="20% - Accent4 4 2 4 3 2" xfId="14568" xr:uid="{00000000-0005-0000-0000-0000FE180000}"/>
    <cellStyle name="20% - Accent4 4 2 4 3 2 2" xfId="38410" xr:uid="{5630BAAB-2F26-469E-83D8-4B9A7DD9DE92}"/>
    <cellStyle name="20% - Accent4 4 2 4 3 3" xfId="22515" xr:uid="{00000000-0005-0000-0000-0000FF180000}"/>
    <cellStyle name="20% - Accent4 4 2 4 3 3 2" xfId="46347" xr:uid="{D2EA16CD-2C13-4562-9BEE-4D2FDFD45D72}"/>
    <cellStyle name="20% - Accent4 4 2 4 3 4" xfId="30469" xr:uid="{ECC2595A-72D7-4FCD-8D46-6900A4221761}"/>
    <cellStyle name="20% - Accent4 4 2 4 4" xfId="11032" xr:uid="{00000000-0005-0000-0000-000000190000}"/>
    <cellStyle name="20% - Accent4 4 2 4 4 2" xfId="34881" xr:uid="{C330C7A2-F7F6-4B0E-95CA-F140F34B0402}"/>
    <cellStyle name="20% - Accent4 4 2 4 5" xfId="18987" xr:uid="{00000000-0005-0000-0000-000001190000}"/>
    <cellStyle name="20% - Accent4 4 2 4 5 2" xfId="42819" xr:uid="{0F754734-EE90-4452-B1FF-58970015120D}"/>
    <cellStyle name="20% - Accent4 4 2 4 6" xfId="26939" xr:uid="{98338851-45C3-4CBC-B791-BA92EC0073C8}"/>
    <cellStyle name="20% - Accent4 4 2 4_Exh G" xfId="2383" xr:uid="{00000000-0005-0000-0000-000002190000}"/>
    <cellStyle name="20% - Accent4 4 2 5" xfId="3885" xr:uid="{00000000-0005-0000-0000-000003190000}"/>
    <cellStyle name="20% - Accent4 4 2 5 2" xfId="7477" xr:uid="{00000000-0005-0000-0000-000004190000}"/>
    <cellStyle name="20% - Accent4 4 2 5 2 2" xfId="15448" xr:uid="{00000000-0005-0000-0000-000005190000}"/>
    <cellStyle name="20% - Accent4 4 2 5 2 2 2" xfId="39290" xr:uid="{FFD1085C-D068-4C88-8F19-77A7608D7E9D}"/>
    <cellStyle name="20% - Accent4 4 2 5 2 3" xfId="23394" xr:uid="{00000000-0005-0000-0000-000006190000}"/>
    <cellStyle name="20% - Accent4 4 2 5 2 3 2" xfId="47226" xr:uid="{5189203C-4CED-4263-BC6B-E7103402A2E1}"/>
    <cellStyle name="20% - Accent4 4 2 5 2 4" xfId="31349" xr:uid="{7CF649BE-42A0-4B8B-9DAA-0498E7476D3C}"/>
    <cellStyle name="20% - Accent4 4 2 5 3" xfId="11910" xr:uid="{00000000-0005-0000-0000-000007190000}"/>
    <cellStyle name="20% - Accent4 4 2 5 3 2" xfId="35759" xr:uid="{7B64EB70-3AC4-4FF4-ABCE-EB6462564B91}"/>
    <cellStyle name="20% - Accent4 4 2 5 4" xfId="19865" xr:uid="{00000000-0005-0000-0000-000008190000}"/>
    <cellStyle name="20% - Accent4 4 2 5 4 2" xfId="43697" xr:uid="{6B15D4DC-8E3F-48FB-89AE-69A9610B1235}"/>
    <cellStyle name="20% - Accent4 4 2 5 5" xfId="27818" xr:uid="{1DFA88F0-7513-445C-BB92-65DE12EED12E}"/>
    <cellStyle name="20% - Accent4 4 2 6" xfId="5705" xr:uid="{00000000-0005-0000-0000-000009190000}"/>
    <cellStyle name="20% - Accent4 4 2 6 2" xfId="13689" xr:uid="{00000000-0005-0000-0000-00000A190000}"/>
    <cellStyle name="20% - Accent4 4 2 6 2 2" xfId="37532" xr:uid="{F516EB9B-D7EB-4EDA-9237-2662EE7E962A}"/>
    <cellStyle name="20% - Accent4 4 2 6 3" xfId="21637" xr:uid="{00000000-0005-0000-0000-00000B190000}"/>
    <cellStyle name="20% - Accent4 4 2 6 3 2" xfId="45469" xr:uid="{D6F297DF-37EE-4F14-B103-CF4F51F9F123}"/>
    <cellStyle name="20% - Accent4 4 2 6 4" xfId="29591" xr:uid="{338413E1-D2AC-4C53-B881-0FB759C6983F}"/>
    <cellStyle name="20% - Accent4 4 2 7" xfId="9258" xr:uid="{00000000-0005-0000-0000-00000C190000}"/>
    <cellStyle name="20% - Accent4 4 2 7 2" xfId="17216" xr:uid="{00000000-0005-0000-0000-00000D190000}"/>
    <cellStyle name="20% - Accent4 4 2 7 2 2" xfId="41056" xr:uid="{4510DCCA-B30E-4C9A-B164-752EDF5B9998}"/>
    <cellStyle name="20% - Accent4 4 2 7 3" xfId="25160" xr:uid="{00000000-0005-0000-0000-00000E190000}"/>
    <cellStyle name="20% - Accent4 4 2 7 3 2" xfId="48992" xr:uid="{D464DF9E-749E-48A5-8030-D918D44B6D04}"/>
    <cellStyle name="20% - Accent4 4 2 7 4" xfId="33115" xr:uid="{BE11CBB2-DAC1-4B00-A31E-DD1041063568}"/>
    <cellStyle name="20% - Accent4 4 2 8" xfId="10154" xr:uid="{00000000-0005-0000-0000-00000F190000}"/>
    <cellStyle name="20% - Accent4 4 2 8 2" xfId="34003" xr:uid="{3E20C58B-CCB5-49D2-A1CC-DC64727C34B6}"/>
    <cellStyle name="20% - Accent4 4 2 9" xfId="18109" xr:uid="{00000000-0005-0000-0000-000010190000}"/>
    <cellStyle name="20% - Accent4 4 2 9 2" xfId="41941" xr:uid="{68754A87-E81B-483D-BF97-A684F5856968}"/>
    <cellStyle name="20% - Accent4 4 2_Exh G" xfId="2378" xr:uid="{00000000-0005-0000-0000-000011190000}"/>
    <cellStyle name="20% - Accent4 4 3" xfId="208" xr:uid="{00000000-0005-0000-0000-000012190000}"/>
    <cellStyle name="20% - Accent4 4 3 2" xfId="1236" xr:uid="{00000000-0005-0000-0000-000013190000}"/>
    <cellStyle name="20% - Accent4 4 3 2 2" xfId="4766" xr:uid="{00000000-0005-0000-0000-000014190000}"/>
    <cellStyle name="20% - Accent4 4 3 2 2 2" xfId="8357" xr:uid="{00000000-0005-0000-0000-000015190000}"/>
    <cellStyle name="20% - Accent4 4 3 2 2 2 2" xfId="16328" xr:uid="{00000000-0005-0000-0000-000016190000}"/>
    <cellStyle name="20% - Accent4 4 3 2 2 2 2 2" xfId="40170" xr:uid="{01BD8F37-8B2F-40C2-925A-B15A5EABE3ED}"/>
    <cellStyle name="20% - Accent4 4 3 2 2 2 3" xfId="24274" xr:uid="{00000000-0005-0000-0000-000017190000}"/>
    <cellStyle name="20% - Accent4 4 3 2 2 2 3 2" xfId="48106" xr:uid="{60E7E31E-B48D-4952-B73C-51FEA5E1FC49}"/>
    <cellStyle name="20% - Accent4 4 3 2 2 2 4" xfId="32229" xr:uid="{3016FB48-9ADF-4F44-ABAF-87D0C23F4216}"/>
    <cellStyle name="20% - Accent4 4 3 2 2 3" xfId="12790" xr:uid="{00000000-0005-0000-0000-000018190000}"/>
    <cellStyle name="20% - Accent4 4 3 2 2 3 2" xfId="36639" xr:uid="{236D7D21-F745-4EBA-A714-51835825900A}"/>
    <cellStyle name="20% - Accent4 4 3 2 2 4" xfId="20745" xr:uid="{00000000-0005-0000-0000-000019190000}"/>
    <cellStyle name="20% - Accent4 4 3 2 2 4 2" xfId="44577" xr:uid="{ED6E12F4-D85E-4894-8098-B53EB72AEE0F}"/>
    <cellStyle name="20% - Accent4 4 3 2 2 5" xfId="28698" xr:uid="{AA02C380-28A9-429C-AE99-A50C5B5923F1}"/>
    <cellStyle name="20% - Accent4 4 3 2 3" xfId="6598" xr:uid="{00000000-0005-0000-0000-00001A190000}"/>
    <cellStyle name="20% - Accent4 4 3 2 3 2" xfId="14570" xr:uid="{00000000-0005-0000-0000-00001B190000}"/>
    <cellStyle name="20% - Accent4 4 3 2 3 2 2" xfId="38412" xr:uid="{2EE7BD8D-3087-4B2D-904D-DED696363715}"/>
    <cellStyle name="20% - Accent4 4 3 2 3 3" xfId="22517" xr:uid="{00000000-0005-0000-0000-00001C190000}"/>
    <cellStyle name="20% - Accent4 4 3 2 3 3 2" xfId="46349" xr:uid="{CF6D1809-73D3-4253-A9C8-D95FE9A94C9E}"/>
    <cellStyle name="20% - Accent4 4 3 2 3 4" xfId="30471" xr:uid="{ABC19FF3-E022-4C1A-986F-526868C76C7F}"/>
    <cellStyle name="20% - Accent4 4 3 2 4" xfId="11034" xr:uid="{00000000-0005-0000-0000-00001D190000}"/>
    <cellStyle name="20% - Accent4 4 3 2 4 2" xfId="34883" xr:uid="{6FA35F48-D264-4517-8648-9F4D7F6D1BBC}"/>
    <cellStyle name="20% - Accent4 4 3 2 5" xfId="18989" xr:uid="{00000000-0005-0000-0000-00001E190000}"/>
    <cellStyle name="20% - Accent4 4 3 2 5 2" xfId="42821" xr:uid="{2D2DBE20-A87D-42AC-A7DC-76C4192107A3}"/>
    <cellStyle name="20% - Accent4 4 3 2 6" xfId="26941" xr:uid="{0641AA11-B76B-405F-8D6A-C65DE7172364}"/>
    <cellStyle name="20% - Accent4 4 3 2_Exh G" xfId="2385" xr:uid="{00000000-0005-0000-0000-00001F190000}"/>
    <cellStyle name="20% - Accent4 4 3 3" xfId="3887" xr:uid="{00000000-0005-0000-0000-000020190000}"/>
    <cellStyle name="20% - Accent4 4 3 3 2" xfId="7479" xr:uid="{00000000-0005-0000-0000-000021190000}"/>
    <cellStyle name="20% - Accent4 4 3 3 2 2" xfId="15450" xr:uid="{00000000-0005-0000-0000-000022190000}"/>
    <cellStyle name="20% - Accent4 4 3 3 2 2 2" xfId="39292" xr:uid="{5D53F76F-265D-4449-87DD-DA860D8319F2}"/>
    <cellStyle name="20% - Accent4 4 3 3 2 3" xfId="23396" xr:uid="{00000000-0005-0000-0000-000023190000}"/>
    <cellStyle name="20% - Accent4 4 3 3 2 3 2" xfId="47228" xr:uid="{F5758FC6-478D-4038-BF1F-8D45178F5B16}"/>
    <cellStyle name="20% - Accent4 4 3 3 2 4" xfId="31351" xr:uid="{4ECBF2A5-040F-40B7-B61F-55287F0F7BF7}"/>
    <cellStyle name="20% - Accent4 4 3 3 3" xfId="11912" xr:uid="{00000000-0005-0000-0000-000024190000}"/>
    <cellStyle name="20% - Accent4 4 3 3 3 2" xfId="35761" xr:uid="{52ED39ED-0E43-4FD9-9A65-5E9EC96CDB91}"/>
    <cellStyle name="20% - Accent4 4 3 3 4" xfId="19867" xr:uid="{00000000-0005-0000-0000-000025190000}"/>
    <cellStyle name="20% - Accent4 4 3 3 4 2" xfId="43699" xr:uid="{C6E6C2BF-3E2D-4263-95DE-4545F88655B3}"/>
    <cellStyle name="20% - Accent4 4 3 3 5" xfId="27820" xr:uid="{268E3BAC-B0E4-4D88-81BA-312B16DB1959}"/>
    <cellStyle name="20% - Accent4 4 3 4" xfId="5707" xr:uid="{00000000-0005-0000-0000-000026190000}"/>
    <cellStyle name="20% - Accent4 4 3 4 2" xfId="13691" xr:uid="{00000000-0005-0000-0000-000027190000}"/>
    <cellStyle name="20% - Accent4 4 3 4 2 2" xfId="37534" xr:uid="{59C6F3EB-F7DC-4932-8830-4745EF3B7739}"/>
    <cellStyle name="20% - Accent4 4 3 4 3" xfId="21639" xr:uid="{00000000-0005-0000-0000-000028190000}"/>
    <cellStyle name="20% - Accent4 4 3 4 3 2" xfId="45471" xr:uid="{E4784548-F898-4C68-8938-AB4452C34D01}"/>
    <cellStyle name="20% - Accent4 4 3 4 4" xfId="29593" xr:uid="{EEB049A0-D744-4CDF-9478-4CC8101FCE2E}"/>
    <cellStyle name="20% - Accent4 4 3 5" xfId="9260" xr:uid="{00000000-0005-0000-0000-000029190000}"/>
    <cellStyle name="20% - Accent4 4 3 5 2" xfId="17218" xr:uid="{00000000-0005-0000-0000-00002A190000}"/>
    <cellStyle name="20% - Accent4 4 3 5 2 2" xfId="41058" xr:uid="{24E033B8-CCDC-4D4E-86B2-A0A41737C58A}"/>
    <cellStyle name="20% - Accent4 4 3 5 3" xfId="25162" xr:uid="{00000000-0005-0000-0000-00002B190000}"/>
    <cellStyle name="20% - Accent4 4 3 5 3 2" xfId="48994" xr:uid="{94F8E2C6-511E-4287-B5E6-E15B6D7C2F28}"/>
    <cellStyle name="20% - Accent4 4 3 5 4" xfId="33117" xr:uid="{4095F3CC-5455-4CB2-8B32-0A77DA066E66}"/>
    <cellStyle name="20% - Accent4 4 3 6" xfId="10156" xr:uid="{00000000-0005-0000-0000-00002C190000}"/>
    <cellStyle name="20% - Accent4 4 3 6 2" xfId="34005" xr:uid="{6BE75CC1-8262-4501-BE2F-7828C4054D29}"/>
    <cellStyle name="20% - Accent4 4 3 7" xfId="18111" xr:uid="{00000000-0005-0000-0000-00002D190000}"/>
    <cellStyle name="20% - Accent4 4 3 7 2" xfId="41943" xr:uid="{C242E214-C730-4360-8933-8DE65098229A}"/>
    <cellStyle name="20% - Accent4 4 3 8" xfId="26063" xr:uid="{D5696901-9FD4-4055-A907-12E75CFF5EF0}"/>
    <cellStyle name="20% - Accent4 4 3_Exh G" xfId="2384" xr:uid="{00000000-0005-0000-0000-00002E190000}"/>
    <cellStyle name="20% - Accent4 4 4" xfId="903" xr:uid="{00000000-0005-0000-0000-00002F190000}"/>
    <cellStyle name="20% - Accent4 4 4 2" xfId="1833" xr:uid="{00000000-0005-0000-0000-000030190000}"/>
    <cellStyle name="20% - Accent4 4 4 2 2" xfId="5351" xr:uid="{00000000-0005-0000-0000-000031190000}"/>
    <cellStyle name="20% - Accent4 4 4 2 2 2" xfId="8942" xr:uid="{00000000-0005-0000-0000-000032190000}"/>
    <cellStyle name="20% - Accent4 4 4 2 2 2 2" xfId="16913" xr:uid="{00000000-0005-0000-0000-000033190000}"/>
    <cellStyle name="20% - Accent4 4 4 2 2 2 2 2" xfId="40755" xr:uid="{0AEB68CF-972E-45FE-BBCC-3C17DFCDF0E8}"/>
    <cellStyle name="20% - Accent4 4 4 2 2 2 3" xfId="24859" xr:uid="{00000000-0005-0000-0000-000034190000}"/>
    <cellStyle name="20% - Accent4 4 4 2 2 2 3 2" xfId="48691" xr:uid="{DE86577B-4645-4F74-B51C-A1FC196D43A4}"/>
    <cellStyle name="20% - Accent4 4 4 2 2 2 4" xfId="32814" xr:uid="{89B1C100-8E88-42EE-8438-AA52DEE4BDCA}"/>
    <cellStyle name="20% - Accent4 4 4 2 2 3" xfId="13375" xr:uid="{00000000-0005-0000-0000-000035190000}"/>
    <cellStyle name="20% - Accent4 4 4 2 2 3 2" xfId="37224" xr:uid="{30ABF46E-075F-4082-96F2-6493E7AE5627}"/>
    <cellStyle name="20% - Accent4 4 4 2 2 4" xfId="21330" xr:uid="{00000000-0005-0000-0000-000036190000}"/>
    <cellStyle name="20% - Accent4 4 4 2 2 4 2" xfId="45162" xr:uid="{AA6F3DD6-7501-44AB-B70F-BA7426E0F41F}"/>
    <cellStyle name="20% - Accent4 4 4 2 2 5" xfId="29283" xr:uid="{888ABF46-60A7-4238-9490-033CD540E7F3}"/>
    <cellStyle name="20% - Accent4 4 4 2 3" xfId="7183" xr:uid="{00000000-0005-0000-0000-000037190000}"/>
    <cellStyle name="20% - Accent4 4 4 2 3 2" xfId="15155" xr:uid="{00000000-0005-0000-0000-000038190000}"/>
    <cellStyle name="20% - Accent4 4 4 2 3 2 2" xfId="38997" xr:uid="{BD454850-E788-485E-B63E-785CF1A59CFB}"/>
    <cellStyle name="20% - Accent4 4 4 2 3 3" xfId="23102" xr:uid="{00000000-0005-0000-0000-000039190000}"/>
    <cellStyle name="20% - Accent4 4 4 2 3 3 2" xfId="46934" xr:uid="{3B401170-0A7D-4A02-B617-BB31F00CF3F3}"/>
    <cellStyle name="20% - Accent4 4 4 2 3 4" xfId="31056" xr:uid="{E1361F67-1D45-4721-B2FF-A6CFFBA5F55F}"/>
    <cellStyle name="20% - Accent4 4 4 2 4" xfId="11619" xr:uid="{00000000-0005-0000-0000-00003A190000}"/>
    <cellStyle name="20% - Accent4 4 4 2 4 2" xfId="35468" xr:uid="{25E4BF0F-C41E-4B69-B740-BF321C2A573C}"/>
    <cellStyle name="20% - Accent4 4 4 2 5" xfId="19574" xr:uid="{00000000-0005-0000-0000-00003B190000}"/>
    <cellStyle name="20% - Accent4 4 4 2 5 2" xfId="43406" xr:uid="{BC2325C7-01B1-4F85-AD40-6A250FACE63A}"/>
    <cellStyle name="20% - Accent4 4 4 2 6" xfId="27526" xr:uid="{455B84AE-F22F-464D-9AA5-31D8704FDF9F}"/>
    <cellStyle name="20% - Accent4 4 4 2_Exh G" xfId="2387" xr:uid="{00000000-0005-0000-0000-00003C190000}"/>
    <cellStyle name="20% - Accent4 4 4 3" xfId="4472" xr:uid="{00000000-0005-0000-0000-00003D190000}"/>
    <cellStyle name="20% - Accent4 4 4 3 2" xfId="8064" xr:uid="{00000000-0005-0000-0000-00003E190000}"/>
    <cellStyle name="20% - Accent4 4 4 3 2 2" xfId="16035" xr:uid="{00000000-0005-0000-0000-00003F190000}"/>
    <cellStyle name="20% - Accent4 4 4 3 2 2 2" xfId="39877" xr:uid="{EC4369D0-6870-4E2A-94FF-0709DF2579F5}"/>
    <cellStyle name="20% - Accent4 4 4 3 2 3" xfId="23981" xr:uid="{00000000-0005-0000-0000-000040190000}"/>
    <cellStyle name="20% - Accent4 4 4 3 2 3 2" xfId="47813" xr:uid="{B8508F4C-0C2C-4CFD-A1EE-6E455E42A657}"/>
    <cellStyle name="20% - Accent4 4 4 3 2 4" xfId="31936" xr:uid="{AEF815A0-B5D9-4F9E-9770-8711C4584997}"/>
    <cellStyle name="20% - Accent4 4 4 3 3" xfId="12497" xr:uid="{00000000-0005-0000-0000-000041190000}"/>
    <cellStyle name="20% - Accent4 4 4 3 3 2" xfId="36346" xr:uid="{B0CC1CAE-49DA-4175-9564-87876F37C72B}"/>
    <cellStyle name="20% - Accent4 4 4 3 4" xfId="20452" xr:uid="{00000000-0005-0000-0000-000042190000}"/>
    <cellStyle name="20% - Accent4 4 4 3 4 2" xfId="44284" xr:uid="{0825ADBC-8320-4770-92E5-0C9E61A94334}"/>
    <cellStyle name="20% - Accent4 4 4 3 5" xfId="28405" xr:uid="{61F251E3-F892-4840-BB9F-E4E5B9C36BA1}"/>
    <cellStyle name="20% - Accent4 4 4 4" xfId="6302" xr:uid="{00000000-0005-0000-0000-000043190000}"/>
    <cellStyle name="20% - Accent4 4 4 4 2" xfId="14277" xr:uid="{00000000-0005-0000-0000-000044190000}"/>
    <cellStyle name="20% - Accent4 4 4 4 2 2" xfId="38119" xr:uid="{2CE32AB0-15E4-497B-A806-A9E2031F5231}"/>
    <cellStyle name="20% - Accent4 4 4 4 3" xfId="22224" xr:uid="{00000000-0005-0000-0000-000045190000}"/>
    <cellStyle name="20% - Accent4 4 4 4 3 2" xfId="46056" xr:uid="{127A668A-DC2B-4FB6-AE09-BDB319EACF0A}"/>
    <cellStyle name="20% - Accent4 4 4 4 4" xfId="30178" xr:uid="{4EBDFD50-98E0-4B66-8C24-813C512BE075}"/>
    <cellStyle name="20% - Accent4 4 4 5" xfId="9845" xr:uid="{00000000-0005-0000-0000-000046190000}"/>
    <cellStyle name="20% - Accent4 4 4 5 2" xfId="17803" xr:uid="{00000000-0005-0000-0000-000047190000}"/>
    <cellStyle name="20% - Accent4 4 4 5 2 2" xfId="41643" xr:uid="{6DD68AF1-070F-4DC6-9ABB-C2AA07C232B8}"/>
    <cellStyle name="20% - Accent4 4 4 5 3" xfId="25747" xr:uid="{00000000-0005-0000-0000-000048190000}"/>
    <cellStyle name="20% - Accent4 4 4 5 3 2" xfId="49579" xr:uid="{F3A24E1F-9609-4AC5-A998-317DFD154F04}"/>
    <cellStyle name="20% - Accent4 4 4 5 4" xfId="33702" xr:uid="{EAC4B7FD-3AA4-44A8-8A3A-E4539B40A27C}"/>
    <cellStyle name="20% - Accent4 4 4 6" xfId="10741" xr:uid="{00000000-0005-0000-0000-000049190000}"/>
    <cellStyle name="20% - Accent4 4 4 6 2" xfId="34590" xr:uid="{36D0CE69-B078-4E1A-974F-FA2E42C82462}"/>
    <cellStyle name="20% - Accent4 4 4 7" xfId="18696" xr:uid="{00000000-0005-0000-0000-00004A190000}"/>
    <cellStyle name="20% - Accent4 4 4 7 2" xfId="42528" xr:uid="{46370E89-D45D-449F-8A0E-A0A06066FC9D}"/>
    <cellStyle name="20% - Accent4 4 4 8" xfId="26648" xr:uid="{81A67E0D-6298-4B7A-8BE8-C4BD22D02F85}"/>
    <cellStyle name="20% - Accent4 4 4_Exh G" xfId="2386" xr:uid="{00000000-0005-0000-0000-00004B190000}"/>
    <cellStyle name="20% - Accent4 4 5" xfId="1233" xr:uid="{00000000-0005-0000-0000-00004C190000}"/>
    <cellStyle name="20% - Accent4 4 5 2" xfId="4763" xr:uid="{00000000-0005-0000-0000-00004D190000}"/>
    <cellStyle name="20% - Accent4 4 5 2 2" xfId="8354" xr:uid="{00000000-0005-0000-0000-00004E190000}"/>
    <cellStyle name="20% - Accent4 4 5 2 2 2" xfId="16325" xr:uid="{00000000-0005-0000-0000-00004F190000}"/>
    <cellStyle name="20% - Accent4 4 5 2 2 2 2" xfId="40167" xr:uid="{36FF9385-9544-41D8-8EDF-5CD5AF5F4283}"/>
    <cellStyle name="20% - Accent4 4 5 2 2 3" xfId="24271" xr:uid="{00000000-0005-0000-0000-000050190000}"/>
    <cellStyle name="20% - Accent4 4 5 2 2 3 2" xfId="48103" xr:uid="{9AADD416-C234-4A97-923E-272A70534FEF}"/>
    <cellStyle name="20% - Accent4 4 5 2 2 4" xfId="32226" xr:uid="{787CB09C-F670-4995-9225-86C8A8CBD798}"/>
    <cellStyle name="20% - Accent4 4 5 2 3" xfId="12787" xr:uid="{00000000-0005-0000-0000-000051190000}"/>
    <cellStyle name="20% - Accent4 4 5 2 3 2" xfId="36636" xr:uid="{14E5ABB2-F6C1-4DD8-8C81-B444BACEAD5C}"/>
    <cellStyle name="20% - Accent4 4 5 2 4" xfId="20742" xr:uid="{00000000-0005-0000-0000-000052190000}"/>
    <cellStyle name="20% - Accent4 4 5 2 4 2" xfId="44574" xr:uid="{CCA55846-A089-4D46-AF3D-4D6A01EBFC87}"/>
    <cellStyle name="20% - Accent4 4 5 2 5" xfId="28695" xr:uid="{77644437-0BBC-4E7D-96C9-4CC4020F2C08}"/>
    <cellStyle name="20% - Accent4 4 5 3" xfId="6595" xr:uid="{00000000-0005-0000-0000-000053190000}"/>
    <cellStyle name="20% - Accent4 4 5 3 2" xfId="14567" xr:uid="{00000000-0005-0000-0000-000054190000}"/>
    <cellStyle name="20% - Accent4 4 5 3 2 2" xfId="38409" xr:uid="{5117D102-7206-47AA-8786-1664DD3FC3A3}"/>
    <cellStyle name="20% - Accent4 4 5 3 3" xfId="22514" xr:uid="{00000000-0005-0000-0000-000055190000}"/>
    <cellStyle name="20% - Accent4 4 5 3 3 2" xfId="46346" xr:uid="{8E5D88CD-1F80-4616-AE64-627BD0A70143}"/>
    <cellStyle name="20% - Accent4 4 5 3 4" xfId="30468" xr:uid="{AE648020-3799-4CB3-8C26-2A5726E6BE1A}"/>
    <cellStyle name="20% - Accent4 4 5 4" xfId="11031" xr:uid="{00000000-0005-0000-0000-000056190000}"/>
    <cellStyle name="20% - Accent4 4 5 4 2" xfId="34880" xr:uid="{40CFEBA9-2013-4A60-88AA-8527B618672A}"/>
    <cellStyle name="20% - Accent4 4 5 5" xfId="18986" xr:uid="{00000000-0005-0000-0000-000057190000}"/>
    <cellStyle name="20% - Accent4 4 5 5 2" xfId="42818" xr:uid="{72DF8853-A4BC-4606-9179-76659E3BB162}"/>
    <cellStyle name="20% - Accent4 4 5 6" xfId="26938" xr:uid="{2E5BA344-250C-4348-BA6F-3687745476E4}"/>
    <cellStyle name="20% - Accent4 4 5_Exh G" xfId="2388" xr:uid="{00000000-0005-0000-0000-000058190000}"/>
    <cellStyle name="20% - Accent4 4 6" xfId="3884" xr:uid="{00000000-0005-0000-0000-000059190000}"/>
    <cellStyle name="20% - Accent4 4 6 2" xfId="7476" xr:uid="{00000000-0005-0000-0000-00005A190000}"/>
    <cellStyle name="20% - Accent4 4 6 2 2" xfId="15447" xr:uid="{00000000-0005-0000-0000-00005B190000}"/>
    <cellStyle name="20% - Accent4 4 6 2 2 2" xfId="39289" xr:uid="{C6397E08-D187-4378-9124-B8E335D74837}"/>
    <cellStyle name="20% - Accent4 4 6 2 3" xfId="23393" xr:uid="{00000000-0005-0000-0000-00005C190000}"/>
    <cellStyle name="20% - Accent4 4 6 2 3 2" xfId="47225" xr:uid="{E513A9FE-F37E-4B57-889C-69DBDE70A3F6}"/>
    <cellStyle name="20% - Accent4 4 6 2 4" xfId="31348" xr:uid="{61C6034A-D000-4DD8-9F74-9B732DADDD7D}"/>
    <cellStyle name="20% - Accent4 4 6 3" xfId="11909" xr:uid="{00000000-0005-0000-0000-00005D190000}"/>
    <cellStyle name="20% - Accent4 4 6 3 2" xfId="35758" xr:uid="{E7175BC7-D5D9-40C7-A163-58E853AFEA52}"/>
    <cellStyle name="20% - Accent4 4 6 4" xfId="19864" xr:uid="{00000000-0005-0000-0000-00005E190000}"/>
    <cellStyle name="20% - Accent4 4 6 4 2" xfId="43696" xr:uid="{057FA8D2-EA12-4DC3-BDE1-912B0C0252CB}"/>
    <cellStyle name="20% - Accent4 4 6 5" xfId="27817" xr:uid="{B9D33DE5-A0FD-450C-9744-D6917157BBBC}"/>
    <cellStyle name="20% - Accent4 4 7" xfId="5704" xr:uid="{00000000-0005-0000-0000-00005F190000}"/>
    <cellStyle name="20% - Accent4 4 7 2" xfId="13688" xr:uid="{00000000-0005-0000-0000-000060190000}"/>
    <cellStyle name="20% - Accent4 4 7 2 2" xfId="37531" xr:uid="{D75C7052-2DB1-4CD2-A8BD-16008952889C}"/>
    <cellStyle name="20% - Accent4 4 7 3" xfId="21636" xr:uid="{00000000-0005-0000-0000-000061190000}"/>
    <cellStyle name="20% - Accent4 4 7 3 2" xfId="45468" xr:uid="{397DB1EE-49A4-4CEA-A1FC-0EB532B5AFBA}"/>
    <cellStyle name="20% - Accent4 4 7 4" xfId="29590" xr:uid="{E5B77823-6802-424E-A57E-2EB0D115CDA8}"/>
    <cellStyle name="20% - Accent4 4 8" xfId="9257" xr:uid="{00000000-0005-0000-0000-000062190000}"/>
    <cellStyle name="20% - Accent4 4 8 2" xfId="17215" xr:uid="{00000000-0005-0000-0000-000063190000}"/>
    <cellStyle name="20% - Accent4 4 8 2 2" xfId="41055" xr:uid="{4A83ADF7-A946-4776-A8E1-38EB1CFF8726}"/>
    <cellStyle name="20% - Accent4 4 8 3" xfId="25159" xr:uid="{00000000-0005-0000-0000-000064190000}"/>
    <cellStyle name="20% - Accent4 4 8 3 2" xfId="48991" xr:uid="{05E91896-434F-40B9-BDAD-3403A15C4442}"/>
    <cellStyle name="20% - Accent4 4 8 4" xfId="33114" xr:uid="{B7522EB4-2F15-4230-A6B5-0DEC8F61791E}"/>
    <cellStyle name="20% - Accent4 4 9" xfId="10153" xr:uid="{00000000-0005-0000-0000-000065190000}"/>
    <cellStyle name="20% - Accent4 4 9 2" xfId="34002" xr:uid="{0AA13E02-764D-473F-A9BC-1E44DDBF6184}"/>
    <cellStyle name="20% - Accent4 4_Exh G" xfId="2377" xr:uid="{00000000-0005-0000-0000-000066190000}"/>
    <cellStyle name="20% - Accent4 5" xfId="209" xr:uid="{00000000-0005-0000-0000-000067190000}"/>
    <cellStyle name="20% - Accent4 5 10" xfId="18112" xr:uid="{00000000-0005-0000-0000-000068190000}"/>
    <cellStyle name="20% - Accent4 5 10 2" xfId="41944" xr:uid="{C6458F17-DCE1-458C-8055-04C40A529CF3}"/>
    <cellStyle name="20% - Accent4 5 11" xfId="26064" xr:uid="{86AF0820-CDBF-4531-A255-AE590D2948F7}"/>
    <cellStyle name="20% - Accent4 5 2" xfId="210" xr:uid="{00000000-0005-0000-0000-000069190000}"/>
    <cellStyle name="20% - Accent4 5 2 2" xfId="211" xr:uid="{00000000-0005-0000-0000-00006A190000}"/>
    <cellStyle name="20% - Accent4 5 2 2 2" xfId="1239" xr:uid="{00000000-0005-0000-0000-00006B190000}"/>
    <cellStyle name="20% - Accent4 5 2 2 2 2" xfId="4769" xr:uid="{00000000-0005-0000-0000-00006C190000}"/>
    <cellStyle name="20% - Accent4 5 2 2 2 2 2" xfId="8360" xr:uid="{00000000-0005-0000-0000-00006D190000}"/>
    <cellStyle name="20% - Accent4 5 2 2 2 2 2 2" xfId="16331" xr:uid="{00000000-0005-0000-0000-00006E190000}"/>
    <cellStyle name="20% - Accent4 5 2 2 2 2 2 2 2" xfId="40173" xr:uid="{4A289A99-38D6-4CCB-917D-8291C21DB51D}"/>
    <cellStyle name="20% - Accent4 5 2 2 2 2 2 3" xfId="24277" xr:uid="{00000000-0005-0000-0000-00006F190000}"/>
    <cellStyle name="20% - Accent4 5 2 2 2 2 2 3 2" xfId="48109" xr:uid="{030949FD-E3C3-488E-9F44-211D36973AE6}"/>
    <cellStyle name="20% - Accent4 5 2 2 2 2 2 4" xfId="32232" xr:uid="{96702D6B-5643-4240-A377-79729B74BC93}"/>
    <cellStyle name="20% - Accent4 5 2 2 2 2 3" xfId="12793" xr:uid="{00000000-0005-0000-0000-000070190000}"/>
    <cellStyle name="20% - Accent4 5 2 2 2 2 3 2" xfId="36642" xr:uid="{6245DFAA-89E8-4659-BFBE-0EAE59F0E966}"/>
    <cellStyle name="20% - Accent4 5 2 2 2 2 4" xfId="20748" xr:uid="{00000000-0005-0000-0000-000071190000}"/>
    <cellStyle name="20% - Accent4 5 2 2 2 2 4 2" xfId="44580" xr:uid="{4FE16273-ACBD-4510-8113-AF4CB35FFE20}"/>
    <cellStyle name="20% - Accent4 5 2 2 2 2 5" xfId="28701" xr:uid="{87DF92C0-C165-48B5-9D3E-A0E9132BEA8C}"/>
    <cellStyle name="20% - Accent4 5 2 2 2 3" xfId="6601" xr:uid="{00000000-0005-0000-0000-000072190000}"/>
    <cellStyle name="20% - Accent4 5 2 2 2 3 2" xfId="14573" xr:uid="{00000000-0005-0000-0000-000073190000}"/>
    <cellStyle name="20% - Accent4 5 2 2 2 3 2 2" xfId="38415" xr:uid="{5340366F-E8E9-418A-AE39-F06140557C9F}"/>
    <cellStyle name="20% - Accent4 5 2 2 2 3 3" xfId="22520" xr:uid="{00000000-0005-0000-0000-000074190000}"/>
    <cellStyle name="20% - Accent4 5 2 2 2 3 3 2" xfId="46352" xr:uid="{A39A5993-C10D-4C14-9AD8-42970FA91F94}"/>
    <cellStyle name="20% - Accent4 5 2 2 2 3 4" xfId="30474" xr:uid="{E4900DC6-4320-4DF5-919D-3E2A6DC88D65}"/>
    <cellStyle name="20% - Accent4 5 2 2 2 4" xfId="11037" xr:uid="{00000000-0005-0000-0000-000075190000}"/>
    <cellStyle name="20% - Accent4 5 2 2 2 4 2" xfId="34886" xr:uid="{CCB49DE8-B2E9-4B7A-953C-650AD5BA321E}"/>
    <cellStyle name="20% - Accent4 5 2 2 2 5" xfId="18992" xr:uid="{00000000-0005-0000-0000-000076190000}"/>
    <cellStyle name="20% - Accent4 5 2 2 2 5 2" xfId="42824" xr:uid="{3E87BDC6-A1BF-4411-BCF3-F03F40298628}"/>
    <cellStyle name="20% - Accent4 5 2 2 2 6" xfId="26944" xr:uid="{BB406092-87C7-44CA-BA6F-9328CE3BC00C}"/>
    <cellStyle name="20% - Accent4 5 2 2 2_Exh G" xfId="2392" xr:uid="{00000000-0005-0000-0000-000077190000}"/>
    <cellStyle name="20% - Accent4 5 2 2 3" xfId="3890" xr:uid="{00000000-0005-0000-0000-000078190000}"/>
    <cellStyle name="20% - Accent4 5 2 2 3 2" xfId="7482" xr:uid="{00000000-0005-0000-0000-000079190000}"/>
    <cellStyle name="20% - Accent4 5 2 2 3 2 2" xfId="15453" xr:uid="{00000000-0005-0000-0000-00007A190000}"/>
    <cellStyle name="20% - Accent4 5 2 2 3 2 2 2" xfId="39295" xr:uid="{0E6E395D-CC4C-4D45-B58F-63F367D70BF8}"/>
    <cellStyle name="20% - Accent4 5 2 2 3 2 3" xfId="23399" xr:uid="{00000000-0005-0000-0000-00007B190000}"/>
    <cellStyle name="20% - Accent4 5 2 2 3 2 3 2" xfId="47231" xr:uid="{E8698F3C-56F3-47C7-AE12-AF6813CFD5C9}"/>
    <cellStyle name="20% - Accent4 5 2 2 3 2 4" xfId="31354" xr:uid="{FC50F1D8-169A-4EFA-9C2B-86F34CF92899}"/>
    <cellStyle name="20% - Accent4 5 2 2 3 3" xfId="11915" xr:uid="{00000000-0005-0000-0000-00007C190000}"/>
    <cellStyle name="20% - Accent4 5 2 2 3 3 2" xfId="35764" xr:uid="{6A87DC4E-E341-4F3C-A219-186CD2C488DF}"/>
    <cellStyle name="20% - Accent4 5 2 2 3 4" xfId="19870" xr:uid="{00000000-0005-0000-0000-00007D190000}"/>
    <cellStyle name="20% - Accent4 5 2 2 3 4 2" xfId="43702" xr:uid="{C327AECD-A2BA-4A6E-81CC-9DE6322D48E6}"/>
    <cellStyle name="20% - Accent4 5 2 2 3 5" xfId="27823" xr:uid="{AB781B2E-E5DB-497A-8127-48D06D1C355F}"/>
    <cellStyle name="20% - Accent4 5 2 2 4" xfId="5710" xr:uid="{00000000-0005-0000-0000-00007E190000}"/>
    <cellStyle name="20% - Accent4 5 2 2 4 2" xfId="13694" xr:uid="{00000000-0005-0000-0000-00007F190000}"/>
    <cellStyle name="20% - Accent4 5 2 2 4 2 2" xfId="37537" xr:uid="{1F4F09EB-10DA-413E-91C2-78FD66859170}"/>
    <cellStyle name="20% - Accent4 5 2 2 4 3" xfId="21642" xr:uid="{00000000-0005-0000-0000-000080190000}"/>
    <cellStyle name="20% - Accent4 5 2 2 4 3 2" xfId="45474" xr:uid="{E2B20AA5-8C89-43C5-AE74-BA4A5A71ACF2}"/>
    <cellStyle name="20% - Accent4 5 2 2 4 4" xfId="29596" xr:uid="{592B94AA-1BD7-41CA-8EAF-81D1BFA02F09}"/>
    <cellStyle name="20% - Accent4 5 2 2 5" xfId="9263" xr:uid="{00000000-0005-0000-0000-000081190000}"/>
    <cellStyle name="20% - Accent4 5 2 2 5 2" xfId="17221" xr:uid="{00000000-0005-0000-0000-000082190000}"/>
    <cellStyle name="20% - Accent4 5 2 2 5 2 2" xfId="41061" xr:uid="{3806B2D8-D86E-4FCE-968B-748B6BE80354}"/>
    <cellStyle name="20% - Accent4 5 2 2 5 3" xfId="25165" xr:uid="{00000000-0005-0000-0000-000083190000}"/>
    <cellStyle name="20% - Accent4 5 2 2 5 3 2" xfId="48997" xr:uid="{5BFCD0A8-EDA2-41CC-A514-6A72732D7507}"/>
    <cellStyle name="20% - Accent4 5 2 2 5 4" xfId="33120" xr:uid="{8275588E-6231-4B77-95F9-DEE770CC6B12}"/>
    <cellStyle name="20% - Accent4 5 2 2 6" xfId="10159" xr:uid="{00000000-0005-0000-0000-000084190000}"/>
    <cellStyle name="20% - Accent4 5 2 2 6 2" xfId="34008" xr:uid="{05A970B5-C8F3-46F3-9AC9-D5EE5B31CA99}"/>
    <cellStyle name="20% - Accent4 5 2 2 7" xfId="18114" xr:uid="{00000000-0005-0000-0000-000085190000}"/>
    <cellStyle name="20% - Accent4 5 2 2 7 2" xfId="41946" xr:uid="{AB16C980-55EF-47D6-A411-452BFE314809}"/>
    <cellStyle name="20% - Accent4 5 2 2 8" xfId="26066" xr:uid="{6C457A52-D9DC-4B8B-BA7C-E25B2825985B}"/>
    <cellStyle name="20% - Accent4 5 2 2_Exh G" xfId="2391" xr:uid="{00000000-0005-0000-0000-000086190000}"/>
    <cellStyle name="20% - Accent4 5 2 3" xfId="1238" xr:uid="{00000000-0005-0000-0000-000087190000}"/>
    <cellStyle name="20% - Accent4 5 2 3 2" xfId="4768" xr:uid="{00000000-0005-0000-0000-000088190000}"/>
    <cellStyle name="20% - Accent4 5 2 3 2 2" xfId="8359" xr:uid="{00000000-0005-0000-0000-000089190000}"/>
    <cellStyle name="20% - Accent4 5 2 3 2 2 2" xfId="16330" xr:uid="{00000000-0005-0000-0000-00008A190000}"/>
    <cellStyle name="20% - Accent4 5 2 3 2 2 2 2" xfId="40172" xr:uid="{38C91E8D-3093-465F-BA7A-D2829585D59A}"/>
    <cellStyle name="20% - Accent4 5 2 3 2 2 3" xfId="24276" xr:uid="{00000000-0005-0000-0000-00008B190000}"/>
    <cellStyle name="20% - Accent4 5 2 3 2 2 3 2" xfId="48108" xr:uid="{B14A676E-F8C6-4EAC-BEE3-E0DD995F6695}"/>
    <cellStyle name="20% - Accent4 5 2 3 2 2 4" xfId="32231" xr:uid="{F5B0857F-C5BF-4A03-B28A-8D5E827D45EE}"/>
    <cellStyle name="20% - Accent4 5 2 3 2 3" xfId="12792" xr:uid="{00000000-0005-0000-0000-00008C190000}"/>
    <cellStyle name="20% - Accent4 5 2 3 2 3 2" xfId="36641" xr:uid="{0B8B394E-BC87-49DE-9BAF-0C9AB79CBB41}"/>
    <cellStyle name="20% - Accent4 5 2 3 2 4" xfId="20747" xr:uid="{00000000-0005-0000-0000-00008D190000}"/>
    <cellStyle name="20% - Accent4 5 2 3 2 4 2" xfId="44579" xr:uid="{99F0A78A-2FFD-49B9-A1DE-0C8715A10D19}"/>
    <cellStyle name="20% - Accent4 5 2 3 2 5" xfId="28700" xr:uid="{6C6DBD9C-08C6-4236-BD44-07A7BFF7E813}"/>
    <cellStyle name="20% - Accent4 5 2 3 3" xfId="6600" xr:uid="{00000000-0005-0000-0000-00008E190000}"/>
    <cellStyle name="20% - Accent4 5 2 3 3 2" xfId="14572" xr:uid="{00000000-0005-0000-0000-00008F190000}"/>
    <cellStyle name="20% - Accent4 5 2 3 3 2 2" xfId="38414" xr:uid="{3C889434-A998-4F90-9E44-C69C591E8EB6}"/>
    <cellStyle name="20% - Accent4 5 2 3 3 3" xfId="22519" xr:uid="{00000000-0005-0000-0000-000090190000}"/>
    <cellStyle name="20% - Accent4 5 2 3 3 3 2" xfId="46351" xr:uid="{21AD7096-C67A-4B4F-87AA-6512588DA4FC}"/>
    <cellStyle name="20% - Accent4 5 2 3 3 4" xfId="30473" xr:uid="{85FF529B-FED0-45BD-A4A0-FC405976FBEC}"/>
    <cellStyle name="20% - Accent4 5 2 3 4" xfId="11036" xr:uid="{00000000-0005-0000-0000-000091190000}"/>
    <cellStyle name="20% - Accent4 5 2 3 4 2" xfId="34885" xr:uid="{F1521721-21F1-4E07-A7A6-647FC4702D00}"/>
    <cellStyle name="20% - Accent4 5 2 3 5" xfId="18991" xr:uid="{00000000-0005-0000-0000-000092190000}"/>
    <cellStyle name="20% - Accent4 5 2 3 5 2" xfId="42823" xr:uid="{0708A16B-8DA1-49AE-B7F0-AA9DFA3CF61A}"/>
    <cellStyle name="20% - Accent4 5 2 3 6" xfId="26943" xr:uid="{D87ACD93-708B-4662-87FC-4D9E9D05C694}"/>
    <cellStyle name="20% - Accent4 5 2 3_Exh G" xfId="2393" xr:uid="{00000000-0005-0000-0000-000093190000}"/>
    <cellStyle name="20% - Accent4 5 2 4" xfId="3889" xr:uid="{00000000-0005-0000-0000-000094190000}"/>
    <cellStyle name="20% - Accent4 5 2 4 2" xfId="7481" xr:uid="{00000000-0005-0000-0000-000095190000}"/>
    <cellStyle name="20% - Accent4 5 2 4 2 2" xfId="15452" xr:uid="{00000000-0005-0000-0000-000096190000}"/>
    <cellStyle name="20% - Accent4 5 2 4 2 2 2" xfId="39294" xr:uid="{0CD43DD7-C8D4-40A9-AEE6-58BB675720C9}"/>
    <cellStyle name="20% - Accent4 5 2 4 2 3" xfId="23398" xr:uid="{00000000-0005-0000-0000-000097190000}"/>
    <cellStyle name="20% - Accent4 5 2 4 2 3 2" xfId="47230" xr:uid="{35EAF80B-970E-4A64-ADF8-C256066B9FC3}"/>
    <cellStyle name="20% - Accent4 5 2 4 2 4" xfId="31353" xr:uid="{73C94ED4-3AC5-4787-BC4E-D30BA7704F03}"/>
    <cellStyle name="20% - Accent4 5 2 4 3" xfId="11914" xr:uid="{00000000-0005-0000-0000-000098190000}"/>
    <cellStyle name="20% - Accent4 5 2 4 3 2" xfId="35763" xr:uid="{7A9770AA-417B-44B1-A0DA-0872678C3747}"/>
    <cellStyle name="20% - Accent4 5 2 4 4" xfId="19869" xr:uid="{00000000-0005-0000-0000-000099190000}"/>
    <cellStyle name="20% - Accent4 5 2 4 4 2" xfId="43701" xr:uid="{75C5D7A8-7D48-4C3C-AA9F-94F3609F8268}"/>
    <cellStyle name="20% - Accent4 5 2 4 5" xfId="27822" xr:uid="{AB264428-CFA7-45B7-B1E2-8D6AFCFB8B23}"/>
    <cellStyle name="20% - Accent4 5 2 5" xfId="5709" xr:uid="{00000000-0005-0000-0000-00009A190000}"/>
    <cellStyle name="20% - Accent4 5 2 5 2" xfId="13693" xr:uid="{00000000-0005-0000-0000-00009B190000}"/>
    <cellStyle name="20% - Accent4 5 2 5 2 2" xfId="37536" xr:uid="{E07920E3-E6E2-47DF-AA39-B57596B51D50}"/>
    <cellStyle name="20% - Accent4 5 2 5 3" xfId="21641" xr:uid="{00000000-0005-0000-0000-00009C190000}"/>
    <cellStyle name="20% - Accent4 5 2 5 3 2" xfId="45473" xr:uid="{B962AE11-E791-4130-AFF1-7DB35B9994A5}"/>
    <cellStyle name="20% - Accent4 5 2 5 4" xfId="29595" xr:uid="{26E2F54E-1C83-46B8-9B0E-98EDAFFC9BEC}"/>
    <cellStyle name="20% - Accent4 5 2 6" xfId="9262" xr:uid="{00000000-0005-0000-0000-00009D190000}"/>
    <cellStyle name="20% - Accent4 5 2 6 2" xfId="17220" xr:uid="{00000000-0005-0000-0000-00009E190000}"/>
    <cellStyle name="20% - Accent4 5 2 6 2 2" xfId="41060" xr:uid="{13C96DDB-1227-45B4-B856-633B648041F9}"/>
    <cellStyle name="20% - Accent4 5 2 6 3" xfId="25164" xr:uid="{00000000-0005-0000-0000-00009F190000}"/>
    <cellStyle name="20% - Accent4 5 2 6 3 2" xfId="48996" xr:uid="{6BDE6BD8-1825-4351-9DBC-9F1376AD9EF5}"/>
    <cellStyle name="20% - Accent4 5 2 6 4" xfId="33119" xr:uid="{D39300AA-1FBB-4E46-B392-66621DD6BF75}"/>
    <cellStyle name="20% - Accent4 5 2 7" xfId="10158" xr:uid="{00000000-0005-0000-0000-0000A0190000}"/>
    <cellStyle name="20% - Accent4 5 2 7 2" xfId="34007" xr:uid="{4016339C-0CE9-492A-B254-62ADC770BA0C}"/>
    <cellStyle name="20% - Accent4 5 2 8" xfId="18113" xr:uid="{00000000-0005-0000-0000-0000A1190000}"/>
    <cellStyle name="20% - Accent4 5 2 8 2" xfId="41945" xr:uid="{4CAE8C12-9441-429A-B3E2-E1B9AD7DE8EF}"/>
    <cellStyle name="20% - Accent4 5 2 9" xfId="26065" xr:uid="{61290B0D-5DF4-4D91-BC9C-B39AA296BA65}"/>
    <cellStyle name="20% - Accent4 5 2_Exh G" xfId="2390" xr:uid="{00000000-0005-0000-0000-0000A2190000}"/>
    <cellStyle name="20% - Accent4 5 3" xfId="212" xr:uid="{00000000-0005-0000-0000-0000A3190000}"/>
    <cellStyle name="20% - Accent4 5 3 2" xfId="1240" xr:uid="{00000000-0005-0000-0000-0000A4190000}"/>
    <cellStyle name="20% - Accent4 5 3 2 2" xfId="4770" xr:uid="{00000000-0005-0000-0000-0000A5190000}"/>
    <cellStyle name="20% - Accent4 5 3 2 2 2" xfId="8361" xr:uid="{00000000-0005-0000-0000-0000A6190000}"/>
    <cellStyle name="20% - Accent4 5 3 2 2 2 2" xfId="16332" xr:uid="{00000000-0005-0000-0000-0000A7190000}"/>
    <cellStyle name="20% - Accent4 5 3 2 2 2 2 2" xfId="40174" xr:uid="{9FE3A880-0C59-425C-B4B1-BAE0F06F19A0}"/>
    <cellStyle name="20% - Accent4 5 3 2 2 2 3" xfId="24278" xr:uid="{00000000-0005-0000-0000-0000A8190000}"/>
    <cellStyle name="20% - Accent4 5 3 2 2 2 3 2" xfId="48110" xr:uid="{AAAEE5F6-D7B2-4C8B-8830-D17B983ADE5A}"/>
    <cellStyle name="20% - Accent4 5 3 2 2 2 4" xfId="32233" xr:uid="{414998CD-FE92-4E5D-BEFA-C16AE9B2924E}"/>
    <cellStyle name="20% - Accent4 5 3 2 2 3" xfId="12794" xr:uid="{00000000-0005-0000-0000-0000A9190000}"/>
    <cellStyle name="20% - Accent4 5 3 2 2 3 2" xfId="36643" xr:uid="{B76F7AB8-7CE8-4ED9-A52F-0B31A4788E58}"/>
    <cellStyle name="20% - Accent4 5 3 2 2 4" xfId="20749" xr:uid="{00000000-0005-0000-0000-0000AA190000}"/>
    <cellStyle name="20% - Accent4 5 3 2 2 4 2" xfId="44581" xr:uid="{23A0213C-DF98-4E71-997B-12BA1D65200E}"/>
    <cellStyle name="20% - Accent4 5 3 2 2 5" xfId="28702" xr:uid="{4BBE1646-CD31-4B70-9920-A9FE7415272E}"/>
    <cellStyle name="20% - Accent4 5 3 2 3" xfId="6602" xr:uid="{00000000-0005-0000-0000-0000AB190000}"/>
    <cellStyle name="20% - Accent4 5 3 2 3 2" xfId="14574" xr:uid="{00000000-0005-0000-0000-0000AC190000}"/>
    <cellStyle name="20% - Accent4 5 3 2 3 2 2" xfId="38416" xr:uid="{5A0618B1-F35C-4914-93D5-93BF0EC66DB1}"/>
    <cellStyle name="20% - Accent4 5 3 2 3 3" xfId="22521" xr:uid="{00000000-0005-0000-0000-0000AD190000}"/>
    <cellStyle name="20% - Accent4 5 3 2 3 3 2" xfId="46353" xr:uid="{8D327149-D6C9-4748-B90D-631CE9A0CD8F}"/>
    <cellStyle name="20% - Accent4 5 3 2 3 4" xfId="30475" xr:uid="{CFD642EC-C93F-48A0-A7EA-66A7DBF52516}"/>
    <cellStyle name="20% - Accent4 5 3 2 4" xfId="11038" xr:uid="{00000000-0005-0000-0000-0000AE190000}"/>
    <cellStyle name="20% - Accent4 5 3 2 4 2" xfId="34887" xr:uid="{A51557E4-CAA9-4673-A5E2-4EE24ABA5C1A}"/>
    <cellStyle name="20% - Accent4 5 3 2 5" xfId="18993" xr:uid="{00000000-0005-0000-0000-0000AF190000}"/>
    <cellStyle name="20% - Accent4 5 3 2 5 2" xfId="42825" xr:uid="{51552FF3-B452-455F-9407-F105CA2D4A3F}"/>
    <cellStyle name="20% - Accent4 5 3 2 6" xfId="26945" xr:uid="{FCF63DA8-E34F-4FEF-A860-C4AEC91F4D43}"/>
    <cellStyle name="20% - Accent4 5 3 2_Exh G" xfId="2395" xr:uid="{00000000-0005-0000-0000-0000B0190000}"/>
    <cellStyle name="20% - Accent4 5 3 3" xfId="3891" xr:uid="{00000000-0005-0000-0000-0000B1190000}"/>
    <cellStyle name="20% - Accent4 5 3 3 2" xfId="7483" xr:uid="{00000000-0005-0000-0000-0000B2190000}"/>
    <cellStyle name="20% - Accent4 5 3 3 2 2" xfId="15454" xr:uid="{00000000-0005-0000-0000-0000B3190000}"/>
    <cellStyle name="20% - Accent4 5 3 3 2 2 2" xfId="39296" xr:uid="{1FF8407D-8756-4018-9B98-21566C35BBC6}"/>
    <cellStyle name="20% - Accent4 5 3 3 2 3" xfId="23400" xr:uid="{00000000-0005-0000-0000-0000B4190000}"/>
    <cellStyle name="20% - Accent4 5 3 3 2 3 2" xfId="47232" xr:uid="{D43E3991-A372-417D-80B0-EAF020529A13}"/>
    <cellStyle name="20% - Accent4 5 3 3 2 4" xfId="31355" xr:uid="{6C85B9B2-070A-4AA2-88B9-397934C97C9E}"/>
    <cellStyle name="20% - Accent4 5 3 3 3" xfId="11916" xr:uid="{00000000-0005-0000-0000-0000B5190000}"/>
    <cellStyle name="20% - Accent4 5 3 3 3 2" xfId="35765" xr:uid="{FA6C84CF-5939-4D02-AB4C-C0EEB898098E}"/>
    <cellStyle name="20% - Accent4 5 3 3 4" xfId="19871" xr:uid="{00000000-0005-0000-0000-0000B6190000}"/>
    <cellStyle name="20% - Accent4 5 3 3 4 2" xfId="43703" xr:uid="{07404500-C494-45F8-A6F4-2B7697005B19}"/>
    <cellStyle name="20% - Accent4 5 3 3 5" xfId="27824" xr:uid="{A0744C9C-1E4B-4DF7-9181-9B6B5226AC6C}"/>
    <cellStyle name="20% - Accent4 5 3 4" xfId="5711" xr:uid="{00000000-0005-0000-0000-0000B7190000}"/>
    <cellStyle name="20% - Accent4 5 3 4 2" xfId="13695" xr:uid="{00000000-0005-0000-0000-0000B8190000}"/>
    <cellStyle name="20% - Accent4 5 3 4 2 2" xfId="37538" xr:uid="{7858AE39-8C71-4819-81EA-5F52D75ED5C7}"/>
    <cellStyle name="20% - Accent4 5 3 4 3" xfId="21643" xr:uid="{00000000-0005-0000-0000-0000B9190000}"/>
    <cellStyle name="20% - Accent4 5 3 4 3 2" xfId="45475" xr:uid="{0BC1685F-8EC8-487F-B362-F3C096AA2A5E}"/>
    <cellStyle name="20% - Accent4 5 3 4 4" xfId="29597" xr:uid="{CD894598-1DDB-4F70-A04E-53C31400B673}"/>
    <cellStyle name="20% - Accent4 5 3 5" xfId="9264" xr:uid="{00000000-0005-0000-0000-0000BA190000}"/>
    <cellStyle name="20% - Accent4 5 3 5 2" xfId="17222" xr:uid="{00000000-0005-0000-0000-0000BB190000}"/>
    <cellStyle name="20% - Accent4 5 3 5 2 2" xfId="41062" xr:uid="{AEC7FBD2-2F99-40F3-A40F-877D5F0CF61C}"/>
    <cellStyle name="20% - Accent4 5 3 5 3" xfId="25166" xr:uid="{00000000-0005-0000-0000-0000BC190000}"/>
    <cellStyle name="20% - Accent4 5 3 5 3 2" xfId="48998" xr:uid="{E73160E1-EAD4-47C9-B7B7-FEAC94D7B343}"/>
    <cellStyle name="20% - Accent4 5 3 5 4" xfId="33121" xr:uid="{0E3B42E8-0710-41A3-9804-12987C93D302}"/>
    <cellStyle name="20% - Accent4 5 3 6" xfId="10160" xr:uid="{00000000-0005-0000-0000-0000BD190000}"/>
    <cellStyle name="20% - Accent4 5 3 6 2" xfId="34009" xr:uid="{FDBE27BE-E95D-4D29-8F1D-DD7F8AF22713}"/>
    <cellStyle name="20% - Accent4 5 3 7" xfId="18115" xr:uid="{00000000-0005-0000-0000-0000BE190000}"/>
    <cellStyle name="20% - Accent4 5 3 7 2" xfId="41947" xr:uid="{2D744479-D4B8-409F-9826-EE6DD3C09C8B}"/>
    <cellStyle name="20% - Accent4 5 3 8" xfId="26067" xr:uid="{697E07A9-FBA8-4377-8FFE-0593B6386844}"/>
    <cellStyle name="20% - Accent4 5 3_Exh G" xfId="2394" xr:uid="{00000000-0005-0000-0000-0000BF190000}"/>
    <cellStyle name="20% - Accent4 5 4" xfId="905" xr:uid="{00000000-0005-0000-0000-0000C0190000}"/>
    <cellStyle name="20% - Accent4 5 5" xfId="1237" xr:uid="{00000000-0005-0000-0000-0000C1190000}"/>
    <cellStyle name="20% - Accent4 5 5 2" xfId="4767" xr:uid="{00000000-0005-0000-0000-0000C2190000}"/>
    <cellStyle name="20% - Accent4 5 5 2 2" xfId="8358" xr:uid="{00000000-0005-0000-0000-0000C3190000}"/>
    <cellStyle name="20% - Accent4 5 5 2 2 2" xfId="16329" xr:uid="{00000000-0005-0000-0000-0000C4190000}"/>
    <cellStyle name="20% - Accent4 5 5 2 2 2 2" xfId="40171" xr:uid="{1D5397CA-C497-4E02-9C3A-A42A6B3A2DA5}"/>
    <cellStyle name="20% - Accent4 5 5 2 2 3" xfId="24275" xr:uid="{00000000-0005-0000-0000-0000C5190000}"/>
    <cellStyle name="20% - Accent4 5 5 2 2 3 2" xfId="48107" xr:uid="{F6F5178D-D58A-4CDC-BB61-24BCFEAE76C4}"/>
    <cellStyle name="20% - Accent4 5 5 2 2 4" xfId="32230" xr:uid="{4F51BA1F-C8CE-437E-AD39-6C3E7723D726}"/>
    <cellStyle name="20% - Accent4 5 5 2 3" xfId="12791" xr:uid="{00000000-0005-0000-0000-0000C6190000}"/>
    <cellStyle name="20% - Accent4 5 5 2 3 2" xfId="36640" xr:uid="{344E5F6C-B5DB-4A64-BD2D-A79574709E9C}"/>
    <cellStyle name="20% - Accent4 5 5 2 4" xfId="20746" xr:uid="{00000000-0005-0000-0000-0000C7190000}"/>
    <cellStyle name="20% - Accent4 5 5 2 4 2" xfId="44578" xr:uid="{45281A76-B7CB-47EE-9B72-35A1DA4745D1}"/>
    <cellStyle name="20% - Accent4 5 5 2 5" xfId="28699" xr:uid="{90B6277A-8120-462E-9E77-4EF9E3DB7BC8}"/>
    <cellStyle name="20% - Accent4 5 5 3" xfId="6599" xr:uid="{00000000-0005-0000-0000-0000C8190000}"/>
    <cellStyle name="20% - Accent4 5 5 3 2" xfId="14571" xr:uid="{00000000-0005-0000-0000-0000C9190000}"/>
    <cellStyle name="20% - Accent4 5 5 3 2 2" xfId="38413" xr:uid="{25030A0B-17BB-421B-AE07-1EC587623D0F}"/>
    <cellStyle name="20% - Accent4 5 5 3 3" xfId="22518" xr:uid="{00000000-0005-0000-0000-0000CA190000}"/>
    <cellStyle name="20% - Accent4 5 5 3 3 2" xfId="46350" xr:uid="{F720B5E8-6345-4099-8049-98D29B0F5693}"/>
    <cellStyle name="20% - Accent4 5 5 3 4" xfId="30472" xr:uid="{42035A3A-04D4-4F3B-AFB0-F19A4E3AFAC6}"/>
    <cellStyle name="20% - Accent4 5 5 4" xfId="11035" xr:uid="{00000000-0005-0000-0000-0000CB190000}"/>
    <cellStyle name="20% - Accent4 5 5 4 2" xfId="34884" xr:uid="{DDA057A8-3DCD-42B2-9CDD-4418F2A9F51C}"/>
    <cellStyle name="20% - Accent4 5 5 5" xfId="18990" xr:uid="{00000000-0005-0000-0000-0000CC190000}"/>
    <cellStyle name="20% - Accent4 5 5 5 2" xfId="42822" xr:uid="{C40D21FD-2C16-4388-A67C-9DB3552E611E}"/>
    <cellStyle name="20% - Accent4 5 5 6" xfId="26942" xr:uid="{E71C5015-7DEB-4E4D-9B14-FB4B953B2964}"/>
    <cellStyle name="20% - Accent4 5 5_Exh G" xfId="2396" xr:uid="{00000000-0005-0000-0000-0000CD190000}"/>
    <cellStyle name="20% - Accent4 5 6" xfId="3888" xr:uid="{00000000-0005-0000-0000-0000CE190000}"/>
    <cellStyle name="20% - Accent4 5 6 2" xfId="7480" xr:uid="{00000000-0005-0000-0000-0000CF190000}"/>
    <cellStyle name="20% - Accent4 5 6 2 2" xfId="15451" xr:uid="{00000000-0005-0000-0000-0000D0190000}"/>
    <cellStyle name="20% - Accent4 5 6 2 2 2" xfId="39293" xr:uid="{801E55AF-50FB-460C-8A5D-C85C4B841285}"/>
    <cellStyle name="20% - Accent4 5 6 2 3" xfId="23397" xr:uid="{00000000-0005-0000-0000-0000D1190000}"/>
    <cellStyle name="20% - Accent4 5 6 2 3 2" xfId="47229" xr:uid="{AD094A27-C516-4D30-AF6C-26B6CA7F5AC8}"/>
    <cellStyle name="20% - Accent4 5 6 2 4" xfId="31352" xr:uid="{D8FA30AD-AC4A-4F91-A2B2-9897CDAC4252}"/>
    <cellStyle name="20% - Accent4 5 6 3" xfId="11913" xr:uid="{00000000-0005-0000-0000-0000D2190000}"/>
    <cellStyle name="20% - Accent4 5 6 3 2" xfId="35762" xr:uid="{2CC57EA1-3B32-4CD3-8CE1-02E0B3CEF5DF}"/>
    <cellStyle name="20% - Accent4 5 6 4" xfId="19868" xr:uid="{00000000-0005-0000-0000-0000D3190000}"/>
    <cellStyle name="20% - Accent4 5 6 4 2" xfId="43700" xr:uid="{EB30DBB7-084D-4C56-B958-6D2B0B9B3732}"/>
    <cellStyle name="20% - Accent4 5 6 5" xfId="27821" xr:uid="{B386347B-992F-441E-A21C-6DF03F65B99C}"/>
    <cellStyle name="20% - Accent4 5 7" xfId="5708" xr:uid="{00000000-0005-0000-0000-0000D4190000}"/>
    <cellStyle name="20% - Accent4 5 7 2" xfId="13692" xr:uid="{00000000-0005-0000-0000-0000D5190000}"/>
    <cellStyle name="20% - Accent4 5 7 2 2" xfId="37535" xr:uid="{E586132F-D355-4E39-AFC3-94E169495BD2}"/>
    <cellStyle name="20% - Accent4 5 7 3" xfId="21640" xr:uid="{00000000-0005-0000-0000-0000D6190000}"/>
    <cellStyle name="20% - Accent4 5 7 3 2" xfId="45472" xr:uid="{6295D51E-7F33-4BA1-8C4D-06EE53EB55E1}"/>
    <cellStyle name="20% - Accent4 5 7 4" xfId="29594" xr:uid="{47359226-F6D4-4613-85C0-18D4F0FE074A}"/>
    <cellStyle name="20% - Accent4 5 8" xfId="9261" xr:uid="{00000000-0005-0000-0000-0000D7190000}"/>
    <cellStyle name="20% - Accent4 5 8 2" xfId="17219" xr:uid="{00000000-0005-0000-0000-0000D8190000}"/>
    <cellStyle name="20% - Accent4 5 8 2 2" xfId="41059" xr:uid="{F3CD08C0-B3BD-4D95-89C5-88E238EA6388}"/>
    <cellStyle name="20% - Accent4 5 8 3" xfId="25163" xr:uid="{00000000-0005-0000-0000-0000D9190000}"/>
    <cellStyle name="20% - Accent4 5 8 3 2" xfId="48995" xr:uid="{110C7B46-D7CE-4576-AF59-928D37898D0A}"/>
    <cellStyle name="20% - Accent4 5 8 4" xfId="33118" xr:uid="{902418C7-812D-4201-97D7-23F0207E4F3B}"/>
    <cellStyle name="20% - Accent4 5 9" xfId="10157" xr:uid="{00000000-0005-0000-0000-0000DA190000}"/>
    <cellStyle name="20% - Accent4 5 9 2" xfId="34006" xr:uid="{384EF4B5-5404-43EF-908B-3C299F557C7F}"/>
    <cellStyle name="20% - Accent4 5_Exh G" xfId="2389" xr:uid="{00000000-0005-0000-0000-0000DB190000}"/>
    <cellStyle name="20% - Accent4 6" xfId="213" xr:uid="{00000000-0005-0000-0000-0000DC190000}"/>
    <cellStyle name="20% - Accent4 6 10" xfId="18116" xr:uid="{00000000-0005-0000-0000-0000DD190000}"/>
    <cellStyle name="20% - Accent4 6 10 2" xfId="41948" xr:uid="{66E9A9CE-A746-4448-AAEE-979134804269}"/>
    <cellStyle name="20% - Accent4 6 11" xfId="26068" xr:uid="{2FD60BEF-7285-4DEA-8973-7BF40D96836E}"/>
    <cellStyle name="20% - Accent4 6 2" xfId="214" xr:uid="{00000000-0005-0000-0000-0000DE190000}"/>
    <cellStyle name="20% - Accent4 6 2 2" xfId="215" xr:uid="{00000000-0005-0000-0000-0000DF190000}"/>
    <cellStyle name="20% - Accent4 6 2 2 2" xfId="1243" xr:uid="{00000000-0005-0000-0000-0000E0190000}"/>
    <cellStyle name="20% - Accent4 6 2 2 2 2" xfId="4773" xr:uid="{00000000-0005-0000-0000-0000E1190000}"/>
    <cellStyle name="20% - Accent4 6 2 2 2 2 2" xfId="8364" xr:uid="{00000000-0005-0000-0000-0000E2190000}"/>
    <cellStyle name="20% - Accent4 6 2 2 2 2 2 2" xfId="16335" xr:uid="{00000000-0005-0000-0000-0000E3190000}"/>
    <cellStyle name="20% - Accent4 6 2 2 2 2 2 2 2" xfId="40177" xr:uid="{4E535568-1C5A-40BB-B6A3-C46D0D4E0A68}"/>
    <cellStyle name="20% - Accent4 6 2 2 2 2 2 3" xfId="24281" xr:uid="{00000000-0005-0000-0000-0000E4190000}"/>
    <cellStyle name="20% - Accent4 6 2 2 2 2 2 3 2" xfId="48113" xr:uid="{2B4C0757-6BDA-47C7-B209-4FBAAD7007C6}"/>
    <cellStyle name="20% - Accent4 6 2 2 2 2 2 4" xfId="32236" xr:uid="{06FB73EB-D875-4E0A-9E7B-34ADC7AE4BA1}"/>
    <cellStyle name="20% - Accent4 6 2 2 2 2 3" xfId="12797" xr:uid="{00000000-0005-0000-0000-0000E5190000}"/>
    <cellStyle name="20% - Accent4 6 2 2 2 2 3 2" xfId="36646" xr:uid="{14FB9D43-FE28-41EB-8E39-A0E0742B4023}"/>
    <cellStyle name="20% - Accent4 6 2 2 2 2 4" xfId="20752" xr:uid="{00000000-0005-0000-0000-0000E6190000}"/>
    <cellStyle name="20% - Accent4 6 2 2 2 2 4 2" xfId="44584" xr:uid="{A4C2F5B5-A14F-4CFD-907D-4D95C83FCD8E}"/>
    <cellStyle name="20% - Accent4 6 2 2 2 2 5" xfId="28705" xr:uid="{E37956B3-1FEC-4D4A-B3B3-C9EBF0AF4FFB}"/>
    <cellStyle name="20% - Accent4 6 2 2 2 3" xfId="6605" xr:uid="{00000000-0005-0000-0000-0000E7190000}"/>
    <cellStyle name="20% - Accent4 6 2 2 2 3 2" xfId="14577" xr:uid="{00000000-0005-0000-0000-0000E8190000}"/>
    <cellStyle name="20% - Accent4 6 2 2 2 3 2 2" xfId="38419" xr:uid="{205FC1B6-8D0E-4383-8BD2-F1AB2C7EBB43}"/>
    <cellStyle name="20% - Accent4 6 2 2 2 3 3" xfId="22524" xr:uid="{00000000-0005-0000-0000-0000E9190000}"/>
    <cellStyle name="20% - Accent4 6 2 2 2 3 3 2" xfId="46356" xr:uid="{62307F4B-E830-4259-B0B0-07CCA7714480}"/>
    <cellStyle name="20% - Accent4 6 2 2 2 3 4" xfId="30478" xr:uid="{83DB1464-1AB3-404F-B178-45B1C93B1C18}"/>
    <cellStyle name="20% - Accent4 6 2 2 2 4" xfId="11041" xr:uid="{00000000-0005-0000-0000-0000EA190000}"/>
    <cellStyle name="20% - Accent4 6 2 2 2 4 2" xfId="34890" xr:uid="{759284B6-E644-4F0B-BF72-41D685AA9FDB}"/>
    <cellStyle name="20% - Accent4 6 2 2 2 5" xfId="18996" xr:uid="{00000000-0005-0000-0000-0000EB190000}"/>
    <cellStyle name="20% - Accent4 6 2 2 2 5 2" xfId="42828" xr:uid="{977A473F-379C-499C-95E3-53F4B225CFD9}"/>
    <cellStyle name="20% - Accent4 6 2 2 2 6" xfId="26948" xr:uid="{4CD0702B-AC07-440B-8A18-E8F4D990487E}"/>
    <cellStyle name="20% - Accent4 6 2 2 2_Exh G" xfId="2400" xr:uid="{00000000-0005-0000-0000-0000EC190000}"/>
    <cellStyle name="20% - Accent4 6 2 2 3" xfId="3894" xr:uid="{00000000-0005-0000-0000-0000ED190000}"/>
    <cellStyle name="20% - Accent4 6 2 2 3 2" xfId="7486" xr:uid="{00000000-0005-0000-0000-0000EE190000}"/>
    <cellStyle name="20% - Accent4 6 2 2 3 2 2" xfId="15457" xr:uid="{00000000-0005-0000-0000-0000EF190000}"/>
    <cellStyle name="20% - Accent4 6 2 2 3 2 2 2" xfId="39299" xr:uid="{C83DE09D-D98F-41E4-B0D5-34DAF55E515E}"/>
    <cellStyle name="20% - Accent4 6 2 2 3 2 3" xfId="23403" xr:uid="{00000000-0005-0000-0000-0000F0190000}"/>
    <cellStyle name="20% - Accent4 6 2 2 3 2 3 2" xfId="47235" xr:uid="{216CB698-DD93-4AF4-B27F-379EBF8F51D6}"/>
    <cellStyle name="20% - Accent4 6 2 2 3 2 4" xfId="31358" xr:uid="{713925ED-5905-4397-81AF-21E7886E2316}"/>
    <cellStyle name="20% - Accent4 6 2 2 3 3" xfId="11919" xr:uid="{00000000-0005-0000-0000-0000F1190000}"/>
    <cellStyle name="20% - Accent4 6 2 2 3 3 2" xfId="35768" xr:uid="{83E52899-B4CF-40A3-B319-4FCB8C25B1F6}"/>
    <cellStyle name="20% - Accent4 6 2 2 3 4" xfId="19874" xr:uid="{00000000-0005-0000-0000-0000F2190000}"/>
    <cellStyle name="20% - Accent4 6 2 2 3 4 2" xfId="43706" xr:uid="{239B424C-3802-4D5D-A18F-8CF22850F7CF}"/>
    <cellStyle name="20% - Accent4 6 2 2 3 5" xfId="27827" xr:uid="{26EC64E9-97FC-4FF3-8BAB-C476C694EEDF}"/>
    <cellStyle name="20% - Accent4 6 2 2 4" xfId="5714" xr:uid="{00000000-0005-0000-0000-0000F3190000}"/>
    <cellStyle name="20% - Accent4 6 2 2 4 2" xfId="13698" xr:uid="{00000000-0005-0000-0000-0000F4190000}"/>
    <cellStyle name="20% - Accent4 6 2 2 4 2 2" xfId="37541" xr:uid="{383D5795-EA1C-448E-9839-2AB1E08CAF6F}"/>
    <cellStyle name="20% - Accent4 6 2 2 4 3" xfId="21646" xr:uid="{00000000-0005-0000-0000-0000F5190000}"/>
    <cellStyle name="20% - Accent4 6 2 2 4 3 2" xfId="45478" xr:uid="{7E56BA82-2406-435D-A4FD-AEA833AA1C3B}"/>
    <cellStyle name="20% - Accent4 6 2 2 4 4" xfId="29600" xr:uid="{E8A4CF39-601A-41D4-B376-2965D08A1924}"/>
    <cellStyle name="20% - Accent4 6 2 2 5" xfId="9267" xr:uid="{00000000-0005-0000-0000-0000F6190000}"/>
    <cellStyle name="20% - Accent4 6 2 2 5 2" xfId="17225" xr:uid="{00000000-0005-0000-0000-0000F7190000}"/>
    <cellStyle name="20% - Accent4 6 2 2 5 2 2" xfId="41065" xr:uid="{477033E6-080A-469D-BDEB-823C7ABF1FDD}"/>
    <cellStyle name="20% - Accent4 6 2 2 5 3" xfId="25169" xr:uid="{00000000-0005-0000-0000-0000F8190000}"/>
    <cellStyle name="20% - Accent4 6 2 2 5 3 2" xfId="49001" xr:uid="{ACBAC2D8-C589-4E60-8E21-476EF1AA07D7}"/>
    <cellStyle name="20% - Accent4 6 2 2 5 4" xfId="33124" xr:uid="{BE584B73-F322-4EBF-AB73-59177FA3ADBE}"/>
    <cellStyle name="20% - Accent4 6 2 2 6" xfId="10163" xr:uid="{00000000-0005-0000-0000-0000F9190000}"/>
    <cellStyle name="20% - Accent4 6 2 2 6 2" xfId="34012" xr:uid="{2FBB9DB5-B261-4723-9A8B-B8A77614C162}"/>
    <cellStyle name="20% - Accent4 6 2 2 7" xfId="18118" xr:uid="{00000000-0005-0000-0000-0000FA190000}"/>
    <cellStyle name="20% - Accent4 6 2 2 7 2" xfId="41950" xr:uid="{A981B18D-9F15-405D-A44E-C3F7911C8857}"/>
    <cellStyle name="20% - Accent4 6 2 2 8" xfId="26070" xr:uid="{211E5913-D96E-4625-A691-973574095625}"/>
    <cellStyle name="20% - Accent4 6 2 2_Exh G" xfId="2399" xr:uid="{00000000-0005-0000-0000-0000FB190000}"/>
    <cellStyle name="20% - Accent4 6 2 3" xfId="1242" xr:uid="{00000000-0005-0000-0000-0000FC190000}"/>
    <cellStyle name="20% - Accent4 6 2 3 2" xfId="4772" xr:uid="{00000000-0005-0000-0000-0000FD190000}"/>
    <cellStyle name="20% - Accent4 6 2 3 2 2" xfId="8363" xr:uid="{00000000-0005-0000-0000-0000FE190000}"/>
    <cellStyle name="20% - Accent4 6 2 3 2 2 2" xfId="16334" xr:uid="{00000000-0005-0000-0000-0000FF190000}"/>
    <cellStyle name="20% - Accent4 6 2 3 2 2 2 2" xfId="40176" xr:uid="{D42D9D08-850A-45A5-BCAD-22165B625987}"/>
    <cellStyle name="20% - Accent4 6 2 3 2 2 3" xfId="24280" xr:uid="{00000000-0005-0000-0000-0000001A0000}"/>
    <cellStyle name="20% - Accent4 6 2 3 2 2 3 2" xfId="48112" xr:uid="{A11B2FB5-22A6-4791-A6B0-254A55D6ED02}"/>
    <cellStyle name="20% - Accent4 6 2 3 2 2 4" xfId="32235" xr:uid="{C21CCB4F-C002-47CF-94F9-8924583E63B2}"/>
    <cellStyle name="20% - Accent4 6 2 3 2 3" xfId="12796" xr:uid="{00000000-0005-0000-0000-0000011A0000}"/>
    <cellStyle name="20% - Accent4 6 2 3 2 3 2" xfId="36645" xr:uid="{087E21E3-3C25-43B3-9CFF-1C698F5630A4}"/>
    <cellStyle name="20% - Accent4 6 2 3 2 4" xfId="20751" xr:uid="{00000000-0005-0000-0000-0000021A0000}"/>
    <cellStyle name="20% - Accent4 6 2 3 2 4 2" xfId="44583" xr:uid="{6BAC3B53-2DED-4403-A7AC-C5C9C507D7F3}"/>
    <cellStyle name="20% - Accent4 6 2 3 2 5" xfId="28704" xr:uid="{C96CA034-B183-4831-93AB-63540EAD30ED}"/>
    <cellStyle name="20% - Accent4 6 2 3 3" xfId="6604" xr:uid="{00000000-0005-0000-0000-0000031A0000}"/>
    <cellStyle name="20% - Accent4 6 2 3 3 2" xfId="14576" xr:uid="{00000000-0005-0000-0000-0000041A0000}"/>
    <cellStyle name="20% - Accent4 6 2 3 3 2 2" xfId="38418" xr:uid="{4075FF95-0CC0-460B-9776-8126CF3F0C7D}"/>
    <cellStyle name="20% - Accent4 6 2 3 3 3" xfId="22523" xr:uid="{00000000-0005-0000-0000-0000051A0000}"/>
    <cellStyle name="20% - Accent4 6 2 3 3 3 2" xfId="46355" xr:uid="{48DCBD70-9FA2-4F9B-9FB1-FA2B4794A8A9}"/>
    <cellStyle name="20% - Accent4 6 2 3 3 4" xfId="30477" xr:uid="{C1F8CAE4-90A5-4946-BA27-E9442BE960CE}"/>
    <cellStyle name="20% - Accent4 6 2 3 4" xfId="11040" xr:uid="{00000000-0005-0000-0000-0000061A0000}"/>
    <cellStyle name="20% - Accent4 6 2 3 4 2" xfId="34889" xr:uid="{4D7F09E8-3B56-4EF5-8246-3633DB300459}"/>
    <cellStyle name="20% - Accent4 6 2 3 5" xfId="18995" xr:uid="{00000000-0005-0000-0000-0000071A0000}"/>
    <cellStyle name="20% - Accent4 6 2 3 5 2" xfId="42827" xr:uid="{085E3631-CB96-4FE0-8D27-75A9965AC187}"/>
    <cellStyle name="20% - Accent4 6 2 3 6" xfId="26947" xr:uid="{0220C2DA-670E-4DB8-841F-EDECE904738E}"/>
    <cellStyle name="20% - Accent4 6 2 3_Exh G" xfId="2401" xr:uid="{00000000-0005-0000-0000-0000081A0000}"/>
    <cellStyle name="20% - Accent4 6 2 4" xfId="3893" xr:uid="{00000000-0005-0000-0000-0000091A0000}"/>
    <cellStyle name="20% - Accent4 6 2 4 2" xfId="7485" xr:uid="{00000000-0005-0000-0000-00000A1A0000}"/>
    <cellStyle name="20% - Accent4 6 2 4 2 2" xfId="15456" xr:uid="{00000000-0005-0000-0000-00000B1A0000}"/>
    <cellStyle name="20% - Accent4 6 2 4 2 2 2" xfId="39298" xr:uid="{D6940727-AC70-4013-95D9-7875003A684E}"/>
    <cellStyle name="20% - Accent4 6 2 4 2 3" xfId="23402" xr:uid="{00000000-0005-0000-0000-00000C1A0000}"/>
    <cellStyle name="20% - Accent4 6 2 4 2 3 2" xfId="47234" xr:uid="{4B553759-483A-4A17-BF02-69C2A3D39846}"/>
    <cellStyle name="20% - Accent4 6 2 4 2 4" xfId="31357" xr:uid="{0CE07800-D16A-41F4-B25A-CDD9888FEAE0}"/>
    <cellStyle name="20% - Accent4 6 2 4 3" xfId="11918" xr:uid="{00000000-0005-0000-0000-00000D1A0000}"/>
    <cellStyle name="20% - Accent4 6 2 4 3 2" xfId="35767" xr:uid="{31F83388-4B14-4B47-B9F6-1C135339985D}"/>
    <cellStyle name="20% - Accent4 6 2 4 4" xfId="19873" xr:uid="{00000000-0005-0000-0000-00000E1A0000}"/>
    <cellStyle name="20% - Accent4 6 2 4 4 2" xfId="43705" xr:uid="{BF9436B7-4994-4E58-A32C-B43BA6A56D49}"/>
    <cellStyle name="20% - Accent4 6 2 4 5" xfId="27826" xr:uid="{20C14128-5394-4C7A-B9CF-C9A2E48C100D}"/>
    <cellStyle name="20% - Accent4 6 2 5" xfId="5713" xr:uid="{00000000-0005-0000-0000-00000F1A0000}"/>
    <cellStyle name="20% - Accent4 6 2 5 2" xfId="13697" xr:uid="{00000000-0005-0000-0000-0000101A0000}"/>
    <cellStyle name="20% - Accent4 6 2 5 2 2" xfId="37540" xr:uid="{8B068841-A636-4326-A044-FA9BF8268AB5}"/>
    <cellStyle name="20% - Accent4 6 2 5 3" xfId="21645" xr:uid="{00000000-0005-0000-0000-0000111A0000}"/>
    <cellStyle name="20% - Accent4 6 2 5 3 2" xfId="45477" xr:uid="{90535992-DFEF-469B-BA2C-4A052E048B91}"/>
    <cellStyle name="20% - Accent4 6 2 5 4" xfId="29599" xr:uid="{68130589-54DB-41F2-AB37-0E175A49909B}"/>
    <cellStyle name="20% - Accent4 6 2 6" xfId="9266" xr:uid="{00000000-0005-0000-0000-0000121A0000}"/>
    <cellStyle name="20% - Accent4 6 2 6 2" xfId="17224" xr:uid="{00000000-0005-0000-0000-0000131A0000}"/>
    <cellStyle name="20% - Accent4 6 2 6 2 2" xfId="41064" xr:uid="{D4340FC3-2A14-45D6-ABCF-5915FD428BB5}"/>
    <cellStyle name="20% - Accent4 6 2 6 3" xfId="25168" xr:uid="{00000000-0005-0000-0000-0000141A0000}"/>
    <cellStyle name="20% - Accent4 6 2 6 3 2" xfId="49000" xr:uid="{72AF33A3-434C-49A7-8CA6-552A6D77427D}"/>
    <cellStyle name="20% - Accent4 6 2 6 4" xfId="33123" xr:uid="{2899277A-CCEA-41C1-895B-697525CB7161}"/>
    <cellStyle name="20% - Accent4 6 2 7" xfId="10162" xr:uid="{00000000-0005-0000-0000-0000151A0000}"/>
    <cellStyle name="20% - Accent4 6 2 7 2" xfId="34011" xr:uid="{20E6E4B0-9079-40AB-9ACA-BDB24362680A}"/>
    <cellStyle name="20% - Accent4 6 2 8" xfId="18117" xr:uid="{00000000-0005-0000-0000-0000161A0000}"/>
    <cellStyle name="20% - Accent4 6 2 8 2" xfId="41949" xr:uid="{544D8936-5A8A-4B4E-90CF-36550B7E3C5C}"/>
    <cellStyle name="20% - Accent4 6 2 9" xfId="26069" xr:uid="{E447843A-54CB-4114-A895-8318CF9EC5CC}"/>
    <cellStyle name="20% - Accent4 6 2_Exh G" xfId="2398" xr:uid="{00000000-0005-0000-0000-0000171A0000}"/>
    <cellStyle name="20% - Accent4 6 3" xfId="216" xr:uid="{00000000-0005-0000-0000-0000181A0000}"/>
    <cellStyle name="20% - Accent4 6 3 2" xfId="1244" xr:uid="{00000000-0005-0000-0000-0000191A0000}"/>
    <cellStyle name="20% - Accent4 6 3 2 2" xfId="4774" xr:uid="{00000000-0005-0000-0000-00001A1A0000}"/>
    <cellStyle name="20% - Accent4 6 3 2 2 2" xfId="8365" xr:uid="{00000000-0005-0000-0000-00001B1A0000}"/>
    <cellStyle name="20% - Accent4 6 3 2 2 2 2" xfId="16336" xr:uid="{00000000-0005-0000-0000-00001C1A0000}"/>
    <cellStyle name="20% - Accent4 6 3 2 2 2 2 2" xfId="40178" xr:uid="{4357CED8-12E1-4069-8651-EBC9E9A94B52}"/>
    <cellStyle name="20% - Accent4 6 3 2 2 2 3" xfId="24282" xr:uid="{00000000-0005-0000-0000-00001D1A0000}"/>
    <cellStyle name="20% - Accent4 6 3 2 2 2 3 2" xfId="48114" xr:uid="{BC536CA1-17C8-49FA-8981-EC0E74930CB3}"/>
    <cellStyle name="20% - Accent4 6 3 2 2 2 4" xfId="32237" xr:uid="{4972AAD5-5755-4FA8-8685-2FF8D371F3BE}"/>
    <cellStyle name="20% - Accent4 6 3 2 2 3" xfId="12798" xr:uid="{00000000-0005-0000-0000-00001E1A0000}"/>
    <cellStyle name="20% - Accent4 6 3 2 2 3 2" xfId="36647" xr:uid="{98765BCE-1D93-4B43-A533-2407514A6260}"/>
    <cellStyle name="20% - Accent4 6 3 2 2 4" xfId="20753" xr:uid="{00000000-0005-0000-0000-00001F1A0000}"/>
    <cellStyle name="20% - Accent4 6 3 2 2 4 2" xfId="44585" xr:uid="{7FBE7B00-FFA9-44DD-B234-6FDBEC165B0D}"/>
    <cellStyle name="20% - Accent4 6 3 2 2 5" xfId="28706" xr:uid="{2102957A-FFD2-49DB-BCBB-3C604E9A7B0B}"/>
    <cellStyle name="20% - Accent4 6 3 2 3" xfId="6606" xr:uid="{00000000-0005-0000-0000-0000201A0000}"/>
    <cellStyle name="20% - Accent4 6 3 2 3 2" xfId="14578" xr:uid="{00000000-0005-0000-0000-0000211A0000}"/>
    <cellStyle name="20% - Accent4 6 3 2 3 2 2" xfId="38420" xr:uid="{2A60D633-BCB0-468F-9931-03BDE3090829}"/>
    <cellStyle name="20% - Accent4 6 3 2 3 3" xfId="22525" xr:uid="{00000000-0005-0000-0000-0000221A0000}"/>
    <cellStyle name="20% - Accent4 6 3 2 3 3 2" xfId="46357" xr:uid="{74D688E3-CF2E-4BE9-8C67-B727EAD51415}"/>
    <cellStyle name="20% - Accent4 6 3 2 3 4" xfId="30479" xr:uid="{9E690785-BEE3-4E68-A9C4-67F048304F12}"/>
    <cellStyle name="20% - Accent4 6 3 2 4" xfId="11042" xr:uid="{00000000-0005-0000-0000-0000231A0000}"/>
    <cellStyle name="20% - Accent4 6 3 2 4 2" xfId="34891" xr:uid="{1E3DD993-6800-4973-9711-0C33BDED1991}"/>
    <cellStyle name="20% - Accent4 6 3 2 5" xfId="18997" xr:uid="{00000000-0005-0000-0000-0000241A0000}"/>
    <cellStyle name="20% - Accent4 6 3 2 5 2" xfId="42829" xr:uid="{859838ED-579B-42E2-84C1-366AFCC4BE73}"/>
    <cellStyle name="20% - Accent4 6 3 2 6" xfId="26949" xr:uid="{DE011A2E-7C59-43A2-890F-854EB81377D7}"/>
    <cellStyle name="20% - Accent4 6 3 2_Exh G" xfId="2403" xr:uid="{00000000-0005-0000-0000-0000251A0000}"/>
    <cellStyle name="20% - Accent4 6 3 3" xfId="3895" xr:uid="{00000000-0005-0000-0000-0000261A0000}"/>
    <cellStyle name="20% - Accent4 6 3 3 2" xfId="7487" xr:uid="{00000000-0005-0000-0000-0000271A0000}"/>
    <cellStyle name="20% - Accent4 6 3 3 2 2" xfId="15458" xr:uid="{00000000-0005-0000-0000-0000281A0000}"/>
    <cellStyle name="20% - Accent4 6 3 3 2 2 2" xfId="39300" xr:uid="{99A56E6E-F8FE-46BE-9C37-67E73D42A28D}"/>
    <cellStyle name="20% - Accent4 6 3 3 2 3" xfId="23404" xr:uid="{00000000-0005-0000-0000-0000291A0000}"/>
    <cellStyle name="20% - Accent4 6 3 3 2 3 2" xfId="47236" xr:uid="{5A4665E4-9B45-44BA-9D11-C6096CA82606}"/>
    <cellStyle name="20% - Accent4 6 3 3 2 4" xfId="31359" xr:uid="{D81DC923-9C1E-4B13-870B-465E6A852BFB}"/>
    <cellStyle name="20% - Accent4 6 3 3 3" xfId="11920" xr:uid="{00000000-0005-0000-0000-00002A1A0000}"/>
    <cellStyle name="20% - Accent4 6 3 3 3 2" xfId="35769" xr:uid="{0706B390-3E13-4B40-8605-3383B4E7906C}"/>
    <cellStyle name="20% - Accent4 6 3 3 4" xfId="19875" xr:uid="{00000000-0005-0000-0000-00002B1A0000}"/>
    <cellStyle name="20% - Accent4 6 3 3 4 2" xfId="43707" xr:uid="{F92D4DD7-EC5E-42E4-BCBA-D27E5DD83978}"/>
    <cellStyle name="20% - Accent4 6 3 3 5" xfId="27828" xr:uid="{157AFC25-8244-435C-84E8-E24EF316E02C}"/>
    <cellStyle name="20% - Accent4 6 3 4" xfId="5715" xr:uid="{00000000-0005-0000-0000-00002C1A0000}"/>
    <cellStyle name="20% - Accent4 6 3 4 2" xfId="13699" xr:uid="{00000000-0005-0000-0000-00002D1A0000}"/>
    <cellStyle name="20% - Accent4 6 3 4 2 2" xfId="37542" xr:uid="{DD4B5C29-70FC-46B2-8925-4780476862B9}"/>
    <cellStyle name="20% - Accent4 6 3 4 3" xfId="21647" xr:uid="{00000000-0005-0000-0000-00002E1A0000}"/>
    <cellStyle name="20% - Accent4 6 3 4 3 2" xfId="45479" xr:uid="{80AF3818-B807-4D36-8D29-9CCE27DA28CF}"/>
    <cellStyle name="20% - Accent4 6 3 4 4" xfId="29601" xr:uid="{FC9BCB91-9895-454D-A724-4E6DF6AEC007}"/>
    <cellStyle name="20% - Accent4 6 3 5" xfId="9268" xr:uid="{00000000-0005-0000-0000-00002F1A0000}"/>
    <cellStyle name="20% - Accent4 6 3 5 2" xfId="17226" xr:uid="{00000000-0005-0000-0000-0000301A0000}"/>
    <cellStyle name="20% - Accent4 6 3 5 2 2" xfId="41066" xr:uid="{7A0D8156-4757-4244-953C-AEF0B92A7382}"/>
    <cellStyle name="20% - Accent4 6 3 5 3" xfId="25170" xr:uid="{00000000-0005-0000-0000-0000311A0000}"/>
    <cellStyle name="20% - Accent4 6 3 5 3 2" xfId="49002" xr:uid="{4E772278-E08F-48F1-A4B4-C8B32A82F91C}"/>
    <cellStyle name="20% - Accent4 6 3 5 4" xfId="33125" xr:uid="{4319875F-2D3C-4020-9EBE-4C4B254FCC5E}"/>
    <cellStyle name="20% - Accent4 6 3 6" xfId="10164" xr:uid="{00000000-0005-0000-0000-0000321A0000}"/>
    <cellStyle name="20% - Accent4 6 3 6 2" xfId="34013" xr:uid="{77C4C12D-ED17-44E8-8A78-C6B7A594CB0E}"/>
    <cellStyle name="20% - Accent4 6 3 7" xfId="18119" xr:uid="{00000000-0005-0000-0000-0000331A0000}"/>
    <cellStyle name="20% - Accent4 6 3 7 2" xfId="41951" xr:uid="{CB43BBE2-D2C3-4172-AA49-579B20628755}"/>
    <cellStyle name="20% - Accent4 6 3 8" xfId="26071" xr:uid="{0892BE36-76E2-45FA-A613-9954523E55A7}"/>
    <cellStyle name="20% - Accent4 6 3_Exh G" xfId="2402" xr:uid="{00000000-0005-0000-0000-0000341A0000}"/>
    <cellStyle name="20% - Accent4 6 4" xfId="906" xr:uid="{00000000-0005-0000-0000-0000351A0000}"/>
    <cellStyle name="20% - Accent4 6 4 2" xfId="1835" xr:uid="{00000000-0005-0000-0000-0000361A0000}"/>
    <cellStyle name="20% - Accent4 6 4 2 2" xfId="5353" xr:uid="{00000000-0005-0000-0000-0000371A0000}"/>
    <cellStyle name="20% - Accent4 6 4 2 2 2" xfId="8944" xr:uid="{00000000-0005-0000-0000-0000381A0000}"/>
    <cellStyle name="20% - Accent4 6 4 2 2 2 2" xfId="16915" xr:uid="{00000000-0005-0000-0000-0000391A0000}"/>
    <cellStyle name="20% - Accent4 6 4 2 2 2 2 2" xfId="40757" xr:uid="{3E2856C3-D0F3-4CAE-B44F-299E4F640716}"/>
    <cellStyle name="20% - Accent4 6 4 2 2 2 3" xfId="24861" xr:uid="{00000000-0005-0000-0000-00003A1A0000}"/>
    <cellStyle name="20% - Accent4 6 4 2 2 2 3 2" xfId="48693" xr:uid="{8E1FFBB6-D1F3-47AC-A9AC-F9669EE75577}"/>
    <cellStyle name="20% - Accent4 6 4 2 2 2 4" xfId="32816" xr:uid="{DD30733E-02BD-4828-A100-B9E192EF77DC}"/>
    <cellStyle name="20% - Accent4 6 4 2 2 3" xfId="13377" xr:uid="{00000000-0005-0000-0000-00003B1A0000}"/>
    <cellStyle name="20% - Accent4 6 4 2 2 3 2" xfId="37226" xr:uid="{ECDD905E-8F17-4CC6-A929-FB97B9927822}"/>
    <cellStyle name="20% - Accent4 6 4 2 2 4" xfId="21332" xr:uid="{00000000-0005-0000-0000-00003C1A0000}"/>
    <cellStyle name="20% - Accent4 6 4 2 2 4 2" xfId="45164" xr:uid="{ECF742C7-952A-45B6-B47F-6CEF9FFA8527}"/>
    <cellStyle name="20% - Accent4 6 4 2 2 5" xfId="29285" xr:uid="{F60C3465-F36D-4E3E-80F0-44819224CB8F}"/>
    <cellStyle name="20% - Accent4 6 4 2 3" xfId="7185" xr:uid="{00000000-0005-0000-0000-00003D1A0000}"/>
    <cellStyle name="20% - Accent4 6 4 2 3 2" xfId="15157" xr:uid="{00000000-0005-0000-0000-00003E1A0000}"/>
    <cellStyle name="20% - Accent4 6 4 2 3 2 2" xfId="38999" xr:uid="{92AF8E9F-173F-4233-AB3D-C574204C042B}"/>
    <cellStyle name="20% - Accent4 6 4 2 3 3" xfId="23104" xr:uid="{00000000-0005-0000-0000-00003F1A0000}"/>
    <cellStyle name="20% - Accent4 6 4 2 3 3 2" xfId="46936" xr:uid="{95440AD9-EDA9-4E6C-821D-C3754A077F0C}"/>
    <cellStyle name="20% - Accent4 6 4 2 3 4" xfId="31058" xr:uid="{3AF28B3F-CC2F-4B71-ADF8-783DE12E66F8}"/>
    <cellStyle name="20% - Accent4 6 4 2 4" xfId="11621" xr:uid="{00000000-0005-0000-0000-0000401A0000}"/>
    <cellStyle name="20% - Accent4 6 4 2 4 2" xfId="35470" xr:uid="{514D56A8-1AFF-4C2D-B570-06B7F0C5C66A}"/>
    <cellStyle name="20% - Accent4 6 4 2 5" xfId="19576" xr:uid="{00000000-0005-0000-0000-0000411A0000}"/>
    <cellStyle name="20% - Accent4 6 4 2 5 2" xfId="43408" xr:uid="{6625DA6D-AE7C-40BF-A2A0-4227E2C239B5}"/>
    <cellStyle name="20% - Accent4 6 4 2 6" xfId="27528" xr:uid="{6039621D-2EB4-4EA1-A89B-8C4499B9291C}"/>
    <cellStyle name="20% - Accent4 6 4 2_Exh G" xfId="2405" xr:uid="{00000000-0005-0000-0000-0000421A0000}"/>
    <cellStyle name="20% - Accent4 6 4 3" xfId="4474" xr:uid="{00000000-0005-0000-0000-0000431A0000}"/>
    <cellStyle name="20% - Accent4 6 4 3 2" xfId="8066" xr:uid="{00000000-0005-0000-0000-0000441A0000}"/>
    <cellStyle name="20% - Accent4 6 4 3 2 2" xfId="16037" xr:uid="{00000000-0005-0000-0000-0000451A0000}"/>
    <cellStyle name="20% - Accent4 6 4 3 2 2 2" xfId="39879" xr:uid="{C1FF289C-54F6-419D-998E-E3C86E80946E}"/>
    <cellStyle name="20% - Accent4 6 4 3 2 3" xfId="23983" xr:uid="{00000000-0005-0000-0000-0000461A0000}"/>
    <cellStyle name="20% - Accent4 6 4 3 2 3 2" xfId="47815" xr:uid="{8B4FAC62-418D-4E74-86CA-655A73620053}"/>
    <cellStyle name="20% - Accent4 6 4 3 2 4" xfId="31938" xr:uid="{276A9FEF-2F99-4BA6-859E-22C4862E56B6}"/>
    <cellStyle name="20% - Accent4 6 4 3 3" xfId="12499" xr:uid="{00000000-0005-0000-0000-0000471A0000}"/>
    <cellStyle name="20% - Accent4 6 4 3 3 2" xfId="36348" xr:uid="{525BB6DE-AF37-430C-8EDC-219BCDA2FF9C}"/>
    <cellStyle name="20% - Accent4 6 4 3 4" xfId="20454" xr:uid="{00000000-0005-0000-0000-0000481A0000}"/>
    <cellStyle name="20% - Accent4 6 4 3 4 2" xfId="44286" xr:uid="{84779ECD-4E63-42F4-9AF7-7A0C41B7CC88}"/>
    <cellStyle name="20% - Accent4 6 4 3 5" xfId="28407" xr:uid="{E6A8D895-E7A8-4599-80B6-D22F281A7F36}"/>
    <cellStyle name="20% - Accent4 6 4 4" xfId="6304" xr:uid="{00000000-0005-0000-0000-0000491A0000}"/>
    <cellStyle name="20% - Accent4 6 4 4 2" xfId="14279" xr:uid="{00000000-0005-0000-0000-00004A1A0000}"/>
    <cellStyle name="20% - Accent4 6 4 4 2 2" xfId="38121" xr:uid="{805B70E1-BBA0-48D4-9411-09DBCE8BDD92}"/>
    <cellStyle name="20% - Accent4 6 4 4 3" xfId="22226" xr:uid="{00000000-0005-0000-0000-00004B1A0000}"/>
    <cellStyle name="20% - Accent4 6 4 4 3 2" xfId="46058" xr:uid="{94833CC0-2ED1-4302-9B89-A899E7694FD9}"/>
    <cellStyle name="20% - Accent4 6 4 4 4" xfId="30180" xr:uid="{459FA423-45B2-4829-BF57-4B2FE7204F90}"/>
    <cellStyle name="20% - Accent4 6 4 5" xfId="9847" xr:uid="{00000000-0005-0000-0000-00004C1A0000}"/>
    <cellStyle name="20% - Accent4 6 4 5 2" xfId="17805" xr:uid="{00000000-0005-0000-0000-00004D1A0000}"/>
    <cellStyle name="20% - Accent4 6 4 5 2 2" xfId="41645" xr:uid="{5E917C59-7754-4643-87C8-7FC0E29FE770}"/>
    <cellStyle name="20% - Accent4 6 4 5 3" xfId="25749" xr:uid="{00000000-0005-0000-0000-00004E1A0000}"/>
    <cellStyle name="20% - Accent4 6 4 5 3 2" xfId="49581" xr:uid="{83DB7A5C-1FDD-438A-9050-97D24CD6A43F}"/>
    <cellStyle name="20% - Accent4 6 4 5 4" xfId="33704" xr:uid="{5602C15A-9D67-4E08-8D9D-5AC41CAF9C42}"/>
    <cellStyle name="20% - Accent4 6 4 6" xfId="10743" xr:uid="{00000000-0005-0000-0000-00004F1A0000}"/>
    <cellStyle name="20% - Accent4 6 4 6 2" xfId="34592" xr:uid="{44D9D407-51DB-4822-8512-8B8DCB4DF86A}"/>
    <cellStyle name="20% - Accent4 6 4 7" xfId="18698" xr:uid="{00000000-0005-0000-0000-0000501A0000}"/>
    <cellStyle name="20% - Accent4 6 4 7 2" xfId="42530" xr:uid="{3F1D984D-6FE6-4647-A121-184139522B70}"/>
    <cellStyle name="20% - Accent4 6 4 8" xfId="26650" xr:uid="{6D164DF3-8BB5-4FC8-948C-EAEF82E5E308}"/>
    <cellStyle name="20% - Accent4 6 4_Exh G" xfId="2404" xr:uid="{00000000-0005-0000-0000-0000511A0000}"/>
    <cellStyle name="20% - Accent4 6 5" xfId="1241" xr:uid="{00000000-0005-0000-0000-0000521A0000}"/>
    <cellStyle name="20% - Accent4 6 5 2" xfId="4771" xr:uid="{00000000-0005-0000-0000-0000531A0000}"/>
    <cellStyle name="20% - Accent4 6 5 2 2" xfId="8362" xr:uid="{00000000-0005-0000-0000-0000541A0000}"/>
    <cellStyle name="20% - Accent4 6 5 2 2 2" xfId="16333" xr:uid="{00000000-0005-0000-0000-0000551A0000}"/>
    <cellStyle name="20% - Accent4 6 5 2 2 2 2" xfId="40175" xr:uid="{C1EA6B8D-3E5D-4350-A3E4-A12EF8C30454}"/>
    <cellStyle name="20% - Accent4 6 5 2 2 3" xfId="24279" xr:uid="{00000000-0005-0000-0000-0000561A0000}"/>
    <cellStyle name="20% - Accent4 6 5 2 2 3 2" xfId="48111" xr:uid="{5258546E-24F2-443C-B0C5-3A83F7C27657}"/>
    <cellStyle name="20% - Accent4 6 5 2 2 4" xfId="32234" xr:uid="{DA845360-B3FB-4B44-9FD8-547C7252F3FB}"/>
    <cellStyle name="20% - Accent4 6 5 2 3" xfId="12795" xr:uid="{00000000-0005-0000-0000-0000571A0000}"/>
    <cellStyle name="20% - Accent4 6 5 2 3 2" xfId="36644" xr:uid="{3EC7CCBF-3187-4E41-B039-FF53FE65E878}"/>
    <cellStyle name="20% - Accent4 6 5 2 4" xfId="20750" xr:uid="{00000000-0005-0000-0000-0000581A0000}"/>
    <cellStyle name="20% - Accent4 6 5 2 4 2" xfId="44582" xr:uid="{A23E3B40-AB73-4FE0-B706-FCC425389655}"/>
    <cellStyle name="20% - Accent4 6 5 2 5" xfId="28703" xr:uid="{B4E6088F-CE81-41DB-88B7-2A3D49540DE1}"/>
    <cellStyle name="20% - Accent4 6 5 3" xfId="6603" xr:uid="{00000000-0005-0000-0000-0000591A0000}"/>
    <cellStyle name="20% - Accent4 6 5 3 2" xfId="14575" xr:uid="{00000000-0005-0000-0000-00005A1A0000}"/>
    <cellStyle name="20% - Accent4 6 5 3 2 2" xfId="38417" xr:uid="{5B99BAAA-55A4-4964-A7A0-CCF83DDAE610}"/>
    <cellStyle name="20% - Accent4 6 5 3 3" xfId="22522" xr:uid="{00000000-0005-0000-0000-00005B1A0000}"/>
    <cellStyle name="20% - Accent4 6 5 3 3 2" xfId="46354" xr:uid="{1C601579-2A76-4267-80F3-9A1D965D566C}"/>
    <cellStyle name="20% - Accent4 6 5 3 4" xfId="30476" xr:uid="{0D93D906-56FD-42EB-B77E-074D9DA4972B}"/>
    <cellStyle name="20% - Accent4 6 5 4" xfId="11039" xr:uid="{00000000-0005-0000-0000-00005C1A0000}"/>
    <cellStyle name="20% - Accent4 6 5 4 2" xfId="34888" xr:uid="{1D68D343-D87F-4DC6-B437-20731ED040B0}"/>
    <cellStyle name="20% - Accent4 6 5 5" xfId="18994" xr:uid="{00000000-0005-0000-0000-00005D1A0000}"/>
    <cellStyle name="20% - Accent4 6 5 5 2" xfId="42826" xr:uid="{10F3B6CA-74C3-42E8-82B5-9547F8020FA0}"/>
    <cellStyle name="20% - Accent4 6 5 6" xfId="26946" xr:uid="{58D61269-131F-40B9-912A-A197A3AD6C14}"/>
    <cellStyle name="20% - Accent4 6 5_Exh G" xfId="2406" xr:uid="{00000000-0005-0000-0000-00005E1A0000}"/>
    <cellStyle name="20% - Accent4 6 6" xfId="3892" xr:uid="{00000000-0005-0000-0000-00005F1A0000}"/>
    <cellStyle name="20% - Accent4 6 6 2" xfId="7484" xr:uid="{00000000-0005-0000-0000-0000601A0000}"/>
    <cellStyle name="20% - Accent4 6 6 2 2" xfId="15455" xr:uid="{00000000-0005-0000-0000-0000611A0000}"/>
    <cellStyle name="20% - Accent4 6 6 2 2 2" xfId="39297" xr:uid="{1BBC34B6-A755-457B-93FE-A4F50E5559B3}"/>
    <cellStyle name="20% - Accent4 6 6 2 3" xfId="23401" xr:uid="{00000000-0005-0000-0000-0000621A0000}"/>
    <cellStyle name="20% - Accent4 6 6 2 3 2" xfId="47233" xr:uid="{067F77EB-EDA3-4A78-B4BA-1D80D83E030F}"/>
    <cellStyle name="20% - Accent4 6 6 2 4" xfId="31356" xr:uid="{A112BBA7-2C0F-40CF-80CC-2F52EFC54D6F}"/>
    <cellStyle name="20% - Accent4 6 6 3" xfId="11917" xr:uid="{00000000-0005-0000-0000-0000631A0000}"/>
    <cellStyle name="20% - Accent4 6 6 3 2" xfId="35766" xr:uid="{3E91C717-9D48-455D-A076-483D8FC02AE5}"/>
    <cellStyle name="20% - Accent4 6 6 4" xfId="19872" xr:uid="{00000000-0005-0000-0000-0000641A0000}"/>
    <cellStyle name="20% - Accent4 6 6 4 2" xfId="43704" xr:uid="{E94E45BB-D8C7-4781-B6F4-C1BA719AA322}"/>
    <cellStyle name="20% - Accent4 6 6 5" xfId="27825" xr:uid="{2F62E4F2-CBD5-4B47-B3D9-F288A9A38732}"/>
    <cellStyle name="20% - Accent4 6 7" xfId="5712" xr:uid="{00000000-0005-0000-0000-0000651A0000}"/>
    <cellStyle name="20% - Accent4 6 7 2" xfId="13696" xr:uid="{00000000-0005-0000-0000-0000661A0000}"/>
    <cellStyle name="20% - Accent4 6 7 2 2" xfId="37539" xr:uid="{0FF68D6D-C51D-4C16-9C9A-FFCAC9BFBF7E}"/>
    <cellStyle name="20% - Accent4 6 7 3" xfId="21644" xr:uid="{00000000-0005-0000-0000-0000671A0000}"/>
    <cellStyle name="20% - Accent4 6 7 3 2" xfId="45476" xr:uid="{9E56E71C-9421-4E5F-B58F-8AE28AFDE9A6}"/>
    <cellStyle name="20% - Accent4 6 7 4" xfId="29598" xr:uid="{B04F51DB-7EA5-4D2B-B5BD-EB8B8A5A6EDA}"/>
    <cellStyle name="20% - Accent4 6 8" xfId="9265" xr:uid="{00000000-0005-0000-0000-0000681A0000}"/>
    <cellStyle name="20% - Accent4 6 8 2" xfId="17223" xr:uid="{00000000-0005-0000-0000-0000691A0000}"/>
    <cellStyle name="20% - Accent4 6 8 2 2" xfId="41063" xr:uid="{D54EFDF6-4C79-4086-A856-2467AE3F6A7C}"/>
    <cellStyle name="20% - Accent4 6 8 3" xfId="25167" xr:uid="{00000000-0005-0000-0000-00006A1A0000}"/>
    <cellStyle name="20% - Accent4 6 8 3 2" xfId="48999" xr:uid="{BBFFA65C-B45D-4F23-B6F0-5B3D7D80AC01}"/>
    <cellStyle name="20% - Accent4 6 8 4" xfId="33122" xr:uid="{1A1B0B05-4EF3-4BAA-A06F-A0E2FB748358}"/>
    <cellStyle name="20% - Accent4 6 9" xfId="10161" xr:uid="{00000000-0005-0000-0000-00006B1A0000}"/>
    <cellStyle name="20% - Accent4 6 9 2" xfId="34010" xr:uid="{160A82D3-C6AF-4DDB-83B5-8C83B25633DA}"/>
    <cellStyle name="20% - Accent4 6_Exh G" xfId="2397" xr:uid="{00000000-0005-0000-0000-00006C1A0000}"/>
    <cellStyle name="20% - Accent4 7" xfId="217" xr:uid="{00000000-0005-0000-0000-00006D1A0000}"/>
    <cellStyle name="20% - Accent4 7 10" xfId="18120" xr:uid="{00000000-0005-0000-0000-00006E1A0000}"/>
    <cellStyle name="20% - Accent4 7 10 2" xfId="41952" xr:uid="{065D5985-5109-442B-8066-046E8356B9BF}"/>
    <cellStyle name="20% - Accent4 7 11" xfId="26072" xr:uid="{F5F8D76D-E5C5-47BF-AB15-4FEA2C0E8BC2}"/>
    <cellStyle name="20% - Accent4 7 2" xfId="218" xr:uid="{00000000-0005-0000-0000-00006F1A0000}"/>
    <cellStyle name="20% - Accent4 7 2 2" xfId="219" xr:uid="{00000000-0005-0000-0000-0000701A0000}"/>
    <cellStyle name="20% - Accent4 7 2 2 2" xfId="1247" xr:uid="{00000000-0005-0000-0000-0000711A0000}"/>
    <cellStyle name="20% - Accent4 7 2 2 2 2" xfId="4777" xr:uid="{00000000-0005-0000-0000-0000721A0000}"/>
    <cellStyle name="20% - Accent4 7 2 2 2 2 2" xfId="8368" xr:uid="{00000000-0005-0000-0000-0000731A0000}"/>
    <cellStyle name="20% - Accent4 7 2 2 2 2 2 2" xfId="16339" xr:uid="{00000000-0005-0000-0000-0000741A0000}"/>
    <cellStyle name="20% - Accent4 7 2 2 2 2 2 2 2" xfId="40181" xr:uid="{BF4896DA-0D58-43EA-A245-1CBFAE87D903}"/>
    <cellStyle name="20% - Accent4 7 2 2 2 2 2 3" xfId="24285" xr:uid="{00000000-0005-0000-0000-0000751A0000}"/>
    <cellStyle name="20% - Accent4 7 2 2 2 2 2 3 2" xfId="48117" xr:uid="{693CE446-562D-4A78-954F-F0B3CA7DC43C}"/>
    <cellStyle name="20% - Accent4 7 2 2 2 2 2 4" xfId="32240" xr:uid="{BE0486B9-CD7F-4D31-B674-032E60D5CB16}"/>
    <cellStyle name="20% - Accent4 7 2 2 2 2 3" xfId="12801" xr:uid="{00000000-0005-0000-0000-0000761A0000}"/>
    <cellStyle name="20% - Accent4 7 2 2 2 2 3 2" xfId="36650" xr:uid="{6F42792E-8163-404F-AD96-742AB6ECB38E}"/>
    <cellStyle name="20% - Accent4 7 2 2 2 2 4" xfId="20756" xr:uid="{00000000-0005-0000-0000-0000771A0000}"/>
    <cellStyle name="20% - Accent4 7 2 2 2 2 4 2" xfId="44588" xr:uid="{CBA9FF11-8C50-4BCB-BB3C-C75EF066451D}"/>
    <cellStyle name="20% - Accent4 7 2 2 2 2 5" xfId="28709" xr:uid="{73811649-7A37-4BC6-B619-70BDFF2251F1}"/>
    <cellStyle name="20% - Accent4 7 2 2 2 3" xfId="6609" xr:uid="{00000000-0005-0000-0000-0000781A0000}"/>
    <cellStyle name="20% - Accent4 7 2 2 2 3 2" xfId="14581" xr:uid="{00000000-0005-0000-0000-0000791A0000}"/>
    <cellStyle name="20% - Accent4 7 2 2 2 3 2 2" xfId="38423" xr:uid="{D37511DE-C8D3-4335-A9A9-02C8D8264134}"/>
    <cellStyle name="20% - Accent4 7 2 2 2 3 3" xfId="22528" xr:uid="{00000000-0005-0000-0000-00007A1A0000}"/>
    <cellStyle name="20% - Accent4 7 2 2 2 3 3 2" xfId="46360" xr:uid="{050A755A-88D6-4095-AE6F-CD78BF0D5DD6}"/>
    <cellStyle name="20% - Accent4 7 2 2 2 3 4" xfId="30482" xr:uid="{6600BC6C-8EA7-4DD1-BE93-49F13DA75AB0}"/>
    <cellStyle name="20% - Accent4 7 2 2 2 4" xfId="11045" xr:uid="{00000000-0005-0000-0000-00007B1A0000}"/>
    <cellStyle name="20% - Accent4 7 2 2 2 4 2" xfId="34894" xr:uid="{09D4BCFB-9850-441D-BE62-778DBB974A79}"/>
    <cellStyle name="20% - Accent4 7 2 2 2 5" xfId="19000" xr:uid="{00000000-0005-0000-0000-00007C1A0000}"/>
    <cellStyle name="20% - Accent4 7 2 2 2 5 2" xfId="42832" xr:uid="{1E9E8FF6-6F45-44E5-A34D-1183776B63FF}"/>
    <cellStyle name="20% - Accent4 7 2 2 2 6" xfId="26952" xr:uid="{DAC159BE-7B1A-46D9-B34C-1A0E1AF41ED6}"/>
    <cellStyle name="20% - Accent4 7 2 2 2_Exh G" xfId="2410" xr:uid="{00000000-0005-0000-0000-00007D1A0000}"/>
    <cellStyle name="20% - Accent4 7 2 2 3" xfId="3898" xr:uid="{00000000-0005-0000-0000-00007E1A0000}"/>
    <cellStyle name="20% - Accent4 7 2 2 3 2" xfId="7490" xr:uid="{00000000-0005-0000-0000-00007F1A0000}"/>
    <cellStyle name="20% - Accent4 7 2 2 3 2 2" xfId="15461" xr:uid="{00000000-0005-0000-0000-0000801A0000}"/>
    <cellStyle name="20% - Accent4 7 2 2 3 2 2 2" xfId="39303" xr:uid="{204E0715-C10C-41E4-92BB-C55A3DAF93DA}"/>
    <cellStyle name="20% - Accent4 7 2 2 3 2 3" xfId="23407" xr:uid="{00000000-0005-0000-0000-0000811A0000}"/>
    <cellStyle name="20% - Accent4 7 2 2 3 2 3 2" xfId="47239" xr:uid="{9955D344-C8B4-4821-BA41-10B66CE120D6}"/>
    <cellStyle name="20% - Accent4 7 2 2 3 2 4" xfId="31362" xr:uid="{9FDF81D1-5879-4AE9-8B5A-E17C357C92FF}"/>
    <cellStyle name="20% - Accent4 7 2 2 3 3" xfId="11923" xr:uid="{00000000-0005-0000-0000-0000821A0000}"/>
    <cellStyle name="20% - Accent4 7 2 2 3 3 2" xfId="35772" xr:uid="{976E8EDC-154D-487A-B432-E1086C63DE76}"/>
    <cellStyle name="20% - Accent4 7 2 2 3 4" xfId="19878" xr:uid="{00000000-0005-0000-0000-0000831A0000}"/>
    <cellStyle name="20% - Accent4 7 2 2 3 4 2" xfId="43710" xr:uid="{246D4557-CC84-4EEF-8D2C-2CCCB64600E1}"/>
    <cellStyle name="20% - Accent4 7 2 2 3 5" xfId="27831" xr:uid="{26B43ADB-17F6-4F60-8D63-F1E72306C140}"/>
    <cellStyle name="20% - Accent4 7 2 2 4" xfId="5718" xr:uid="{00000000-0005-0000-0000-0000841A0000}"/>
    <cellStyle name="20% - Accent4 7 2 2 4 2" xfId="13702" xr:uid="{00000000-0005-0000-0000-0000851A0000}"/>
    <cellStyle name="20% - Accent4 7 2 2 4 2 2" xfId="37545" xr:uid="{D7433D96-4DC6-4A40-A294-B600ADC549E4}"/>
    <cellStyle name="20% - Accent4 7 2 2 4 3" xfId="21650" xr:uid="{00000000-0005-0000-0000-0000861A0000}"/>
    <cellStyle name="20% - Accent4 7 2 2 4 3 2" xfId="45482" xr:uid="{EE6646DD-C1E6-435B-B8CD-F2A24FBB23E0}"/>
    <cellStyle name="20% - Accent4 7 2 2 4 4" xfId="29604" xr:uid="{C15D2589-1C45-4DE9-A82A-8814437D3B94}"/>
    <cellStyle name="20% - Accent4 7 2 2 5" xfId="9271" xr:uid="{00000000-0005-0000-0000-0000871A0000}"/>
    <cellStyle name="20% - Accent4 7 2 2 5 2" xfId="17229" xr:uid="{00000000-0005-0000-0000-0000881A0000}"/>
    <cellStyle name="20% - Accent4 7 2 2 5 2 2" xfId="41069" xr:uid="{CFE94FA2-DE81-45F9-8333-A2C4A0C4462C}"/>
    <cellStyle name="20% - Accent4 7 2 2 5 3" xfId="25173" xr:uid="{00000000-0005-0000-0000-0000891A0000}"/>
    <cellStyle name="20% - Accent4 7 2 2 5 3 2" xfId="49005" xr:uid="{E1D5319B-E33D-4BC7-92DB-364E1CF281A5}"/>
    <cellStyle name="20% - Accent4 7 2 2 5 4" xfId="33128" xr:uid="{A8C28E8E-9DCE-4489-8947-24053EB1078B}"/>
    <cellStyle name="20% - Accent4 7 2 2 6" xfId="10167" xr:uid="{00000000-0005-0000-0000-00008A1A0000}"/>
    <cellStyle name="20% - Accent4 7 2 2 6 2" xfId="34016" xr:uid="{50281B7B-5C84-424A-A7F3-BF2E2A7C369D}"/>
    <cellStyle name="20% - Accent4 7 2 2 7" xfId="18122" xr:uid="{00000000-0005-0000-0000-00008B1A0000}"/>
    <cellStyle name="20% - Accent4 7 2 2 7 2" xfId="41954" xr:uid="{4AF154AF-3155-458D-90CB-4587827CA8FB}"/>
    <cellStyle name="20% - Accent4 7 2 2 8" xfId="26074" xr:uid="{D3CEC8E1-4BCC-4B1D-B01C-D47AE5C541AD}"/>
    <cellStyle name="20% - Accent4 7 2 2_Exh G" xfId="2409" xr:uid="{00000000-0005-0000-0000-00008C1A0000}"/>
    <cellStyle name="20% - Accent4 7 2 3" xfId="1246" xr:uid="{00000000-0005-0000-0000-00008D1A0000}"/>
    <cellStyle name="20% - Accent4 7 2 3 2" xfId="4776" xr:uid="{00000000-0005-0000-0000-00008E1A0000}"/>
    <cellStyle name="20% - Accent4 7 2 3 2 2" xfId="8367" xr:uid="{00000000-0005-0000-0000-00008F1A0000}"/>
    <cellStyle name="20% - Accent4 7 2 3 2 2 2" xfId="16338" xr:uid="{00000000-0005-0000-0000-0000901A0000}"/>
    <cellStyle name="20% - Accent4 7 2 3 2 2 2 2" xfId="40180" xr:uid="{73620774-6190-44FC-B83A-D3BEB430705B}"/>
    <cellStyle name="20% - Accent4 7 2 3 2 2 3" xfId="24284" xr:uid="{00000000-0005-0000-0000-0000911A0000}"/>
    <cellStyle name="20% - Accent4 7 2 3 2 2 3 2" xfId="48116" xr:uid="{AD426F75-C345-4AF9-8E67-8BEF4C2BDBA5}"/>
    <cellStyle name="20% - Accent4 7 2 3 2 2 4" xfId="32239" xr:uid="{A97C9C43-6286-431A-889A-3229C384E305}"/>
    <cellStyle name="20% - Accent4 7 2 3 2 3" xfId="12800" xr:uid="{00000000-0005-0000-0000-0000921A0000}"/>
    <cellStyle name="20% - Accent4 7 2 3 2 3 2" xfId="36649" xr:uid="{135E2660-748E-41E6-964B-56769600245E}"/>
    <cellStyle name="20% - Accent4 7 2 3 2 4" xfId="20755" xr:uid="{00000000-0005-0000-0000-0000931A0000}"/>
    <cellStyle name="20% - Accent4 7 2 3 2 4 2" xfId="44587" xr:uid="{DBCA0AFC-5520-4E29-8ECB-3208DD0C5534}"/>
    <cellStyle name="20% - Accent4 7 2 3 2 5" xfId="28708" xr:uid="{7D0EA7BE-88B8-4C86-9CCF-452DACB79028}"/>
    <cellStyle name="20% - Accent4 7 2 3 3" xfId="6608" xr:uid="{00000000-0005-0000-0000-0000941A0000}"/>
    <cellStyle name="20% - Accent4 7 2 3 3 2" xfId="14580" xr:uid="{00000000-0005-0000-0000-0000951A0000}"/>
    <cellStyle name="20% - Accent4 7 2 3 3 2 2" xfId="38422" xr:uid="{95B8B8BD-AF10-4B7B-85FB-F3C7CEC0F063}"/>
    <cellStyle name="20% - Accent4 7 2 3 3 3" xfId="22527" xr:uid="{00000000-0005-0000-0000-0000961A0000}"/>
    <cellStyle name="20% - Accent4 7 2 3 3 3 2" xfId="46359" xr:uid="{1C5992E1-D89C-4E71-89F4-B67EF0915484}"/>
    <cellStyle name="20% - Accent4 7 2 3 3 4" xfId="30481" xr:uid="{01928A58-3543-45A6-B1B9-E6012787090A}"/>
    <cellStyle name="20% - Accent4 7 2 3 4" xfId="11044" xr:uid="{00000000-0005-0000-0000-0000971A0000}"/>
    <cellStyle name="20% - Accent4 7 2 3 4 2" xfId="34893" xr:uid="{6E05A4BF-5623-4999-A012-68AC74A883D6}"/>
    <cellStyle name="20% - Accent4 7 2 3 5" xfId="18999" xr:uid="{00000000-0005-0000-0000-0000981A0000}"/>
    <cellStyle name="20% - Accent4 7 2 3 5 2" xfId="42831" xr:uid="{AD177143-A3FF-44E1-BE93-D76B41BC85F1}"/>
    <cellStyle name="20% - Accent4 7 2 3 6" xfId="26951" xr:uid="{CCBE11FA-B817-47CF-8DE6-E3AF58EA2F9D}"/>
    <cellStyle name="20% - Accent4 7 2 3_Exh G" xfId="2411" xr:uid="{00000000-0005-0000-0000-0000991A0000}"/>
    <cellStyle name="20% - Accent4 7 2 4" xfId="3897" xr:uid="{00000000-0005-0000-0000-00009A1A0000}"/>
    <cellStyle name="20% - Accent4 7 2 4 2" xfId="7489" xr:uid="{00000000-0005-0000-0000-00009B1A0000}"/>
    <cellStyle name="20% - Accent4 7 2 4 2 2" xfId="15460" xr:uid="{00000000-0005-0000-0000-00009C1A0000}"/>
    <cellStyle name="20% - Accent4 7 2 4 2 2 2" xfId="39302" xr:uid="{99F7321E-C7BF-4231-A75E-530CB62167CD}"/>
    <cellStyle name="20% - Accent4 7 2 4 2 3" xfId="23406" xr:uid="{00000000-0005-0000-0000-00009D1A0000}"/>
    <cellStyle name="20% - Accent4 7 2 4 2 3 2" xfId="47238" xr:uid="{36541586-D17E-4FAD-B22A-DB116F771DCC}"/>
    <cellStyle name="20% - Accent4 7 2 4 2 4" xfId="31361" xr:uid="{1F54EF4D-5898-4CD9-913D-124B76E4F506}"/>
    <cellStyle name="20% - Accent4 7 2 4 3" xfId="11922" xr:uid="{00000000-0005-0000-0000-00009E1A0000}"/>
    <cellStyle name="20% - Accent4 7 2 4 3 2" xfId="35771" xr:uid="{5BE6C3AC-605D-404D-9A10-6C6B06151F04}"/>
    <cellStyle name="20% - Accent4 7 2 4 4" xfId="19877" xr:uid="{00000000-0005-0000-0000-00009F1A0000}"/>
    <cellStyle name="20% - Accent4 7 2 4 4 2" xfId="43709" xr:uid="{2447832F-E7A7-4B42-9C70-BFAD08AE1341}"/>
    <cellStyle name="20% - Accent4 7 2 4 5" xfId="27830" xr:uid="{735A202C-0030-478C-9D5B-B653B02FFFFD}"/>
    <cellStyle name="20% - Accent4 7 2 5" xfId="5717" xr:uid="{00000000-0005-0000-0000-0000A01A0000}"/>
    <cellStyle name="20% - Accent4 7 2 5 2" xfId="13701" xr:uid="{00000000-0005-0000-0000-0000A11A0000}"/>
    <cellStyle name="20% - Accent4 7 2 5 2 2" xfId="37544" xr:uid="{27AD4742-8409-4716-AEC9-2BC20090EE1A}"/>
    <cellStyle name="20% - Accent4 7 2 5 3" xfId="21649" xr:uid="{00000000-0005-0000-0000-0000A21A0000}"/>
    <cellStyle name="20% - Accent4 7 2 5 3 2" xfId="45481" xr:uid="{66786C83-7A72-4C7B-A4E5-7381DCB64E53}"/>
    <cellStyle name="20% - Accent4 7 2 5 4" xfId="29603" xr:uid="{B40DE9BE-868C-4AED-B90D-F19EC5984772}"/>
    <cellStyle name="20% - Accent4 7 2 6" xfId="9270" xr:uid="{00000000-0005-0000-0000-0000A31A0000}"/>
    <cellStyle name="20% - Accent4 7 2 6 2" xfId="17228" xr:uid="{00000000-0005-0000-0000-0000A41A0000}"/>
    <cellStyle name="20% - Accent4 7 2 6 2 2" xfId="41068" xr:uid="{BA1AFC48-170F-4842-BB22-DE14FAB9DCF4}"/>
    <cellStyle name="20% - Accent4 7 2 6 3" xfId="25172" xr:uid="{00000000-0005-0000-0000-0000A51A0000}"/>
    <cellStyle name="20% - Accent4 7 2 6 3 2" xfId="49004" xr:uid="{25716EAF-0CB5-486D-8A19-FF33D7E75E53}"/>
    <cellStyle name="20% - Accent4 7 2 6 4" xfId="33127" xr:uid="{68752D02-56E6-4820-9C10-D063A4CB3AE4}"/>
    <cellStyle name="20% - Accent4 7 2 7" xfId="10166" xr:uid="{00000000-0005-0000-0000-0000A61A0000}"/>
    <cellStyle name="20% - Accent4 7 2 7 2" xfId="34015" xr:uid="{5173BFAE-B444-45A2-A70D-E83ABEBA20F3}"/>
    <cellStyle name="20% - Accent4 7 2 8" xfId="18121" xr:uid="{00000000-0005-0000-0000-0000A71A0000}"/>
    <cellStyle name="20% - Accent4 7 2 8 2" xfId="41953" xr:uid="{F9AB771C-ACC2-4523-A4F4-26C1D63EF628}"/>
    <cellStyle name="20% - Accent4 7 2 9" xfId="26073" xr:uid="{E3BEE09A-6D48-41A7-8BBA-1426558D982B}"/>
    <cellStyle name="20% - Accent4 7 2_Exh G" xfId="2408" xr:uid="{00000000-0005-0000-0000-0000A81A0000}"/>
    <cellStyle name="20% - Accent4 7 3" xfId="220" xr:uid="{00000000-0005-0000-0000-0000A91A0000}"/>
    <cellStyle name="20% - Accent4 7 3 2" xfId="1248" xr:uid="{00000000-0005-0000-0000-0000AA1A0000}"/>
    <cellStyle name="20% - Accent4 7 3 2 2" xfId="4778" xr:uid="{00000000-0005-0000-0000-0000AB1A0000}"/>
    <cellStyle name="20% - Accent4 7 3 2 2 2" xfId="8369" xr:uid="{00000000-0005-0000-0000-0000AC1A0000}"/>
    <cellStyle name="20% - Accent4 7 3 2 2 2 2" xfId="16340" xr:uid="{00000000-0005-0000-0000-0000AD1A0000}"/>
    <cellStyle name="20% - Accent4 7 3 2 2 2 2 2" xfId="40182" xr:uid="{47E2722D-7C21-46BC-81F3-33B2EC92D7B5}"/>
    <cellStyle name="20% - Accent4 7 3 2 2 2 3" xfId="24286" xr:uid="{00000000-0005-0000-0000-0000AE1A0000}"/>
    <cellStyle name="20% - Accent4 7 3 2 2 2 3 2" xfId="48118" xr:uid="{0FFBA355-DCE5-4941-86B9-AFA8BB443D24}"/>
    <cellStyle name="20% - Accent4 7 3 2 2 2 4" xfId="32241" xr:uid="{E8EC9CB5-1345-4440-A500-2F91FEAAE51D}"/>
    <cellStyle name="20% - Accent4 7 3 2 2 3" xfId="12802" xr:uid="{00000000-0005-0000-0000-0000AF1A0000}"/>
    <cellStyle name="20% - Accent4 7 3 2 2 3 2" xfId="36651" xr:uid="{5A9D6922-0648-4743-A517-7C1022D9D640}"/>
    <cellStyle name="20% - Accent4 7 3 2 2 4" xfId="20757" xr:uid="{00000000-0005-0000-0000-0000B01A0000}"/>
    <cellStyle name="20% - Accent4 7 3 2 2 4 2" xfId="44589" xr:uid="{5D1B11D8-F931-48C8-8B91-12B96B6278AE}"/>
    <cellStyle name="20% - Accent4 7 3 2 2 5" xfId="28710" xr:uid="{82F5E931-508F-4D32-992C-308E25A95E9F}"/>
    <cellStyle name="20% - Accent4 7 3 2 3" xfId="6610" xr:uid="{00000000-0005-0000-0000-0000B11A0000}"/>
    <cellStyle name="20% - Accent4 7 3 2 3 2" xfId="14582" xr:uid="{00000000-0005-0000-0000-0000B21A0000}"/>
    <cellStyle name="20% - Accent4 7 3 2 3 2 2" xfId="38424" xr:uid="{85CA6915-E311-4850-873E-0DF4A7D98CE7}"/>
    <cellStyle name="20% - Accent4 7 3 2 3 3" xfId="22529" xr:uid="{00000000-0005-0000-0000-0000B31A0000}"/>
    <cellStyle name="20% - Accent4 7 3 2 3 3 2" xfId="46361" xr:uid="{CB3FFC69-6BBD-47EC-AF1C-BCCD626FBF4D}"/>
    <cellStyle name="20% - Accent4 7 3 2 3 4" xfId="30483" xr:uid="{73C277BC-1EB6-4DA0-9595-D35E0C582B3D}"/>
    <cellStyle name="20% - Accent4 7 3 2 4" xfId="11046" xr:uid="{00000000-0005-0000-0000-0000B41A0000}"/>
    <cellStyle name="20% - Accent4 7 3 2 4 2" xfId="34895" xr:uid="{0471694B-17C9-4547-BF76-E610EF628DFF}"/>
    <cellStyle name="20% - Accent4 7 3 2 5" xfId="19001" xr:uid="{00000000-0005-0000-0000-0000B51A0000}"/>
    <cellStyle name="20% - Accent4 7 3 2 5 2" xfId="42833" xr:uid="{83C08043-2FED-4646-8C59-8E58B22B4F68}"/>
    <cellStyle name="20% - Accent4 7 3 2 6" xfId="26953" xr:uid="{A672A01D-0448-45AE-87F6-E9412209DFEC}"/>
    <cellStyle name="20% - Accent4 7 3 2_Exh G" xfId="2413" xr:uid="{00000000-0005-0000-0000-0000B61A0000}"/>
    <cellStyle name="20% - Accent4 7 3 3" xfId="3899" xr:uid="{00000000-0005-0000-0000-0000B71A0000}"/>
    <cellStyle name="20% - Accent4 7 3 3 2" xfId="7491" xr:uid="{00000000-0005-0000-0000-0000B81A0000}"/>
    <cellStyle name="20% - Accent4 7 3 3 2 2" xfId="15462" xr:uid="{00000000-0005-0000-0000-0000B91A0000}"/>
    <cellStyle name="20% - Accent4 7 3 3 2 2 2" xfId="39304" xr:uid="{F8FDB6EA-F6A7-45BF-BD70-791231F86E97}"/>
    <cellStyle name="20% - Accent4 7 3 3 2 3" xfId="23408" xr:uid="{00000000-0005-0000-0000-0000BA1A0000}"/>
    <cellStyle name="20% - Accent4 7 3 3 2 3 2" xfId="47240" xr:uid="{D6AB4D5F-7A34-4E48-A426-A5A50EDC2161}"/>
    <cellStyle name="20% - Accent4 7 3 3 2 4" xfId="31363" xr:uid="{2BEC4112-E804-44A3-8AA8-9C035E937765}"/>
    <cellStyle name="20% - Accent4 7 3 3 3" xfId="11924" xr:uid="{00000000-0005-0000-0000-0000BB1A0000}"/>
    <cellStyle name="20% - Accent4 7 3 3 3 2" xfId="35773" xr:uid="{A594197B-DF9D-486B-825D-B53579F5AD59}"/>
    <cellStyle name="20% - Accent4 7 3 3 4" xfId="19879" xr:uid="{00000000-0005-0000-0000-0000BC1A0000}"/>
    <cellStyle name="20% - Accent4 7 3 3 4 2" xfId="43711" xr:uid="{A9EE897C-3A58-4607-853A-DB317F1ACBF6}"/>
    <cellStyle name="20% - Accent4 7 3 3 5" xfId="27832" xr:uid="{D6A3CAB0-6A20-4746-984A-5D770CDFAE9B}"/>
    <cellStyle name="20% - Accent4 7 3 4" xfId="5719" xr:uid="{00000000-0005-0000-0000-0000BD1A0000}"/>
    <cellStyle name="20% - Accent4 7 3 4 2" xfId="13703" xr:uid="{00000000-0005-0000-0000-0000BE1A0000}"/>
    <cellStyle name="20% - Accent4 7 3 4 2 2" xfId="37546" xr:uid="{FC465506-CA79-4B66-A4F3-A2A914381306}"/>
    <cellStyle name="20% - Accent4 7 3 4 3" xfId="21651" xr:uid="{00000000-0005-0000-0000-0000BF1A0000}"/>
    <cellStyle name="20% - Accent4 7 3 4 3 2" xfId="45483" xr:uid="{FAA5199A-7770-4E0A-BBBA-2E6D9676379F}"/>
    <cellStyle name="20% - Accent4 7 3 4 4" xfId="29605" xr:uid="{C14323AE-D517-4DD1-8870-B806EA2F3BA9}"/>
    <cellStyle name="20% - Accent4 7 3 5" xfId="9272" xr:uid="{00000000-0005-0000-0000-0000C01A0000}"/>
    <cellStyle name="20% - Accent4 7 3 5 2" xfId="17230" xr:uid="{00000000-0005-0000-0000-0000C11A0000}"/>
    <cellStyle name="20% - Accent4 7 3 5 2 2" xfId="41070" xr:uid="{B2F9BCAC-F059-42EB-BDA0-7DCC35F000C9}"/>
    <cellStyle name="20% - Accent4 7 3 5 3" xfId="25174" xr:uid="{00000000-0005-0000-0000-0000C21A0000}"/>
    <cellStyle name="20% - Accent4 7 3 5 3 2" xfId="49006" xr:uid="{B7742D82-FA2C-4BDB-91DA-16BBD27DBE46}"/>
    <cellStyle name="20% - Accent4 7 3 5 4" xfId="33129" xr:uid="{DFE70221-4D97-4FA4-95E9-9E50AB3E6E4A}"/>
    <cellStyle name="20% - Accent4 7 3 6" xfId="10168" xr:uid="{00000000-0005-0000-0000-0000C31A0000}"/>
    <cellStyle name="20% - Accent4 7 3 6 2" xfId="34017" xr:uid="{4A41EF79-5AAE-4793-8B78-E30FADF297E6}"/>
    <cellStyle name="20% - Accent4 7 3 7" xfId="18123" xr:uid="{00000000-0005-0000-0000-0000C41A0000}"/>
    <cellStyle name="20% - Accent4 7 3 7 2" xfId="41955" xr:uid="{D3FF53CF-F7C3-44B4-88CD-7065E0F02800}"/>
    <cellStyle name="20% - Accent4 7 3 8" xfId="26075" xr:uid="{20670803-A1A4-4DC3-8FAA-6A5F84D1CA36}"/>
    <cellStyle name="20% - Accent4 7 3_Exh G" xfId="2412" xr:uid="{00000000-0005-0000-0000-0000C51A0000}"/>
    <cellStyle name="20% - Accent4 7 4" xfId="907" xr:uid="{00000000-0005-0000-0000-0000C61A0000}"/>
    <cellStyle name="20% - Accent4 7 4 2" xfId="1836" xr:uid="{00000000-0005-0000-0000-0000C71A0000}"/>
    <cellStyle name="20% - Accent4 7 4 2 2" xfId="5354" xr:uid="{00000000-0005-0000-0000-0000C81A0000}"/>
    <cellStyle name="20% - Accent4 7 4 2 2 2" xfId="8945" xr:uid="{00000000-0005-0000-0000-0000C91A0000}"/>
    <cellStyle name="20% - Accent4 7 4 2 2 2 2" xfId="16916" xr:uid="{00000000-0005-0000-0000-0000CA1A0000}"/>
    <cellStyle name="20% - Accent4 7 4 2 2 2 2 2" xfId="40758" xr:uid="{4DD27479-CF72-4EE6-8675-F69DB19352B1}"/>
    <cellStyle name="20% - Accent4 7 4 2 2 2 3" xfId="24862" xr:uid="{00000000-0005-0000-0000-0000CB1A0000}"/>
    <cellStyle name="20% - Accent4 7 4 2 2 2 3 2" xfId="48694" xr:uid="{51276587-CE5B-4218-ACE3-09EC83152811}"/>
    <cellStyle name="20% - Accent4 7 4 2 2 2 4" xfId="32817" xr:uid="{2E65EE1C-19F3-481F-A9E0-D8B2547AF427}"/>
    <cellStyle name="20% - Accent4 7 4 2 2 3" xfId="13378" xr:uid="{00000000-0005-0000-0000-0000CC1A0000}"/>
    <cellStyle name="20% - Accent4 7 4 2 2 3 2" xfId="37227" xr:uid="{65538BDD-33DC-438D-86C4-B62620C26632}"/>
    <cellStyle name="20% - Accent4 7 4 2 2 4" xfId="21333" xr:uid="{00000000-0005-0000-0000-0000CD1A0000}"/>
    <cellStyle name="20% - Accent4 7 4 2 2 4 2" xfId="45165" xr:uid="{747AA458-948A-45E7-8359-D80107574487}"/>
    <cellStyle name="20% - Accent4 7 4 2 2 5" xfId="29286" xr:uid="{FE83B10A-07EC-4797-8BF7-A9C7AF2D78AC}"/>
    <cellStyle name="20% - Accent4 7 4 2 3" xfId="7186" xr:uid="{00000000-0005-0000-0000-0000CE1A0000}"/>
    <cellStyle name="20% - Accent4 7 4 2 3 2" xfId="15158" xr:uid="{00000000-0005-0000-0000-0000CF1A0000}"/>
    <cellStyle name="20% - Accent4 7 4 2 3 2 2" xfId="39000" xr:uid="{18040262-25D4-48F0-A199-67033E50BCA6}"/>
    <cellStyle name="20% - Accent4 7 4 2 3 3" xfId="23105" xr:uid="{00000000-0005-0000-0000-0000D01A0000}"/>
    <cellStyle name="20% - Accent4 7 4 2 3 3 2" xfId="46937" xr:uid="{944F96FA-7486-4867-82D4-B280466DFA76}"/>
    <cellStyle name="20% - Accent4 7 4 2 3 4" xfId="31059" xr:uid="{3FB2DBCA-418B-4EBA-95D3-6C99889E5B9C}"/>
    <cellStyle name="20% - Accent4 7 4 2 4" xfId="11622" xr:uid="{00000000-0005-0000-0000-0000D11A0000}"/>
    <cellStyle name="20% - Accent4 7 4 2 4 2" xfId="35471" xr:uid="{6BE95718-EE9C-4B5C-9AC9-5707E231EC9C}"/>
    <cellStyle name="20% - Accent4 7 4 2 5" xfId="19577" xr:uid="{00000000-0005-0000-0000-0000D21A0000}"/>
    <cellStyle name="20% - Accent4 7 4 2 5 2" xfId="43409" xr:uid="{6C5B1238-5EF5-4324-A388-7F9DE68D33A5}"/>
    <cellStyle name="20% - Accent4 7 4 2 6" xfId="27529" xr:uid="{4D758A88-ACC8-4252-8EA7-A3C7CD68A99B}"/>
    <cellStyle name="20% - Accent4 7 4 2_Exh G" xfId="2415" xr:uid="{00000000-0005-0000-0000-0000D31A0000}"/>
    <cellStyle name="20% - Accent4 7 4 3" xfId="4475" xr:uid="{00000000-0005-0000-0000-0000D41A0000}"/>
    <cellStyle name="20% - Accent4 7 4 3 2" xfId="8067" xr:uid="{00000000-0005-0000-0000-0000D51A0000}"/>
    <cellStyle name="20% - Accent4 7 4 3 2 2" xfId="16038" xr:uid="{00000000-0005-0000-0000-0000D61A0000}"/>
    <cellStyle name="20% - Accent4 7 4 3 2 2 2" xfId="39880" xr:uid="{1D6BD881-821B-43FB-B401-4DDD5A24827F}"/>
    <cellStyle name="20% - Accent4 7 4 3 2 3" xfId="23984" xr:uid="{00000000-0005-0000-0000-0000D71A0000}"/>
    <cellStyle name="20% - Accent4 7 4 3 2 3 2" xfId="47816" xr:uid="{3F90B127-2E76-48B3-B90F-05152A3B3983}"/>
    <cellStyle name="20% - Accent4 7 4 3 2 4" xfId="31939" xr:uid="{D3DD9936-6B5E-4247-8585-D333BA2593F2}"/>
    <cellStyle name="20% - Accent4 7 4 3 3" xfId="12500" xr:uid="{00000000-0005-0000-0000-0000D81A0000}"/>
    <cellStyle name="20% - Accent4 7 4 3 3 2" xfId="36349" xr:uid="{C9F76D6D-9E47-4164-A205-3A583BBDC754}"/>
    <cellStyle name="20% - Accent4 7 4 3 4" xfId="20455" xr:uid="{00000000-0005-0000-0000-0000D91A0000}"/>
    <cellStyle name="20% - Accent4 7 4 3 4 2" xfId="44287" xr:uid="{8A69A285-EE5A-4F64-8A41-0C6E025538E0}"/>
    <cellStyle name="20% - Accent4 7 4 3 5" xfId="28408" xr:uid="{37582F85-D9D0-4AE1-9C12-A6384EAE150F}"/>
    <cellStyle name="20% - Accent4 7 4 4" xfId="6305" xr:uid="{00000000-0005-0000-0000-0000DA1A0000}"/>
    <cellStyle name="20% - Accent4 7 4 4 2" xfId="14280" xr:uid="{00000000-0005-0000-0000-0000DB1A0000}"/>
    <cellStyle name="20% - Accent4 7 4 4 2 2" xfId="38122" xr:uid="{48985B25-FFDF-43CD-AF05-E90E30F52FAB}"/>
    <cellStyle name="20% - Accent4 7 4 4 3" xfId="22227" xr:uid="{00000000-0005-0000-0000-0000DC1A0000}"/>
    <cellStyle name="20% - Accent4 7 4 4 3 2" xfId="46059" xr:uid="{29810AAC-C0C5-42CE-BFC1-8587E461BC18}"/>
    <cellStyle name="20% - Accent4 7 4 4 4" xfId="30181" xr:uid="{64D7487B-960D-425B-AE9E-93D711B16942}"/>
    <cellStyle name="20% - Accent4 7 4 5" xfId="9848" xr:uid="{00000000-0005-0000-0000-0000DD1A0000}"/>
    <cellStyle name="20% - Accent4 7 4 5 2" xfId="17806" xr:uid="{00000000-0005-0000-0000-0000DE1A0000}"/>
    <cellStyle name="20% - Accent4 7 4 5 2 2" xfId="41646" xr:uid="{F1D99AD4-E6F0-413A-A589-713988386820}"/>
    <cellStyle name="20% - Accent4 7 4 5 3" xfId="25750" xr:uid="{00000000-0005-0000-0000-0000DF1A0000}"/>
    <cellStyle name="20% - Accent4 7 4 5 3 2" xfId="49582" xr:uid="{D5B34698-7923-48AB-BBC7-4A8378DC3280}"/>
    <cellStyle name="20% - Accent4 7 4 5 4" xfId="33705" xr:uid="{6E688504-C3AA-41C8-8EA0-9C7EFD7E2FE0}"/>
    <cellStyle name="20% - Accent4 7 4 6" xfId="10744" xr:uid="{00000000-0005-0000-0000-0000E01A0000}"/>
    <cellStyle name="20% - Accent4 7 4 6 2" xfId="34593" xr:uid="{71E4C788-C48F-46EF-AA2D-C43E84BAA70C}"/>
    <cellStyle name="20% - Accent4 7 4 7" xfId="18699" xr:uid="{00000000-0005-0000-0000-0000E11A0000}"/>
    <cellStyle name="20% - Accent4 7 4 7 2" xfId="42531" xr:uid="{7957BA38-CAD7-4756-ADB7-CE1BFA0B38C5}"/>
    <cellStyle name="20% - Accent4 7 4 8" xfId="26651" xr:uid="{33610684-6B20-4657-88D6-CAC263E0B51B}"/>
    <cellStyle name="20% - Accent4 7 4_Exh G" xfId="2414" xr:uid="{00000000-0005-0000-0000-0000E21A0000}"/>
    <cellStyle name="20% - Accent4 7 5" xfId="1245" xr:uid="{00000000-0005-0000-0000-0000E31A0000}"/>
    <cellStyle name="20% - Accent4 7 5 2" xfId="4775" xr:uid="{00000000-0005-0000-0000-0000E41A0000}"/>
    <cellStyle name="20% - Accent4 7 5 2 2" xfId="8366" xr:uid="{00000000-0005-0000-0000-0000E51A0000}"/>
    <cellStyle name="20% - Accent4 7 5 2 2 2" xfId="16337" xr:uid="{00000000-0005-0000-0000-0000E61A0000}"/>
    <cellStyle name="20% - Accent4 7 5 2 2 2 2" xfId="40179" xr:uid="{8CC9D023-0528-41DD-988D-21D2CD7FAFA0}"/>
    <cellStyle name="20% - Accent4 7 5 2 2 3" xfId="24283" xr:uid="{00000000-0005-0000-0000-0000E71A0000}"/>
    <cellStyle name="20% - Accent4 7 5 2 2 3 2" xfId="48115" xr:uid="{587420FA-0208-4A42-BB13-5B3473B3C346}"/>
    <cellStyle name="20% - Accent4 7 5 2 2 4" xfId="32238" xr:uid="{724AE73B-8DAE-447D-A514-60A703D042A1}"/>
    <cellStyle name="20% - Accent4 7 5 2 3" xfId="12799" xr:uid="{00000000-0005-0000-0000-0000E81A0000}"/>
    <cellStyle name="20% - Accent4 7 5 2 3 2" xfId="36648" xr:uid="{8672D9C4-815A-4CD1-90FB-25F14733DFD3}"/>
    <cellStyle name="20% - Accent4 7 5 2 4" xfId="20754" xr:uid="{00000000-0005-0000-0000-0000E91A0000}"/>
    <cellStyle name="20% - Accent4 7 5 2 4 2" xfId="44586" xr:uid="{87AF7727-7BEF-414A-9A4F-0462047FA61F}"/>
    <cellStyle name="20% - Accent4 7 5 2 5" xfId="28707" xr:uid="{7F578046-CF05-440E-BEB7-4BE8E60919EA}"/>
    <cellStyle name="20% - Accent4 7 5 3" xfId="6607" xr:uid="{00000000-0005-0000-0000-0000EA1A0000}"/>
    <cellStyle name="20% - Accent4 7 5 3 2" xfId="14579" xr:uid="{00000000-0005-0000-0000-0000EB1A0000}"/>
    <cellStyle name="20% - Accent4 7 5 3 2 2" xfId="38421" xr:uid="{74D8AA53-DDE0-401B-9E6F-7CFCC3A37834}"/>
    <cellStyle name="20% - Accent4 7 5 3 3" xfId="22526" xr:uid="{00000000-0005-0000-0000-0000EC1A0000}"/>
    <cellStyle name="20% - Accent4 7 5 3 3 2" xfId="46358" xr:uid="{BF439B5E-5D9A-41B5-B46E-355776EF766D}"/>
    <cellStyle name="20% - Accent4 7 5 3 4" xfId="30480" xr:uid="{CAC672D1-B179-4E6B-83CE-E33AEE97D760}"/>
    <cellStyle name="20% - Accent4 7 5 4" xfId="11043" xr:uid="{00000000-0005-0000-0000-0000ED1A0000}"/>
    <cellStyle name="20% - Accent4 7 5 4 2" xfId="34892" xr:uid="{FCB47929-AAC6-4AD9-ACF5-4FE999061B5E}"/>
    <cellStyle name="20% - Accent4 7 5 5" xfId="18998" xr:uid="{00000000-0005-0000-0000-0000EE1A0000}"/>
    <cellStyle name="20% - Accent4 7 5 5 2" xfId="42830" xr:uid="{716882E5-42F0-4E9D-AEC6-5FD07C168904}"/>
    <cellStyle name="20% - Accent4 7 5 6" xfId="26950" xr:uid="{171A4780-581B-47F1-B391-C2B4BAD60245}"/>
    <cellStyle name="20% - Accent4 7 5_Exh G" xfId="2416" xr:uid="{00000000-0005-0000-0000-0000EF1A0000}"/>
    <cellStyle name="20% - Accent4 7 6" xfId="3896" xr:uid="{00000000-0005-0000-0000-0000F01A0000}"/>
    <cellStyle name="20% - Accent4 7 6 2" xfId="7488" xr:uid="{00000000-0005-0000-0000-0000F11A0000}"/>
    <cellStyle name="20% - Accent4 7 6 2 2" xfId="15459" xr:uid="{00000000-0005-0000-0000-0000F21A0000}"/>
    <cellStyle name="20% - Accent4 7 6 2 2 2" xfId="39301" xr:uid="{DC001199-E54D-44C7-86DF-C8C1164D3509}"/>
    <cellStyle name="20% - Accent4 7 6 2 3" xfId="23405" xr:uid="{00000000-0005-0000-0000-0000F31A0000}"/>
    <cellStyle name="20% - Accent4 7 6 2 3 2" xfId="47237" xr:uid="{8C7AA6FD-A4CD-4886-80A7-A0F4F37BFE9E}"/>
    <cellStyle name="20% - Accent4 7 6 2 4" xfId="31360" xr:uid="{6D4A80CC-EC80-4813-88D3-0310C6A705AC}"/>
    <cellStyle name="20% - Accent4 7 6 3" xfId="11921" xr:uid="{00000000-0005-0000-0000-0000F41A0000}"/>
    <cellStyle name="20% - Accent4 7 6 3 2" xfId="35770" xr:uid="{3896EB58-A41A-40D6-8F99-4B7C67EA641E}"/>
    <cellStyle name="20% - Accent4 7 6 4" xfId="19876" xr:uid="{00000000-0005-0000-0000-0000F51A0000}"/>
    <cellStyle name="20% - Accent4 7 6 4 2" xfId="43708" xr:uid="{F9734F1A-C90C-44D7-BD4A-9C95665A8DE3}"/>
    <cellStyle name="20% - Accent4 7 6 5" xfId="27829" xr:uid="{8E75D2DF-3C44-43B9-A0EF-2F2DA9EECBD2}"/>
    <cellStyle name="20% - Accent4 7 7" xfId="5716" xr:uid="{00000000-0005-0000-0000-0000F61A0000}"/>
    <cellStyle name="20% - Accent4 7 7 2" xfId="13700" xr:uid="{00000000-0005-0000-0000-0000F71A0000}"/>
    <cellStyle name="20% - Accent4 7 7 2 2" xfId="37543" xr:uid="{00A12EF8-3D1E-40D7-92F4-D179ECCF18B6}"/>
    <cellStyle name="20% - Accent4 7 7 3" xfId="21648" xr:uid="{00000000-0005-0000-0000-0000F81A0000}"/>
    <cellStyle name="20% - Accent4 7 7 3 2" xfId="45480" xr:uid="{114560D0-33B2-4789-90FE-2518A3E5732F}"/>
    <cellStyle name="20% - Accent4 7 7 4" xfId="29602" xr:uid="{736C3B16-1359-49D0-ADE5-C3D596893C7D}"/>
    <cellStyle name="20% - Accent4 7 8" xfId="9269" xr:uid="{00000000-0005-0000-0000-0000F91A0000}"/>
    <cellStyle name="20% - Accent4 7 8 2" xfId="17227" xr:uid="{00000000-0005-0000-0000-0000FA1A0000}"/>
    <cellStyle name="20% - Accent4 7 8 2 2" xfId="41067" xr:uid="{5DBA1B12-848E-45C5-9165-EA95DC321FA5}"/>
    <cellStyle name="20% - Accent4 7 8 3" xfId="25171" xr:uid="{00000000-0005-0000-0000-0000FB1A0000}"/>
    <cellStyle name="20% - Accent4 7 8 3 2" xfId="49003" xr:uid="{8EDB5523-DE31-4EAD-8F90-B8FBCC082119}"/>
    <cellStyle name="20% - Accent4 7 8 4" xfId="33126" xr:uid="{CA6386E6-F799-414D-BD99-E366690BEEBF}"/>
    <cellStyle name="20% - Accent4 7 9" xfId="10165" xr:uid="{00000000-0005-0000-0000-0000FC1A0000}"/>
    <cellStyle name="20% - Accent4 7 9 2" xfId="34014" xr:uid="{EE7072B5-5994-40B5-9595-24F4EBAD060F}"/>
    <cellStyle name="20% - Accent4 7_Exh G" xfId="2407" xr:uid="{00000000-0005-0000-0000-0000FD1A0000}"/>
    <cellStyle name="20% - Accent4 8" xfId="221" xr:uid="{00000000-0005-0000-0000-0000FE1A0000}"/>
    <cellStyle name="20% - Accent4 8 10" xfId="18124" xr:uid="{00000000-0005-0000-0000-0000FF1A0000}"/>
    <cellStyle name="20% - Accent4 8 10 2" xfId="41956" xr:uid="{BB39354A-2F99-48E0-AC92-BD468AD9A0E9}"/>
    <cellStyle name="20% - Accent4 8 11" xfId="26076" xr:uid="{9D067B38-5BD4-4791-9113-97ADB9AD0984}"/>
    <cellStyle name="20% - Accent4 8 2" xfId="222" xr:uid="{00000000-0005-0000-0000-0000001B0000}"/>
    <cellStyle name="20% - Accent4 8 2 2" xfId="223" xr:uid="{00000000-0005-0000-0000-0000011B0000}"/>
    <cellStyle name="20% - Accent4 8 2 2 2" xfId="1251" xr:uid="{00000000-0005-0000-0000-0000021B0000}"/>
    <cellStyle name="20% - Accent4 8 2 2 2 2" xfId="4781" xr:uid="{00000000-0005-0000-0000-0000031B0000}"/>
    <cellStyle name="20% - Accent4 8 2 2 2 2 2" xfId="8372" xr:uid="{00000000-0005-0000-0000-0000041B0000}"/>
    <cellStyle name="20% - Accent4 8 2 2 2 2 2 2" xfId="16343" xr:uid="{00000000-0005-0000-0000-0000051B0000}"/>
    <cellStyle name="20% - Accent4 8 2 2 2 2 2 2 2" xfId="40185" xr:uid="{78E30755-E03E-43CD-B521-5EE1964F4BBD}"/>
    <cellStyle name="20% - Accent4 8 2 2 2 2 2 3" xfId="24289" xr:uid="{00000000-0005-0000-0000-0000061B0000}"/>
    <cellStyle name="20% - Accent4 8 2 2 2 2 2 3 2" xfId="48121" xr:uid="{B6D70DD4-8601-4A93-A348-D629948987D1}"/>
    <cellStyle name="20% - Accent4 8 2 2 2 2 2 4" xfId="32244" xr:uid="{4D1E7035-B7BA-423E-A34B-736204565B7C}"/>
    <cellStyle name="20% - Accent4 8 2 2 2 2 3" xfId="12805" xr:uid="{00000000-0005-0000-0000-0000071B0000}"/>
    <cellStyle name="20% - Accent4 8 2 2 2 2 3 2" xfId="36654" xr:uid="{5D4E957E-11B2-4D50-8A41-C48CD6C89417}"/>
    <cellStyle name="20% - Accent4 8 2 2 2 2 4" xfId="20760" xr:uid="{00000000-0005-0000-0000-0000081B0000}"/>
    <cellStyle name="20% - Accent4 8 2 2 2 2 4 2" xfId="44592" xr:uid="{05B743A9-DAF5-4C77-AEA1-75A17AC0BC41}"/>
    <cellStyle name="20% - Accent4 8 2 2 2 2 5" xfId="28713" xr:uid="{5121AD4F-7ED4-4EE9-A5AF-E8CB774175CA}"/>
    <cellStyle name="20% - Accent4 8 2 2 2 3" xfId="6613" xr:uid="{00000000-0005-0000-0000-0000091B0000}"/>
    <cellStyle name="20% - Accent4 8 2 2 2 3 2" xfId="14585" xr:uid="{00000000-0005-0000-0000-00000A1B0000}"/>
    <cellStyle name="20% - Accent4 8 2 2 2 3 2 2" xfId="38427" xr:uid="{096F46E4-7B31-409A-909B-3D927F0D4C8C}"/>
    <cellStyle name="20% - Accent4 8 2 2 2 3 3" xfId="22532" xr:uid="{00000000-0005-0000-0000-00000B1B0000}"/>
    <cellStyle name="20% - Accent4 8 2 2 2 3 3 2" xfId="46364" xr:uid="{C00FAC44-32F0-4BB7-B104-65B8C32F4CAF}"/>
    <cellStyle name="20% - Accent4 8 2 2 2 3 4" xfId="30486" xr:uid="{6CCDE9F1-F5F8-48E7-98CE-05E9DF8F8DEB}"/>
    <cellStyle name="20% - Accent4 8 2 2 2 4" xfId="11049" xr:uid="{00000000-0005-0000-0000-00000C1B0000}"/>
    <cellStyle name="20% - Accent4 8 2 2 2 4 2" xfId="34898" xr:uid="{7C432B5D-53BB-4273-9AF3-D0E6ACEF388F}"/>
    <cellStyle name="20% - Accent4 8 2 2 2 5" xfId="19004" xr:uid="{00000000-0005-0000-0000-00000D1B0000}"/>
    <cellStyle name="20% - Accent4 8 2 2 2 5 2" xfId="42836" xr:uid="{7CA8DE2F-59B9-47E0-8220-33F19607468F}"/>
    <cellStyle name="20% - Accent4 8 2 2 2 6" xfId="26956" xr:uid="{48643456-59B4-415F-A238-65B0B389F14E}"/>
    <cellStyle name="20% - Accent4 8 2 2 2_Exh G" xfId="2420" xr:uid="{00000000-0005-0000-0000-00000E1B0000}"/>
    <cellStyle name="20% - Accent4 8 2 2 3" xfId="3902" xr:uid="{00000000-0005-0000-0000-00000F1B0000}"/>
    <cellStyle name="20% - Accent4 8 2 2 3 2" xfId="7494" xr:uid="{00000000-0005-0000-0000-0000101B0000}"/>
    <cellStyle name="20% - Accent4 8 2 2 3 2 2" xfId="15465" xr:uid="{00000000-0005-0000-0000-0000111B0000}"/>
    <cellStyle name="20% - Accent4 8 2 2 3 2 2 2" xfId="39307" xr:uid="{98ADA9DB-3988-40A3-A0C8-4885FE035C24}"/>
    <cellStyle name="20% - Accent4 8 2 2 3 2 3" xfId="23411" xr:uid="{00000000-0005-0000-0000-0000121B0000}"/>
    <cellStyle name="20% - Accent4 8 2 2 3 2 3 2" xfId="47243" xr:uid="{A7F0AB66-5C02-4F3A-B8DD-977B7E95B6BD}"/>
    <cellStyle name="20% - Accent4 8 2 2 3 2 4" xfId="31366" xr:uid="{5E590DB7-DE9D-466A-A997-C466CB5C6594}"/>
    <cellStyle name="20% - Accent4 8 2 2 3 3" xfId="11927" xr:uid="{00000000-0005-0000-0000-0000131B0000}"/>
    <cellStyle name="20% - Accent4 8 2 2 3 3 2" xfId="35776" xr:uid="{43B16251-A58B-40F1-85D0-41DDF150D63D}"/>
    <cellStyle name="20% - Accent4 8 2 2 3 4" xfId="19882" xr:uid="{00000000-0005-0000-0000-0000141B0000}"/>
    <cellStyle name="20% - Accent4 8 2 2 3 4 2" xfId="43714" xr:uid="{4332D988-421B-47D5-9FFD-B53947DE2A24}"/>
    <cellStyle name="20% - Accent4 8 2 2 3 5" xfId="27835" xr:uid="{6A12E75B-117F-401D-A7DF-F5F9A4B56443}"/>
    <cellStyle name="20% - Accent4 8 2 2 4" xfId="5722" xr:uid="{00000000-0005-0000-0000-0000151B0000}"/>
    <cellStyle name="20% - Accent4 8 2 2 4 2" xfId="13706" xr:uid="{00000000-0005-0000-0000-0000161B0000}"/>
    <cellStyle name="20% - Accent4 8 2 2 4 2 2" xfId="37549" xr:uid="{76869E9D-A4C1-446D-BF18-4F04691C1CF9}"/>
    <cellStyle name="20% - Accent4 8 2 2 4 3" xfId="21654" xr:uid="{00000000-0005-0000-0000-0000171B0000}"/>
    <cellStyle name="20% - Accent4 8 2 2 4 3 2" xfId="45486" xr:uid="{C7FF03FA-3C21-4259-AF9C-6A378DC22338}"/>
    <cellStyle name="20% - Accent4 8 2 2 4 4" xfId="29608" xr:uid="{D0B15529-0EE8-4C46-94ED-0C702C2CDE77}"/>
    <cellStyle name="20% - Accent4 8 2 2 5" xfId="9275" xr:uid="{00000000-0005-0000-0000-0000181B0000}"/>
    <cellStyle name="20% - Accent4 8 2 2 5 2" xfId="17233" xr:uid="{00000000-0005-0000-0000-0000191B0000}"/>
    <cellStyle name="20% - Accent4 8 2 2 5 2 2" xfId="41073" xr:uid="{3929F473-4960-4FC8-B3D2-F56E9AE69185}"/>
    <cellStyle name="20% - Accent4 8 2 2 5 3" xfId="25177" xr:uid="{00000000-0005-0000-0000-00001A1B0000}"/>
    <cellStyle name="20% - Accent4 8 2 2 5 3 2" xfId="49009" xr:uid="{03A708EC-BCF5-4B28-8986-21E681D9F452}"/>
    <cellStyle name="20% - Accent4 8 2 2 5 4" xfId="33132" xr:uid="{A94AC99A-D3F9-436F-9EBA-19232E350B70}"/>
    <cellStyle name="20% - Accent4 8 2 2 6" xfId="10171" xr:uid="{00000000-0005-0000-0000-00001B1B0000}"/>
    <cellStyle name="20% - Accent4 8 2 2 6 2" xfId="34020" xr:uid="{53D0CE1B-31AA-494F-97FF-6A23278A9648}"/>
    <cellStyle name="20% - Accent4 8 2 2 7" xfId="18126" xr:uid="{00000000-0005-0000-0000-00001C1B0000}"/>
    <cellStyle name="20% - Accent4 8 2 2 7 2" xfId="41958" xr:uid="{23B747C8-D14A-45FA-ADC7-85D6B80FD90F}"/>
    <cellStyle name="20% - Accent4 8 2 2 8" xfId="26078" xr:uid="{2AA24308-938C-4B82-BA29-3FEEBF3193E1}"/>
    <cellStyle name="20% - Accent4 8 2 2_Exh G" xfId="2419" xr:uid="{00000000-0005-0000-0000-00001D1B0000}"/>
    <cellStyle name="20% - Accent4 8 2 3" xfId="1250" xr:uid="{00000000-0005-0000-0000-00001E1B0000}"/>
    <cellStyle name="20% - Accent4 8 2 3 2" xfId="4780" xr:uid="{00000000-0005-0000-0000-00001F1B0000}"/>
    <cellStyle name="20% - Accent4 8 2 3 2 2" xfId="8371" xr:uid="{00000000-0005-0000-0000-0000201B0000}"/>
    <cellStyle name="20% - Accent4 8 2 3 2 2 2" xfId="16342" xr:uid="{00000000-0005-0000-0000-0000211B0000}"/>
    <cellStyle name="20% - Accent4 8 2 3 2 2 2 2" xfId="40184" xr:uid="{E2C57838-0C44-461E-99AE-52B86FEFE7FB}"/>
    <cellStyle name="20% - Accent4 8 2 3 2 2 3" xfId="24288" xr:uid="{00000000-0005-0000-0000-0000221B0000}"/>
    <cellStyle name="20% - Accent4 8 2 3 2 2 3 2" xfId="48120" xr:uid="{CFA20F41-6D28-4C94-B4D8-D15BFC35230B}"/>
    <cellStyle name="20% - Accent4 8 2 3 2 2 4" xfId="32243" xr:uid="{9F7276C4-DCE4-411A-A36D-9846413EF2D5}"/>
    <cellStyle name="20% - Accent4 8 2 3 2 3" xfId="12804" xr:uid="{00000000-0005-0000-0000-0000231B0000}"/>
    <cellStyle name="20% - Accent4 8 2 3 2 3 2" xfId="36653" xr:uid="{5D244F2E-850D-4DF1-A25D-E1537484242C}"/>
    <cellStyle name="20% - Accent4 8 2 3 2 4" xfId="20759" xr:uid="{00000000-0005-0000-0000-0000241B0000}"/>
    <cellStyle name="20% - Accent4 8 2 3 2 4 2" xfId="44591" xr:uid="{04516790-D497-4165-A7E5-0A50A2764DBB}"/>
    <cellStyle name="20% - Accent4 8 2 3 2 5" xfId="28712" xr:uid="{1145832E-2963-432A-AE6C-EE2BC178314A}"/>
    <cellStyle name="20% - Accent4 8 2 3 3" xfId="6612" xr:uid="{00000000-0005-0000-0000-0000251B0000}"/>
    <cellStyle name="20% - Accent4 8 2 3 3 2" xfId="14584" xr:uid="{00000000-0005-0000-0000-0000261B0000}"/>
    <cellStyle name="20% - Accent4 8 2 3 3 2 2" xfId="38426" xr:uid="{660BDE30-D3BA-4458-803E-7ACD17FB35B7}"/>
    <cellStyle name="20% - Accent4 8 2 3 3 3" xfId="22531" xr:uid="{00000000-0005-0000-0000-0000271B0000}"/>
    <cellStyle name="20% - Accent4 8 2 3 3 3 2" xfId="46363" xr:uid="{9D7FC43E-6669-455C-9935-0ED474D8D9F0}"/>
    <cellStyle name="20% - Accent4 8 2 3 3 4" xfId="30485" xr:uid="{C11CA7BC-34BD-429B-8249-7A9210AE9820}"/>
    <cellStyle name="20% - Accent4 8 2 3 4" xfId="11048" xr:uid="{00000000-0005-0000-0000-0000281B0000}"/>
    <cellStyle name="20% - Accent4 8 2 3 4 2" xfId="34897" xr:uid="{70DCEFF2-6652-423A-91FC-FC82F3ACF21F}"/>
    <cellStyle name="20% - Accent4 8 2 3 5" xfId="19003" xr:uid="{00000000-0005-0000-0000-0000291B0000}"/>
    <cellStyle name="20% - Accent4 8 2 3 5 2" xfId="42835" xr:uid="{A674C493-20BE-47CC-9DD6-13ACEFD4588F}"/>
    <cellStyle name="20% - Accent4 8 2 3 6" xfId="26955" xr:uid="{38A0FD29-F45E-46A8-B87C-031F6A567E5F}"/>
    <cellStyle name="20% - Accent4 8 2 3_Exh G" xfId="2421" xr:uid="{00000000-0005-0000-0000-00002A1B0000}"/>
    <cellStyle name="20% - Accent4 8 2 4" xfId="3901" xr:uid="{00000000-0005-0000-0000-00002B1B0000}"/>
    <cellStyle name="20% - Accent4 8 2 4 2" xfId="7493" xr:uid="{00000000-0005-0000-0000-00002C1B0000}"/>
    <cellStyle name="20% - Accent4 8 2 4 2 2" xfId="15464" xr:uid="{00000000-0005-0000-0000-00002D1B0000}"/>
    <cellStyle name="20% - Accent4 8 2 4 2 2 2" xfId="39306" xr:uid="{DB0F7102-02DC-41DF-A7D7-F1C729EBCCA6}"/>
    <cellStyle name="20% - Accent4 8 2 4 2 3" xfId="23410" xr:uid="{00000000-0005-0000-0000-00002E1B0000}"/>
    <cellStyle name="20% - Accent4 8 2 4 2 3 2" xfId="47242" xr:uid="{4246146A-CCCF-4AF7-8524-7DED9DD5BA6D}"/>
    <cellStyle name="20% - Accent4 8 2 4 2 4" xfId="31365" xr:uid="{F426F636-DB73-42AD-8554-65DE25AC0235}"/>
    <cellStyle name="20% - Accent4 8 2 4 3" xfId="11926" xr:uid="{00000000-0005-0000-0000-00002F1B0000}"/>
    <cellStyle name="20% - Accent4 8 2 4 3 2" xfId="35775" xr:uid="{512F39B5-9F1E-4B5C-B6F8-E2B99853E541}"/>
    <cellStyle name="20% - Accent4 8 2 4 4" xfId="19881" xr:uid="{00000000-0005-0000-0000-0000301B0000}"/>
    <cellStyle name="20% - Accent4 8 2 4 4 2" xfId="43713" xr:uid="{5A8AE9C3-F54C-49CE-9E83-FB4CE82C3B98}"/>
    <cellStyle name="20% - Accent4 8 2 4 5" xfId="27834" xr:uid="{671A2619-5C0A-4AD7-A781-B0C052C337D8}"/>
    <cellStyle name="20% - Accent4 8 2 5" xfId="5721" xr:uid="{00000000-0005-0000-0000-0000311B0000}"/>
    <cellStyle name="20% - Accent4 8 2 5 2" xfId="13705" xr:uid="{00000000-0005-0000-0000-0000321B0000}"/>
    <cellStyle name="20% - Accent4 8 2 5 2 2" xfId="37548" xr:uid="{1D8C1181-23D0-402C-ABE4-06AFF4386D17}"/>
    <cellStyle name="20% - Accent4 8 2 5 3" xfId="21653" xr:uid="{00000000-0005-0000-0000-0000331B0000}"/>
    <cellStyle name="20% - Accent4 8 2 5 3 2" xfId="45485" xr:uid="{B8A2FCC9-206D-4914-A0F1-76756706056A}"/>
    <cellStyle name="20% - Accent4 8 2 5 4" xfId="29607" xr:uid="{2C7347FB-5397-44E0-B6E0-0E2B668D2E1E}"/>
    <cellStyle name="20% - Accent4 8 2 6" xfId="9274" xr:uid="{00000000-0005-0000-0000-0000341B0000}"/>
    <cellStyle name="20% - Accent4 8 2 6 2" xfId="17232" xr:uid="{00000000-0005-0000-0000-0000351B0000}"/>
    <cellStyle name="20% - Accent4 8 2 6 2 2" xfId="41072" xr:uid="{C23FB914-2CE4-4E83-B2B9-57ECED4E67DD}"/>
    <cellStyle name="20% - Accent4 8 2 6 3" xfId="25176" xr:uid="{00000000-0005-0000-0000-0000361B0000}"/>
    <cellStyle name="20% - Accent4 8 2 6 3 2" xfId="49008" xr:uid="{954DD775-D1A7-49D4-8996-D0EBB445CE6D}"/>
    <cellStyle name="20% - Accent4 8 2 6 4" xfId="33131" xr:uid="{95EC0BD8-2666-4953-8159-FC7DC84C4932}"/>
    <cellStyle name="20% - Accent4 8 2 7" xfId="10170" xr:uid="{00000000-0005-0000-0000-0000371B0000}"/>
    <cellStyle name="20% - Accent4 8 2 7 2" xfId="34019" xr:uid="{777D102B-6E30-4480-B159-A400F3B22A21}"/>
    <cellStyle name="20% - Accent4 8 2 8" xfId="18125" xr:uid="{00000000-0005-0000-0000-0000381B0000}"/>
    <cellStyle name="20% - Accent4 8 2 8 2" xfId="41957" xr:uid="{CFEBB8EA-5259-4071-90D9-9877C9E85E92}"/>
    <cellStyle name="20% - Accent4 8 2 9" xfId="26077" xr:uid="{40AE9769-E8DC-493C-9141-1B4DCE3390C1}"/>
    <cellStyle name="20% - Accent4 8 2_Exh G" xfId="2418" xr:uid="{00000000-0005-0000-0000-0000391B0000}"/>
    <cellStyle name="20% - Accent4 8 3" xfId="224" xr:uid="{00000000-0005-0000-0000-00003A1B0000}"/>
    <cellStyle name="20% - Accent4 8 3 2" xfId="1252" xr:uid="{00000000-0005-0000-0000-00003B1B0000}"/>
    <cellStyle name="20% - Accent4 8 3 2 2" xfId="4782" xr:uid="{00000000-0005-0000-0000-00003C1B0000}"/>
    <cellStyle name="20% - Accent4 8 3 2 2 2" xfId="8373" xr:uid="{00000000-0005-0000-0000-00003D1B0000}"/>
    <cellStyle name="20% - Accent4 8 3 2 2 2 2" xfId="16344" xr:uid="{00000000-0005-0000-0000-00003E1B0000}"/>
    <cellStyle name="20% - Accent4 8 3 2 2 2 2 2" xfId="40186" xr:uid="{9F4D76EB-02B6-4949-87FB-B00257211A26}"/>
    <cellStyle name="20% - Accent4 8 3 2 2 2 3" xfId="24290" xr:uid="{00000000-0005-0000-0000-00003F1B0000}"/>
    <cellStyle name="20% - Accent4 8 3 2 2 2 3 2" xfId="48122" xr:uid="{B817249A-7172-45F5-BEB8-3AD65B5DEA89}"/>
    <cellStyle name="20% - Accent4 8 3 2 2 2 4" xfId="32245" xr:uid="{DF5F68B9-904F-429C-8F99-1AF828EF6517}"/>
    <cellStyle name="20% - Accent4 8 3 2 2 3" xfId="12806" xr:uid="{00000000-0005-0000-0000-0000401B0000}"/>
    <cellStyle name="20% - Accent4 8 3 2 2 3 2" xfId="36655" xr:uid="{FF9808A0-5D23-4020-99F1-3115937B8994}"/>
    <cellStyle name="20% - Accent4 8 3 2 2 4" xfId="20761" xr:uid="{00000000-0005-0000-0000-0000411B0000}"/>
    <cellStyle name="20% - Accent4 8 3 2 2 4 2" xfId="44593" xr:uid="{1669437B-67D9-4DB5-BEC2-EE00E9A5759B}"/>
    <cellStyle name="20% - Accent4 8 3 2 2 5" xfId="28714" xr:uid="{0A9F6091-52CD-459C-A519-947C77906ACD}"/>
    <cellStyle name="20% - Accent4 8 3 2 3" xfId="6614" xr:uid="{00000000-0005-0000-0000-0000421B0000}"/>
    <cellStyle name="20% - Accent4 8 3 2 3 2" xfId="14586" xr:uid="{00000000-0005-0000-0000-0000431B0000}"/>
    <cellStyle name="20% - Accent4 8 3 2 3 2 2" xfId="38428" xr:uid="{9AC999D2-703C-454C-B82D-58DAABFAE5B0}"/>
    <cellStyle name="20% - Accent4 8 3 2 3 3" xfId="22533" xr:uid="{00000000-0005-0000-0000-0000441B0000}"/>
    <cellStyle name="20% - Accent4 8 3 2 3 3 2" xfId="46365" xr:uid="{BCF17C27-D25E-4A38-87E9-D8C0C7D7CCA2}"/>
    <cellStyle name="20% - Accent4 8 3 2 3 4" xfId="30487" xr:uid="{872E17F6-56FD-4AA4-8A1A-F56A8A66DF52}"/>
    <cellStyle name="20% - Accent4 8 3 2 4" xfId="11050" xr:uid="{00000000-0005-0000-0000-0000451B0000}"/>
    <cellStyle name="20% - Accent4 8 3 2 4 2" xfId="34899" xr:uid="{AF674572-5C32-45F3-B4CE-F48A091EED1F}"/>
    <cellStyle name="20% - Accent4 8 3 2 5" xfId="19005" xr:uid="{00000000-0005-0000-0000-0000461B0000}"/>
    <cellStyle name="20% - Accent4 8 3 2 5 2" xfId="42837" xr:uid="{F587B167-0510-480B-A31D-E9EDD67059F7}"/>
    <cellStyle name="20% - Accent4 8 3 2 6" xfId="26957" xr:uid="{77391935-9C90-42D1-8BB1-3F06360A8DF4}"/>
    <cellStyle name="20% - Accent4 8 3 2_Exh G" xfId="2423" xr:uid="{00000000-0005-0000-0000-0000471B0000}"/>
    <cellStyle name="20% - Accent4 8 3 3" xfId="3903" xr:uid="{00000000-0005-0000-0000-0000481B0000}"/>
    <cellStyle name="20% - Accent4 8 3 3 2" xfId="7495" xr:uid="{00000000-0005-0000-0000-0000491B0000}"/>
    <cellStyle name="20% - Accent4 8 3 3 2 2" xfId="15466" xr:uid="{00000000-0005-0000-0000-00004A1B0000}"/>
    <cellStyle name="20% - Accent4 8 3 3 2 2 2" xfId="39308" xr:uid="{6064D393-C458-4A65-84BF-063A87BDD891}"/>
    <cellStyle name="20% - Accent4 8 3 3 2 3" xfId="23412" xr:uid="{00000000-0005-0000-0000-00004B1B0000}"/>
    <cellStyle name="20% - Accent4 8 3 3 2 3 2" xfId="47244" xr:uid="{703A9CCA-47D1-45C7-BC6E-6AFCBE6240F3}"/>
    <cellStyle name="20% - Accent4 8 3 3 2 4" xfId="31367" xr:uid="{4FE70BA2-8C5F-4F65-B071-BFC1639FBE0B}"/>
    <cellStyle name="20% - Accent4 8 3 3 3" xfId="11928" xr:uid="{00000000-0005-0000-0000-00004C1B0000}"/>
    <cellStyle name="20% - Accent4 8 3 3 3 2" xfId="35777" xr:uid="{EEFEAE32-A3DA-4EAB-B82F-73535607EB3C}"/>
    <cellStyle name="20% - Accent4 8 3 3 4" xfId="19883" xr:uid="{00000000-0005-0000-0000-00004D1B0000}"/>
    <cellStyle name="20% - Accent4 8 3 3 4 2" xfId="43715" xr:uid="{57E46137-A558-4936-AFA6-900D0F6CDED7}"/>
    <cellStyle name="20% - Accent4 8 3 3 5" xfId="27836" xr:uid="{0D2BE6D4-64BE-4DE5-A951-AEC3D49D0ADB}"/>
    <cellStyle name="20% - Accent4 8 3 4" xfId="5723" xr:uid="{00000000-0005-0000-0000-00004E1B0000}"/>
    <cellStyle name="20% - Accent4 8 3 4 2" xfId="13707" xr:uid="{00000000-0005-0000-0000-00004F1B0000}"/>
    <cellStyle name="20% - Accent4 8 3 4 2 2" xfId="37550" xr:uid="{523E3DA7-C372-4FA3-8280-B08B77413A3F}"/>
    <cellStyle name="20% - Accent4 8 3 4 3" xfId="21655" xr:uid="{00000000-0005-0000-0000-0000501B0000}"/>
    <cellStyle name="20% - Accent4 8 3 4 3 2" xfId="45487" xr:uid="{62092C9F-9522-4052-8623-A03EAB4AC516}"/>
    <cellStyle name="20% - Accent4 8 3 4 4" xfId="29609" xr:uid="{0424BBEF-3302-4E50-B482-0F7938ED5F38}"/>
    <cellStyle name="20% - Accent4 8 3 5" xfId="9276" xr:uid="{00000000-0005-0000-0000-0000511B0000}"/>
    <cellStyle name="20% - Accent4 8 3 5 2" xfId="17234" xr:uid="{00000000-0005-0000-0000-0000521B0000}"/>
    <cellStyle name="20% - Accent4 8 3 5 2 2" xfId="41074" xr:uid="{EC6CE914-EAB6-4A8D-94EB-522BA94E2660}"/>
    <cellStyle name="20% - Accent4 8 3 5 3" xfId="25178" xr:uid="{00000000-0005-0000-0000-0000531B0000}"/>
    <cellStyle name="20% - Accent4 8 3 5 3 2" xfId="49010" xr:uid="{68A5951D-8275-4E4E-BEBE-F7674056400E}"/>
    <cellStyle name="20% - Accent4 8 3 5 4" xfId="33133" xr:uid="{27DFB471-E0E4-4E63-9F1F-AC7163B93624}"/>
    <cellStyle name="20% - Accent4 8 3 6" xfId="10172" xr:uid="{00000000-0005-0000-0000-0000541B0000}"/>
    <cellStyle name="20% - Accent4 8 3 6 2" xfId="34021" xr:uid="{30BEE497-3730-4C0C-B52C-0ECE3A6BECF6}"/>
    <cellStyle name="20% - Accent4 8 3 7" xfId="18127" xr:uid="{00000000-0005-0000-0000-0000551B0000}"/>
    <cellStyle name="20% - Accent4 8 3 7 2" xfId="41959" xr:uid="{EF1E3226-5A37-4976-BF08-05B715ED3220}"/>
    <cellStyle name="20% - Accent4 8 3 8" xfId="26079" xr:uid="{6E2C3C65-0B78-4558-A4D9-0662D2CD917D}"/>
    <cellStyle name="20% - Accent4 8 3_Exh G" xfId="2422" xr:uid="{00000000-0005-0000-0000-0000561B0000}"/>
    <cellStyle name="20% - Accent4 8 4" xfId="908" xr:uid="{00000000-0005-0000-0000-0000571B0000}"/>
    <cellStyle name="20% - Accent4 8 4 2" xfId="1837" xr:uid="{00000000-0005-0000-0000-0000581B0000}"/>
    <cellStyle name="20% - Accent4 8 4 2 2" xfId="5355" xr:uid="{00000000-0005-0000-0000-0000591B0000}"/>
    <cellStyle name="20% - Accent4 8 4 2 2 2" xfId="8946" xr:uid="{00000000-0005-0000-0000-00005A1B0000}"/>
    <cellStyle name="20% - Accent4 8 4 2 2 2 2" xfId="16917" xr:uid="{00000000-0005-0000-0000-00005B1B0000}"/>
    <cellStyle name="20% - Accent4 8 4 2 2 2 2 2" xfId="40759" xr:uid="{57B3660A-579F-49CD-A922-DD2364E7CE4D}"/>
    <cellStyle name="20% - Accent4 8 4 2 2 2 3" xfId="24863" xr:uid="{00000000-0005-0000-0000-00005C1B0000}"/>
    <cellStyle name="20% - Accent4 8 4 2 2 2 3 2" xfId="48695" xr:uid="{48D22642-00A4-4AAE-9EDF-5AA761E867D9}"/>
    <cellStyle name="20% - Accent4 8 4 2 2 2 4" xfId="32818" xr:uid="{6340CC4B-1D38-4EB5-896C-A1BA05415A4A}"/>
    <cellStyle name="20% - Accent4 8 4 2 2 3" xfId="13379" xr:uid="{00000000-0005-0000-0000-00005D1B0000}"/>
    <cellStyle name="20% - Accent4 8 4 2 2 3 2" xfId="37228" xr:uid="{EF5F57C9-694F-4484-A698-5F870948EC2D}"/>
    <cellStyle name="20% - Accent4 8 4 2 2 4" xfId="21334" xr:uid="{00000000-0005-0000-0000-00005E1B0000}"/>
    <cellStyle name="20% - Accent4 8 4 2 2 4 2" xfId="45166" xr:uid="{E66D5402-9405-45CC-AC12-84390B267056}"/>
    <cellStyle name="20% - Accent4 8 4 2 2 5" xfId="29287" xr:uid="{2F10097C-5082-4B5B-ABC1-2309C4C5F353}"/>
    <cellStyle name="20% - Accent4 8 4 2 3" xfId="7187" xr:uid="{00000000-0005-0000-0000-00005F1B0000}"/>
    <cellStyle name="20% - Accent4 8 4 2 3 2" xfId="15159" xr:uid="{00000000-0005-0000-0000-0000601B0000}"/>
    <cellStyle name="20% - Accent4 8 4 2 3 2 2" xfId="39001" xr:uid="{C874026D-8392-4501-8962-AF7E0FF7556D}"/>
    <cellStyle name="20% - Accent4 8 4 2 3 3" xfId="23106" xr:uid="{00000000-0005-0000-0000-0000611B0000}"/>
    <cellStyle name="20% - Accent4 8 4 2 3 3 2" xfId="46938" xr:uid="{873B6B27-615E-496B-8EA3-673A874491C6}"/>
    <cellStyle name="20% - Accent4 8 4 2 3 4" xfId="31060" xr:uid="{C7143F62-7397-4913-8E17-FF4A5F9F1592}"/>
    <cellStyle name="20% - Accent4 8 4 2 4" xfId="11623" xr:uid="{00000000-0005-0000-0000-0000621B0000}"/>
    <cellStyle name="20% - Accent4 8 4 2 4 2" xfId="35472" xr:uid="{8FC218B3-EACC-43CF-8111-3126B79853B2}"/>
    <cellStyle name="20% - Accent4 8 4 2 5" xfId="19578" xr:uid="{00000000-0005-0000-0000-0000631B0000}"/>
    <cellStyle name="20% - Accent4 8 4 2 5 2" xfId="43410" xr:uid="{C54EE1D5-2531-4253-9640-4B6B13CAB378}"/>
    <cellStyle name="20% - Accent4 8 4 2 6" xfId="27530" xr:uid="{803DF120-7828-4E7E-B3FE-0C27173FF7D5}"/>
    <cellStyle name="20% - Accent4 8 4 2_Exh G" xfId="2425" xr:uid="{00000000-0005-0000-0000-0000641B0000}"/>
    <cellStyle name="20% - Accent4 8 4 3" xfId="4476" xr:uid="{00000000-0005-0000-0000-0000651B0000}"/>
    <cellStyle name="20% - Accent4 8 4 3 2" xfId="8068" xr:uid="{00000000-0005-0000-0000-0000661B0000}"/>
    <cellStyle name="20% - Accent4 8 4 3 2 2" xfId="16039" xr:uid="{00000000-0005-0000-0000-0000671B0000}"/>
    <cellStyle name="20% - Accent4 8 4 3 2 2 2" xfId="39881" xr:uid="{CDFFC458-9FD0-4ED1-8863-959C147CE816}"/>
    <cellStyle name="20% - Accent4 8 4 3 2 3" xfId="23985" xr:uid="{00000000-0005-0000-0000-0000681B0000}"/>
    <cellStyle name="20% - Accent4 8 4 3 2 3 2" xfId="47817" xr:uid="{29E7514C-B17E-43EA-8BEB-2BCA85CF3E09}"/>
    <cellStyle name="20% - Accent4 8 4 3 2 4" xfId="31940" xr:uid="{CAB1E456-6C11-4032-8AF2-0624C394FE06}"/>
    <cellStyle name="20% - Accent4 8 4 3 3" xfId="12501" xr:uid="{00000000-0005-0000-0000-0000691B0000}"/>
    <cellStyle name="20% - Accent4 8 4 3 3 2" xfId="36350" xr:uid="{7E9B6AF0-EB92-4DC4-AFB7-0E4DED8C025A}"/>
    <cellStyle name="20% - Accent4 8 4 3 4" xfId="20456" xr:uid="{00000000-0005-0000-0000-00006A1B0000}"/>
    <cellStyle name="20% - Accent4 8 4 3 4 2" xfId="44288" xr:uid="{C79FEDE5-025C-4DA6-AFD3-440606936451}"/>
    <cellStyle name="20% - Accent4 8 4 3 5" xfId="28409" xr:uid="{20BC8449-6D07-4888-B0F3-A42985C5F31B}"/>
    <cellStyle name="20% - Accent4 8 4 4" xfId="6306" xr:uid="{00000000-0005-0000-0000-00006B1B0000}"/>
    <cellStyle name="20% - Accent4 8 4 4 2" xfId="14281" xr:uid="{00000000-0005-0000-0000-00006C1B0000}"/>
    <cellStyle name="20% - Accent4 8 4 4 2 2" xfId="38123" xr:uid="{D07F7462-9DED-4586-BA38-098780DA0B65}"/>
    <cellStyle name="20% - Accent4 8 4 4 3" xfId="22228" xr:uid="{00000000-0005-0000-0000-00006D1B0000}"/>
    <cellStyle name="20% - Accent4 8 4 4 3 2" xfId="46060" xr:uid="{8A23ADA3-EADD-47AF-BE99-14210760C7AC}"/>
    <cellStyle name="20% - Accent4 8 4 4 4" xfId="30182" xr:uid="{80DCAB39-D9EF-494C-A1A9-788235939A43}"/>
    <cellStyle name="20% - Accent4 8 4 5" xfId="9849" xr:uid="{00000000-0005-0000-0000-00006E1B0000}"/>
    <cellStyle name="20% - Accent4 8 4 5 2" xfId="17807" xr:uid="{00000000-0005-0000-0000-00006F1B0000}"/>
    <cellStyle name="20% - Accent4 8 4 5 2 2" xfId="41647" xr:uid="{75FA73B2-21CF-4ACF-8F12-21BBB423DF13}"/>
    <cellStyle name="20% - Accent4 8 4 5 3" xfId="25751" xr:uid="{00000000-0005-0000-0000-0000701B0000}"/>
    <cellStyle name="20% - Accent4 8 4 5 3 2" xfId="49583" xr:uid="{BF1B2A66-919E-4170-A448-00E91AE5B82B}"/>
    <cellStyle name="20% - Accent4 8 4 5 4" xfId="33706" xr:uid="{46CF378B-9DE0-43FF-8720-107AB3918F05}"/>
    <cellStyle name="20% - Accent4 8 4 6" xfId="10745" xr:uid="{00000000-0005-0000-0000-0000711B0000}"/>
    <cellStyle name="20% - Accent4 8 4 6 2" xfId="34594" xr:uid="{8EDF9C1D-D0C3-460C-9120-DB2A70764858}"/>
    <cellStyle name="20% - Accent4 8 4 7" xfId="18700" xr:uid="{00000000-0005-0000-0000-0000721B0000}"/>
    <cellStyle name="20% - Accent4 8 4 7 2" xfId="42532" xr:uid="{8EF14750-27EB-44A7-8924-573C671E60C3}"/>
    <cellStyle name="20% - Accent4 8 4 8" xfId="26652" xr:uid="{23E3CC0A-A7A3-4D4C-B0F9-599C61F187C9}"/>
    <cellStyle name="20% - Accent4 8 4_Exh G" xfId="2424" xr:uid="{00000000-0005-0000-0000-0000731B0000}"/>
    <cellStyle name="20% - Accent4 8 5" xfId="1249" xr:uid="{00000000-0005-0000-0000-0000741B0000}"/>
    <cellStyle name="20% - Accent4 8 5 2" xfId="4779" xr:uid="{00000000-0005-0000-0000-0000751B0000}"/>
    <cellStyle name="20% - Accent4 8 5 2 2" xfId="8370" xr:uid="{00000000-0005-0000-0000-0000761B0000}"/>
    <cellStyle name="20% - Accent4 8 5 2 2 2" xfId="16341" xr:uid="{00000000-0005-0000-0000-0000771B0000}"/>
    <cellStyle name="20% - Accent4 8 5 2 2 2 2" xfId="40183" xr:uid="{9113CDD5-4E19-4930-B2D2-3E8932431F8C}"/>
    <cellStyle name="20% - Accent4 8 5 2 2 3" xfId="24287" xr:uid="{00000000-0005-0000-0000-0000781B0000}"/>
    <cellStyle name="20% - Accent4 8 5 2 2 3 2" xfId="48119" xr:uid="{3BE6C462-9213-4993-A308-130EC5743254}"/>
    <cellStyle name="20% - Accent4 8 5 2 2 4" xfId="32242" xr:uid="{8C572A68-8F86-40F5-AFA7-5880E0127314}"/>
    <cellStyle name="20% - Accent4 8 5 2 3" xfId="12803" xr:uid="{00000000-0005-0000-0000-0000791B0000}"/>
    <cellStyle name="20% - Accent4 8 5 2 3 2" xfId="36652" xr:uid="{1DCADC33-8486-4BD3-899D-BB8287C07E4A}"/>
    <cellStyle name="20% - Accent4 8 5 2 4" xfId="20758" xr:uid="{00000000-0005-0000-0000-00007A1B0000}"/>
    <cellStyle name="20% - Accent4 8 5 2 4 2" xfId="44590" xr:uid="{9C630401-8413-48D9-A2F7-D1536868EC22}"/>
    <cellStyle name="20% - Accent4 8 5 2 5" xfId="28711" xr:uid="{1A2442E1-638A-4308-ADCB-4D727057BA32}"/>
    <cellStyle name="20% - Accent4 8 5 3" xfId="6611" xr:uid="{00000000-0005-0000-0000-00007B1B0000}"/>
    <cellStyle name="20% - Accent4 8 5 3 2" xfId="14583" xr:uid="{00000000-0005-0000-0000-00007C1B0000}"/>
    <cellStyle name="20% - Accent4 8 5 3 2 2" xfId="38425" xr:uid="{DE031F47-A177-4527-914E-9413287D2346}"/>
    <cellStyle name="20% - Accent4 8 5 3 3" xfId="22530" xr:uid="{00000000-0005-0000-0000-00007D1B0000}"/>
    <cellStyle name="20% - Accent4 8 5 3 3 2" xfId="46362" xr:uid="{32192288-8A2F-4E80-8230-ADDF40830465}"/>
    <cellStyle name="20% - Accent4 8 5 3 4" xfId="30484" xr:uid="{8A1B10C0-3851-44BD-9B5A-CAFDB3ABF41F}"/>
    <cellStyle name="20% - Accent4 8 5 4" xfId="11047" xr:uid="{00000000-0005-0000-0000-00007E1B0000}"/>
    <cellStyle name="20% - Accent4 8 5 4 2" xfId="34896" xr:uid="{2367CA52-7841-4759-BF24-4A5DCE9355C3}"/>
    <cellStyle name="20% - Accent4 8 5 5" xfId="19002" xr:uid="{00000000-0005-0000-0000-00007F1B0000}"/>
    <cellStyle name="20% - Accent4 8 5 5 2" xfId="42834" xr:uid="{4C15B901-6D87-48FB-BF8D-933134806749}"/>
    <cellStyle name="20% - Accent4 8 5 6" xfId="26954" xr:uid="{1EAA7552-E350-4E41-A8C0-F57B23EC7073}"/>
    <cellStyle name="20% - Accent4 8 5_Exh G" xfId="2426" xr:uid="{00000000-0005-0000-0000-0000801B0000}"/>
    <cellStyle name="20% - Accent4 8 6" xfId="3900" xr:uid="{00000000-0005-0000-0000-0000811B0000}"/>
    <cellStyle name="20% - Accent4 8 6 2" xfId="7492" xr:uid="{00000000-0005-0000-0000-0000821B0000}"/>
    <cellStyle name="20% - Accent4 8 6 2 2" xfId="15463" xr:uid="{00000000-0005-0000-0000-0000831B0000}"/>
    <cellStyle name="20% - Accent4 8 6 2 2 2" xfId="39305" xr:uid="{7C03E4A2-B590-420D-8433-D9563DAA19F6}"/>
    <cellStyle name="20% - Accent4 8 6 2 3" xfId="23409" xr:uid="{00000000-0005-0000-0000-0000841B0000}"/>
    <cellStyle name="20% - Accent4 8 6 2 3 2" xfId="47241" xr:uid="{AF710421-46FF-483E-9050-2888E273AC0C}"/>
    <cellStyle name="20% - Accent4 8 6 2 4" xfId="31364" xr:uid="{5FB10508-4E8F-4DEA-97DD-EBAA56561A8A}"/>
    <cellStyle name="20% - Accent4 8 6 3" xfId="11925" xr:uid="{00000000-0005-0000-0000-0000851B0000}"/>
    <cellStyle name="20% - Accent4 8 6 3 2" xfId="35774" xr:uid="{F77DE8EA-47B0-4023-8D5E-82D3B23AB5D2}"/>
    <cellStyle name="20% - Accent4 8 6 4" xfId="19880" xr:uid="{00000000-0005-0000-0000-0000861B0000}"/>
    <cellStyle name="20% - Accent4 8 6 4 2" xfId="43712" xr:uid="{EA29E85E-7C71-4115-80CC-A48EF00CFD37}"/>
    <cellStyle name="20% - Accent4 8 6 5" xfId="27833" xr:uid="{93382D07-B94C-4C4F-BCCB-164697CA8C94}"/>
    <cellStyle name="20% - Accent4 8 7" xfId="5720" xr:uid="{00000000-0005-0000-0000-0000871B0000}"/>
    <cellStyle name="20% - Accent4 8 7 2" xfId="13704" xr:uid="{00000000-0005-0000-0000-0000881B0000}"/>
    <cellStyle name="20% - Accent4 8 7 2 2" xfId="37547" xr:uid="{562D4FEF-EA75-4520-B8C7-53DE1F8062A5}"/>
    <cellStyle name="20% - Accent4 8 7 3" xfId="21652" xr:uid="{00000000-0005-0000-0000-0000891B0000}"/>
    <cellStyle name="20% - Accent4 8 7 3 2" xfId="45484" xr:uid="{9A57D445-93C4-494B-982E-1FA29EC9B17D}"/>
    <cellStyle name="20% - Accent4 8 7 4" xfId="29606" xr:uid="{CD8F2697-831E-4842-90CD-ABB19FAE5129}"/>
    <cellStyle name="20% - Accent4 8 8" xfId="9273" xr:uid="{00000000-0005-0000-0000-00008A1B0000}"/>
    <cellStyle name="20% - Accent4 8 8 2" xfId="17231" xr:uid="{00000000-0005-0000-0000-00008B1B0000}"/>
    <cellStyle name="20% - Accent4 8 8 2 2" xfId="41071" xr:uid="{27BF970D-95A2-48AE-8C18-87CD77D30661}"/>
    <cellStyle name="20% - Accent4 8 8 3" xfId="25175" xr:uid="{00000000-0005-0000-0000-00008C1B0000}"/>
    <cellStyle name="20% - Accent4 8 8 3 2" xfId="49007" xr:uid="{93D48654-8F33-42DC-8BBC-7E0974903D49}"/>
    <cellStyle name="20% - Accent4 8 8 4" xfId="33130" xr:uid="{8F66AD67-CCFB-4111-9350-245FCB10059D}"/>
    <cellStyle name="20% - Accent4 8 9" xfId="10169" xr:uid="{00000000-0005-0000-0000-00008D1B0000}"/>
    <cellStyle name="20% - Accent4 8 9 2" xfId="34018" xr:uid="{B2BD4E8F-1DAB-424E-B004-03B37CDA3FB5}"/>
    <cellStyle name="20% - Accent4 8_Exh G" xfId="2417" xr:uid="{00000000-0005-0000-0000-00008E1B0000}"/>
    <cellStyle name="20% - Accent4 9" xfId="225" xr:uid="{00000000-0005-0000-0000-00008F1B0000}"/>
    <cellStyle name="20% - Accent4 9 10" xfId="18128" xr:uid="{00000000-0005-0000-0000-0000901B0000}"/>
    <cellStyle name="20% - Accent4 9 10 2" xfId="41960" xr:uid="{11FA11AE-BD9C-4E1E-9314-3F40202A462D}"/>
    <cellStyle name="20% - Accent4 9 11" xfId="26080" xr:uid="{2DFCE371-8C54-4AD2-B352-7862623C33CD}"/>
    <cellStyle name="20% - Accent4 9 2" xfId="226" xr:uid="{00000000-0005-0000-0000-0000911B0000}"/>
    <cellStyle name="20% - Accent4 9 2 2" xfId="227" xr:uid="{00000000-0005-0000-0000-0000921B0000}"/>
    <cellStyle name="20% - Accent4 9 2 2 2" xfId="1255" xr:uid="{00000000-0005-0000-0000-0000931B0000}"/>
    <cellStyle name="20% - Accent4 9 2 2 2 2" xfId="4785" xr:uid="{00000000-0005-0000-0000-0000941B0000}"/>
    <cellStyle name="20% - Accent4 9 2 2 2 2 2" xfId="8376" xr:uid="{00000000-0005-0000-0000-0000951B0000}"/>
    <cellStyle name="20% - Accent4 9 2 2 2 2 2 2" xfId="16347" xr:uid="{00000000-0005-0000-0000-0000961B0000}"/>
    <cellStyle name="20% - Accent4 9 2 2 2 2 2 2 2" xfId="40189" xr:uid="{7CDB54C2-D85A-4D69-8464-61A3C30E0B69}"/>
    <cellStyle name="20% - Accent4 9 2 2 2 2 2 3" xfId="24293" xr:uid="{00000000-0005-0000-0000-0000971B0000}"/>
    <cellStyle name="20% - Accent4 9 2 2 2 2 2 3 2" xfId="48125" xr:uid="{FBEF530F-D50C-4BC8-BED1-AD54164BD046}"/>
    <cellStyle name="20% - Accent4 9 2 2 2 2 2 4" xfId="32248" xr:uid="{24D05ADC-3BA9-4282-B399-B0CAE749DB33}"/>
    <cellStyle name="20% - Accent4 9 2 2 2 2 3" xfId="12809" xr:uid="{00000000-0005-0000-0000-0000981B0000}"/>
    <cellStyle name="20% - Accent4 9 2 2 2 2 3 2" xfId="36658" xr:uid="{8B9FAFC0-5081-4150-BE2F-9286C2439FA8}"/>
    <cellStyle name="20% - Accent4 9 2 2 2 2 4" xfId="20764" xr:uid="{00000000-0005-0000-0000-0000991B0000}"/>
    <cellStyle name="20% - Accent4 9 2 2 2 2 4 2" xfId="44596" xr:uid="{3256E3A2-31EE-4B1A-A6A7-658F58072E1B}"/>
    <cellStyle name="20% - Accent4 9 2 2 2 2 5" xfId="28717" xr:uid="{98945753-4D06-4D3F-9B81-271044EB5877}"/>
    <cellStyle name="20% - Accent4 9 2 2 2 3" xfId="6617" xr:uid="{00000000-0005-0000-0000-00009A1B0000}"/>
    <cellStyle name="20% - Accent4 9 2 2 2 3 2" xfId="14589" xr:uid="{00000000-0005-0000-0000-00009B1B0000}"/>
    <cellStyle name="20% - Accent4 9 2 2 2 3 2 2" xfId="38431" xr:uid="{EBD58EE9-9423-4A84-8DA5-D8162BAD86A6}"/>
    <cellStyle name="20% - Accent4 9 2 2 2 3 3" xfId="22536" xr:uid="{00000000-0005-0000-0000-00009C1B0000}"/>
    <cellStyle name="20% - Accent4 9 2 2 2 3 3 2" xfId="46368" xr:uid="{518E7129-CC0F-4659-A1B2-F1086B65CF99}"/>
    <cellStyle name="20% - Accent4 9 2 2 2 3 4" xfId="30490" xr:uid="{993881D1-270F-4060-A167-D4C83DD4311E}"/>
    <cellStyle name="20% - Accent4 9 2 2 2 4" xfId="11053" xr:uid="{00000000-0005-0000-0000-00009D1B0000}"/>
    <cellStyle name="20% - Accent4 9 2 2 2 4 2" xfId="34902" xr:uid="{A021F6D8-C357-4BB4-A4A9-C8A5E35DBE30}"/>
    <cellStyle name="20% - Accent4 9 2 2 2 5" xfId="19008" xr:uid="{00000000-0005-0000-0000-00009E1B0000}"/>
    <cellStyle name="20% - Accent4 9 2 2 2 5 2" xfId="42840" xr:uid="{F549CFC4-4B6E-44AA-9716-7D7855C8B7A8}"/>
    <cellStyle name="20% - Accent4 9 2 2 2 6" xfId="26960" xr:uid="{187F5087-7DE1-46D8-8A5A-0F073C20C2EE}"/>
    <cellStyle name="20% - Accent4 9 2 2 2_Exh G" xfId="2430" xr:uid="{00000000-0005-0000-0000-00009F1B0000}"/>
    <cellStyle name="20% - Accent4 9 2 2 3" xfId="3906" xr:uid="{00000000-0005-0000-0000-0000A01B0000}"/>
    <cellStyle name="20% - Accent4 9 2 2 3 2" xfId="7498" xr:uid="{00000000-0005-0000-0000-0000A11B0000}"/>
    <cellStyle name="20% - Accent4 9 2 2 3 2 2" xfId="15469" xr:uid="{00000000-0005-0000-0000-0000A21B0000}"/>
    <cellStyle name="20% - Accent4 9 2 2 3 2 2 2" xfId="39311" xr:uid="{4AE33FC1-D977-49AE-A7A3-5B1C5688B4B6}"/>
    <cellStyle name="20% - Accent4 9 2 2 3 2 3" xfId="23415" xr:uid="{00000000-0005-0000-0000-0000A31B0000}"/>
    <cellStyle name="20% - Accent4 9 2 2 3 2 3 2" xfId="47247" xr:uid="{0977D8F6-06A9-449A-AEA9-99AED63575A9}"/>
    <cellStyle name="20% - Accent4 9 2 2 3 2 4" xfId="31370" xr:uid="{940D04BA-8696-40A7-BFC7-2B2D18A5D465}"/>
    <cellStyle name="20% - Accent4 9 2 2 3 3" xfId="11931" xr:uid="{00000000-0005-0000-0000-0000A41B0000}"/>
    <cellStyle name="20% - Accent4 9 2 2 3 3 2" xfId="35780" xr:uid="{48B9E701-6F35-436D-B2C6-AC1A8DEA25C9}"/>
    <cellStyle name="20% - Accent4 9 2 2 3 4" xfId="19886" xr:uid="{00000000-0005-0000-0000-0000A51B0000}"/>
    <cellStyle name="20% - Accent4 9 2 2 3 4 2" xfId="43718" xr:uid="{A49B1212-B3CF-4EDA-8200-E7AC4DC6DDAE}"/>
    <cellStyle name="20% - Accent4 9 2 2 3 5" xfId="27839" xr:uid="{2C4D42B5-F7C2-45EF-A19B-7604389FBFE1}"/>
    <cellStyle name="20% - Accent4 9 2 2 4" xfId="5726" xr:uid="{00000000-0005-0000-0000-0000A61B0000}"/>
    <cellStyle name="20% - Accent4 9 2 2 4 2" xfId="13710" xr:uid="{00000000-0005-0000-0000-0000A71B0000}"/>
    <cellStyle name="20% - Accent4 9 2 2 4 2 2" xfId="37553" xr:uid="{8719B895-F367-42AC-B327-E07E75230F93}"/>
    <cellStyle name="20% - Accent4 9 2 2 4 3" xfId="21658" xr:uid="{00000000-0005-0000-0000-0000A81B0000}"/>
    <cellStyle name="20% - Accent4 9 2 2 4 3 2" xfId="45490" xr:uid="{87D34152-B973-4B89-BD67-4CA131B924CC}"/>
    <cellStyle name="20% - Accent4 9 2 2 4 4" xfId="29612" xr:uid="{2A0E5B3F-91DB-4029-B8A1-72C9FFA90E97}"/>
    <cellStyle name="20% - Accent4 9 2 2 5" xfId="9279" xr:uid="{00000000-0005-0000-0000-0000A91B0000}"/>
    <cellStyle name="20% - Accent4 9 2 2 5 2" xfId="17237" xr:uid="{00000000-0005-0000-0000-0000AA1B0000}"/>
    <cellStyle name="20% - Accent4 9 2 2 5 2 2" xfId="41077" xr:uid="{FB8EC6A1-9443-4496-A2D1-77ECAF623914}"/>
    <cellStyle name="20% - Accent4 9 2 2 5 3" xfId="25181" xr:uid="{00000000-0005-0000-0000-0000AB1B0000}"/>
    <cellStyle name="20% - Accent4 9 2 2 5 3 2" xfId="49013" xr:uid="{3F93E550-03F5-4F00-8F34-9DC88B05B09E}"/>
    <cellStyle name="20% - Accent4 9 2 2 5 4" xfId="33136" xr:uid="{5FE67217-37C6-4325-BD2B-50D5A990FD17}"/>
    <cellStyle name="20% - Accent4 9 2 2 6" xfId="10175" xr:uid="{00000000-0005-0000-0000-0000AC1B0000}"/>
    <cellStyle name="20% - Accent4 9 2 2 6 2" xfId="34024" xr:uid="{526B7533-C02C-4818-965B-72193017D9EC}"/>
    <cellStyle name="20% - Accent4 9 2 2 7" xfId="18130" xr:uid="{00000000-0005-0000-0000-0000AD1B0000}"/>
    <cellStyle name="20% - Accent4 9 2 2 7 2" xfId="41962" xr:uid="{71981150-470C-4F41-8735-69408EEFBCBB}"/>
    <cellStyle name="20% - Accent4 9 2 2 8" xfId="26082" xr:uid="{F5EC2CF9-2591-49BA-A4DF-9EDDBA73AF03}"/>
    <cellStyle name="20% - Accent4 9 2 2_Exh G" xfId="2429" xr:uid="{00000000-0005-0000-0000-0000AE1B0000}"/>
    <cellStyle name="20% - Accent4 9 2 3" xfId="1254" xr:uid="{00000000-0005-0000-0000-0000AF1B0000}"/>
    <cellStyle name="20% - Accent4 9 2 3 2" xfId="4784" xr:uid="{00000000-0005-0000-0000-0000B01B0000}"/>
    <cellStyle name="20% - Accent4 9 2 3 2 2" xfId="8375" xr:uid="{00000000-0005-0000-0000-0000B11B0000}"/>
    <cellStyle name="20% - Accent4 9 2 3 2 2 2" xfId="16346" xr:uid="{00000000-0005-0000-0000-0000B21B0000}"/>
    <cellStyle name="20% - Accent4 9 2 3 2 2 2 2" xfId="40188" xr:uid="{B0919E1F-CE0C-44DA-AE72-F1347D028614}"/>
    <cellStyle name="20% - Accent4 9 2 3 2 2 3" xfId="24292" xr:uid="{00000000-0005-0000-0000-0000B31B0000}"/>
    <cellStyle name="20% - Accent4 9 2 3 2 2 3 2" xfId="48124" xr:uid="{960A9876-0DDF-45C0-8010-2E734C047658}"/>
    <cellStyle name="20% - Accent4 9 2 3 2 2 4" xfId="32247" xr:uid="{C6B80271-1E57-424E-9639-C5B9A3CCBA89}"/>
    <cellStyle name="20% - Accent4 9 2 3 2 3" xfId="12808" xr:uid="{00000000-0005-0000-0000-0000B41B0000}"/>
    <cellStyle name="20% - Accent4 9 2 3 2 3 2" xfId="36657" xr:uid="{F847F9F4-08FB-4C38-AA05-3B29BBD9FCAE}"/>
    <cellStyle name="20% - Accent4 9 2 3 2 4" xfId="20763" xr:uid="{00000000-0005-0000-0000-0000B51B0000}"/>
    <cellStyle name="20% - Accent4 9 2 3 2 4 2" xfId="44595" xr:uid="{1C51912A-EB66-433A-B4A4-82C88B26F4B6}"/>
    <cellStyle name="20% - Accent4 9 2 3 2 5" xfId="28716" xr:uid="{5AA23FDF-C7C8-483B-B954-FB06FB11F55C}"/>
    <cellStyle name="20% - Accent4 9 2 3 3" xfId="6616" xr:uid="{00000000-0005-0000-0000-0000B61B0000}"/>
    <cellStyle name="20% - Accent4 9 2 3 3 2" xfId="14588" xr:uid="{00000000-0005-0000-0000-0000B71B0000}"/>
    <cellStyle name="20% - Accent4 9 2 3 3 2 2" xfId="38430" xr:uid="{60F28E7D-019E-408A-9977-F57F8EDA72A8}"/>
    <cellStyle name="20% - Accent4 9 2 3 3 3" xfId="22535" xr:uid="{00000000-0005-0000-0000-0000B81B0000}"/>
    <cellStyle name="20% - Accent4 9 2 3 3 3 2" xfId="46367" xr:uid="{8F04CABD-F0FC-4AA1-BD54-16A847B75239}"/>
    <cellStyle name="20% - Accent4 9 2 3 3 4" xfId="30489" xr:uid="{7F99C9C8-598C-4447-90B3-368EEABF2E12}"/>
    <cellStyle name="20% - Accent4 9 2 3 4" xfId="11052" xr:uid="{00000000-0005-0000-0000-0000B91B0000}"/>
    <cellStyle name="20% - Accent4 9 2 3 4 2" xfId="34901" xr:uid="{5980A628-55D5-48B8-85EE-424AA06705F8}"/>
    <cellStyle name="20% - Accent4 9 2 3 5" xfId="19007" xr:uid="{00000000-0005-0000-0000-0000BA1B0000}"/>
    <cellStyle name="20% - Accent4 9 2 3 5 2" xfId="42839" xr:uid="{227A0BD1-DA22-4B51-BCE8-3218CA286272}"/>
    <cellStyle name="20% - Accent4 9 2 3 6" xfId="26959" xr:uid="{FB181604-D808-49A3-B2A8-BC4ED46AB749}"/>
    <cellStyle name="20% - Accent4 9 2 3_Exh G" xfId="2431" xr:uid="{00000000-0005-0000-0000-0000BB1B0000}"/>
    <cellStyle name="20% - Accent4 9 2 4" xfId="3905" xr:uid="{00000000-0005-0000-0000-0000BC1B0000}"/>
    <cellStyle name="20% - Accent4 9 2 4 2" xfId="7497" xr:uid="{00000000-0005-0000-0000-0000BD1B0000}"/>
    <cellStyle name="20% - Accent4 9 2 4 2 2" xfId="15468" xr:uid="{00000000-0005-0000-0000-0000BE1B0000}"/>
    <cellStyle name="20% - Accent4 9 2 4 2 2 2" xfId="39310" xr:uid="{9EA268E2-043A-4E07-AED3-1BBB34A1C2E4}"/>
    <cellStyle name="20% - Accent4 9 2 4 2 3" xfId="23414" xr:uid="{00000000-0005-0000-0000-0000BF1B0000}"/>
    <cellStyle name="20% - Accent4 9 2 4 2 3 2" xfId="47246" xr:uid="{0775EAE1-0545-4EBD-B127-0B579D6D8370}"/>
    <cellStyle name="20% - Accent4 9 2 4 2 4" xfId="31369" xr:uid="{249705A8-9C58-434F-97F6-06BCEFAAD2E2}"/>
    <cellStyle name="20% - Accent4 9 2 4 3" xfId="11930" xr:uid="{00000000-0005-0000-0000-0000C01B0000}"/>
    <cellStyle name="20% - Accent4 9 2 4 3 2" xfId="35779" xr:uid="{BFBB6FB3-F63D-41A1-B7B1-E3F9F4A34619}"/>
    <cellStyle name="20% - Accent4 9 2 4 4" xfId="19885" xr:uid="{00000000-0005-0000-0000-0000C11B0000}"/>
    <cellStyle name="20% - Accent4 9 2 4 4 2" xfId="43717" xr:uid="{F9690037-D2D0-48CE-9544-3EE8E84320D1}"/>
    <cellStyle name="20% - Accent4 9 2 4 5" xfId="27838" xr:uid="{973D10A2-FAA2-4CE9-BABB-CE8E84830F56}"/>
    <cellStyle name="20% - Accent4 9 2 5" xfId="5725" xr:uid="{00000000-0005-0000-0000-0000C21B0000}"/>
    <cellStyle name="20% - Accent4 9 2 5 2" xfId="13709" xr:uid="{00000000-0005-0000-0000-0000C31B0000}"/>
    <cellStyle name="20% - Accent4 9 2 5 2 2" xfId="37552" xr:uid="{63894365-07B1-44F5-9620-EC69187652AB}"/>
    <cellStyle name="20% - Accent4 9 2 5 3" xfId="21657" xr:uid="{00000000-0005-0000-0000-0000C41B0000}"/>
    <cellStyle name="20% - Accent4 9 2 5 3 2" xfId="45489" xr:uid="{98CDF4C0-722D-4E21-80F1-CD056B689108}"/>
    <cellStyle name="20% - Accent4 9 2 5 4" xfId="29611" xr:uid="{5E2D45C7-7B6E-40B8-BE8D-D25F62833368}"/>
    <cellStyle name="20% - Accent4 9 2 6" xfId="9278" xr:uid="{00000000-0005-0000-0000-0000C51B0000}"/>
    <cellStyle name="20% - Accent4 9 2 6 2" xfId="17236" xr:uid="{00000000-0005-0000-0000-0000C61B0000}"/>
    <cellStyle name="20% - Accent4 9 2 6 2 2" xfId="41076" xr:uid="{6C202C26-25B0-4BCD-88E1-4BE17EFC36D4}"/>
    <cellStyle name="20% - Accent4 9 2 6 3" xfId="25180" xr:uid="{00000000-0005-0000-0000-0000C71B0000}"/>
    <cellStyle name="20% - Accent4 9 2 6 3 2" xfId="49012" xr:uid="{F1312D35-1CE0-44F1-A8F7-2F1143F4805F}"/>
    <cellStyle name="20% - Accent4 9 2 6 4" xfId="33135" xr:uid="{F73174EB-A67E-47B9-9255-13DB821CF037}"/>
    <cellStyle name="20% - Accent4 9 2 7" xfId="10174" xr:uid="{00000000-0005-0000-0000-0000C81B0000}"/>
    <cellStyle name="20% - Accent4 9 2 7 2" xfId="34023" xr:uid="{DCB6C088-354A-4206-86CE-47CADFDE2A7E}"/>
    <cellStyle name="20% - Accent4 9 2 8" xfId="18129" xr:uid="{00000000-0005-0000-0000-0000C91B0000}"/>
    <cellStyle name="20% - Accent4 9 2 8 2" xfId="41961" xr:uid="{C7CBCF10-1590-4373-B203-C9C44F96E548}"/>
    <cellStyle name="20% - Accent4 9 2 9" xfId="26081" xr:uid="{07175DEB-5809-48BF-8EE0-E8598729ED95}"/>
    <cellStyle name="20% - Accent4 9 2_Exh G" xfId="2428" xr:uid="{00000000-0005-0000-0000-0000CA1B0000}"/>
    <cellStyle name="20% - Accent4 9 3" xfId="228" xr:uid="{00000000-0005-0000-0000-0000CB1B0000}"/>
    <cellStyle name="20% - Accent4 9 3 2" xfId="1256" xr:uid="{00000000-0005-0000-0000-0000CC1B0000}"/>
    <cellStyle name="20% - Accent4 9 3 2 2" xfId="4786" xr:uid="{00000000-0005-0000-0000-0000CD1B0000}"/>
    <cellStyle name="20% - Accent4 9 3 2 2 2" xfId="8377" xr:uid="{00000000-0005-0000-0000-0000CE1B0000}"/>
    <cellStyle name="20% - Accent4 9 3 2 2 2 2" xfId="16348" xr:uid="{00000000-0005-0000-0000-0000CF1B0000}"/>
    <cellStyle name="20% - Accent4 9 3 2 2 2 2 2" xfId="40190" xr:uid="{47C73347-F2AA-4767-948B-DF8ECA0E9D98}"/>
    <cellStyle name="20% - Accent4 9 3 2 2 2 3" xfId="24294" xr:uid="{00000000-0005-0000-0000-0000D01B0000}"/>
    <cellStyle name="20% - Accent4 9 3 2 2 2 3 2" xfId="48126" xr:uid="{26CEE285-AEBC-49B9-AB65-D0CF2D12081B}"/>
    <cellStyle name="20% - Accent4 9 3 2 2 2 4" xfId="32249" xr:uid="{E90EC33A-E0AA-48BF-9BEA-FD768823A363}"/>
    <cellStyle name="20% - Accent4 9 3 2 2 3" xfId="12810" xr:uid="{00000000-0005-0000-0000-0000D11B0000}"/>
    <cellStyle name="20% - Accent4 9 3 2 2 3 2" xfId="36659" xr:uid="{F1C25E43-27FB-4D85-A482-63D82F2A9737}"/>
    <cellStyle name="20% - Accent4 9 3 2 2 4" xfId="20765" xr:uid="{00000000-0005-0000-0000-0000D21B0000}"/>
    <cellStyle name="20% - Accent4 9 3 2 2 4 2" xfId="44597" xr:uid="{F27B6DE7-3ED3-4A58-AA0E-B5205B5B5441}"/>
    <cellStyle name="20% - Accent4 9 3 2 2 5" xfId="28718" xr:uid="{494A45B0-93B6-4074-A7EC-17B5A66A5D95}"/>
    <cellStyle name="20% - Accent4 9 3 2 3" xfId="6618" xr:uid="{00000000-0005-0000-0000-0000D31B0000}"/>
    <cellStyle name="20% - Accent4 9 3 2 3 2" xfId="14590" xr:uid="{00000000-0005-0000-0000-0000D41B0000}"/>
    <cellStyle name="20% - Accent4 9 3 2 3 2 2" xfId="38432" xr:uid="{48F74DBB-A9D0-41C7-BF72-5CA81C42818B}"/>
    <cellStyle name="20% - Accent4 9 3 2 3 3" xfId="22537" xr:uid="{00000000-0005-0000-0000-0000D51B0000}"/>
    <cellStyle name="20% - Accent4 9 3 2 3 3 2" xfId="46369" xr:uid="{5A8D6DE3-6796-4F20-9DCE-A6E1B03BAB7E}"/>
    <cellStyle name="20% - Accent4 9 3 2 3 4" xfId="30491" xr:uid="{689F79A9-4D6C-4751-997E-C980BC20DB51}"/>
    <cellStyle name="20% - Accent4 9 3 2 4" xfId="11054" xr:uid="{00000000-0005-0000-0000-0000D61B0000}"/>
    <cellStyle name="20% - Accent4 9 3 2 4 2" xfId="34903" xr:uid="{7F26849B-CE8C-45C6-A4F4-FBDB232E99C9}"/>
    <cellStyle name="20% - Accent4 9 3 2 5" xfId="19009" xr:uid="{00000000-0005-0000-0000-0000D71B0000}"/>
    <cellStyle name="20% - Accent4 9 3 2 5 2" xfId="42841" xr:uid="{104E8EE3-EDD7-4213-A413-6003E1F342D5}"/>
    <cellStyle name="20% - Accent4 9 3 2 6" xfId="26961" xr:uid="{B173A7AA-0995-4F96-8FD5-4B9C88B3BD2F}"/>
    <cellStyle name="20% - Accent4 9 3 2_Exh G" xfId="2433" xr:uid="{00000000-0005-0000-0000-0000D81B0000}"/>
    <cellStyle name="20% - Accent4 9 3 3" xfId="3907" xr:uid="{00000000-0005-0000-0000-0000D91B0000}"/>
    <cellStyle name="20% - Accent4 9 3 3 2" xfId="7499" xr:uid="{00000000-0005-0000-0000-0000DA1B0000}"/>
    <cellStyle name="20% - Accent4 9 3 3 2 2" xfId="15470" xr:uid="{00000000-0005-0000-0000-0000DB1B0000}"/>
    <cellStyle name="20% - Accent4 9 3 3 2 2 2" xfId="39312" xr:uid="{2C9EF351-6D1C-4953-91DD-D1ADB9D8426B}"/>
    <cellStyle name="20% - Accent4 9 3 3 2 3" xfId="23416" xr:uid="{00000000-0005-0000-0000-0000DC1B0000}"/>
    <cellStyle name="20% - Accent4 9 3 3 2 3 2" xfId="47248" xr:uid="{BBD28727-6A46-47F5-997C-E2B781A9CBA0}"/>
    <cellStyle name="20% - Accent4 9 3 3 2 4" xfId="31371" xr:uid="{F604B4BD-6F44-4EA4-AEC0-525990F5F838}"/>
    <cellStyle name="20% - Accent4 9 3 3 3" xfId="11932" xr:uid="{00000000-0005-0000-0000-0000DD1B0000}"/>
    <cellStyle name="20% - Accent4 9 3 3 3 2" xfId="35781" xr:uid="{A4854C00-29B0-4333-88FA-7881951E4AE6}"/>
    <cellStyle name="20% - Accent4 9 3 3 4" xfId="19887" xr:uid="{00000000-0005-0000-0000-0000DE1B0000}"/>
    <cellStyle name="20% - Accent4 9 3 3 4 2" xfId="43719" xr:uid="{D3CCB66B-3DF4-400E-A2A5-816C2C403F1D}"/>
    <cellStyle name="20% - Accent4 9 3 3 5" xfId="27840" xr:uid="{78D6064B-7F1E-45C7-A491-DB8994D50684}"/>
    <cellStyle name="20% - Accent4 9 3 4" xfId="5727" xr:uid="{00000000-0005-0000-0000-0000DF1B0000}"/>
    <cellStyle name="20% - Accent4 9 3 4 2" xfId="13711" xr:uid="{00000000-0005-0000-0000-0000E01B0000}"/>
    <cellStyle name="20% - Accent4 9 3 4 2 2" xfId="37554" xr:uid="{F8FCBE34-CA51-40C9-BAFC-23EC0459D377}"/>
    <cellStyle name="20% - Accent4 9 3 4 3" xfId="21659" xr:uid="{00000000-0005-0000-0000-0000E11B0000}"/>
    <cellStyle name="20% - Accent4 9 3 4 3 2" xfId="45491" xr:uid="{557EB789-50CC-4458-9378-7A743A4D4081}"/>
    <cellStyle name="20% - Accent4 9 3 4 4" xfId="29613" xr:uid="{16104CB7-7765-443C-BCC0-C6375573F6AF}"/>
    <cellStyle name="20% - Accent4 9 3 5" xfId="9280" xr:uid="{00000000-0005-0000-0000-0000E21B0000}"/>
    <cellStyle name="20% - Accent4 9 3 5 2" xfId="17238" xr:uid="{00000000-0005-0000-0000-0000E31B0000}"/>
    <cellStyle name="20% - Accent4 9 3 5 2 2" xfId="41078" xr:uid="{B0AA858A-EF2D-454F-A06B-4FF0B16E5877}"/>
    <cellStyle name="20% - Accent4 9 3 5 3" xfId="25182" xr:uid="{00000000-0005-0000-0000-0000E41B0000}"/>
    <cellStyle name="20% - Accent4 9 3 5 3 2" xfId="49014" xr:uid="{8E3439C7-83A3-4474-A836-304AE5B00094}"/>
    <cellStyle name="20% - Accent4 9 3 5 4" xfId="33137" xr:uid="{03638FF3-9D5B-4F7F-A5E4-4D0F01C89531}"/>
    <cellStyle name="20% - Accent4 9 3 6" xfId="10176" xr:uid="{00000000-0005-0000-0000-0000E51B0000}"/>
    <cellStyle name="20% - Accent4 9 3 6 2" xfId="34025" xr:uid="{013C1EDE-FF4B-40B8-87C0-50603449D742}"/>
    <cellStyle name="20% - Accent4 9 3 7" xfId="18131" xr:uid="{00000000-0005-0000-0000-0000E61B0000}"/>
    <cellStyle name="20% - Accent4 9 3 7 2" xfId="41963" xr:uid="{73B01E60-399B-4998-B72F-96C5F88D9E57}"/>
    <cellStyle name="20% - Accent4 9 3 8" xfId="26083" xr:uid="{BC95548C-AF46-49A3-9719-B02507D85AEE}"/>
    <cellStyle name="20% - Accent4 9 3_Exh G" xfId="2432" xr:uid="{00000000-0005-0000-0000-0000E71B0000}"/>
    <cellStyle name="20% - Accent4 9 4" xfId="909" xr:uid="{00000000-0005-0000-0000-0000E81B0000}"/>
    <cellStyle name="20% - Accent4 9 4 2" xfId="1838" xr:uid="{00000000-0005-0000-0000-0000E91B0000}"/>
    <cellStyle name="20% - Accent4 9 4 2 2" xfId="5356" xr:uid="{00000000-0005-0000-0000-0000EA1B0000}"/>
    <cellStyle name="20% - Accent4 9 4 2 2 2" xfId="8947" xr:uid="{00000000-0005-0000-0000-0000EB1B0000}"/>
    <cellStyle name="20% - Accent4 9 4 2 2 2 2" xfId="16918" xr:uid="{00000000-0005-0000-0000-0000EC1B0000}"/>
    <cellStyle name="20% - Accent4 9 4 2 2 2 2 2" xfId="40760" xr:uid="{88D477B0-A4DF-49C0-A281-B988AF24498E}"/>
    <cellStyle name="20% - Accent4 9 4 2 2 2 3" xfId="24864" xr:uid="{00000000-0005-0000-0000-0000ED1B0000}"/>
    <cellStyle name="20% - Accent4 9 4 2 2 2 3 2" xfId="48696" xr:uid="{195DA8F0-552C-4F78-B265-B89D77143CD5}"/>
    <cellStyle name="20% - Accent4 9 4 2 2 2 4" xfId="32819" xr:uid="{4958E4F7-9894-4272-BE06-015341B1A52D}"/>
    <cellStyle name="20% - Accent4 9 4 2 2 3" xfId="13380" xr:uid="{00000000-0005-0000-0000-0000EE1B0000}"/>
    <cellStyle name="20% - Accent4 9 4 2 2 3 2" xfId="37229" xr:uid="{9D788031-9200-47D1-9286-D01BF2FDFF53}"/>
    <cellStyle name="20% - Accent4 9 4 2 2 4" xfId="21335" xr:uid="{00000000-0005-0000-0000-0000EF1B0000}"/>
    <cellStyle name="20% - Accent4 9 4 2 2 4 2" xfId="45167" xr:uid="{708633BD-7368-4075-8E0C-ABB2CD2521B7}"/>
    <cellStyle name="20% - Accent4 9 4 2 2 5" xfId="29288" xr:uid="{10D60517-33DE-4559-BAF0-E4318D130951}"/>
    <cellStyle name="20% - Accent4 9 4 2 3" xfId="7188" xr:uid="{00000000-0005-0000-0000-0000F01B0000}"/>
    <cellStyle name="20% - Accent4 9 4 2 3 2" xfId="15160" xr:uid="{00000000-0005-0000-0000-0000F11B0000}"/>
    <cellStyle name="20% - Accent4 9 4 2 3 2 2" xfId="39002" xr:uid="{09732ED0-9A20-4C18-A787-7675483922AA}"/>
    <cellStyle name="20% - Accent4 9 4 2 3 3" xfId="23107" xr:uid="{00000000-0005-0000-0000-0000F21B0000}"/>
    <cellStyle name="20% - Accent4 9 4 2 3 3 2" xfId="46939" xr:uid="{E2A9ADD5-926F-4B2F-BD30-6659B7F656B3}"/>
    <cellStyle name="20% - Accent4 9 4 2 3 4" xfId="31061" xr:uid="{D5F58A75-3048-42DC-9FCB-D8A9416FB028}"/>
    <cellStyle name="20% - Accent4 9 4 2 4" xfId="11624" xr:uid="{00000000-0005-0000-0000-0000F31B0000}"/>
    <cellStyle name="20% - Accent4 9 4 2 4 2" xfId="35473" xr:uid="{F9828049-06FD-4433-8B1D-3BF97428A586}"/>
    <cellStyle name="20% - Accent4 9 4 2 5" xfId="19579" xr:uid="{00000000-0005-0000-0000-0000F41B0000}"/>
    <cellStyle name="20% - Accent4 9 4 2 5 2" xfId="43411" xr:uid="{C9ECB0CC-21BF-4EA4-8964-0D198742F5CD}"/>
    <cellStyle name="20% - Accent4 9 4 2 6" xfId="27531" xr:uid="{86E53F30-EC32-4FDA-B0DB-FB69329CC153}"/>
    <cellStyle name="20% - Accent4 9 4 2_Exh G" xfId="2435" xr:uid="{00000000-0005-0000-0000-0000F51B0000}"/>
    <cellStyle name="20% - Accent4 9 4 3" xfId="4477" xr:uid="{00000000-0005-0000-0000-0000F61B0000}"/>
    <cellStyle name="20% - Accent4 9 4 3 2" xfId="8069" xr:uid="{00000000-0005-0000-0000-0000F71B0000}"/>
    <cellStyle name="20% - Accent4 9 4 3 2 2" xfId="16040" xr:uid="{00000000-0005-0000-0000-0000F81B0000}"/>
    <cellStyle name="20% - Accent4 9 4 3 2 2 2" xfId="39882" xr:uid="{FE1DBB86-BAFC-4145-9EB2-5B80F509D9BC}"/>
    <cellStyle name="20% - Accent4 9 4 3 2 3" xfId="23986" xr:uid="{00000000-0005-0000-0000-0000F91B0000}"/>
    <cellStyle name="20% - Accent4 9 4 3 2 3 2" xfId="47818" xr:uid="{15EE5A92-12B2-4C4D-8193-3129DF2E290F}"/>
    <cellStyle name="20% - Accent4 9 4 3 2 4" xfId="31941" xr:uid="{51A2CF71-E166-446E-9008-79AE6CDA0219}"/>
    <cellStyle name="20% - Accent4 9 4 3 3" xfId="12502" xr:uid="{00000000-0005-0000-0000-0000FA1B0000}"/>
    <cellStyle name="20% - Accent4 9 4 3 3 2" xfId="36351" xr:uid="{72EF6A82-9908-4D9D-896D-881EE4AEF073}"/>
    <cellStyle name="20% - Accent4 9 4 3 4" xfId="20457" xr:uid="{00000000-0005-0000-0000-0000FB1B0000}"/>
    <cellStyle name="20% - Accent4 9 4 3 4 2" xfId="44289" xr:uid="{69A14A9A-AB14-4890-8D11-D37742354B99}"/>
    <cellStyle name="20% - Accent4 9 4 3 5" xfId="28410" xr:uid="{780EE6E2-EB4D-4870-BDAF-56F9DD697373}"/>
    <cellStyle name="20% - Accent4 9 4 4" xfId="6307" xr:uid="{00000000-0005-0000-0000-0000FC1B0000}"/>
    <cellStyle name="20% - Accent4 9 4 4 2" xfId="14282" xr:uid="{00000000-0005-0000-0000-0000FD1B0000}"/>
    <cellStyle name="20% - Accent4 9 4 4 2 2" xfId="38124" xr:uid="{3A117EA0-180B-4226-AA11-EB58D8F59044}"/>
    <cellStyle name="20% - Accent4 9 4 4 3" xfId="22229" xr:uid="{00000000-0005-0000-0000-0000FE1B0000}"/>
    <cellStyle name="20% - Accent4 9 4 4 3 2" xfId="46061" xr:uid="{93BC6381-BC5E-407F-97AB-B0E63AD809E7}"/>
    <cellStyle name="20% - Accent4 9 4 4 4" xfId="30183" xr:uid="{C98AB223-E7DB-4DCD-9D9A-DDC1FD4C205D}"/>
    <cellStyle name="20% - Accent4 9 4 5" xfId="9850" xr:uid="{00000000-0005-0000-0000-0000FF1B0000}"/>
    <cellStyle name="20% - Accent4 9 4 5 2" xfId="17808" xr:uid="{00000000-0005-0000-0000-0000001C0000}"/>
    <cellStyle name="20% - Accent4 9 4 5 2 2" xfId="41648" xr:uid="{A67A6DCC-D33C-48FD-A700-1DE67CC26AA3}"/>
    <cellStyle name="20% - Accent4 9 4 5 3" xfId="25752" xr:uid="{00000000-0005-0000-0000-0000011C0000}"/>
    <cellStyle name="20% - Accent4 9 4 5 3 2" xfId="49584" xr:uid="{E0F2ED26-7D2C-45FC-8F99-D8A24EE926B3}"/>
    <cellStyle name="20% - Accent4 9 4 5 4" xfId="33707" xr:uid="{66AFE92E-673D-401A-881F-D242C1E1550A}"/>
    <cellStyle name="20% - Accent4 9 4 6" xfId="10746" xr:uid="{00000000-0005-0000-0000-0000021C0000}"/>
    <cellStyle name="20% - Accent4 9 4 6 2" xfId="34595" xr:uid="{73279337-B76E-479B-8AEB-A6239C9BABE7}"/>
    <cellStyle name="20% - Accent4 9 4 7" xfId="18701" xr:uid="{00000000-0005-0000-0000-0000031C0000}"/>
    <cellStyle name="20% - Accent4 9 4 7 2" xfId="42533" xr:uid="{EB8E5FCD-941C-4246-BCB5-42FBB7A9E4C3}"/>
    <cellStyle name="20% - Accent4 9 4 8" xfId="26653" xr:uid="{8CF61BAF-D0FB-466D-A932-93E40FCBA1D8}"/>
    <cellStyle name="20% - Accent4 9 4_Exh G" xfId="2434" xr:uid="{00000000-0005-0000-0000-0000041C0000}"/>
    <cellStyle name="20% - Accent4 9 5" xfId="1253" xr:uid="{00000000-0005-0000-0000-0000051C0000}"/>
    <cellStyle name="20% - Accent4 9 5 2" xfId="4783" xr:uid="{00000000-0005-0000-0000-0000061C0000}"/>
    <cellStyle name="20% - Accent4 9 5 2 2" xfId="8374" xr:uid="{00000000-0005-0000-0000-0000071C0000}"/>
    <cellStyle name="20% - Accent4 9 5 2 2 2" xfId="16345" xr:uid="{00000000-0005-0000-0000-0000081C0000}"/>
    <cellStyle name="20% - Accent4 9 5 2 2 2 2" xfId="40187" xr:uid="{EE205BBC-2CF2-4F6B-A7BD-7EC7CD91D2EE}"/>
    <cellStyle name="20% - Accent4 9 5 2 2 3" xfId="24291" xr:uid="{00000000-0005-0000-0000-0000091C0000}"/>
    <cellStyle name="20% - Accent4 9 5 2 2 3 2" xfId="48123" xr:uid="{E31D8AC6-0DA8-4760-B610-8135C9783677}"/>
    <cellStyle name="20% - Accent4 9 5 2 2 4" xfId="32246" xr:uid="{5E4997CC-F70C-46BC-8871-86065280862E}"/>
    <cellStyle name="20% - Accent4 9 5 2 3" xfId="12807" xr:uid="{00000000-0005-0000-0000-00000A1C0000}"/>
    <cellStyle name="20% - Accent4 9 5 2 3 2" xfId="36656" xr:uid="{D44A35E1-F569-4240-86B8-E3986B207D97}"/>
    <cellStyle name="20% - Accent4 9 5 2 4" xfId="20762" xr:uid="{00000000-0005-0000-0000-00000B1C0000}"/>
    <cellStyle name="20% - Accent4 9 5 2 4 2" xfId="44594" xr:uid="{C9131E65-713D-4F3F-9B7B-F43A3C368EDD}"/>
    <cellStyle name="20% - Accent4 9 5 2 5" xfId="28715" xr:uid="{8BDD2768-1135-4E8D-8B94-0C8AD0636E38}"/>
    <cellStyle name="20% - Accent4 9 5 3" xfId="6615" xr:uid="{00000000-0005-0000-0000-00000C1C0000}"/>
    <cellStyle name="20% - Accent4 9 5 3 2" xfId="14587" xr:uid="{00000000-0005-0000-0000-00000D1C0000}"/>
    <cellStyle name="20% - Accent4 9 5 3 2 2" xfId="38429" xr:uid="{FE26C3A8-BC77-4A26-8108-AE4ECDBB2B0C}"/>
    <cellStyle name="20% - Accent4 9 5 3 3" xfId="22534" xr:uid="{00000000-0005-0000-0000-00000E1C0000}"/>
    <cellStyle name="20% - Accent4 9 5 3 3 2" xfId="46366" xr:uid="{E8F2BF6F-49EB-4219-A6F9-D479FEF98E8C}"/>
    <cellStyle name="20% - Accent4 9 5 3 4" xfId="30488" xr:uid="{88357BF8-300A-4A09-89B3-ECED42546231}"/>
    <cellStyle name="20% - Accent4 9 5 4" xfId="11051" xr:uid="{00000000-0005-0000-0000-00000F1C0000}"/>
    <cellStyle name="20% - Accent4 9 5 4 2" xfId="34900" xr:uid="{A92ECB3A-E6B0-4B33-A046-59ECE0AC542E}"/>
    <cellStyle name="20% - Accent4 9 5 5" xfId="19006" xr:uid="{00000000-0005-0000-0000-0000101C0000}"/>
    <cellStyle name="20% - Accent4 9 5 5 2" xfId="42838" xr:uid="{745FCED0-DBC9-4538-B9D1-779D9292F76B}"/>
    <cellStyle name="20% - Accent4 9 5 6" xfId="26958" xr:uid="{8CDE856D-25E0-4920-AEFB-1A5AE1C2D682}"/>
    <cellStyle name="20% - Accent4 9 5_Exh G" xfId="2436" xr:uid="{00000000-0005-0000-0000-0000111C0000}"/>
    <cellStyle name="20% - Accent4 9 6" xfId="3904" xr:uid="{00000000-0005-0000-0000-0000121C0000}"/>
    <cellStyle name="20% - Accent4 9 6 2" xfId="7496" xr:uid="{00000000-0005-0000-0000-0000131C0000}"/>
    <cellStyle name="20% - Accent4 9 6 2 2" xfId="15467" xr:uid="{00000000-0005-0000-0000-0000141C0000}"/>
    <cellStyle name="20% - Accent4 9 6 2 2 2" xfId="39309" xr:uid="{0A4420AE-A813-4FC5-9E4E-960515BBCE4A}"/>
    <cellStyle name="20% - Accent4 9 6 2 3" xfId="23413" xr:uid="{00000000-0005-0000-0000-0000151C0000}"/>
    <cellStyle name="20% - Accent4 9 6 2 3 2" xfId="47245" xr:uid="{EDF91C0D-102F-4B36-A39D-457BC2F3C1DC}"/>
    <cellStyle name="20% - Accent4 9 6 2 4" xfId="31368" xr:uid="{B0022A87-2B47-457A-98C4-1BB43FD67F4A}"/>
    <cellStyle name="20% - Accent4 9 6 3" xfId="11929" xr:uid="{00000000-0005-0000-0000-0000161C0000}"/>
    <cellStyle name="20% - Accent4 9 6 3 2" xfId="35778" xr:uid="{F13AA409-B70A-4DB8-A823-5686E254468F}"/>
    <cellStyle name="20% - Accent4 9 6 4" xfId="19884" xr:uid="{00000000-0005-0000-0000-0000171C0000}"/>
    <cellStyle name="20% - Accent4 9 6 4 2" xfId="43716" xr:uid="{16D650E0-3310-402D-BE7E-27C1F7F40C13}"/>
    <cellStyle name="20% - Accent4 9 6 5" xfId="27837" xr:uid="{4B92A250-E0B2-4FE8-A12B-C5F29988353B}"/>
    <cellStyle name="20% - Accent4 9 7" xfId="5724" xr:uid="{00000000-0005-0000-0000-0000181C0000}"/>
    <cellStyle name="20% - Accent4 9 7 2" xfId="13708" xr:uid="{00000000-0005-0000-0000-0000191C0000}"/>
    <cellStyle name="20% - Accent4 9 7 2 2" xfId="37551" xr:uid="{E71DF474-8903-459A-97F3-59EB09F29760}"/>
    <cellStyle name="20% - Accent4 9 7 3" xfId="21656" xr:uid="{00000000-0005-0000-0000-00001A1C0000}"/>
    <cellStyle name="20% - Accent4 9 7 3 2" xfId="45488" xr:uid="{98AE592C-BD24-4029-B909-3185E910C5AB}"/>
    <cellStyle name="20% - Accent4 9 7 4" xfId="29610" xr:uid="{EF2E0F12-7A8E-471A-8416-21D89764A2DB}"/>
    <cellStyle name="20% - Accent4 9 8" xfId="9277" xr:uid="{00000000-0005-0000-0000-00001B1C0000}"/>
    <cellStyle name="20% - Accent4 9 8 2" xfId="17235" xr:uid="{00000000-0005-0000-0000-00001C1C0000}"/>
    <cellStyle name="20% - Accent4 9 8 2 2" xfId="41075" xr:uid="{54326F12-BCB4-4E9F-ADA5-1244B0D668C4}"/>
    <cellStyle name="20% - Accent4 9 8 3" xfId="25179" xr:uid="{00000000-0005-0000-0000-00001D1C0000}"/>
    <cellStyle name="20% - Accent4 9 8 3 2" xfId="49011" xr:uid="{293E62FD-F374-484D-9AB7-B0197F32171F}"/>
    <cellStyle name="20% - Accent4 9 8 4" xfId="33134" xr:uid="{02D8B0EC-D5A8-4364-8C5E-35AAAFC7E2F1}"/>
    <cellStyle name="20% - Accent4 9 9" xfId="10173" xr:uid="{00000000-0005-0000-0000-00001E1C0000}"/>
    <cellStyle name="20% - Accent4 9 9 2" xfId="34022" xr:uid="{810E4705-7635-4A82-B930-F29468AB1552}"/>
    <cellStyle name="20% - Accent4 9_Exh G" xfId="2427" xr:uid="{00000000-0005-0000-0000-00001F1C0000}"/>
    <cellStyle name="20% - Accent5" xfId="49704" builtinId="46" customBuiltin="1"/>
    <cellStyle name="20% - Accent5 10" xfId="229" xr:uid="{00000000-0005-0000-0000-0000201C0000}"/>
    <cellStyle name="20% - Accent5 10 10" xfId="18132" xr:uid="{00000000-0005-0000-0000-0000211C0000}"/>
    <cellStyle name="20% - Accent5 10 10 2" xfId="41964" xr:uid="{0382A021-9D4D-44E3-91C8-BFF906197714}"/>
    <cellStyle name="20% - Accent5 10 11" xfId="26084" xr:uid="{36A457C4-C6C3-43BE-A192-02407EA1F343}"/>
    <cellStyle name="20% - Accent5 10 2" xfId="230" xr:uid="{00000000-0005-0000-0000-0000221C0000}"/>
    <cellStyle name="20% - Accent5 10 2 2" xfId="231" xr:uid="{00000000-0005-0000-0000-0000231C0000}"/>
    <cellStyle name="20% - Accent5 10 2 2 2" xfId="1259" xr:uid="{00000000-0005-0000-0000-0000241C0000}"/>
    <cellStyle name="20% - Accent5 10 2 2 2 2" xfId="4789" xr:uid="{00000000-0005-0000-0000-0000251C0000}"/>
    <cellStyle name="20% - Accent5 10 2 2 2 2 2" xfId="8380" xr:uid="{00000000-0005-0000-0000-0000261C0000}"/>
    <cellStyle name="20% - Accent5 10 2 2 2 2 2 2" xfId="16351" xr:uid="{00000000-0005-0000-0000-0000271C0000}"/>
    <cellStyle name="20% - Accent5 10 2 2 2 2 2 2 2" xfId="40193" xr:uid="{9A7D8FAD-C508-41A6-8426-1C9406C4255B}"/>
    <cellStyle name="20% - Accent5 10 2 2 2 2 2 3" xfId="24297" xr:uid="{00000000-0005-0000-0000-0000281C0000}"/>
    <cellStyle name="20% - Accent5 10 2 2 2 2 2 3 2" xfId="48129" xr:uid="{BB542403-15A9-4445-8FAD-861E571DF08A}"/>
    <cellStyle name="20% - Accent5 10 2 2 2 2 2 4" xfId="32252" xr:uid="{BE47B085-BA8C-4317-A40D-BFF687962068}"/>
    <cellStyle name="20% - Accent5 10 2 2 2 2 3" xfId="12813" xr:uid="{00000000-0005-0000-0000-0000291C0000}"/>
    <cellStyle name="20% - Accent5 10 2 2 2 2 3 2" xfId="36662" xr:uid="{F2AFA4BC-5905-4F9D-9021-9FF72F621FEA}"/>
    <cellStyle name="20% - Accent5 10 2 2 2 2 4" xfId="20768" xr:uid="{00000000-0005-0000-0000-00002A1C0000}"/>
    <cellStyle name="20% - Accent5 10 2 2 2 2 4 2" xfId="44600" xr:uid="{BB1D70F5-748A-466C-B414-4E394D35A7F3}"/>
    <cellStyle name="20% - Accent5 10 2 2 2 2 5" xfId="28721" xr:uid="{0CB2EC3A-12E3-4AED-B525-3DE9D1D1AFA2}"/>
    <cellStyle name="20% - Accent5 10 2 2 2 3" xfId="6621" xr:uid="{00000000-0005-0000-0000-00002B1C0000}"/>
    <cellStyle name="20% - Accent5 10 2 2 2 3 2" xfId="14593" xr:uid="{00000000-0005-0000-0000-00002C1C0000}"/>
    <cellStyle name="20% - Accent5 10 2 2 2 3 2 2" xfId="38435" xr:uid="{402D85C1-6F54-4DC5-A378-32FF54F6A26E}"/>
    <cellStyle name="20% - Accent5 10 2 2 2 3 3" xfId="22540" xr:uid="{00000000-0005-0000-0000-00002D1C0000}"/>
    <cellStyle name="20% - Accent5 10 2 2 2 3 3 2" xfId="46372" xr:uid="{4896EADE-E3FD-4031-854F-C5004A33C7FB}"/>
    <cellStyle name="20% - Accent5 10 2 2 2 3 4" xfId="30494" xr:uid="{62228452-E75E-4505-926D-6ADFB5A2428F}"/>
    <cellStyle name="20% - Accent5 10 2 2 2 4" xfId="11057" xr:uid="{00000000-0005-0000-0000-00002E1C0000}"/>
    <cellStyle name="20% - Accent5 10 2 2 2 4 2" xfId="34906" xr:uid="{C05FE5A9-487D-448B-AA18-421D1ACAE4BC}"/>
    <cellStyle name="20% - Accent5 10 2 2 2 5" xfId="19012" xr:uid="{00000000-0005-0000-0000-00002F1C0000}"/>
    <cellStyle name="20% - Accent5 10 2 2 2 5 2" xfId="42844" xr:uid="{3DEBFC98-68D6-44C9-9C6D-9079D3A7889A}"/>
    <cellStyle name="20% - Accent5 10 2 2 2 6" xfId="26964" xr:uid="{26B354E1-87E0-431D-9268-8F1F366263B2}"/>
    <cellStyle name="20% - Accent5 10 2 2 2_Exh G" xfId="2440" xr:uid="{00000000-0005-0000-0000-0000301C0000}"/>
    <cellStyle name="20% - Accent5 10 2 2 3" xfId="3910" xr:uid="{00000000-0005-0000-0000-0000311C0000}"/>
    <cellStyle name="20% - Accent5 10 2 2 3 2" xfId="7502" xr:uid="{00000000-0005-0000-0000-0000321C0000}"/>
    <cellStyle name="20% - Accent5 10 2 2 3 2 2" xfId="15473" xr:uid="{00000000-0005-0000-0000-0000331C0000}"/>
    <cellStyle name="20% - Accent5 10 2 2 3 2 2 2" xfId="39315" xr:uid="{298512FA-DA12-4EDC-B6AE-BD1AD2E1A2A8}"/>
    <cellStyle name="20% - Accent5 10 2 2 3 2 3" xfId="23419" xr:uid="{00000000-0005-0000-0000-0000341C0000}"/>
    <cellStyle name="20% - Accent5 10 2 2 3 2 3 2" xfId="47251" xr:uid="{400DAC39-CEB1-41C9-94E2-FB7812FE574E}"/>
    <cellStyle name="20% - Accent5 10 2 2 3 2 4" xfId="31374" xr:uid="{C69BC268-BB61-4BC6-9D44-1EC32D8E255F}"/>
    <cellStyle name="20% - Accent5 10 2 2 3 3" xfId="11935" xr:uid="{00000000-0005-0000-0000-0000351C0000}"/>
    <cellStyle name="20% - Accent5 10 2 2 3 3 2" xfId="35784" xr:uid="{0C956393-F5ED-42BB-A8E8-2167A8AB034D}"/>
    <cellStyle name="20% - Accent5 10 2 2 3 4" xfId="19890" xr:uid="{00000000-0005-0000-0000-0000361C0000}"/>
    <cellStyle name="20% - Accent5 10 2 2 3 4 2" xfId="43722" xr:uid="{D9140B1E-BDF7-4A8F-AC49-2251AAD004FC}"/>
    <cellStyle name="20% - Accent5 10 2 2 3 5" xfId="27843" xr:uid="{722AC416-D26A-4785-BB9B-509F099878D7}"/>
    <cellStyle name="20% - Accent5 10 2 2 4" xfId="5730" xr:uid="{00000000-0005-0000-0000-0000371C0000}"/>
    <cellStyle name="20% - Accent5 10 2 2 4 2" xfId="13714" xr:uid="{00000000-0005-0000-0000-0000381C0000}"/>
    <cellStyle name="20% - Accent5 10 2 2 4 2 2" xfId="37557" xr:uid="{F7B4A214-1CD2-4C5A-B652-AEFAE8476AC1}"/>
    <cellStyle name="20% - Accent5 10 2 2 4 3" xfId="21662" xr:uid="{00000000-0005-0000-0000-0000391C0000}"/>
    <cellStyle name="20% - Accent5 10 2 2 4 3 2" xfId="45494" xr:uid="{9BA096FB-2EF2-4854-8C97-E55D7C183875}"/>
    <cellStyle name="20% - Accent5 10 2 2 4 4" xfId="29616" xr:uid="{F585D550-5B19-45F7-91A4-119B3CF8129D}"/>
    <cellStyle name="20% - Accent5 10 2 2 5" xfId="9283" xr:uid="{00000000-0005-0000-0000-00003A1C0000}"/>
    <cellStyle name="20% - Accent5 10 2 2 5 2" xfId="17241" xr:uid="{00000000-0005-0000-0000-00003B1C0000}"/>
    <cellStyle name="20% - Accent5 10 2 2 5 2 2" xfId="41081" xr:uid="{8B08668B-04D3-46DA-9109-E2F02E11A53E}"/>
    <cellStyle name="20% - Accent5 10 2 2 5 3" xfId="25185" xr:uid="{00000000-0005-0000-0000-00003C1C0000}"/>
    <cellStyle name="20% - Accent5 10 2 2 5 3 2" xfId="49017" xr:uid="{153FB33B-881C-4F3F-A8E5-5A8256246B9B}"/>
    <cellStyle name="20% - Accent5 10 2 2 5 4" xfId="33140" xr:uid="{3CFDD78F-0DB6-4C2E-A72E-53757629421B}"/>
    <cellStyle name="20% - Accent5 10 2 2 6" xfId="10179" xr:uid="{00000000-0005-0000-0000-00003D1C0000}"/>
    <cellStyle name="20% - Accent5 10 2 2 6 2" xfId="34028" xr:uid="{3EDAFF54-849A-40D5-9565-CD662A09FA2B}"/>
    <cellStyle name="20% - Accent5 10 2 2 7" xfId="18134" xr:uid="{00000000-0005-0000-0000-00003E1C0000}"/>
    <cellStyle name="20% - Accent5 10 2 2 7 2" xfId="41966" xr:uid="{ECD71E6C-E6A8-46B9-AA0D-688ACB0B54A3}"/>
    <cellStyle name="20% - Accent5 10 2 2 8" xfId="26086" xr:uid="{DF64EEED-AF39-41EB-8F41-9827F4A21EEF}"/>
    <cellStyle name="20% - Accent5 10 2 2_Exh G" xfId="2439" xr:uid="{00000000-0005-0000-0000-00003F1C0000}"/>
    <cellStyle name="20% - Accent5 10 2 3" xfId="1258" xr:uid="{00000000-0005-0000-0000-0000401C0000}"/>
    <cellStyle name="20% - Accent5 10 2 3 2" xfId="4788" xr:uid="{00000000-0005-0000-0000-0000411C0000}"/>
    <cellStyle name="20% - Accent5 10 2 3 2 2" xfId="8379" xr:uid="{00000000-0005-0000-0000-0000421C0000}"/>
    <cellStyle name="20% - Accent5 10 2 3 2 2 2" xfId="16350" xr:uid="{00000000-0005-0000-0000-0000431C0000}"/>
    <cellStyle name="20% - Accent5 10 2 3 2 2 2 2" xfId="40192" xr:uid="{5A3F5F80-890B-47C0-AAF4-A77AD8FAEE45}"/>
    <cellStyle name="20% - Accent5 10 2 3 2 2 3" xfId="24296" xr:uid="{00000000-0005-0000-0000-0000441C0000}"/>
    <cellStyle name="20% - Accent5 10 2 3 2 2 3 2" xfId="48128" xr:uid="{D4E1DE46-2174-4BA5-BE68-7BA744AC2ACF}"/>
    <cellStyle name="20% - Accent5 10 2 3 2 2 4" xfId="32251" xr:uid="{33348D50-3142-4620-840A-92EA5CF89EEA}"/>
    <cellStyle name="20% - Accent5 10 2 3 2 3" xfId="12812" xr:uid="{00000000-0005-0000-0000-0000451C0000}"/>
    <cellStyle name="20% - Accent5 10 2 3 2 3 2" xfId="36661" xr:uid="{49E0BC18-1586-4168-8F34-1D4731F2914F}"/>
    <cellStyle name="20% - Accent5 10 2 3 2 4" xfId="20767" xr:uid="{00000000-0005-0000-0000-0000461C0000}"/>
    <cellStyle name="20% - Accent5 10 2 3 2 4 2" xfId="44599" xr:uid="{8C5B2C9D-D124-4136-820C-8920FFD358F4}"/>
    <cellStyle name="20% - Accent5 10 2 3 2 5" xfId="28720" xr:uid="{E47E8487-853B-46BE-9350-7A02E2CA1EE7}"/>
    <cellStyle name="20% - Accent5 10 2 3 3" xfId="6620" xr:uid="{00000000-0005-0000-0000-0000471C0000}"/>
    <cellStyle name="20% - Accent5 10 2 3 3 2" xfId="14592" xr:uid="{00000000-0005-0000-0000-0000481C0000}"/>
    <cellStyle name="20% - Accent5 10 2 3 3 2 2" xfId="38434" xr:uid="{5D28D4F1-F570-4FA9-810D-E39C41AE4C33}"/>
    <cellStyle name="20% - Accent5 10 2 3 3 3" xfId="22539" xr:uid="{00000000-0005-0000-0000-0000491C0000}"/>
    <cellStyle name="20% - Accent5 10 2 3 3 3 2" xfId="46371" xr:uid="{FD644518-BDE7-437F-B343-226CE1962A3B}"/>
    <cellStyle name="20% - Accent5 10 2 3 3 4" xfId="30493" xr:uid="{C326F107-6E73-4650-AD06-10A765E6FC25}"/>
    <cellStyle name="20% - Accent5 10 2 3 4" xfId="11056" xr:uid="{00000000-0005-0000-0000-00004A1C0000}"/>
    <cellStyle name="20% - Accent5 10 2 3 4 2" xfId="34905" xr:uid="{03BEC86E-1AA6-468C-A646-6A08DA3EC481}"/>
    <cellStyle name="20% - Accent5 10 2 3 5" xfId="19011" xr:uid="{00000000-0005-0000-0000-00004B1C0000}"/>
    <cellStyle name="20% - Accent5 10 2 3 5 2" xfId="42843" xr:uid="{1E34BFDD-02E9-4BA0-99C5-6D2AB75303C8}"/>
    <cellStyle name="20% - Accent5 10 2 3 6" xfId="26963" xr:uid="{CC609BDB-DC51-41F5-978A-93FCAFBD32AA}"/>
    <cellStyle name="20% - Accent5 10 2 3_Exh G" xfId="2441" xr:uid="{00000000-0005-0000-0000-00004C1C0000}"/>
    <cellStyle name="20% - Accent5 10 2 4" xfId="3909" xr:uid="{00000000-0005-0000-0000-00004D1C0000}"/>
    <cellStyle name="20% - Accent5 10 2 4 2" xfId="7501" xr:uid="{00000000-0005-0000-0000-00004E1C0000}"/>
    <cellStyle name="20% - Accent5 10 2 4 2 2" xfId="15472" xr:uid="{00000000-0005-0000-0000-00004F1C0000}"/>
    <cellStyle name="20% - Accent5 10 2 4 2 2 2" xfId="39314" xr:uid="{10F17AB7-2630-49E3-BF69-B4AA263EAD7F}"/>
    <cellStyle name="20% - Accent5 10 2 4 2 3" xfId="23418" xr:uid="{00000000-0005-0000-0000-0000501C0000}"/>
    <cellStyle name="20% - Accent5 10 2 4 2 3 2" xfId="47250" xr:uid="{680A11E5-1860-489E-8148-5C2D0941A58F}"/>
    <cellStyle name="20% - Accent5 10 2 4 2 4" xfId="31373" xr:uid="{7A9D1359-C691-41E5-95DE-37DBB3CECAF2}"/>
    <cellStyle name="20% - Accent5 10 2 4 3" xfId="11934" xr:uid="{00000000-0005-0000-0000-0000511C0000}"/>
    <cellStyle name="20% - Accent5 10 2 4 3 2" xfId="35783" xr:uid="{7AA7CF15-AD64-436B-BECC-6B4404FFFE30}"/>
    <cellStyle name="20% - Accent5 10 2 4 4" xfId="19889" xr:uid="{00000000-0005-0000-0000-0000521C0000}"/>
    <cellStyle name="20% - Accent5 10 2 4 4 2" xfId="43721" xr:uid="{1BF33EAB-B2E8-485E-9533-306A3AB89097}"/>
    <cellStyle name="20% - Accent5 10 2 4 5" xfId="27842" xr:uid="{3A1CD1D2-1D33-48CB-BB56-DF095EBC8270}"/>
    <cellStyle name="20% - Accent5 10 2 5" xfId="5729" xr:uid="{00000000-0005-0000-0000-0000531C0000}"/>
    <cellStyle name="20% - Accent5 10 2 5 2" xfId="13713" xr:uid="{00000000-0005-0000-0000-0000541C0000}"/>
    <cellStyle name="20% - Accent5 10 2 5 2 2" xfId="37556" xr:uid="{0FA2CBE7-656E-484C-A5C8-E9AF9151C266}"/>
    <cellStyle name="20% - Accent5 10 2 5 3" xfId="21661" xr:uid="{00000000-0005-0000-0000-0000551C0000}"/>
    <cellStyle name="20% - Accent5 10 2 5 3 2" xfId="45493" xr:uid="{0705397E-A28C-4BEC-A703-FCC77E719D75}"/>
    <cellStyle name="20% - Accent5 10 2 5 4" xfId="29615" xr:uid="{AA8271D3-849C-4C19-90BC-DAA95F0AADC0}"/>
    <cellStyle name="20% - Accent5 10 2 6" xfId="9282" xr:uid="{00000000-0005-0000-0000-0000561C0000}"/>
    <cellStyle name="20% - Accent5 10 2 6 2" xfId="17240" xr:uid="{00000000-0005-0000-0000-0000571C0000}"/>
    <cellStyle name="20% - Accent5 10 2 6 2 2" xfId="41080" xr:uid="{771A4402-3CDB-4CCE-B40D-E4DE6E284233}"/>
    <cellStyle name="20% - Accent5 10 2 6 3" xfId="25184" xr:uid="{00000000-0005-0000-0000-0000581C0000}"/>
    <cellStyle name="20% - Accent5 10 2 6 3 2" xfId="49016" xr:uid="{17E9B780-4DCB-4EF9-8EC7-139FB2698800}"/>
    <cellStyle name="20% - Accent5 10 2 6 4" xfId="33139" xr:uid="{C63D2C88-7366-4FBE-87DC-7B48EFD3F441}"/>
    <cellStyle name="20% - Accent5 10 2 7" xfId="10178" xr:uid="{00000000-0005-0000-0000-0000591C0000}"/>
    <cellStyle name="20% - Accent5 10 2 7 2" xfId="34027" xr:uid="{5BAD8B33-0C3C-4F8A-963A-8B232CBAAF7C}"/>
    <cellStyle name="20% - Accent5 10 2 8" xfId="18133" xr:uid="{00000000-0005-0000-0000-00005A1C0000}"/>
    <cellStyle name="20% - Accent5 10 2 8 2" xfId="41965" xr:uid="{50F445C0-DBD0-44AD-9F54-63D81C269430}"/>
    <cellStyle name="20% - Accent5 10 2 9" xfId="26085" xr:uid="{58AADB83-5D6E-47CA-8F2C-1767B2B577FC}"/>
    <cellStyle name="20% - Accent5 10 2_Exh G" xfId="2438" xr:uid="{00000000-0005-0000-0000-00005B1C0000}"/>
    <cellStyle name="20% - Accent5 10 3" xfId="232" xr:uid="{00000000-0005-0000-0000-00005C1C0000}"/>
    <cellStyle name="20% - Accent5 10 3 2" xfId="1260" xr:uid="{00000000-0005-0000-0000-00005D1C0000}"/>
    <cellStyle name="20% - Accent5 10 3 2 2" xfId="4790" xr:uid="{00000000-0005-0000-0000-00005E1C0000}"/>
    <cellStyle name="20% - Accent5 10 3 2 2 2" xfId="8381" xr:uid="{00000000-0005-0000-0000-00005F1C0000}"/>
    <cellStyle name="20% - Accent5 10 3 2 2 2 2" xfId="16352" xr:uid="{00000000-0005-0000-0000-0000601C0000}"/>
    <cellStyle name="20% - Accent5 10 3 2 2 2 2 2" xfId="40194" xr:uid="{43E4FD08-47C3-44A2-B940-4617948787C2}"/>
    <cellStyle name="20% - Accent5 10 3 2 2 2 3" xfId="24298" xr:uid="{00000000-0005-0000-0000-0000611C0000}"/>
    <cellStyle name="20% - Accent5 10 3 2 2 2 3 2" xfId="48130" xr:uid="{B1AF985F-E59B-4E72-B864-A4B9DC7F18F4}"/>
    <cellStyle name="20% - Accent5 10 3 2 2 2 4" xfId="32253" xr:uid="{40E3AB47-FDD8-489F-8626-3EAAC4727B3D}"/>
    <cellStyle name="20% - Accent5 10 3 2 2 3" xfId="12814" xr:uid="{00000000-0005-0000-0000-0000621C0000}"/>
    <cellStyle name="20% - Accent5 10 3 2 2 3 2" xfId="36663" xr:uid="{05775A7F-7069-4297-A90A-80EC4FDBCC69}"/>
    <cellStyle name="20% - Accent5 10 3 2 2 4" xfId="20769" xr:uid="{00000000-0005-0000-0000-0000631C0000}"/>
    <cellStyle name="20% - Accent5 10 3 2 2 4 2" xfId="44601" xr:uid="{9B777533-D6E0-4FB3-9DE1-20E9DFA307A0}"/>
    <cellStyle name="20% - Accent5 10 3 2 2 5" xfId="28722" xr:uid="{628A6C2A-AB7B-45CB-8AC0-57A856F0578D}"/>
    <cellStyle name="20% - Accent5 10 3 2 3" xfId="6622" xr:uid="{00000000-0005-0000-0000-0000641C0000}"/>
    <cellStyle name="20% - Accent5 10 3 2 3 2" xfId="14594" xr:uid="{00000000-0005-0000-0000-0000651C0000}"/>
    <cellStyle name="20% - Accent5 10 3 2 3 2 2" xfId="38436" xr:uid="{BFD357F1-C2DA-4D75-85EB-E3FDABF2663C}"/>
    <cellStyle name="20% - Accent5 10 3 2 3 3" xfId="22541" xr:uid="{00000000-0005-0000-0000-0000661C0000}"/>
    <cellStyle name="20% - Accent5 10 3 2 3 3 2" xfId="46373" xr:uid="{ABDA118C-6624-4358-BDF3-5B3BAA809072}"/>
    <cellStyle name="20% - Accent5 10 3 2 3 4" xfId="30495" xr:uid="{7B316612-5686-4EA8-BBE7-1CA51D8B437C}"/>
    <cellStyle name="20% - Accent5 10 3 2 4" xfId="11058" xr:uid="{00000000-0005-0000-0000-0000671C0000}"/>
    <cellStyle name="20% - Accent5 10 3 2 4 2" xfId="34907" xr:uid="{573111CE-5B2E-4343-A7B8-EEB8701722D0}"/>
    <cellStyle name="20% - Accent5 10 3 2 5" xfId="19013" xr:uid="{00000000-0005-0000-0000-0000681C0000}"/>
    <cellStyle name="20% - Accent5 10 3 2 5 2" xfId="42845" xr:uid="{81D72D70-F21F-415B-A3EF-556CDBEC40E5}"/>
    <cellStyle name="20% - Accent5 10 3 2 6" xfId="26965" xr:uid="{034E9799-04FB-4A70-A156-3DCD18401F73}"/>
    <cellStyle name="20% - Accent5 10 3 2_Exh G" xfId="2443" xr:uid="{00000000-0005-0000-0000-0000691C0000}"/>
    <cellStyle name="20% - Accent5 10 3 3" xfId="3911" xr:uid="{00000000-0005-0000-0000-00006A1C0000}"/>
    <cellStyle name="20% - Accent5 10 3 3 2" xfId="7503" xr:uid="{00000000-0005-0000-0000-00006B1C0000}"/>
    <cellStyle name="20% - Accent5 10 3 3 2 2" xfId="15474" xr:uid="{00000000-0005-0000-0000-00006C1C0000}"/>
    <cellStyle name="20% - Accent5 10 3 3 2 2 2" xfId="39316" xr:uid="{8862584C-5982-4C1F-8CFA-89B9FD59D504}"/>
    <cellStyle name="20% - Accent5 10 3 3 2 3" xfId="23420" xr:uid="{00000000-0005-0000-0000-00006D1C0000}"/>
    <cellStyle name="20% - Accent5 10 3 3 2 3 2" xfId="47252" xr:uid="{1F8CBB97-DCB4-41BE-9362-627005F6522C}"/>
    <cellStyle name="20% - Accent5 10 3 3 2 4" xfId="31375" xr:uid="{42D2A9D6-CD59-4BB2-9D06-333327AB2F28}"/>
    <cellStyle name="20% - Accent5 10 3 3 3" xfId="11936" xr:uid="{00000000-0005-0000-0000-00006E1C0000}"/>
    <cellStyle name="20% - Accent5 10 3 3 3 2" xfId="35785" xr:uid="{EE3F9DBA-C544-432C-83BA-23BECA2764C6}"/>
    <cellStyle name="20% - Accent5 10 3 3 4" xfId="19891" xr:uid="{00000000-0005-0000-0000-00006F1C0000}"/>
    <cellStyle name="20% - Accent5 10 3 3 4 2" xfId="43723" xr:uid="{2C07D6D1-FB13-4851-9D2B-A3537FD7F949}"/>
    <cellStyle name="20% - Accent5 10 3 3 5" xfId="27844" xr:uid="{F8EE1DBE-5E54-47CC-B929-64847896DC26}"/>
    <cellStyle name="20% - Accent5 10 3 4" xfId="5731" xr:uid="{00000000-0005-0000-0000-0000701C0000}"/>
    <cellStyle name="20% - Accent5 10 3 4 2" xfId="13715" xr:uid="{00000000-0005-0000-0000-0000711C0000}"/>
    <cellStyle name="20% - Accent5 10 3 4 2 2" xfId="37558" xr:uid="{03F943E8-BE31-45C5-ACE7-E43D4B3225DF}"/>
    <cellStyle name="20% - Accent5 10 3 4 3" xfId="21663" xr:uid="{00000000-0005-0000-0000-0000721C0000}"/>
    <cellStyle name="20% - Accent5 10 3 4 3 2" xfId="45495" xr:uid="{FF60EA60-FF75-4823-B3A8-7AB33FE1FD1B}"/>
    <cellStyle name="20% - Accent5 10 3 4 4" xfId="29617" xr:uid="{BFDF12E4-7876-4B08-8DAD-4BBA9C6FF6A4}"/>
    <cellStyle name="20% - Accent5 10 3 5" xfId="9284" xr:uid="{00000000-0005-0000-0000-0000731C0000}"/>
    <cellStyle name="20% - Accent5 10 3 5 2" xfId="17242" xr:uid="{00000000-0005-0000-0000-0000741C0000}"/>
    <cellStyle name="20% - Accent5 10 3 5 2 2" xfId="41082" xr:uid="{CFD7E979-80AB-4E38-BD38-598F903B179B}"/>
    <cellStyle name="20% - Accent5 10 3 5 3" xfId="25186" xr:uid="{00000000-0005-0000-0000-0000751C0000}"/>
    <cellStyle name="20% - Accent5 10 3 5 3 2" xfId="49018" xr:uid="{D368C919-1899-4795-8350-D427444B5BCA}"/>
    <cellStyle name="20% - Accent5 10 3 5 4" xfId="33141" xr:uid="{9CC6921C-A3F4-411E-AEE7-D45A281F4FF4}"/>
    <cellStyle name="20% - Accent5 10 3 6" xfId="10180" xr:uid="{00000000-0005-0000-0000-0000761C0000}"/>
    <cellStyle name="20% - Accent5 10 3 6 2" xfId="34029" xr:uid="{F5D36921-90B0-4AAF-BE0B-D5359730D833}"/>
    <cellStyle name="20% - Accent5 10 3 7" xfId="18135" xr:uid="{00000000-0005-0000-0000-0000771C0000}"/>
    <cellStyle name="20% - Accent5 10 3 7 2" xfId="41967" xr:uid="{D0FB25F7-9611-4CBB-97A0-8634E1016905}"/>
    <cellStyle name="20% - Accent5 10 3 8" xfId="26087" xr:uid="{0164B109-8F1A-47B1-BF2B-D48E17A9BA9F}"/>
    <cellStyle name="20% - Accent5 10 3_Exh G" xfId="2442" xr:uid="{00000000-0005-0000-0000-0000781C0000}"/>
    <cellStyle name="20% - Accent5 10 4" xfId="910" xr:uid="{00000000-0005-0000-0000-0000791C0000}"/>
    <cellStyle name="20% - Accent5 10 5" xfId="1257" xr:uid="{00000000-0005-0000-0000-00007A1C0000}"/>
    <cellStyle name="20% - Accent5 10 5 2" xfId="4787" xr:uid="{00000000-0005-0000-0000-00007B1C0000}"/>
    <cellStyle name="20% - Accent5 10 5 2 2" xfId="8378" xr:uid="{00000000-0005-0000-0000-00007C1C0000}"/>
    <cellStyle name="20% - Accent5 10 5 2 2 2" xfId="16349" xr:uid="{00000000-0005-0000-0000-00007D1C0000}"/>
    <cellStyle name="20% - Accent5 10 5 2 2 2 2" xfId="40191" xr:uid="{AD1F3109-9B43-4DA8-A552-D8A037F0CB16}"/>
    <cellStyle name="20% - Accent5 10 5 2 2 3" xfId="24295" xr:uid="{00000000-0005-0000-0000-00007E1C0000}"/>
    <cellStyle name="20% - Accent5 10 5 2 2 3 2" xfId="48127" xr:uid="{A3979616-2552-4035-A1CF-4CE44552AF8E}"/>
    <cellStyle name="20% - Accent5 10 5 2 2 4" xfId="32250" xr:uid="{EB7B50A4-E23C-4729-9B4F-814A5C3CEB47}"/>
    <cellStyle name="20% - Accent5 10 5 2 3" xfId="12811" xr:uid="{00000000-0005-0000-0000-00007F1C0000}"/>
    <cellStyle name="20% - Accent5 10 5 2 3 2" xfId="36660" xr:uid="{0919F1F1-E138-4C70-8E01-CFB85BF3EC54}"/>
    <cellStyle name="20% - Accent5 10 5 2 4" xfId="20766" xr:uid="{00000000-0005-0000-0000-0000801C0000}"/>
    <cellStyle name="20% - Accent5 10 5 2 4 2" xfId="44598" xr:uid="{72C32024-FB89-43F1-B054-FEC83650A801}"/>
    <cellStyle name="20% - Accent5 10 5 2 5" xfId="28719" xr:uid="{8545159D-4A5F-4A06-B43B-82FD16673566}"/>
    <cellStyle name="20% - Accent5 10 5 3" xfId="6619" xr:uid="{00000000-0005-0000-0000-0000811C0000}"/>
    <cellStyle name="20% - Accent5 10 5 3 2" xfId="14591" xr:uid="{00000000-0005-0000-0000-0000821C0000}"/>
    <cellStyle name="20% - Accent5 10 5 3 2 2" xfId="38433" xr:uid="{5BDB1B05-0C8B-4009-AF7E-618E59D89844}"/>
    <cellStyle name="20% - Accent5 10 5 3 3" xfId="22538" xr:uid="{00000000-0005-0000-0000-0000831C0000}"/>
    <cellStyle name="20% - Accent5 10 5 3 3 2" xfId="46370" xr:uid="{366E6DE6-2B20-4649-9DE8-5253A9650FD4}"/>
    <cellStyle name="20% - Accent5 10 5 3 4" xfId="30492" xr:uid="{B5528302-4608-4965-891A-1E7B4E376ACD}"/>
    <cellStyle name="20% - Accent5 10 5 4" xfId="11055" xr:uid="{00000000-0005-0000-0000-0000841C0000}"/>
    <cellStyle name="20% - Accent5 10 5 4 2" xfId="34904" xr:uid="{53FD3E23-3F48-40DE-B372-41B02C3DECE1}"/>
    <cellStyle name="20% - Accent5 10 5 5" xfId="19010" xr:uid="{00000000-0005-0000-0000-0000851C0000}"/>
    <cellStyle name="20% - Accent5 10 5 5 2" xfId="42842" xr:uid="{4D0035B5-5C8D-43DC-8D9B-5BFB3088996B}"/>
    <cellStyle name="20% - Accent5 10 5 6" xfId="26962" xr:uid="{65D77784-85C4-4777-922F-F1FCE838F9A8}"/>
    <cellStyle name="20% - Accent5 10 5_Exh G" xfId="2444" xr:uid="{00000000-0005-0000-0000-0000861C0000}"/>
    <cellStyle name="20% - Accent5 10 6" xfId="3908" xr:uid="{00000000-0005-0000-0000-0000871C0000}"/>
    <cellStyle name="20% - Accent5 10 6 2" xfId="7500" xr:uid="{00000000-0005-0000-0000-0000881C0000}"/>
    <cellStyle name="20% - Accent5 10 6 2 2" xfId="15471" xr:uid="{00000000-0005-0000-0000-0000891C0000}"/>
    <cellStyle name="20% - Accent5 10 6 2 2 2" xfId="39313" xr:uid="{CA0C6D32-7321-4FAD-B7B7-25616F4C9F6C}"/>
    <cellStyle name="20% - Accent5 10 6 2 3" xfId="23417" xr:uid="{00000000-0005-0000-0000-00008A1C0000}"/>
    <cellStyle name="20% - Accent5 10 6 2 3 2" xfId="47249" xr:uid="{2415DE6D-8F56-4796-B4BB-4385FF4B7881}"/>
    <cellStyle name="20% - Accent5 10 6 2 4" xfId="31372" xr:uid="{4C864121-2619-4FD6-9C24-6AC7C894D0BF}"/>
    <cellStyle name="20% - Accent5 10 6 3" xfId="11933" xr:uid="{00000000-0005-0000-0000-00008B1C0000}"/>
    <cellStyle name="20% - Accent5 10 6 3 2" xfId="35782" xr:uid="{644ACAA5-D02D-493B-A308-6BADCA67BC5A}"/>
    <cellStyle name="20% - Accent5 10 6 4" xfId="19888" xr:uid="{00000000-0005-0000-0000-00008C1C0000}"/>
    <cellStyle name="20% - Accent5 10 6 4 2" xfId="43720" xr:uid="{95542E62-7B2B-4B97-AB6A-DF0FC23644C3}"/>
    <cellStyle name="20% - Accent5 10 6 5" xfId="27841" xr:uid="{721FCBB0-32FA-45D7-BB64-BA07AD0B903D}"/>
    <cellStyle name="20% - Accent5 10 7" xfId="5728" xr:uid="{00000000-0005-0000-0000-00008D1C0000}"/>
    <cellStyle name="20% - Accent5 10 7 2" xfId="13712" xr:uid="{00000000-0005-0000-0000-00008E1C0000}"/>
    <cellStyle name="20% - Accent5 10 7 2 2" xfId="37555" xr:uid="{1238BD8F-1D6A-4A9B-A9CD-450482C9FD6B}"/>
    <cellStyle name="20% - Accent5 10 7 3" xfId="21660" xr:uid="{00000000-0005-0000-0000-00008F1C0000}"/>
    <cellStyle name="20% - Accent5 10 7 3 2" xfId="45492" xr:uid="{89D4248E-404C-4999-A7DD-C070DBA8B590}"/>
    <cellStyle name="20% - Accent5 10 7 4" xfId="29614" xr:uid="{CCC9C34F-3E66-43A2-957E-13BB18B467B4}"/>
    <cellStyle name="20% - Accent5 10 8" xfId="9281" xr:uid="{00000000-0005-0000-0000-0000901C0000}"/>
    <cellStyle name="20% - Accent5 10 8 2" xfId="17239" xr:uid="{00000000-0005-0000-0000-0000911C0000}"/>
    <cellStyle name="20% - Accent5 10 8 2 2" xfId="41079" xr:uid="{E452C764-0AC2-4CAF-B698-AEEB2DF7005C}"/>
    <cellStyle name="20% - Accent5 10 8 3" xfId="25183" xr:uid="{00000000-0005-0000-0000-0000921C0000}"/>
    <cellStyle name="20% - Accent5 10 8 3 2" xfId="49015" xr:uid="{C59D144B-B78A-409B-A353-51556266F3AE}"/>
    <cellStyle name="20% - Accent5 10 8 4" xfId="33138" xr:uid="{008ACFC2-91AB-49E0-8A53-DA66D3AF75E6}"/>
    <cellStyle name="20% - Accent5 10 9" xfId="10177" xr:uid="{00000000-0005-0000-0000-0000931C0000}"/>
    <cellStyle name="20% - Accent5 10 9 2" xfId="34026" xr:uid="{52ECCAC9-FA6D-4E9A-A1EF-354016018187}"/>
    <cellStyle name="20% - Accent5 10_Exh G" xfId="2437" xr:uid="{00000000-0005-0000-0000-0000941C0000}"/>
    <cellStyle name="20% - Accent5 11" xfId="233" xr:uid="{00000000-0005-0000-0000-0000951C0000}"/>
    <cellStyle name="20% - Accent5 11 10" xfId="26088" xr:uid="{EDEA82C3-748E-454D-BB64-626ABAACC178}"/>
    <cellStyle name="20% - Accent5 11 2" xfId="234" xr:uid="{00000000-0005-0000-0000-0000961C0000}"/>
    <cellStyle name="20% - Accent5 11 2 2" xfId="235" xr:uid="{00000000-0005-0000-0000-0000971C0000}"/>
    <cellStyle name="20% - Accent5 11 2 2 2" xfId="1263" xr:uid="{00000000-0005-0000-0000-0000981C0000}"/>
    <cellStyle name="20% - Accent5 11 2 2 2 2" xfId="4793" xr:uid="{00000000-0005-0000-0000-0000991C0000}"/>
    <cellStyle name="20% - Accent5 11 2 2 2 2 2" xfId="8384" xr:uid="{00000000-0005-0000-0000-00009A1C0000}"/>
    <cellStyle name="20% - Accent5 11 2 2 2 2 2 2" xfId="16355" xr:uid="{00000000-0005-0000-0000-00009B1C0000}"/>
    <cellStyle name="20% - Accent5 11 2 2 2 2 2 2 2" xfId="40197" xr:uid="{4F6C1A86-3F14-4D19-91A1-2C9D6BB37B3A}"/>
    <cellStyle name="20% - Accent5 11 2 2 2 2 2 3" xfId="24301" xr:uid="{00000000-0005-0000-0000-00009C1C0000}"/>
    <cellStyle name="20% - Accent5 11 2 2 2 2 2 3 2" xfId="48133" xr:uid="{1A9060FC-7903-4EC1-A658-607E7CFEC170}"/>
    <cellStyle name="20% - Accent5 11 2 2 2 2 2 4" xfId="32256" xr:uid="{3EF68755-B640-4DF1-9D1D-871E6464716C}"/>
    <cellStyle name="20% - Accent5 11 2 2 2 2 3" xfId="12817" xr:uid="{00000000-0005-0000-0000-00009D1C0000}"/>
    <cellStyle name="20% - Accent5 11 2 2 2 2 3 2" xfId="36666" xr:uid="{88C57EB4-5FE1-41B0-9A3A-5A304773DC91}"/>
    <cellStyle name="20% - Accent5 11 2 2 2 2 4" xfId="20772" xr:uid="{00000000-0005-0000-0000-00009E1C0000}"/>
    <cellStyle name="20% - Accent5 11 2 2 2 2 4 2" xfId="44604" xr:uid="{8A786332-C944-439E-99C7-FB234F773162}"/>
    <cellStyle name="20% - Accent5 11 2 2 2 2 5" xfId="28725" xr:uid="{AD1D3A04-E042-42E4-A8BF-F31C847297E9}"/>
    <cellStyle name="20% - Accent5 11 2 2 2 3" xfId="6625" xr:uid="{00000000-0005-0000-0000-00009F1C0000}"/>
    <cellStyle name="20% - Accent5 11 2 2 2 3 2" xfId="14597" xr:uid="{00000000-0005-0000-0000-0000A01C0000}"/>
    <cellStyle name="20% - Accent5 11 2 2 2 3 2 2" xfId="38439" xr:uid="{1849DFAE-1C39-425D-A6F0-74245902DB34}"/>
    <cellStyle name="20% - Accent5 11 2 2 2 3 3" xfId="22544" xr:uid="{00000000-0005-0000-0000-0000A11C0000}"/>
    <cellStyle name="20% - Accent5 11 2 2 2 3 3 2" xfId="46376" xr:uid="{71722771-2B0F-4D18-AA41-5DD694587CD0}"/>
    <cellStyle name="20% - Accent5 11 2 2 2 3 4" xfId="30498" xr:uid="{10551933-2DFD-4D82-B742-CB16B2207D11}"/>
    <cellStyle name="20% - Accent5 11 2 2 2 4" xfId="11061" xr:uid="{00000000-0005-0000-0000-0000A21C0000}"/>
    <cellStyle name="20% - Accent5 11 2 2 2 4 2" xfId="34910" xr:uid="{54B4EE6F-F37E-4EF6-BF78-6EC5163537AE}"/>
    <cellStyle name="20% - Accent5 11 2 2 2 5" xfId="19016" xr:uid="{00000000-0005-0000-0000-0000A31C0000}"/>
    <cellStyle name="20% - Accent5 11 2 2 2 5 2" xfId="42848" xr:uid="{C079F5D9-9817-4728-B307-398DB2B75986}"/>
    <cellStyle name="20% - Accent5 11 2 2 2 6" xfId="26968" xr:uid="{8FBF3C09-C484-4D2D-AA79-AA8786BF3EE5}"/>
    <cellStyle name="20% - Accent5 11 2 2 2_Exh G" xfId="2448" xr:uid="{00000000-0005-0000-0000-0000A41C0000}"/>
    <cellStyle name="20% - Accent5 11 2 2 3" xfId="3914" xr:uid="{00000000-0005-0000-0000-0000A51C0000}"/>
    <cellStyle name="20% - Accent5 11 2 2 3 2" xfId="7506" xr:uid="{00000000-0005-0000-0000-0000A61C0000}"/>
    <cellStyle name="20% - Accent5 11 2 2 3 2 2" xfId="15477" xr:uid="{00000000-0005-0000-0000-0000A71C0000}"/>
    <cellStyle name="20% - Accent5 11 2 2 3 2 2 2" xfId="39319" xr:uid="{CFB0554A-423B-4663-B865-FDE4B86A251C}"/>
    <cellStyle name="20% - Accent5 11 2 2 3 2 3" xfId="23423" xr:uid="{00000000-0005-0000-0000-0000A81C0000}"/>
    <cellStyle name="20% - Accent5 11 2 2 3 2 3 2" xfId="47255" xr:uid="{88DB5BDF-52E2-4FB1-8884-3E991EBAA355}"/>
    <cellStyle name="20% - Accent5 11 2 2 3 2 4" xfId="31378" xr:uid="{AB4406FB-D717-4680-AE3A-F4CEDA939B42}"/>
    <cellStyle name="20% - Accent5 11 2 2 3 3" xfId="11939" xr:uid="{00000000-0005-0000-0000-0000A91C0000}"/>
    <cellStyle name="20% - Accent5 11 2 2 3 3 2" xfId="35788" xr:uid="{920F9742-AE8A-466B-83ED-1CE518EB1B63}"/>
    <cellStyle name="20% - Accent5 11 2 2 3 4" xfId="19894" xr:uid="{00000000-0005-0000-0000-0000AA1C0000}"/>
    <cellStyle name="20% - Accent5 11 2 2 3 4 2" xfId="43726" xr:uid="{3F6957CD-2B62-4C59-8720-58328A1219EE}"/>
    <cellStyle name="20% - Accent5 11 2 2 3 5" xfId="27847" xr:uid="{4E66131D-D904-4EA6-9212-2DD404082256}"/>
    <cellStyle name="20% - Accent5 11 2 2 4" xfId="5734" xr:uid="{00000000-0005-0000-0000-0000AB1C0000}"/>
    <cellStyle name="20% - Accent5 11 2 2 4 2" xfId="13718" xr:uid="{00000000-0005-0000-0000-0000AC1C0000}"/>
    <cellStyle name="20% - Accent5 11 2 2 4 2 2" xfId="37561" xr:uid="{13C51DA4-9C28-4B51-8978-3AD704F86221}"/>
    <cellStyle name="20% - Accent5 11 2 2 4 3" xfId="21666" xr:uid="{00000000-0005-0000-0000-0000AD1C0000}"/>
    <cellStyle name="20% - Accent5 11 2 2 4 3 2" xfId="45498" xr:uid="{93859073-A23E-4E85-A58B-C1988B74825A}"/>
    <cellStyle name="20% - Accent5 11 2 2 4 4" xfId="29620" xr:uid="{C314DC11-B72A-4686-BB5C-288D416DB2E7}"/>
    <cellStyle name="20% - Accent5 11 2 2 5" xfId="9287" xr:uid="{00000000-0005-0000-0000-0000AE1C0000}"/>
    <cellStyle name="20% - Accent5 11 2 2 5 2" xfId="17245" xr:uid="{00000000-0005-0000-0000-0000AF1C0000}"/>
    <cellStyle name="20% - Accent5 11 2 2 5 2 2" xfId="41085" xr:uid="{0AD4C625-747F-42FB-86CD-5B62E49EBFB0}"/>
    <cellStyle name="20% - Accent5 11 2 2 5 3" xfId="25189" xr:uid="{00000000-0005-0000-0000-0000B01C0000}"/>
    <cellStyle name="20% - Accent5 11 2 2 5 3 2" xfId="49021" xr:uid="{7ED74E57-D90B-4E7D-B089-FD0BD6A58C5C}"/>
    <cellStyle name="20% - Accent5 11 2 2 5 4" xfId="33144" xr:uid="{EB9E82B6-D015-46BD-9E7E-90F3B0809757}"/>
    <cellStyle name="20% - Accent5 11 2 2 6" xfId="10183" xr:uid="{00000000-0005-0000-0000-0000B11C0000}"/>
    <cellStyle name="20% - Accent5 11 2 2 6 2" xfId="34032" xr:uid="{59164C0C-E5C0-433D-9A24-40782F35D337}"/>
    <cellStyle name="20% - Accent5 11 2 2 7" xfId="18138" xr:uid="{00000000-0005-0000-0000-0000B21C0000}"/>
    <cellStyle name="20% - Accent5 11 2 2 7 2" xfId="41970" xr:uid="{91C16DE7-9BED-4507-8327-9518A879DAB1}"/>
    <cellStyle name="20% - Accent5 11 2 2 8" xfId="26090" xr:uid="{4863A611-FF6F-4E32-8018-2D9FA05FC9C8}"/>
    <cellStyle name="20% - Accent5 11 2 2_Exh G" xfId="2447" xr:uid="{00000000-0005-0000-0000-0000B31C0000}"/>
    <cellStyle name="20% - Accent5 11 2 3" xfId="1262" xr:uid="{00000000-0005-0000-0000-0000B41C0000}"/>
    <cellStyle name="20% - Accent5 11 2 3 2" xfId="4792" xr:uid="{00000000-0005-0000-0000-0000B51C0000}"/>
    <cellStyle name="20% - Accent5 11 2 3 2 2" xfId="8383" xr:uid="{00000000-0005-0000-0000-0000B61C0000}"/>
    <cellStyle name="20% - Accent5 11 2 3 2 2 2" xfId="16354" xr:uid="{00000000-0005-0000-0000-0000B71C0000}"/>
    <cellStyle name="20% - Accent5 11 2 3 2 2 2 2" xfId="40196" xr:uid="{310FDDEA-9377-430C-B644-5C3E58527AA8}"/>
    <cellStyle name="20% - Accent5 11 2 3 2 2 3" xfId="24300" xr:uid="{00000000-0005-0000-0000-0000B81C0000}"/>
    <cellStyle name="20% - Accent5 11 2 3 2 2 3 2" xfId="48132" xr:uid="{89DD1B20-528E-4975-887C-007CD9CD13A9}"/>
    <cellStyle name="20% - Accent5 11 2 3 2 2 4" xfId="32255" xr:uid="{D18DB40C-7F63-428F-97DE-33425B08113F}"/>
    <cellStyle name="20% - Accent5 11 2 3 2 3" xfId="12816" xr:uid="{00000000-0005-0000-0000-0000B91C0000}"/>
    <cellStyle name="20% - Accent5 11 2 3 2 3 2" xfId="36665" xr:uid="{FB7C5DA0-BFE6-4D62-809B-2C9A18C9900C}"/>
    <cellStyle name="20% - Accent5 11 2 3 2 4" xfId="20771" xr:uid="{00000000-0005-0000-0000-0000BA1C0000}"/>
    <cellStyle name="20% - Accent5 11 2 3 2 4 2" xfId="44603" xr:uid="{249423B6-B710-4C06-A82C-4F2D8497F77F}"/>
    <cellStyle name="20% - Accent5 11 2 3 2 5" xfId="28724" xr:uid="{06C7A405-EC7F-45CC-AAB1-6CAA25D53817}"/>
    <cellStyle name="20% - Accent5 11 2 3 3" xfId="6624" xr:uid="{00000000-0005-0000-0000-0000BB1C0000}"/>
    <cellStyle name="20% - Accent5 11 2 3 3 2" xfId="14596" xr:uid="{00000000-0005-0000-0000-0000BC1C0000}"/>
    <cellStyle name="20% - Accent5 11 2 3 3 2 2" xfId="38438" xr:uid="{131B6437-A1D1-4AFF-B435-33626A5822C0}"/>
    <cellStyle name="20% - Accent5 11 2 3 3 3" xfId="22543" xr:uid="{00000000-0005-0000-0000-0000BD1C0000}"/>
    <cellStyle name="20% - Accent5 11 2 3 3 3 2" xfId="46375" xr:uid="{5A6F6A27-528A-4160-9008-9C5382677AAB}"/>
    <cellStyle name="20% - Accent5 11 2 3 3 4" xfId="30497" xr:uid="{F7007F0A-5E47-4E12-9CB2-CB631AFA3FC8}"/>
    <cellStyle name="20% - Accent5 11 2 3 4" xfId="11060" xr:uid="{00000000-0005-0000-0000-0000BE1C0000}"/>
    <cellStyle name="20% - Accent5 11 2 3 4 2" xfId="34909" xr:uid="{22E54021-5C31-4E09-BD46-1A3A3EC8E65D}"/>
    <cellStyle name="20% - Accent5 11 2 3 5" xfId="19015" xr:uid="{00000000-0005-0000-0000-0000BF1C0000}"/>
    <cellStyle name="20% - Accent5 11 2 3 5 2" xfId="42847" xr:uid="{4FE39032-F57D-4F9D-9CBB-676DA8ADE827}"/>
    <cellStyle name="20% - Accent5 11 2 3 6" xfId="26967" xr:uid="{A2DAD41A-01A6-462D-A7D0-DE9EEAAF7FAF}"/>
    <cellStyle name="20% - Accent5 11 2 3_Exh G" xfId="2449" xr:uid="{00000000-0005-0000-0000-0000C01C0000}"/>
    <cellStyle name="20% - Accent5 11 2 4" xfId="3913" xr:uid="{00000000-0005-0000-0000-0000C11C0000}"/>
    <cellStyle name="20% - Accent5 11 2 4 2" xfId="7505" xr:uid="{00000000-0005-0000-0000-0000C21C0000}"/>
    <cellStyle name="20% - Accent5 11 2 4 2 2" xfId="15476" xr:uid="{00000000-0005-0000-0000-0000C31C0000}"/>
    <cellStyle name="20% - Accent5 11 2 4 2 2 2" xfId="39318" xr:uid="{2F402230-F091-4AD4-BD6C-44EDDCB60021}"/>
    <cellStyle name="20% - Accent5 11 2 4 2 3" xfId="23422" xr:uid="{00000000-0005-0000-0000-0000C41C0000}"/>
    <cellStyle name="20% - Accent5 11 2 4 2 3 2" xfId="47254" xr:uid="{50183291-70E8-472C-AB38-4CD8E488FB7E}"/>
    <cellStyle name="20% - Accent5 11 2 4 2 4" xfId="31377" xr:uid="{77A17ADD-55E4-4EFD-A997-90E996712A28}"/>
    <cellStyle name="20% - Accent5 11 2 4 3" xfId="11938" xr:uid="{00000000-0005-0000-0000-0000C51C0000}"/>
    <cellStyle name="20% - Accent5 11 2 4 3 2" xfId="35787" xr:uid="{462ADD5A-0EFA-41AA-B6F5-4A56E3F2266B}"/>
    <cellStyle name="20% - Accent5 11 2 4 4" xfId="19893" xr:uid="{00000000-0005-0000-0000-0000C61C0000}"/>
    <cellStyle name="20% - Accent5 11 2 4 4 2" xfId="43725" xr:uid="{B5EA47F4-C962-4890-B164-2AA454903002}"/>
    <cellStyle name="20% - Accent5 11 2 4 5" xfId="27846" xr:uid="{FA1B38C1-6E2F-4E5F-9DEF-2AA2F7143D7C}"/>
    <cellStyle name="20% - Accent5 11 2 5" xfId="5733" xr:uid="{00000000-0005-0000-0000-0000C71C0000}"/>
    <cellStyle name="20% - Accent5 11 2 5 2" xfId="13717" xr:uid="{00000000-0005-0000-0000-0000C81C0000}"/>
    <cellStyle name="20% - Accent5 11 2 5 2 2" xfId="37560" xr:uid="{BEF2E6CF-156E-47F7-B366-0688CDA5A8DC}"/>
    <cellStyle name="20% - Accent5 11 2 5 3" xfId="21665" xr:uid="{00000000-0005-0000-0000-0000C91C0000}"/>
    <cellStyle name="20% - Accent5 11 2 5 3 2" xfId="45497" xr:uid="{40AE2D1F-C1FB-4B88-BE17-915B0CA8C8DD}"/>
    <cellStyle name="20% - Accent5 11 2 5 4" xfId="29619" xr:uid="{3231EB43-7961-4812-8BE4-4DC1FC341924}"/>
    <cellStyle name="20% - Accent5 11 2 6" xfId="9286" xr:uid="{00000000-0005-0000-0000-0000CA1C0000}"/>
    <cellStyle name="20% - Accent5 11 2 6 2" xfId="17244" xr:uid="{00000000-0005-0000-0000-0000CB1C0000}"/>
    <cellStyle name="20% - Accent5 11 2 6 2 2" xfId="41084" xr:uid="{0CA48069-1245-49E7-AE3B-036E1BFCCCF4}"/>
    <cellStyle name="20% - Accent5 11 2 6 3" xfId="25188" xr:uid="{00000000-0005-0000-0000-0000CC1C0000}"/>
    <cellStyle name="20% - Accent5 11 2 6 3 2" xfId="49020" xr:uid="{12063BB9-2A8C-4D3D-9643-9F1CAD96DB84}"/>
    <cellStyle name="20% - Accent5 11 2 6 4" xfId="33143" xr:uid="{37D73305-E695-4AF9-BA2B-CED766FE8523}"/>
    <cellStyle name="20% - Accent5 11 2 7" xfId="10182" xr:uid="{00000000-0005-0000-0000-0000CD1C0000}"/>
    <cellStyle name="20% - Accent5 11 2 7 2" xfId="34031" xr:uid="{3F31E5AB-23CB-457D-A9EB-60169ED21472}"/>
    <cellStyle name="20% - Accent5 11 2 8" xfId="18137" xr:uid="{00000000-0005-0000-0000-0000CE1C0000}"/>
    <cellStyle name="20% - Accent5 11 2 8 2" xfId="41969" xr:uid="{CEBB8A24-6DF9-47C0-9EF2-9CECF9E4FC46}"/>
    <cellStyle name="20% - Accent5 11 2 9" xfId="26089" xr:uid="{A4F8018E-1328-4899-8F5A-4F7040089C21}"/>
    <cellStyle name="20% - Accent5 11 2_Exh G" xfId="2446" xr:uid="{00000000-0005-0000-0000-0000CF1C0000}"/>
    <cellStyle name="20% - Accent5 11 3" xfId="236" xr:uid="{00000000-0005-0000-0000-0000D01C0000}"/>
    <cellStyle name="20% - Accent5 11 3 2" xfId="1264" xr:uid="{00000000-0005-0000-0000-0000D11C0000}"/>
    <cellStyle name="20% - Accent5 11 3 2 2" xfId="4794" xr:uid="{00000000-0005-0000-0000-0000D21C0000}"/>
    <cellStyle name="20% - Accent5 11 3 2 2 2" xfId="8385" xr:uid="{00000000-0005-0000-0000-0000D31C0000}"/>
    <cellStyle name="20% - Accent5 11 3 2 2 2 2" xfId="16356" xr:uid="{00000000-0005-0000-0000-0000D41C0000}"/>
    <cellStyle name="20% - Accent5 11 3 2 2 2 2 2" xfId="40198" xr:uid="{83AF2C13-7F38-4048-BB7B-59F729869EB8}"/>
    <cellStyle name="20% - Accent5 11 3 2 2 2 3" xfId="24302" xr:uid="{00000000-0005-0000-0000-0000D51C0000}"/>
    <cellStyle name="20% - Accent5 11 3 2 2 2 3 2" xfId="48134" xr:uid="{7EABBFCE-DC97-478F-A0C7-188416A33290}"/>
    <cellStyle name="20% - Accent5 11 3 2 2 2 4" xfId="32257" xr:uid="{3FC81779-CB3A-4FAD-970A-F0526547FC56}"/>
    <cellStyle name="20% - Accent5 11 3 2 2 3" xfId="12818" xr:uid="{00000000-0005-0000-0000-0000D61C0000}"/>
    <cellStyle name="20% - Accent5 11 3 2 2 3 2" xfId="36667" xr:uid="{E817D027-4855-40AC-AC95-45D7C8FAB9D3}"/>
    <cellStyle name="20% - Accent5 11 3 2 2 4" xfId="20773" xr:uid="{00000000-0005-0000-0000-0000D71C0000}"/>
    <cellStyle name="20% - Accent5 11 3 2 2 4 2" xfId="44605" xr:uid="{17AE358D-A062-447A-A126-08E9B42A8DA0}"/>
    <cellStyle name="20% - Accent5 11 3 2 2 5" xfId="28726" xr:uid="{C25C3C7B-DBCF-4EFA-BE58-A8DA98624E87}"/>
    <cellStyle name="20% - Accent5 11 3 2 3" xfId="6626" xr:uid="{00000000-0005-0000-0000-0000D81C0000}"/>
    <cellStyle name="20% - Accent5 11 3 2 3 2" xfId="14598" xr:uid="{00000000-0005-0000-0000-0000D91C0000}"/>
    <cellStyle name="20% - Accent5 11 3 2 3 2 2" xfId="38440" xr:uid="{659F2084-F903-4815-8405-C249D4692674}"/>
    <cellStyle name="20% - Accent5 11 3 2 3 3" xfId="22545" xr:uid="{00000000-0005-0000-0000-0000DA1C0000}"/>
    <cellStyle name="20% - Accent5 11 3 2 3 3 2" xfId="46377" xr:uid="{AB738CC1-C3AB-4F79-B792-09B45ECBCCBE}"/>
    <cellStyle name="20% - Accent5 11 3 2 3 4" xfId="30499" xr:uid="{25144A3C-94C0-4DC0-95BC-577A6C58E682}"/>
    <cellStyle name="20% - Accent5 11 3 2 4" xfId="11062" xr:uid="{00000000-0005-0000-0000-0000DB1C0000}"/>
    <cellStyle name="20% - Accent5 11 3 2 4 2" xfId="34911" xr:uid="{0B453F2A-8A25-4630-A18D-4023DD5F46A6}"/>
    <cellStyle name="20% - Accent5 11 3 2 5" xfId="19017" xr:uid="{00000000-0005-0000-0000-0000DC1C0000}"/>
    <cellStyle name="20% - Accent5 11 3 2 5 2" xfId="42849" xr:uid="{4D781934-D1A6-4246-9665-A599AFD95609}"/>
    <cellStyle name="20% - Accent5 11 3 2 6" xfId="26969" xr:uid="{A95177D1-5D77-49DA-B084-AEDFD4D011F0}"/>
    <cellStyle name="20% - Accent5 11 3 2_Exh G" xfId="2451" xr:uid="{00000000-0005-0000-0000-0000DD1C0000}"/>
    <cellStyle name="20% - Accent5 11 3 3" xfId="3915" xr:uid="{00000000-0005-0000-0000-0000DE1C0000}"/>
    <cellStyle name="20% - Accent5 11 3 3 2" xfId="7507" xr:uid="{00000000-0005-0000-0000-0000DF1C0000}"/>
    <cellStyle name="20% - Accent5 11 3 3 2 2" xfId="15478" xr:uid="{00000000-0005-0000-0000-0000E01C0000}"/>
    <cellStyle name="20% - Accent5 11 3 3 2 2 2" xfId="39320" xr:uid="{5541F18F-F5C2-4688-BF0F-210850A701AC}"/>
    <cellStyle name="20% - Accent5 11 3 3 2 3" xfId="23424" xr:uid="{00000000-0005-0000-0000-0000E11C0000}"/>
    <cellStyle name="20% - Accent5 11 3 3 2 3 2" xfId="47256" xr:uid="{2B8FCC3B-30F0-4F79-80D5-90DC9A54CDA9}"/>
    <cellStyle name="20% - Accent5 11 3 3 2 4" xfId="31379" xr:uid="{8AE53DA2-51D8-46F4-BFBE-00F3367771AB}"/>
    <cellStyle name="20% - Accent5 11 3 3 3" xfId="11940" xr:uid="{00000000-0005-0000-0000-0000E21C0000}"/>
    <cellStyle name="20% - Accent5 11 3 3 3 2" xfId="35789" xr:uid="{761CC9B0-21C1-4E5F-BCEC-746B6DB9A3F7}"/>
    <cellStyle name="20% - Accent5 11 3 3 4" xfId="19895" xr:uid="{00000000-0005-0000-0000-0000E31C0000}"/>
    <cellStyle name="20% - Accent5 11 3 3 4 2" xfId="43727" xr:uid="{86A08902-A43B-4DC3-892E-C2AAEFFEEB5B}"/>
    <cellStyle name="20% - Accent5 11 3 3 5" xfId="27848" xr:uid="{45AC0CCA-3CF9-4AEF-8D7C-4BB3B182661F}"/>
    <cellStyle name="20% - Accent5 11 3 4" xfId="5735" xr:uid="{00000000-0005-0000-0000-0000E41C0000}"/>
    <cellStyle name="20% - Accent5 11 3 4 2" xfId="13719" xr:uid="{00000000-0005-0000-0000-0000E51C0000}"/>
    <cellStyle name="20% - Accent5 11 3 4 2 2" xfId="37562" xr:uid="{A7E5D3A9-D8C8-43EE-91C6-4D2A7025E1E2}"/>
    <cellStyle name="20% - Accent5 11 3 4 3" xfId="21667" xr:uid="{00000000-0005-0000-0000-0000E61C0000}"/>
    <cellStyle name="20% - Accent5 11 3 4 3 2" xfId="45499" xr:uid="{BB21032C-C529-4634-BECE-74998A9F18F3}"/>
    <cellStyle name="20% - Accent5 11 3 4 4" xfId="29621" xr:uid="{56D12AA7-900E-4880-998F-318706848F08}"/>
    <cellStyle name="20% - Accent5 11 3 5" xfId="9288" xr:uid="{00000000-0005-0000-0000-0000E71C0000}"/>
    <cellStyle name="20% - Accent5 11 3 5 2" xfId="17246" xr:uid="{00000000-0005-0000-0000-0000E81C0000}"/>
    <cellStyle name="20% - Accent5 11 3 5 2 2" xfId="41086" xr:uid="{4EBE3316-6711-44C1-BDBF-9CE55A7D52AB}"/>
    <cellStyle name="20% - Accent5 11 3 5 3" xfId="25190" xr:uid="{00000000-0005-0000-0000-0000E91C0000}"/>
    <cellStyle name="20% - Accent5 11 3 5 3 2" xfId="49022" xr:uid="{873173C4-78FD-4264-9864-FB09B447A300}"/>
    <cellStyle name="20% - Accent5 11 3 5 4" xfId="33145" xr:uid="{62161B34-3569-425A-B2E2-20AF56769327}"/>
    <cellStyle name="20% - Accent5 11 3 6" xfId="10184" xr:uid="{00000000-0005-0000-0000-0000EA1C0000}"/>
    <cellStyle name="20% - Accent5 11 3 6 2" xfId="34033" xr:uid="{49089319-A669-447F-BB39-2DC5CB4DDFAF}"/>
    <cellStyle name="20% - Accent5 11 3 7" xfId="18139" xr:uid="{00000000-0005-0000-0000-0000EB1C0000}"/>
    <cellStyle name="20% - Accent5 11 3 7 2" xfId="41971" xr:uid="{FCE986BE-7B86-4479-9474-5B6C322BD636}"/>
    <cellStyle name="20% - Accent5 11 3 8" xfId="26091" xr:uid="{7745CF36-D9B4-4C63-9990-2862351671DA}"/>
    <cellStyle name="20% - Accent5 11 3_Exh G" xfId="2450" xr:uid="{00000000-0005-0000-0000-0000EC1C0000}"/>
    <cellStyle name="20% - Accent5 11 4" xfId="1261" xr:uid="{00000000-0005-0000-0000-0000ED1C0000}"/>
    <cellStyle name="20% - Accent5 11 4 2" xfId="4791" xr:uid="{00000000-0005-0000-0000-0000EE1C0000}"/>
    <cellStyle name="20% - Accent5 11 4 2 2" xfId="8382" xr:uid="{00000000-0005-0000-0000-0000EF1C0000}"/>
    <cellStyle name="20% - Accent5 11 4 2 2 2" xfId="16353" xr:uid="{00000000-0005-0000-0000-0000F01C0000}"/>
    <cellStyle name="20% - Accent5 11 4 2 2 2 2" xfId="40195" xr:uid="{C17D9006-38A0-47A8-A6EE-FA32CFFB2E88}"/>
    <cellStyle name="20% - Accent5 11 4 2 2 3" xfId="24299" xr:uid="{00000000-0005-0000-0000-0000F11C0000}"/>
    <cellStyle name="20% - Accent5 11 4 2 2 3 2" xfId="48131" xr:uid="{2945BBA7-5B2C-4AA9-BF73-BF55D5353145}"/>
    <cellStyle name="20% - Accent5 11 4 2 2 4" xfId="32254" xr:uid="{6C6CB874-8113-4D0F-96B1-C99F2FD19DE5}"/>
    <cellStyle name="20% - Accent5 11 4 2 3" xfId="12815" xr:uid="{00000000-0005-0000-0000-0000F21C0000}"/>
    <cellStyle name="20% - Accent5 11 4 2 3 2" xfId="36664" xr:uid="{DC75A835-111B-4AA9-967B-02DE7ED12804}"/>
    <cellStyle name="20% - Accent5 11 4 2 4" xfId="20770" xr:uid="{00000000-0005-0000-0000-0000F31C0000}"/>
    <cellStyle name="20% - Accent5 11 4 2 4 2" xfId="44602" xr:uid="{EA3D1BAD-85FD-4FCC-9781-DAF884FD6F1D}"/>
    <cellStyle name="20% - Accent5 11 4 2 5" xfId="28723" xr:uid="{A41666E5-736C-4261-B97C-6D71B878CF61}"/>
    <cellStyle name="20% - Accent5 11 4 3" xfId="6623" xr:uid="{00000000-0005-0000-0000-0000F41C0000}"/>
    <cellStyle name="20% - Accent5 11 4 3 2" xfId="14595" xr:uid="{00000000-0005-0000-0000-0000F51C0000}"/>
    <cellStyle name="20% - Accent5 11 4 3 2 2" xfId="38437" xr:uid="{0B691D23-B18A-4C74-8E0C-C496A1F31906}"/>
    <cellStyle name="20% - Accent5 11 4 3 3" xfId="22542" xr:uid="{00000000-0005-0000-0000-0000F61C0000}"/>
    <cellStyle name="20% - Accent5 11 4 3 3 2" xfId="46374" xr:uid="{6CB30AC6-DA42-4985-867E-76A3172FDB3B}"/>
    <cellStyle name="20% - Accent5 11 4 3 4" xfId="30496" xr:uid="{2D2D7AA6-DC4B-475F-B337-BDCBDBF15D2A}"/>
    <cellStyle name="20% - Accent5 11 4 4" xfId="11059" xr:uid="{00000000-0005-0000-0000-0000F71C0000}"/>
    <cellStyle name="20% - Accent5 11 4 4 2" xfId="34908" xr:uid="{A61413F8-A286-4984-8F10-839B7FF04F01}"/>
    <cellStyle name="20% - Accent5 11 4 5" xfId="19014" xr:uid="{00000000-0005-0000-0000-0000F81C0000}"/>
    <cellStyle name="20% - Accent5 11 4 5 2" xfId="42846" xr:uid="{F294C42A-966D-4579-A3ED-E6298D1E1DCE}"/>
    <cellStyle name="20% - Accent5 11 4 6" xfId="26966" xr:uid="{5528E4C4-CBF2-417F-A46E-8D8A7F2F04A1}"/>
    <cellStyle name="20% - Accent5 11 4_Exh G" xfId="2452" xr:uid="{00000000-0005-0000-0000-0000F91C0000}"/>
    <cellStyle name="20% - Accent5 11 5" xfId="3912" xr:uid="{00000000-0005-0000-0000-0000FA1C0000}"/>
    <cellStyle name="20% - Accent5 11 5 2" xfId="7504" xr:uid="{00000000-0005-0000-0000-0000FB1C0000}"/>
    <cellStyle name="20% - Accent5 11 5 2 2" xfId="15475" xr:uid="{00000000-0005-0000-0000-0000FC1C0000}"/>
    <cellStyle name="20% - Accent5 11 5 2 2 2" xfId="39317" xr:uid="{1486405A-E256-4ED8-A461-D909FC180C24}"/>
    <cellStyle name="20% - Accent5 11 5 2 3" xfId="23421" xr:uid="{00000000-0005-0000-0000-0000FD1C0000}"/>
    <cellStyle name="20% - Accent5 11 5 2 3 2" xfId="47253" xr:uid="{47DF288D-10BF-437B-9E18-59633E09CF8A}"/>
    <cellStyle name="20% - Accent5 11 5 2 4" xfId="31376" xr:uid="{9E4659E6-0E3D-4E39-BF55-77C46F05150F}"/>
    <cellStyle name="20% - Accent5 11 5 3" xfId="11937" xr:uid="{00000000-0005-0000-0000-0000FE1C0000}"/>
    <cellStyle name="20% - Accent5 11 5 3 2" xfId="35786" xr:uid="{3A49F66B-FC8E-45C8-B57A-52FD412BF6EB}"/>
    <cellStyle name="20% - Accent5 11 5 4" xfId="19892" xr:uid="{00000000-0005-0000-0000-0000FF1C0000}"/>
    <cellStyle name="20% - Accent5 11 5 4 2" xfId="43724" xr:uid="{C306A4AA-2D59-40FA-A65B-5892F52BB29E}"/>
    <cellStyle name="20% - Accent5 11 5 5" xfId="27845" xr:uid="{EFDAB9AF-38F8-43CD-85EC-C0512AB26063}"/>
    <cellStyle name="20% - Accent5 11 6" xfId="5732" xr:uid="{00000000-0005-0000-0000-0000001D0000}"/>
    <cellStyle name="20% - Accent5 11 6 2" xfId="13716" xr:uid="{00000000-0005-0000-0000-0000011D0000}"/>
    <cellStyle name="20% - Accent5 11 6 2 2" xfId="37559" xr:uid="{8844F41B-0CBA-4824-AA89-072567F1290A}"/>
    <cellStyle name="20% - Accent5 11 6 3" xfId="21664" xr:uid="{00000000-0005-0000-0000-0000021D0000}"/>
    <cellStyle name="20% - Accent5 11 6 3 2" xfId="45496" xr:uid="{4E708D2A-31BF-42FC-A595-41C17A93A7DD}"/>
    <cellStyle name="20% - Accent5 11 6 4" xfId="29618" xr:uid="{4D19F61E-B617-4563-BDBD-C922620E800A}"/>
    <cellStyle name="20% - Accent5 11 7" xfId="9285" xr:uid="{00000000-0005-0000-0000-0000031D0000}"/>
    <cellStyle name="20% - Accent5 11 7 2" xfId="17243" xr:uid="{00000000-0005-0000-0000-0000041D0000}"/>
    <cellStyle name="20% - Accent5 11 7 2 2" xfId="41083" xr:uid="{39D4E8FE-2C57-4A72-B4B1-D32EB619D9CD}"/>
    <cellStyle name="20% - Accent5 11 7 3" xfId="25187" xr:uid="{00000000-0005-0000-0000-0000051D0000}"/>
    <cellStyle name="20% - Accent5 11 7 3 2" xfId="49019" xr:uid="{6A6DC99A-615A-4EEB-8EC8-7CEC6B2FEE56}"/>
    <cellStyle name="20% - Accent5 11 7 4" xfId="33142" xr:uid="{8EEAE0CE-CE6B-4914-BE75-8659E15F01D2}"/>
    <cellStyle name="20% - Accent5 11 8" xfId="10181" xr:uid="{00000000-0005-0000-0000-0000061D0000}"/>
    <cellStyle name="20% - Accent5 11 8 2" xfId="34030" xr:uid="{EEFEDB78-0FA5-4121-9571-9595DAE1223C}"/>
    <cellStyle name="20% - Accent5 11 9" xfId="18136" xr:uid="{00000000-0005-0000-0000-0000071D0000}"/>
    <cellStyle name="20% - Accent5 11 9 2" xfId="41968" xr:uid="{F43DB838-6361-42B1-9400-1225459C8BB8}"/>
    <cellStyle name="20% - Accent5 11_Exh G" xfId="2445" xr:uid="{00000000-0005-0000-0000-0000081D0000}"/>
    <cellStyle name="20% - Accent5 12" xfId="237" xr:uid="{00000000-0005-0000-0000-0000091D0000}"/>
    <cellStyle name="20% - Accent5 12 10" xfId="26092" xr:uid="{DB056558-7F16-43AA-9D13-A866481F6700}"/>
    <cellStyle name="20% - Accent5 12 2" xfId="238" xr:uid="{00000000-0005-0000-0000-00000A1D0000}"/>
    <cellStyle name="20% - Accent5 12 2 2" xfId="239" xr:uid="{00000000-0005-0000-0000-00000B1D0000}"/>
    <cellStyle name="20% - Accent5 12 2 2 2" xfId="1267" xr:uid="{00000000-0005-0000-0000-00000C1D0000}"/>
    <cellStyle name="20% - Accent5 12 2 2 2 2" xfId="4797" xr:uid="{00000000-0005-0000-0000-00000D1D0000}"/>
    <cellStyle name="20% - Accent5 12 2 2 2 2 2" xfId="8388" xr:uid="{00000000-0005-0000-0000-00000E1D0000}"/>
    <cellStyle name="20% - Accent5 12 2 2 2 2 2 2" xfId="16359" xr:uid="{00000000-0005-0000-0000-00000F1D0000}"/>
    <cellStyle name="20% - Accent5 12 2 2 2 2 2 2 2" xfId="40201" xr:uid="{D1E9E994-7F83-45E3-83E4-57AE6DBEF3F6}"/>
    <cellStyle name="20% - Accent5 12 2 2 2 2 2 3" xfId="24305" xr:uid="{00000000-0005-0000-0000-0000101D0000}"/>
    <cellStyle name="20% - Accent5 12 2 2 2 2 2 3 2" xfId="48137" xr:uid="{8E78B4D3-EEAD-449A-8B0E-E1B6E42C2146}"/>
    <cellStyle name="20% - Accent5 12 2 2 2 2 2 4" xfId="32260" xr:uid="{775CA2AA-11C3-43D1-B078-67FACAB263F8}"/>
    <cellStyle name="20% - Accent5 12 2 2 2 2 3" xfId="12821" xr:uid="{00000000-0005-0000-0000-0000111D0000}"/>
    <cellStyle name="20% - Accent5 12 2 2 2 2 3 2" xfId="36670" xr:uid="{0E7689E9-00D1-4F51-8724-00E2D06F9C5C}"/>
    <cellStyle name="20% - Accent5 12 2 2 2 2 4" xfId="20776" xr:uid="{00000000-0005-0000-0000-0000121D0000}"/>
    <cellStyle name="20% - Accent5 12 2 2 2 2 4 2" xfId="44608" xr:uid="{F0CE54DF-F11D-4B84-89E2-0E229374F72F}"/>
    <cellStyle name="20% - Accent5 12 2 2 2 2 5" xfId="28729" xr:uid="{E08C3053-02B3-443E-8BE9-DB97EDEDFA18}"/>
    <cellStyle name="20% - Accent5 12 2 2 2 3" xfId="6629" xr:uid="{00000000-0005-0000-0000-0000131D0000}"/>
    <cellStyle name="20% - Accent5 12 2 2 2 3 2" xfId="14601" xr:uid="{00000000-0005-0000-0000-0000141D0000}"/>
    <cellStyle name="20% - Accent5 12 2 2 2 3 2 2" xfId="38443" xr:uid="{90DD602A-C1C2-4549-BE26-6758E2295823}"/>
    <cellStyle name="20% - Accent5 12 2 2 2 3 3" xfId="22548" xr:uid="{00000000-0005-0000-0000-0000151D0000}"/>
    <cellStyle name="20% - Accent5 12 2 2 2 3 3 2" xfId="46380" xr:uid="{D50A6DA3-8CF0-4071-865C-EA43638244A2}"/>
    <cellStyle name="20% - Accent5 12 2 2 2 3 4" xfId="30502" xr:uid="{13887849-BABE-4748-8857-B86E20B21E09}"/>
    <cellStyle name="20% - Accent5 12 2 2 2 4" xfId="11065" xr:uid="{00000000-0005-0000-0000-0000161D0000}"/>
    <cellStyle name="20% - Accent5 12 2 2 2 4 2" xfId="34914" xr:uid="{040309AF-3098-4395-B833-F18D0DB898CC}"/>
    <cellStyle name="20% - Accent5 12 2 2 2 5" xfId="19020" xr:uid="{00000000-0005-0000-0000-0000171D0000}"/>
    <cellStyle name="20% - Accent5 12 2 2 2 5 2" xfId="42852" xr:uid="{563B6A25-FCC6-42FE-8762-4D97ADA5E772}"/>
    <cellStyle name="20% - Accent5 12 2 2 2 6" xfId="26972" xr:uid="{977DAE3F-42C4-4681-82E7-94BDD3A8FA9C}"/>
    <cellStyle name="20% - Accent5 12 2 2 2_Exh G" xfId="2456" xr:uid="{00000000-0005-0000-0000-0000181D0000}"/>
    <cellStyle name="20% - Accent5 12 2 2 3" xfId="3918" xr:uid="{00000000-0005-0000-0000-0000191D0000}"/>
    <cellStyle name="20% - Accent5 12 2 2 3 2" xfId="7510" xr:uid="{00000000-0005-0000-0000-00001A1D0000}"/>
    <cellStyle name="20% - Accent5 12 2 2 3 2 2" xfId="15481" xr:uid="{00000000-0005-0000-0000-00001B1D0000}"/>
    <cellStyle name="20% - Accent5 12 2 2 3 2 2 2" xfId="39323" xr:uid="{61905D80-02AC-4320-80D5-946B66BD70C1}"/>
    <cellStyle name="20% - Accent5 12 2 2 3 2 3" xfId="23427" xr:uid="{00000000-0005-0000-0000-00001C1D0000}"/>
    <cellStyle name="20% - Accent5 12 2 2 3 2 3 2" xfId="47259" xr:uid="{D6344D2D-3824-4C96-8560-6339E499A9E0}"/>
    <cellStyle name="20% - Accent5 12 2 2 3 2 4" xfId="31382" xr:uid="{05DBABDE-7E03-4C77-A014-14632037C48D}"/>
    <cellStyle name="20% - Accent5 12 2 2 3 3" xfId="11943" xr:uid="{00000000-0005-0000-0000-00001D1D0000}"/>
    <cellStyle name="20% - Accent5 12 2 2 3 3 2" xfId="35792" xr:uid="{CB1541EE-2887-419F-AFA9-9B0BF8F63ECF}"/>
    <cellStyle name="20% - Accent5 12 2 2 3 4" xfId="19898" xr:uid="{00000000-0005-0000-0000-00001E1D0000}"/>
    <cellStyle name="20% - Accent5 12 2 2 3 4 2" xfId="43730" xr:uid="{B1DC5442-61D4-4F0C-AB04-19CAFA6EC3CD}"/>
    <cellStyle name="20% - Accent5 12 2 2 3 5" xfId="27851" xr:uid="{215318A9-4A73-4E0D-9D5D-01C0EC635AF4}"/>
    <cellStyle name="20% - Accent5 12 2 2 4" xfId="5738" xr:uid="{00000000-0005-0000-0000-00001F1D0000}"/>
    <cellStyle name="20% - Accent5 12 2 2 4 2" xfId="13722" xr:uid="{00000000-0005-0000-0000-0000201D0000}"/>
    <cellStyle name="20% - Accent5 12 2 2 4 2 2" xfId="37565" xr:uid="{DF94403D-40F9-4399-888E-9DA4CEA2CE2D}"/>
    <cellStyle name="20% - Accent5 12 2 2 4 3" xfId="21670" xr:uid="{00000000-0005-0000-0000-0000211D0000}"/>
    <cellStyle name="20% - Accent5 12 2 2 4 3 2" xfId="45502" xr:uid="{A8466FFD-29D0-4835-82F6-49CD9D1BA236}"/>
    <cellStyle name="20% - Accent5 12 2 2 4 4" xfId="29624" xr:uid="{B53D7088-7955-4D99-86B9-9AE37A7D09A9}"/>
    <cellStyle name="20% - Accent5 12 2 2 5" xfId="9291" xr:uid="{00000000-0005-0000-0000-0000221D0000}"/>
    <cellStyle name="20% - Accent5 12 2 2 5 2" xfId="17249" xr:uid="{00000000-0005-0000-0000-0000231D0000}"/>
    <cellStyle name="20% - Accent5 12 2 2 5 2 2" xfId="41089" xr:uid="{6E0D8B09-13EE-4582-A98A-62F811C7D471}"/>
    <cellStyle name="20% - Accent5 12 2 2 5 3" xfId="25193" xr:uid="{00000000-0005-0000-0000-0000241D0000}"/>
    <cellStyle name="20% - Accent5 12 2 2 5 3 2" xfId="49025" xr:uid="{CB2701E9-3515-404B-8044-9BA9DDE36E3B}"/>
    <cellStyle name="20% - Accent5 12 2 2 5 4" xfId="33148" xr:uid="{098F6F7B-A80C-47C8-B722-8D9B394D32F3}"/>
    <cellStyle name="20% - Accent5 12 2 2 6" xfId="10187" xr:uid="{00000000-0005-0000-0000-0000251D0000}"/>
    <cellStyle name="20% - Accent5 12 2 2 6 2" xfId="34036" xr:uid="{FD74571C-AF81-45BF-B9D3-07C96972E33B}"/>
    <cellStyle name="20% - Accent5 12 2 2 7" xfId="18142" xr:uid="{00000000-0005-0000-0000-0000261D0000}"/>
    <cellStyle name="20% - Accent5 12 2 2 7 2" xfId="41974" xr:uid="{ADD7DBEE-C7CE-4C42-B804-018AE27AA8BD}"/>
    <cellStyle name="20% - Accent5 12 2 2 8" xfId="26094" xr:uid="{C1CE3FDB-24E7-4343-AD18-2A48A3600BFC}"/>
    <cellStyle name="20% - Accent5 12 2 2_Exh G" xfId="2455" xr:uid="{00000000-0005-0000-0000-0000271D0000}"/>
    <cellStyle name="20% - Accent5 12 2 3" xfId="1266" xr:uid="{00000000-0005-0000-0000-0000281D0000}"/>
    <cellStyle name="20% - Accent5 12 2 3 2" xfId="4796" xr:uid="{00000000-0005-0000-0000-0000291D0000}"/>
    <cellStyle name="20% - Accent5 12 2 3 2 2" xfId="8387" xr:uid="{00000000-0005-0000-0000-00002A1D0000}"/>
    <cellStyle name="20% - Accent5 12 2 3 2 2 2" xfId="16358" xr:uid="{00000000-0005-0000-0000-00002B1D0000}"/>
    <cellStyle name="20% - Accent5 12 2 3 2 2 2 2" xfId="40200" xr:uid="{BA6E254E-91E7-4356-B52B-E4781966105D}"/>
    <cellStyle name="20% - Accent5 12 2 3 2 2 3" xfId="24304" xr:uid="{00000000-0005-0000-0000-00002C1D0000}"/>
    <cellStyle name="20% - Accent5 12 2 3 2 2 3 2" xfId="48136" xr:uid="{5D70DA85-F7C3-46C2-AD44-29D2271BCF6F}"/>
    <cellStyle name="20% - Accent5 12 2 3 2 2 4" xfId="32259" xr:uid="{E046BE0B-7EEF-4599-8E2A-636C91629233}"/>
    <cellStyle name="20% - Accent5 12 2 3 2 3" xfId="12820" xr:uid="{00000000-0005-0000-0000-00002D1D0000}"/>
    <cellStyle name="20% - Accent5 12 2 3 2 3 2" xfId="36669" xr:uid="{460EE341-E63B-40DC-AEF8-0BBA676D1165}"/>
    <cellStyle name="20% - Accent5 12 2 3 2 4" xfId="20775" xr:uid="{00000000-0005-0000-0000-00002E1D0000}"/>
    <cellStyle name="20% - Accent5 12 2 3 2 4 2" xfId="44607" xr:uid="{CF879428-605D-4C63-B8AD-EEB1F016D6E9}"/>
    <cellStyle name="20% - Accent5 12 2 3 2 5" xfId="28728" xr:uid="{1AF9975E-0D99-4FCC-961E-1784A4B3C442}"/>
    <cellStyle name="20% - Accent5 12 2 3 3" xfId="6628" xr:uid="{00000000-0005-0000-0000-00002F1D0000}"/>
    <cellStyle name="20% - Accent5 12 2 3 3 2" xfId="14600" xr:uid="{00000000-0005-0000-0000-0000301D0000}"/>
    <cellStyle name="20% - Accent5 12 2 3 3 2 2" xfId="38442" xr:uid="{E93DC95F-067C-4140-AF11-0937661F57D8}"/>
    <cellStyle name="20% - Accent5 12 2 3 3 3" xfId="22547" xr:uid="{00000000-0005-0000-0000-0000311D0000}"/>
    <cellStyle name="20% - Accent5 12 2 3 3 3 2" xfId="46379" xr:uid="{651A0091-7187-4230-9A97-0B6040E2BD32}"/>
    <cellStyle name="20% - Accent5 12 2 3 3 4" xfId="30501" xr:uid="{D6D13CE9-89BD-478F-A69C-56A2E51AEF5D}"/>
    <cellStyle name="20% - Accent5 12 2 3 4" xfId="11064" xr:uid="{00000000-0005-0000-0000-0000321D0000}"/>
    <cellStyle name="20% - Accent5 12 2 3 4 2" xfId="34913" xr:uid="{AC1B20FE-4A70-4B95-961B-EE523847317D}"/>
    <cellStyle name="20% - Accent5 12 2 3 5" xfId="19019" xr:uid="{00000000-0005-0000-0000-0000331D0000}"/>
    <cellStyle name="20% - Accent5 12 2 3 5 2" xfId="42851" xr:uid="{60C19E00-E22F-42F1-B136-0DB582ECBBC4}"/>
    <cellStyle name="20% - Accent5 12 2 3 6" xfId="26971" xr:uid="{978EA9DC-F12B-4BA4-A2E1-17186528D31E}"/>
    <cellStyle name="20% - Accent5 12 2 3_Exh G" xfId="2457" xr:uid="{00000000-0005-0000-0000-0000341D0000}"/>
    <cellStyle name="20% - Accent5 12 2 4" xfId="3917" xr:uid="{00000000-0005-0000-0000-0000351D0000}"/>
    <cellStyle name="20% - Accent5 12 2 4 2" xfId="7509" xr:uid="{00000000-0005-0000-0000-0000361D0000}"/>
    <cellStyle name="20% - Accent5 12 2 4 2 2" xfId="15480" xr:uid="{00000000-0005-0000-0000-0000371D0000}"/>
    <cellStyle name="20% - Accent5 12 2 4 2 2 2" xfId="39322" xr:uid="{71E65E74-0952-4D22-AC21-CEA2BA053D96}"/>
    <cellStyle name="20% - Accent5 12 2 4 2 3" xfId="23426" xr:uid="{00000000-0005-0000-0000-0000381D0000}"/>
    <cellStyle name="20% - Accent5 12 2 4 2 3 2" xfId="47258" xr:uid="{DE4CD0BD-F950-4FB2-B77C-5177B6B123BE}"/>
    <cellStyle name="20% - Accent5 12 2 4 2 4" xfId="31381" xr:uid="{671BC46F-182C-4EA9-96E7-0073ED3D389E}"/>
    <cellStyle name="20% - Accent5 12 2 4 3" xfId="11942" xr:uid="{00000000-0005-0000-0000-0000391D0000}"/>
    <cellStyle name="20% - Accent5 12 2 4 3 2" xfId="35791" xr:uid="{048AD690-2BE0-4898-AE91-3967260D51A4}"/>
    <cellStyle name="20% - Accent5 12 2 4 4" xfId="19897" xr:uid="{00000000-0005-0000-0000-00003A1D0000}"/>
    <cellStyle name="20% - Accent5 12 2 4 4 2" xfId="43729" xr:uid="{221B25D5-8CDB-4AF7-8009-757596B1F04F}"/>
    <cellStyle name="20% - Accent5 12 2 4 5" xfId="27850" xr:uid="{28F5ACDD-6274-474F-9AD0-077F47088130}"/>
    <cellStyle name="20% - Accent5 12 2 5" xfId="5737" xr:uid="{00000000-0005-0000-0000-00003B1D0000}"/>
    <cellStyle name="20% - Accent5 12 2 5 2" xfId="13721" xr:uid="{00000000-0005-0000-0000-00003C1D0000}"/>
    <cellStyle name="20% - Accent5 12 2 5 2 2" xfId="37564" xr:uid="{CA18E86B-C841-4DAD-997E-A424B88AB730}"/>
    <cellStyle name="20% - Accent5 12 2 5 3" xfId="21669" xr:uid="{00000000-0005-0000-0000-00003D1D0000}"/>
    <cellStyle name="20% - Accent5 12 2 5 3 2" xfId="45501" xr:uid="{C443C5F4-E88F-424F-BDCE-8C950BB6091F}"/>
    <cellStyle name="20% - Accent5 12 2 5 4" xfId="29623" xr:uid="{C4D0C210-DFC7-4F6B-B191-5812B473CF8E}"/>
    <cellStyle name="20% - Accent5 12 2 6" xfId="9290" xr:uid="{00000000-0005-0000-0000-00003E1D0000}"/>
    <cellStyle name="20% - Accent5 12 2 6 2" xfId="17248" xr:uid="{00000000-0005-0000-0000-00003F1D0000}"/>
    <cellStyle name="20% - Accent5 12 2 6 2 2" xfId="41088" xr:uid="{6D53FB0F-173B-416B-9942-414D39878479}"/>
    <cellStyle name="20% - Accent5 12 2 6 3" xfId="25192" xr:uid="{00000000-0005-0000-0000-0000401D0000}"/>
    <cellStyle name="20% - Accent5 12 2 6 3 2" xfId="49024" xr:uid="{ADE4257D-176E-40FE-BC44-C121FC28831E}"/>
    <cellStyle name="20% - Accent5 12 2 6 4" xfId="33147" xr:uid="{65C86FE3-556A-4C28-B53C-B2B4D6A52C52}"/>
    <cellStyle name="20% - Accent5 12 2 7" xfId="10186" xr:uid="{00000000-0005-0000-0000-0000411D0000}"/>
    <cellStyle name="20% - Accent5 12 2 7 2" xfId="34035" xr:uid="{6E7895BF-01FD-486C-B6EE-908D8583446B}"/>
    <cellStyle name="20% - Accent5 12 2 8" xfId="18141" xr:uid="{00000000-0005-0000-0000-0000421D0000}"/>
    <cellStyle name="20% - Accent5 12 2 8 2" xfId="41973" xr:uid="{73733EB1-2A38-4B67-B702-37B01533D64F}"/>
    <cellStyle name="20% - Accent5 12 2 9" xfId="26093" xr:uid="{D556A75C-586E-4732-BB33-ADF11EF4A4AF}"/>
    <cellStyle name="20% - Accent5 12 2_Exh G" xfId="2454" xr:uid="{00000000-0005-0000-0000-0000431D0000}"/>
    <cellStyle name="20% - Accent5 12 3" xfId="240" xr:uid="{00000000-0005-0000-0000-0000441D0000}"/>
    <cellStyle name="20% - Accent5 12 3 2" xfId="1268" xr:uid="{00000000-0005-0000-0000-0000451D0000}"/>
    <cellStyle name="20% - Accent5 12 3 2 2" xfId="4798" xr:uid="{00000000-0005-0000-0000-0000461D0000}"/>
    <cellStyle name="20% - Accent5 12 3 2 2 2" xfId="8389" xr:uid="{00000000-0005-0000-0000-0000471D0000}"/>
    <cellStyle name="20% - Accent5 12 3 2 2 2 2" xfId="16360" xr:uid="{00000000-0005-0000-0000-0000481D0000}"/>
    <cellStyle name="20% - Accent5 12 3 2 2 2 2 2" xfId="40202" xr:uid="{0C013822-CE12-435B-9AE7-E4A787AA421C}"/>
    <cellStyle name="20% - Accent5 12 3 2 2 2 3" xfId="24306" xr:uid="{00000000-0005-0000-0000-0000491D0000}"/>
    <cellStyle name="20% - Accent5 12 3 2 2 2 3 2" xfId="48138" xr:uid="{09845713-3F43-46AD-AE9C-5729C0BA0854}"/>
    <cellStyle name="20% - Accent5 12 3 2 2 2 4" xfId="32261" xr:uid="{F70C60AC-5BBC-4538-9850-ECA6C8912E6C}"/>
    <cellStyle name="20% - Accent5 12 3 2 2 3" xfId="12822" xr:uid="{00000000-0005-0000-0000-00004A1D0000}"/>
    <cellStyle name="20% - Accent5 12 3 2 2 3 2" xfId="36671" xr:uid="{C42299B7-94D6-4C7B-8FFB-BD02D841734A}"/>
    <cellStyle name="20% - Accent5 12 3 2 2 4" xfId="20777" xr:uid="{00000000-0005-0000-0000-00004B1D0000}"/>
    <cellStyle name="20% - Accent5 12 3 2 2 4 2" xfId="44609" xr:uid="{B4BDECEF-04B2-4DF9-857B-3F1D6F2AB34F}"/>
    <cellStyle name="20% - Accent5 12 3 2 2 5" xfId="28730" xr:uid="{77ABAD2F-3A76-4C2D-ADD0-F06ADC886834}"/>
    <cellStyle name="20% - Accent5 12 3 2 3" xfId="6630" xr:uid="{00000000-0005-0000-0000-00004C1D0000}"/>
    <cellStyle name="20% - Accent5 12 3 2 3 2" xfId="14602" xr:uid="{00000000-0005-0000-0000-00004D1D0000}"/>
    <cellStyle name="20% - Accent5 12 3 2 3 2 2" xfId="38444" xr:uid="{C86D5B2D-D75B-4B6A-8976-6752928D7548}"/>
    <cellStyle name="20% - Accent5 12 3 2 3 3" xfId="22549" xr:uid="{00000000-0005-0000-0000-00004E1D0000}"/>
    <cellStyle name="20% - Accent5 12 3 2 3 3 2" xfId="46381" xr:uid="{267E5736-A18B-4398-A45B-7D735A89AD86}"/>
    <cellStyle name="20% - Accent5 12 3 2 3 4" xfId="30503" xr:uid="{7F7140F5-1054-4DCC-AEC1-052B6E7C54A3}"/>
    <cellStyle name="20% - Accent5 12 3 2 4" xfId="11066" xr:uid="{00000000-0005-0000-0000-00004F1D0000}"/>
    <cellStyle name="20% - Accent5 12 3 2 4 2" xfId="34915" xr:uid="{049FC204-D96D-4D76-A380-4CD9C9E87C5A}"/>
    <cellStyle name="20% - Accent5 12 3 2 5" xfId="19021" xr:uid="{00000000-0005-0000-0000-0000501D0000}"/>
    <cellStyle name="20% - Accent5 12 3 2 5 2" xfId="42853" xr:uid="{DC865FDB-84D9-46A2-978A-1FED6D14D408}"/>
    <cellStyle name="20% - Accent5 12 3 2 6" xfId="26973" xr:uid="{14C8DA82-D532-4246-8AA7-225352F93759}"/>
    <cellStyle name="20% - Accent5 12 3 2_Exh G" xfId="2459" xr:uid="{00000000-0005-0000-0000-0000511D0000}"/>
    <cellStyle name="20% - Accent5 12 3 3" xfId="3919" xr:uid="{00000000-0005-0000-0000-0000521D0000}"/>
    <cellStyle name="20% - Accent5 12 3 3 2" xfId="7511" xr:uid="{00000000-0005-0000-0000-0000531D0000}"/>
    <cellStyle name="20% - Accent5 12 3 3 2 2" xfId="15482" xr:uid="{00000000-0005-0000-0000-0000541D0000}"/>
    <cellStyle name="20% - Accent5 12 3 3 2 2 2" xfId="39324" xr:uid="{61AC687D-B37D-423C-8FCE-A7B42CDC84D1}"/>
    <cellStyle name="20% - Accent5 12 3 3 2 3" xfId="23428" xr:uid="{00000000-0005-0000-0000-0000551D0000}"/>
    <cellStyle name="20% - Accent5 12 3 3 2 3 2" xfId="47260" xr:uid="{9A86D614-702D-4AAF-8560-A0D2D221FD10}"/>
    <cellStyle name="20% - Accent5 12 3 3 2 4" xfId="31383" xr:uid="{A07D0E94-EF76-4054-8500-1924CFADF2EA}"/>
    <cellStyle name="20% - Accent5 12 3 3 3" xfId="11944" xr:uid="{00000000-0005-0000-0000-0000561D0000}"/>
    <cellStyle name="20% - Accent5 12 3 3 3 2" xfId="35793" xr:uid="{62257C61-3D3C-44F9-ABD4-89F0CEC00262}"/>
    <cellStyle name="20% - Accent5 12 3 3 4" xfId="19899" xr:uid="{00000000-0005-0000-0000-0000571D0000}"/>
    <cellStyle name="20% - Accent5 12 3 3 4 2" xfId="43731" xr:uid="{C8AEFE80-19C4-41DF-ABAC-E40E72954F3A}"/>
    <cellStyle name="20% - Accent5 12 3 3 5" xfId="27852" xr:uid="{4A30679F-E612-44A3-948D-3A55F23BC743}"/>
    <cellStyle name="20% - Accent5 12 3 4" xfId="5739" xr:uid="{00000000-0005-0000-0000-0000581D0000}"/>
    <cellStyle name="20% - Accent5 12 3 4 2" xfId="13723" xr:uid="{00000000-0005-0000-0000-0000591D0000}"/>
    <cellStyle name="20% - Accent5 12 3 4 2 2" xfId="37566" xr:uid="{BFC06454-3F44-4007-B852-0224B26C859E}"/>
    <cellStyle name="20% - Accent5 12 3 4 3" xfId="21671" xr:uid="{00000000-0005-0000-0000-00005A1D0000}"/>
    <cellStyle name="20% - Accent5 12 3 4 3 2" xfId="45503" xr:uid="{7690DF84-C438-4949-84C0-1336707399AD}"/>
    <cellStyle name="20% - Accent5 12 3 4 4" xfId="29625" xr:uid="{C27B00A7-F7A9-40DD-B521-397B199057F7}"/>
    <cellStyle name="20% - Accent5 12 3 5" xfId="9292" xr:uid="{00000000-0005-0000-0000-00005B1D0000}"/>
    <cellStyle name="20% - Accent5 12 3 5 2" xfId="17250" xr:uid="{00000000-0005-0000-0000-00005C1D0000}"/>
    <cellStyle name="20% - Accent5 12 3 5 2 2" xfId="41090" xr:uid="{F521B933-8135-402A-9218-169F18E3E069}"/>
    <cellStyle name="20% - Accent5 12 3 5 3" xfId="25194" xr:uid="{00000000-0005-0000-0000-00005D1D0000}"/>
    <cellStyle name="20% - Accent5 12 3 5 3 2" xfId="49026" xr:uid="{1F0DA942-6FCC-4268-A015-05D1DAAC8628}"/>
    <cellStyle name="20% - Accent5 12 3 5 4" xfId="33149" xr:uid="{15821628-31CC-4C9F-88A2-662F8DB62063}"/>
    <cellStyle name="20% - Accent5 12 3 6" xfId="10188" xr:uid="{00000000-0005-0000-0000-00005E1D0000}"/>
    <cellStyle name="20% - Accent5 12 3 6 2" xfId="34037" xr:uid="{F1EF37CA-FE2D-40A3-9849-36E7EEE0111A}"/>
    <cellStyle name="20% - Accent5 12 3 7" xfId="18143" xr:uid="{00000000-0005-0000-0000-00005F1D0000}"/>
    <cellStyle name="20% - Accent5 12 3 7 2" xfId="41975" xr:uid="{44E42E37-DD37-47AF-8EE2-DB939737395B}"/>
    <cellStyle name="20% - Accent5 12 3 8" xfId="26095" xr:uid="{09624003-D1C7-494F-B69D-DDA0F3312C23}"/>
    <cellStyle name="20% - Accent5 12 3_Exh G" xfId="2458" xr:uid="{00000000-0005-0000-0000-0000601D0000}"/>
    <cellStyle name="20% - Accent5 12 4" xfId="1265" xr:uid="{00000000-0005-0000-0000-0000611D0000}"/>
    <cellStyle name="20% - Accent5 12 4 2" xfId="4795" xr:uid="{00000000-0005-0000-0000-0000621D0000}"/>
    <cellStyle name="20% - Accent5 12 4 2 2" xfId="8386" xr:uid="{00000000-0005-0000-0000-0000631D0000}"/>
    <cellStyle name="20% - Accent5 12 4 2 2 2" xfId="16357" xr:uid="{00000000-0005-0000-0000-0000641D0000}"/>
    <cellStyle name="20% - Accent5 12 4 2 2 2 2" xfId="40199" xr:uid="{D52713AD-24F1-4913-9CA5-3D1C74538C68}"/>
    <cellStyle name="20% - Accent5 12 4 2 2 3" xfId="24303" xr:uid="{00000000-0005-0000-0000-0000651D0000}"/>
    <cellStyle name="20% - Accent5 12 4 2 2 3 2" xfId="48135" xr:uid="{12D5A8A7-4A18-4589-B37C-30767BA7CB82}"/>
    <cellStyle name="20% - Accent5 12 4 2 2 4" xfId="32258" xr:uid="{A1AF2430-2890-4710-94DD-892B0F51352A}"/>
    <cellStyle name="20% - Accent5 12 4 2 3" xfId="12819" xr:uid="{00000000-0005-0000-0000-0000661D0000}"/>
    <cellStyle name="20% - Accent5 12 4 2 3 2" xfId="36668" xr:uid="{C7B8EFB0-83D5-4292-8768-35164F0D3E0B}"/>
    <cellStyle name="20% - Accent5 12 4 2 4" xfId="20774" xr:uid="{00000000-0005-0000-0000-0000671D0000}"/>
    <cellStyle name="20% - Accent5 12 4 2 4 2" xfId="44606" xr:uid="{8E09CB8C-9332-48D1-BB08-A3E63EBA3DEB}"/>
    <cellStyle name="20% - Accent5 12 4 2 5" xfId="28727" xr:uid="{A0D5E455-EC36-42E5-AD3A-980DAB73D996}"/>
    <cellStyle name="20% - Accent5 12 4 3" xfId="6627" xr:uid="{00000000-0005-0000-0000-0000681D0000}"/>
    <cellStyle name="20% - Accent5 12 4 3 2" xfId="14599" xr:uid="{00000000-0005-0000-0000-0000691D0000}"/>
    <cellStyle name="20% - Accent5 12 4 3 2 2" xfId="38441" xr:uid="{266C84FD-5E72-4956-80EC-EC8F1DA7A08B}"/>
    <cellStyle name="20% - Accent5 12 4 3 3" xfId="22546" xr:uid="{00000000-0005-0000-0000-00006A1D0000}"/>
    <cellStyle name="20% - Accent5 12 4 3 3 2" xfId="46378" xr:uid="{46EBAD8A-4AB4-4ABB-AB55-BDB0865C4A20}"/>
    <cellStyle name="20% - Accent5 12 4 3 4" xfId="30500" xr:uid="{5A74DA61-475B-4D6B-881D-0CA755E6D220}"/>
    <cellStyle name="20% - Accent5 12 4 4" xfId="11063" xr:uid="{00000000-0005-0000-0000-00006B1D0000}"/>
    <cellStyle name="20% - Accent5 12 4 4 2" xfId="34912" xr:uid="{1306D243-9B02-4D6E-9065-1045AD8BDB96}"/>
    <cellStyle name="20% - Accent5 12 4 5" xfId="19018" xr:uid="{00000000-0005-0000-0000-00006C1D0000}"/>
    <cellStyle name="20% - Accent5 12 4 5 2" xfId="42850" xr:uid="{4F45C83A-9570-4116-A397-D4A966B8C40B}"/>
    <cellStyle name="20% - Accent5 12 4 6" xfId="26970" xr:uid="{EEF35499-9B48-491E-A18E-8B7A470D57D2}"/>
    <cellStyle name="20% - Accent5 12 4_Exh G" xfId="2460" xr:uid="{00000000-0005-0000-0000-00006D1D0000}"/>
    <cellStyle name="20% - Accent5 12 5" xfId="3916" xr:uid="{00000000-0005-0000-0000-00006E1D0000}"/>
    <cellStyle name="20% - Accent5 12 5 2" xfId="7508" xr:uid="{00000000-0005-0000-0000-00006F1D0000}"/>
    <cellStyle name="20% - Accent5 12 5 2 2" xfId="15479" xr:uid="{00000000-0005-0000-0000-0000701D0000}"/>
    <cellStyle name="20% - Accent5 12 5 2 2 2" xfId="39321" xr:uid="{20A656AF-2790-4B04-94DA-4B0217856354}"/>
    <cellStyle name="20% - Accent5 12 5 2 3" xfId="23425" xr:uid="{00000000-0005-0000-0000-0000711D0000}"/>
    <cellStyle name="20% - Accent5 12 5 2 3 2" xfId="47257" xr:uid="{F7806817-40CF-4C51-8541-E8EC97A3135F}"/>
    <cellStyle name="20% - Accent5 12 5 2 4" xfId="31380" xr:uid="{9F72D510-1D6E-479A-8EFF-EA56D5F758AA}"/>
    <cellStyle name="20% - Accent5 12 5 3" xfId="11941" xr:uid="{00000000-0005-0000-0000-0000721D0000}"/>
    <cellStyle name="20% - Accent5 12 5 3 2" xfId="35790" xr:uid="{337A88A3-6D98-4B32-9EB2-73ED7C4A9477}"/>
    <cellStyle name="20% - Accent5 12 5 4" xfId="19896" xr:uid="{00000000-0005-0000-0000-0000731D0000}"/>
    <cellStyle name="20% - Accent5 12 5 4 2" xfId="43728" xr:uid="{846FD91C-9C6E-429A-8CED-F8B4BAB3B7D6}"/>
    <cellStyle name="20% - Accent5 12 5 5" xfId="27849" xr:uid="{2592E060-5C4D-4ED1-B9A3-823883877E8B}"/>
    <cellStyle name="20% - Accent5 12 6" xfId="5736" xr:uid="{00000000-0005-0000-0000-0000741D0000}"/>
    <cellStyle name="20% - Accent5 12 6 2" xfId="13720" xr:uid="{00000000-0005-0000-0000-0000751D0000}"/>
    <cellStyle name="20% - Accent5 12 6 2 2" xfId="37563" xr:uid="{203FA8D7-5AB0-45BA-86DD-94A72FDFE630}"/>
    <cellStyle name="20% - Accent5 12 6 3" xfId="21668" xr:uid="{00000000-0005-0000-0000-0000761D0000}"/>
    <cellStyle name="20% - Accent5 12 6 3 2" xfId="45500" xr:uid="{C0621941-D89C-4106-B87E-017BA37171E4}"/>
    <cellStyle name="20% - Accent5 12 6 4" xfId="29622" xr:uid="{FAECF4C6-4933-4629-9F4B-0684F6275382}"/>
    <cellStyle name="20% - Accent5 12 7" xfId="9289" xr:uid="{00000000-0005-0000-0000-0000771D0000}"/>
    <cellStyle name="20% - Accent5 12 7 2" xfId="17247" xr:uid="{00000000-0005-0000-0000-0000781D0000}"/>
    <cellStyle name="20% - Accent5 12 7 2 2" xfId="41087" xr:uid="{A73EFBF0-AD9C-4703-A20A-7166586E561B}"/>
    <cellStyle name="20% - Accent5 12 7 3" xfId="25191" xr:uid="{00000000-0005-0000-0000-0000791D0000}"/>
    <cellStyle name="20% - Accent5 12 7 3 2" xfId="49023" xr:uid="{64DBFC43-AC84-4789-8FAE-6D66AF0DE14C}"/>
    <cellStyle name="20% - Accent5 12 7 4" xfId="33146" xr:uid="{287F5FFB-24CC-4AE1-9FBC-316E9AF268F9}"/>
    <cellStyle name="20% - Accent5 12 8" xfId="10185" xr:uid="{00000000-0005-0000-0000-00007A1D0000}"/>
    <cellStyle name="20% - Accent5 12 8 2" xfId="34034" xr:uid="{B22E19BE-3F00-4736-9E46-C9FEE3F0E813}"/>
    <cellStyle name="20% - Accent5 12 9" xfId="18140" xr:uid="{00000000-0005-0000-0000-00007B1D0000}"/>
    <cellStyle name="20% - Accent5 12 9 2" xfId="41972" xr:uid="{C7E32357-8B86-4B17-8792-3F6F51595CB1}"/>
    <cellStyle name="20% - Accent5 12_Exh G" xfId="2453" xr:uid="{00000000-0005-0000-0000-00007C1D0000}"/>
    <cellStyle name="20% - Accent5 13" xfId="241" xr:uid="{00000000-0005-0000-0000-00007D1D0000}"/>
    <cellStyle name="20% - Accent5 13 10" xfId="26096" xr:uid="{DE57B2D6-9767-495F-B367-4347F13C334F}"/>
    <cellStyle name="20% - Accent5 13 2" xfId="242" xr:uid="{00000000-0005-0000-0000-00007E1D0000}"/>
    <cellStyle name="20% - Accent5 13 2 2" xfId="243" xr:uid="{00000000-0005-0000-0000-00007F1D0000}"/>
    <cellStyle name="20% - Accent5 13 2 2 2" xfId="1271" xr:uid="{00000000-0005-0000-0000-0000801D0000}"/>
    <cellStyle name="20% - Accent5 13 2 2 2 2" xfId="4801" xr:uid="{00000000-0005-0000-0000-0000811D0000}"/>
    <cellStyle name="20% - Accent5 13 2 2 2 2 2" xfId="8392" xr:uid="{00000000-0005-0000-0000-0000821D0000}"/>
    <cellStyle name="20% - Accent5 13 2 2 2 2 2 2" xfId="16363" xr:uid="{00000000-0005-0000-0000-0000831D0000}"/>
    <cellStyle name="20% - Accent5 13 2 2 2 2 2 2 2" xfId="40205" xr:uid="{E8B7A0AD-F489-4341-8024-4EF652A99ADD}"/>
    <cellStyle name="20% - Accent5 13 2 2 2 2 2 3" xfId="24309" xr:uid="{00000000-0005-0000-0000-0000841D0000}"/>
    <cellStyle name="20% - Accent5 13 2 2 2 2 2 3 2" xfId="48141" xr:uid="{23E2ECB3-AEF7-4F65-AE9A-DFABB505AB39}"/>
    <cellStyle name="20% - Accent5 13 2 2 2 2 2 4" xfId="32264" xr:uid="{252DE69C-A9E5-46BA-A7ED-22526F17BF12}"/>
    <cellStyle name="20% - Accent5 13 2 2 2 2 3" xfId="12825" xr:uid="{00000000-0005-0000-0000-0000851D0000}"/>
    <cellStyle name="20% - Accent5 13 2 2 2 2 3 2" xfId="36674" xr:uid="{6F05DC6D-5B44-465B-B4FF-A2EAC3E2ED7A}"/>
    <cellStyle name="20% - Accent5 13 2 2 2 2 4" xfId="20780" xr:uid="{00000000-0005-0000-0000-0000861D0000}"/>
    <cellStyle name="20% - Accent5 13 2 2 2 2 4 2" xfId="44612" xr:uid="{1605C3BC-7C96-4EF2-BE0B-A7F0604EE047}"/>
    <cellStyle name="20% - Accent5 13 2 2 2 2 5" xfId="28733" xr:uid="{C705D874-EBAF-4309-B3DC-9B3BCE85D2F0}"/>
    <cellStyle name="20% - Accent5 13 2 2 2 3" xfId="6633" xr:uid="{00000000-0005-0000-0000-0000871D0000}"/>
    <cellStyle name="20% - Accent5 13 2 2 2 3 2" xfId="14605" xr:uid="{00000000-0005-0000-0000-0000881D0000}"/>
    <cellStyle name="20% - Accent5 13 2 2 2 3 2 2" xfId="38447" xr:uid="{2476B5F4-5B0A-4957-BC7B-B3FCA5D2F86F}"/>
    <cellStyle name="20% - Accent5 13 2 2 2 3 3" xfId="22552" xr:uid="{00000000-0005-0000-0000-0000891D0000}"/>
    <cellStyle name="20% - Accent5 13 2 2 2 3 3 2" xfId="46384" xr:uid="{E54235C3-97B0-4CAE-983D-0B249381E024}"/>
    <cellStyle name="20% - Accent5 13 2 2 2 3 4" xfId="30506" xr:uid="{2CD94CBE-A933-404D-8A99-A733A5401853}"/>
    <cellStyle name="20% - Accent5 13 2 2 2 4" xfId="11069" xr:uid="{00000000-0005-0000-0000-00008A1D0000}"/>
    <cellStyle name="20% - Accent5 13 2 2 2 4 2" xfId="34918" xr:uid="{6557A7DD-DA32-477E-A931-9B639791AEB9}"/>
    <cellStyle name="20% - Accent5 13 2 2 2 5" xfId="19024" xr:uid="{00000000-0005-0000-0000-00008B1D0000}"/>
    <cellStyle name="20% - Accent5 13 2 2 2 5 2" xfId="42856" xr:uid="{CA3DC8CB-5BD5-49A5-8996-824E2EA628BF}"/>
    <cellStyle name="20% - Accent5 13 2 2 2 6" xfId="26976" xr:uid="{1594F5E5-AA8F-42C6-9250-37853BC32A48}"/>
    <cellStyle name="20% - Accent5 13 2 2 2_Exh G" xfId="2464" xr:uid="{00000000-0005-0000-0000-00008C1D0000}"/>
    <cellStyle name="20% - Accent5 13 2 2 3" xfId="3922" xr:uid="{00000000-0005-0000-0000-00008D1D0000}"/>
    <cellStyle name="20% - Accent5 13 2 2 3 2" xfId="7514" xr:uid="{00000000-0005-0000-0000-00008E1D0000}"/>
    <cellStyle name="20% - Accent5 13 2 2 3 2 2" xfId="15485" xr:uid="{00000000-0005-0000-0000-00008F1D0000}"/>
    <cellStyle name="20% - Accent5 13 2 2 3 2 2 2" xfId="39327" xr:uid="{0C1C0BFD-C282-417A-8A76-8E5115B7B1BD}"/>
    <cellStyle name="20% - Accent5 13 2 2 3 2 3" xfId="23431" xr:uid="{00000000-0005-0000-0000-0000901D0000}"/>
    <cellStyle name="20% - Accent5 13 2 2 3 2 3 2" xfId="47263" xr:uid="{B996B34F-708D-4C66-91CA-D47F6FF8266D}"/>
    <cellStyle name="20% - Accent5 13 2 2 3 2 4" xfId="31386" xr:uid="{173FE4EF-87F8-4208-ABFE-E33F330C5BB5}"/>
    <cellStyle name="20% - Accent5 13 2 2 3 3" xfId="11947" xr:uid="{00000000-0005-0000-0000-0000911D0000}"/>
    <cellStyle name="20% - Accent5 13 2 2 3 3 2" xfId="35796" xr:uid="{494009FA-8A0D-4B83-A674-52E0361B3726}"/>
    <cellStyle name="20% - Accent5 13 2 2 3 4" xfId="19902" xr:uid="{00000000-0005-0000-0000-0000921D0000}"/>
    <cellStyle name="20% - Accent5 13 2 2 3 4 2" xfId="43734" xr:uid="{C63118E4-F83D-44D3-A6DF-2739C41B0F8E}"/>
    <cellStyle name="20% - Accent5 13 2 2 3 5" xfId="27855" xr:uid="{16A931EB-7357-483E-9F7A-C0F42A80412B}"/>
    <cellStyle name="20% - Accent5 13 2 2 4" xfId="5742" xr:uid="{00000000-0005-0000-0000-0000931D0000}"/>
    <cellStyle name="20% - Accent5 13 2 2 4 2" xfId="13726" xr:uid="{00000000-0005-0000-0000-0000941D0000}"/>
    <cellStyle name="20% - Accent5 13 2 2 4 2 2" xfId="37569" xr:uid="{E16F253C-8F13-4DC4-A687-3C4274EA14A7}"/>
    <cellStyle name="20% - Accent5 13 2 2 4 3" xfId="21674" xr:uid="{00000000-0005-0000-0000-0000951D0000}"/>
    <cellStyle name="20% - Accent5 13 2 2 4 3 2" xfId="45506" xr:uid="{E157D91A-3B36-426B-A832-453CE0050D02}"/>
    <cellStyle name="20% - Accent5 13 2 2 4 4" xfId="29628" xr:uid="{6A115177-5F94-48C1-9FFE-19B7D6D927BC}"/>
    <cellStyle name="20% - Accent5 13 2 2 5" xfId="9295" xr:uid="{00000000-0005-0000-0000-0000961D0000}"/>
    <cellStyle name="20% - Accent5 13 2 2 5 2" xfId="17253" xr:uid="{00000000-0005-0000-0000-0000971D0000}"/>
    <cellStyle name="20% - Accent5 13 2 2 5 2 2" xfId="41093" xr:uid="{920341BC-4321-4B61-ADCA-A8DCB64FA240}"/>
    <cellStyle name="20% - Accent5 13 2 2 5 3" xfId="25197" xr:uid="{00000000-0005-0000-0000-0000981D0000}"/>
    <cellStyle name="20% - Accent5 13 2 2 5 3 2" xfId="49029" xr:uid="{724D402E-DFB4-467E-98A3-DEC11237EFE4}"/>
    <cellStyle name="20% - Accent5 13 2 2 5 4" xfId="33152" xr:uid="{AAC47D27-D44C-4082-A42C-6143DFFEC367}"/>
    <cellStyle name="20% - Accent5 13 2 2 6" xfId="10191" xr:uid="{00000000-0005-0000-0000-0000991D0000}"/>
    <cellStyle name="20% - Accent5 13 2 2 6 2" xfId="34040" xr:uid="{8D56604D-291C-4363-B8B6-25A0B28E3387}"/>
    <cellStyle name="20% - Accent5 13 2 2 7" xfId="18146" xr:uid="{00000000-0005-0000-0000-00009A1D0000}"/>
    <cellStyle name="20% - Accent5 13 2 2 7 2" xfId="41978" xr:uid="{CB3CDE38-7B2B-4BB8-A596-9C9B140CF674}"/>
    <cellStyle name="20% - Accent5 13 2 2 8" xfId="26098" xr:uid="{305BBAC9-F84D-4077-ABFD-838ECB7C33FE}"/>
    <cellStyle name="20% - Accent5 13 2 2_Exh G" xfId="2463" xr:uid="{00000000-0005-0000-0000-00009B1D0000}"/>
    <cellStyle name="20% - Accent5 13 2 3" xfId="1270" xr:uid="{00000000-0005-0000-0000-00009C1D0000}"/>
    <cellStyle name="20% - Accent5 13 2 3 2" xfId="4800" xr:uid="{00000000-0005-0000-0000-00009D1D0000}"/>
    <cellStyle name="20% - Accent5 13 2 3 2 2" xfId="8391" xr:uid="{00000000-0005-0000-0000-00009E1D0000}"/>
    <cellStyle name="20% - Accent5 13 2 3 2 2 2" xfId="16362" xr:uid="{00000000-0005-0000-0000-00009F1D0000}"/>
    <cellStyle name="20% - Accent5 13 2 3 2 2 2 2" xfId="40204" xr:uid="{82B2277D-8396-473B-B0A6-54573B545259}"/>
    <cellStyle name="20% - Accent5 13 2 3 2 2 3" xfId="24308" xr:uid="{00000000-0005-0000-0000-0000A01D0000}"/>
    <cellStyle name="20% - Accent5 13 2 3 2 2 3 2" xfId="48140" xr:uid="{1E066375-5ED6-47BD-A409-D1CC12D7E8D6}"/>
    <cellStyle name="20% - Accent5 13 2 3 2 2 4" xfId="32263" xr:uid="{E40633B6-8027-4774-B6A1-A2104E2707F1}"/>
    <cellStyle name="20% - Accent5 13 2 3 2 3" xfId="12824" xr:uid="{00000000-0005-0000-0000-0000A11D0000}"/>
    <cellStyle name="20% - Accent5 13 2 3 2 3 2" xfId="36673" xr:uid="{53B06251-B6FE-4EA0-A5C9-BDC7DB5036E7}"/>
    <cellStyle name="20% - Accent5 13 2 3 2 4" xfId="20779" xr:uid="{00000000-0005-0000-0000-0000A21D0000}"/>
    <cellStyle name="20% - Accent5 13 2 3 2 4 2" xfId="44611" xr:uid="{DD4FBB69-5413-4E37-8A6A-A6C54E9A9AE2}"/>
    <cellStyle name="20% - Accent5 13 2 3 2 5" xfId="28732" xr:uid="{427D6BB3-2B1E-4EDB-840D-2D4C89A36785}"/>
    <cellStyle name="20% - Accent5 13 2 3 3" xfId="6632" xr:uid="{00000000-0005-0000-0000-0000A31D0000}"/>
    <cellStyle name="20% - Accent5 13 2 3 3 2" xfId="14604" xr:uid="{00000000-0005-0000-0000-0000A41D0000}"/>
    <cellStyle name="20% - Accent5 13 2 3 3 2 2" xfId="38446" xr:uid="{87780B6D-9EC2-49BF-B7DE-05586701F6F2}"/>
    <cellStyle name="20% - Accent5 13 2 3 3 3" xfId="22551" xr:uid="{00000000-0005-0000-0000-0000A51D0000}"/>
    <cellStyle name="20% - Accent5 13 2 3 3 3 2" xfId="46383" xr:uid="{2B6CB93E-89A2-47BC-8997-07894A5B6A30}"/>
    <cellStyle name="20% - Accent5 13 2 3 3 4" xfId="30505" xr:uid="{E8276F5B-2D0D-4A5B-B839-F15FB87DEA05}"/>
    <cellStyle name="20% - Accent5 13 2 3 4" xfId="11068" xr:uid="{00000000-0005-0000-0000-0000A61D0000}"/>
    <cellStyle name="20% - Accent5 13 2 3 4 2" xfId="34917" xr:uid="{D619CE1C-715E-49D1-B525-AE36B360E0E2}"/>
    <cellStyle name="20% - Accent5 13 2 3 5" xfId="19023" xr:uid="{00000000-0005-0000-0000-0000A71D0000}"/>
    <cellStyle name="20% - Accent5 13 2 3 5 2" xfId="42855" xr:uid="{B46EC3FE-FE28-4824-8F6B-5603BBAFF2E5}"/>
    <cellStyle name="20% - Accent5 13 2 3 6" xfId="26975" xr:uid="{3D879784-ECBD-4C1F-AEB8-9B90DC87D0DC}"/>
    <cellStyle name="20% - Accent5 13 2 3_Exh G" xfId="2465" xr:uid="{00000000-0005-0000-0000-0000A81D0000}"/>
    <cellStyle name="20% - Accent5 13 2 4" xfId="3921" xr:uid="{00000000-0005-0000-0000-0000A91D0000}"/>
    <cellStyle name="20% - Accent5 13 2 4 2" xfId="7513" xr:uid="{00000000-0005-0000-0000-0000AA1D0000}"/>
    <cellStyle name="20% - Accent5 13 2 4 2 2" xfId="15484" xr:uid="{00000000-0005-0000-0000-0000AB1D0000}"/>
    <cellStyle name="20% - Accent5 13 2 4 2 2 2" xfId="39326" xr:uid="{15C982EE-0674-41F6-B209-429D14A1259D}"/>
    <cellStyle name="20% - Accent5 13 2 4 2 3" xfId="23430" xr:uid="{00000000-0005-0000-0000-0000AC1D0000}"/>
    <cellStyle name="20% - Accent5 13 2 4 2 3 2" xfId="47262" xr:uid="{A486BCA0-C8CC-4987-8D21-553F4BC874FF}"/>
    <cellStyle name="20% - Accent5 13 2 4 2 4" xfId="31385" xr:uid="{FC08F54D-F70A-4ACB-B123-58FAF4FB8499}"/>
    <cellStyle name="20% - Accent5 13 2 4 3" xfId="11946" xr:uid="{00000000-0005-0000-0000-0000AD1D0000}"/>
    <cellStyle name="20% - Accent5 13 2 4 3 2" xfId="35795" xr:uid="{A8EA12C4-AACB-487E-BC9B-C0EC7256AED3}"/>
    <cellStyle name="20% - Accent5 13 2 4 4" xfId="19901" xr:uid="{00000000-0005-0000-0000-0000AE1D0000}"/>
    <cellStyle name="20% - Accent5 13 2 4 4 2" xfId="43733" xr:uid="{1A28BC58-DF75-45A6-96D0-A8112BFC6BCC}"/>
    <cellStyle name="20% - Accent5 13 2 4 5" xfId="27854" xr:uid="{A7FCBB10-395B-4A06-B869-6E91680EAE5F}"/>
    <cellStyle name="20% - Accent5 13 2 5" xfId="5741" xr:uid="{00000000-0005-0000-0000-0000AF1D0000}"/>
    <cellStyle name="20% - Accent5 13 2 5 2" xfId="13725" xr:uid="{00000000-0005-0000-0000-0000B01D0000}"/>
    <cellStyle name="20% - Accent5 13 2 5 2 2" xfId="37568" xr:uid="{70750F5E-93C9-428E-AC62-82EE93D14968}"/>
    <cellStyle name="20% - Accent5 13 2 5 3" xfId="21673" xr:uid="{00000000-0005-0000-0000-0000B11D0000}"/>
    <cellStyle name="20% - Accent5 13 2 5 3 2" xfId="45505" xr:uid="{93C63A47-54B5-4440-8197-FB0636044E23}"/>
    <cellStyle name="20% - Accent5 13 2 5 4" xfId="29627" xr:uid="{FFED742F-DD36-41F5-A97F-206AAC1103D6}"/>
    <cellStyle name="20% - Accent5 13 2 6" xfId="9294" xr:uid="{00000000-0005-0000-0000-0000B21D0000}"/>
    <cellStyle name="20% - Accent5 13 2 6 2" xfId="17252" xr:uid="{00000000-0005-0000-0000-0000B31D0000}"/>
    <cellStyle name="20% - Accent5 13 2 6 2 2" xfId="41092" xr:uid="{BD0E25B8-E448-4D44-AB0D-0C07DCC0E343}"/>
    <cellStyle name="20% - Accent5 13 2 6 3" xfId="25196" xr:uid="{00000000-0005-0000-0000-0000B41D0000}"/>
    <cellStyle name="20% - Accent5 13 2 6 3 2" xfId="49028" xr:uid="{B690B962-BD4E-4FB5-BA37-519A63E50F86}"/>
    <cellStyle name="20% - Accent5 13 2 6 4" xfId="33151" xr:uid="{4B869C52-5A7B-4342-BAC1-6E3D092BDCB2}"/>
    <cellStyle name="20% - Accent5 13 2 7" xfId="10190" xr:uid="{00000000-0005-0000-0000-0000B51D0000}"/>
    <cellStyle name="20% - Accent5 13 2 7 2" xfId="34039" xr:uid="{01EFD3F5-157A-4837-AA9F-8BC1723F45A3}"/>
    <cellStyle name="20% - Accent5 13 2 8" xfId="18145" xr:uid="{00000000-0005-0000-0000-0000B61D0000}"/>
    <cellStyle name="20% - Accent5 13 2 8 2" xfId="41977" xr:uid="{1E64A75D-5295-4200-BD09-18D61387A447}"/>
    <cellStyle name="20% - Accent5 13 2 9" xfId="26097" xr:uid="{332EF8FC-E10F-4859-AD96-56063DCF2FF6}"/>
    <cellStyle name="20% - Accent5 13 2_Exh G" xfId="2462" xr:uid="{00000000-0005-0000-0000-0000B71D0000}"/>
    <cellStyle name="20% - Accent5 13 3" xfId="244" xr:uid="{00000000-0005-0000-0000-0000B81D0000}"/>
    <cellStyle name="20% - Accent5 13 3 2" xfId="1272" xr:uid="{00000000-0005-0000-0000-0000B91D0000}"/>
    <cellStyle name="20% - Accent5 13 3 2 2" xfId="4802" xr:uid="{00000000-0005-0000-0000-0000BA1D0000}"/>
    <cellStyle name="20% - Accent5 13 3 2 2 2" xfId="8393" xr:uid="{00000000-0005-0000-0000-0000BB1D0000}"/>
    <cellStyle name="20% - Accent5 13 3 2 2 2 2" xfId="16364" xr:uid="{00000000-0005-0000-0000-0000BC1D0000}"/>
    <cellStyle name="20% - Accent5 13 3 2 2 2 2 2" xfId="40206" xr:uid="{77BA1294-C619-4108-8432-4E3E265762E4}"/>
    <cellStyle name="20% - Accent5 13 3 2 2 2 3" xfId="24310" xr:uid="{00000000-0005-0000-0000-0000BD1D0000}"/>
    <cellStyle name="20% - Accent5 13 3 2 2 2 3 2" xfId="48142" xr:uid="{DBD24705-D4D8-480E-86C2-827106B9986C}"/>
    <cellStyle name="20% - Accent5 13 3 2 2 2 4" xfId="32265" xr:uid="{2A8BC4B3-A5CD-44F4-9E87-C8BD9236E287}"/>
    <cellStyle name="20% - Accent5 13 3 2 2 3" xfId="12826" xr:uid="{00000000-0005-0000-0000-0000BE1D0000}"/>
    <cellStyle name="20% - Accent5 13 3 2 2 3 2" xfId="36675" xr:uid="{5240C39F-D26C-4649-9B19-F40292537CCE}"/>
    <cellStyle name="20% - Accent5 13 3 2 2 4" xfId="20781" xr:uid="{00000000-0005-0000-0000-0000BF1D0000}"/>
    <cellStyle name="20% - Accent5 13 3 2 2 4 2" xfId="44613" xr:uid="{A1E0B1D6-D218-40B2-86EF-1F6CCC5F4C63}"/>
    <cellStyle name="20% - Accent5 13 3 2 2 5" xfId="28734" xr:uid="{E8E29076-2F8B-4C14-A681-A9B90E26F466}"/>
    <cellStyle name="20% - Accent5 13 3 2 3" xfId="6634" xr:uid="{00000000-0005-0000-0000-0000C01D0000}"/>
    <cellStyle name="20% - Accent5 13 3 2 3 2" xfId="14606" xr:uid="{00000000-0005-0000-0000-0000C11D0000}"/>
    <cellStyle name="20% - Accent5 13 3 2 3 2 2" xfId="38448" xr:uid="{5192F187-A6EC-43F1-857C-9D4F61E7A7A4}"/>
    <cellStyle name="20% - Accent5 13 3 2 3 3" xfId="22553" xr:uid="{00000000-0005-0000-0000-0000C21D0000}"/>
    <cellStyle name="20% - Accent5 13 3 2 3 3 2" xfId="46385" xr:uid="{50E761BA-3652-4334-8BD4-30C33CEBBB4B}"/>
    <cellStyle name="20% - Accent5 13 3 2 3 4" xfId="30507" xr:uid="{B0DA085F-2ADC-4CE4-99FD-3C13F7E13A26}"/>
    <cellStyle name="20% - Accent5 13 3 2 4" xfId="11070" xr:uid="{00000000-0005-0000-0000-0000C31D0000}"/>
    <cellStyle name="20% - Accent5 13 3 2 4 2" xfId="34919" xr:uid="{3A7CFE4B-BB53-446D-A440-8BBEE28FF358}"/>
    <cellStyle name="20% - Accent5 13 3 2 5" xfId="19025" xr:uid="{00000000-0005-0000-0000-0000C41D0000}"/>
    <cellStyle name="20% - Accent5 13 3 2 5 2" xfId="42857" xr:uid="{CD129010-F58E-4318-A6F6-DD34BB4930D2}"/>
    <cellStyle name="20% - Accent5 13 3 2 6" xfId="26977" xr:uid="{66E18408-9B65-4332-B5AC-E78724655B99}"/>
    <cellStyle name="20% - Accent5 13 3 2_Exh G" xfId="2467" xr:uid="{00000000-0005-0000-0000-0000C51D0000}"/>
    <cellStyle name="20% - Accent5 13 3 3" xfId="3923" xr:uid="{00000000-0005-0000-0000-0000C61D0000}"/>
    <cellStyle name="20% - Accent5 13 3 3 2" xfId="7515" xr:uid="{00000000-0005-0000-0000-0000C71D0000}"/>
    <cellStyle name="20% - Accent5 13 3 3 2 2" xfId="15486" xr:uid="{00000000-0005-0000-0000-0000C81D0000}"/>
    <cellStyle name="20% - Accent5 13 3 3 2 2 2" xfId="39328" xr:uid="{8B71E18B-C1F0-4355-88E9-6663331E3970}"/>
    <cellStyle name="20% - Accent5 13 3 3 2 3" xfId="23432" xr:uid="{00000000-0005-0000-0000-0000C91D0000}"/>
    <cellStyle name="20% - Accent5 13 3 3 2 3 2" xfId="47264" xr:uid="{035CFDE5-C24D-4F7E-994F-08D1A72B95AE}"/>
    <cellStyle name="20% - Accent5 13 3 3 2 4" xfId="31387" xr:uid="{584D1B8C-C238-4B5D-BF0A-D0568E37CFC9}"/>
    <cellStyle name="20% - Accent5 13 3 3 3" xfId="11948" xr:uid="{00000000-0005-0000-0000-0000CA1D0000}"/>
    <cellStyle name="20% - Accent5 13 3 3 3 2" xfId="35797" xr:uid="{D0A2EBDB-C1A1-4BA3-8B87-6B62D3F905A0}"/>
    <cellStyle name="20% - Accent5 13 3 3 4" xfId="19903" xr:uid="{00000000-0005-0000-0000-0000CB1D0000}"/>
    <cellStyle name="20% - Accent5 13 3 3 4 2" xfId="43735" xr:uid="{EB41032D-2983-46BC-9A55-6486D974ACB8}"/>
    <cellStyle name="20% - Accent5 13 3 3 5" xfId="27856" xr:uid="{49DC54A1-2866-46F2-A350-46269A876F6E}"/>
    <cellStyle name="20% - Accent5 13 3 4" xfId="5743" xr:uid="{00000000-0005-0000-0000-0000CC1D0000}"/>
    <cellStyle name="20% - Accent5 13 3 4 2" xfId="13727" xr:uid="{00000000-0005-0000-0000-0000CD1D0000}"/>
    <cellStyle name="20% - Accent5 13 3 4 2 2" xfId="37570" xr:uid="{D553E8F3-B44E-409D-8E4F-F71839762AA1}"/>
    <cellStyle name="20% - Accent5 13 3 4 3" xfId="21675" xr:uid="{00000000-0005-0000-0000-0000CE1D0000}"/>
    <cellStyle name="20% - Accent5 13 3 4 3 2" xfId="45507" xr:uid="{5F777953-6EB7-4ED2-8E40-8E34DD3FC61D}"/>
    <cellStyle name="20% - Accent5 13 3 4 4" xfId="29629" xr:uid="{AA2F238D-D6C4-424F-AB26-646C37D6F2FF}"/>
    <cellStyle name="20% - Accent5 13 3 5" xfId="9296" xr:uid="{00000000-0005-0000-0000-0000CF1D0000}"/>
    <cellStyle name="20% - Accent5 13 3 5 2" xfId="17254" xr:uid="{00000000-0005-0000-0000-0000D01D0000}"/>
    <cellStyle name="20% - Accent5 13 3 5 2 2" xfId="41094" xr:uid="{B4AC5215-43D3-4DA8-BBEB-FAAD20FFBC4C}"/>
    <cellStyle name="20% - Accent5 13 3 5 3" xfId="25198" xr:uid="{00000000-0005-0000-0000-0000D11D0000}"/>
    <cellStyle name="20% - Accent5 13 3 5 3 2" xfId="49030" xr:uid="{AAB99947-1FA5-481F-B4C3-A7EA2DA65B4A}"/>
    <cellStyle name="20% - Accent5 13 3 5 4" xfId="33153" xr:uid="{1663D910-C7AE-4602-A3A4-27FFB7294312}"/>
    <cellStyle name="20% - Accent5 13 3 6" xfId="10192" xr:uid="{00000000-0005-0000-0000-0000D21D0000}"/>
    <cellStyle name="20% - Accent5 13 3 6 2" xfId="34041" xr:uid="{7C52981C-8923-4362-80E9-18CB30805177}"/>
    <cellStyle name="20% - Accent5 13 3 7" xfId="18147" xr:uid="{00000000-0005-0000-0000-0000D31D0000}"/>
    <cellStyle name="20% - Accent5 13 3 7 2" xfId="41979" xr:uid="{4DECA3DC-A226-4D38-9641-0AB36CDECB0D}"/>
    <cellStyle name="20% - Accent5 13 3 8" xfId="26099" xr:uid="{6653EF7D-1605-4717-BAE7-8DD1A3B0768D}"/>
    <cellStyle name="20% - Accent5 13 3_Exh G" xfId="2466" xr:uid="{00000000-0005-0000-0000-0000D41D0000}"/>
    <cellStyle name="20% - Accent5 13 4" xfId="1269" xr:uid="{00000000-0005-0000-0000-0000D51D0000}"/>
    <cellStyle name="20% - Accent5 13 4 2" xfId="4799" xr:uid="{00000000-0005-0000-0000-0000D61D0000}"/>
    <cellStyle name="20% - Accent5 13 4 2 2" xfId="8390" xr:uid="{00000000-0005-0000-0000-0000D71D0000}"/>
    <cellStyle name="20% - Accent5 13 4 2 2 2" xfId="16361" xr:uid="{00000000-0005-0000-0000-0000D81D0000}"/>
    <cellStyle name="20% - Accent5 13 4 2 2 2 2" xfId="40203" xr:uid="{88D8226E-6904-4099-B9FB-213597F34C22}"/>
    <cellStyle name="20% - Accent5 13 4 2 2 3" xfId="24307" xr:uid="{00000000-0005-0000-0000-0000D91D0000}"/>
    <cellStyle name="20% - Accent5 13 4 2 2 3 2" xfId="48139" xr:uid="{3E28002B-150D-4B4B-9FD6-A26F6E6044EA}"/>
    <cellStyle name="20% - Accent5 13 4 2 2 4" xfId="32262" xr:uid="{BC39698C-D122-46E1-9423-E5D19595282C}"/>
    <cellStyle name="20% - Accent5 13 4 2 3" xfId="12823" xr:uid="{00000000-0005-0000-0000-0000DA1D0000}"/>
    <cellStyle name="20% - Accent5 13 4 2 3 2" xfId="36672" xr:uid="{9084833A-8738-41CB-8613-F703A1881D50}"/>
    <cellStyle name="20% - Accent5 13 4 2 4" xfId="20778" xr:uid="{00000000-0005-0000-0000-0000DB1D0000}"/>
    <cellStyle name="20% - Accent5 13 4 2 4 2" xfId="44610" xr:uid="{49E16342-7986-41DD-9979-EF6107EB3251}"/>
    <cellStyle name="20% - Accent5 13 4 2 5" xfId="28731" xr:uid="{0D902729-CAAC-445A-9387-ED6E35328C88}"/>
    <cellStyle name="20% - Accent5 13 4 3" xfId="6631" xr:uid="{00000000-0005-0000-0000-0000DC1D0000}"/>
    <cellStyle name="20% - Accent5 13 4 3 2" xfId="14603" xr:uid="{00000000-0005-0000-0000-0000DD1D0000}"/>
    <cellStyle name="20% - Accent5 13 4 3 2 2" xfId="38445" xr:uid="{00D49EB4-057A-4DAE-89BD-38AB90529EC6}"/>
    <cellStyle name="20% - Accent5 13 4 3 3" xfId="22550" xr:uid="{00000000-0005-0000-0000-0000DE1D0000}"/>
    <cellStyle name="20% - Accent5 13 4 3 3 2" xfId="46382" xr:uid="{CE382D4C-2456-4C08-BCA7-828339DD9BCF}"/>
    <cellStyle name="20% - Accent5 13 4 3 4" xfId="30504" xr:uid="{856BB385-D13D-44AE-998B-12F927DA4625}"/>
    <cellStyle name="20% - Accent5 13 4 4" xfId="11067" xr:uid="{00000000-0005-0000-0000-0000DF1D0000}"/>
    <cellStyle name="20% - Accent5 13 4 4 2" xfId="34916" xr:uid="{AA78191D-D490-4FCD-9177-80B226464570}"/>
    <cellStyle name="20% - Accent5 13 4 5" xfId="19022" xr:uid="{00000000-0005-0000-0000-0000E01D0000}"/>
    <cellStyle name="20% - Accent5 13 4 5 2" xfId="42854" xr:uid="{43ECCD9E-3584-48D3-A76A-165FFB718979}"/>
    <cellStyle name="20% - Accent5 13 4 6" xfId="26974" xr:uid="{38F5CD9E-23B9-4854-ADAC-67A30B389E8D}"/>
    <cellStyle name="20% - Accent5 13 4_Exh G" xfId="2468" xr:uid="{00000000-0005-0000-0000-0000E11D0000}"/>
    <cellStyle name="20% - Accent5 13 5" xfId="3920" xr:uid="{00000000-0005-0000-0000-0000E21D0000}"/>
    <cellStyle name="20% - Accent5 13 5 2" xfId="7512" xr:uid="{00000000-0005-0000-0000-0000E31D0000}"/>
    <cellStyle name="20% - Accent5 13 5 2 2" xfId="15483" xr:uid="{00000000-0005-0000-0000-0000E41D0000}"/>
    <cellStyle name="20% - Accent5 13 5 2 2 2" xfId="39325" xr:uid="{1BA413F3-AD65-4532-8BA4-41B044164CA9}"/>
    <cellStyle name="20% - Accent5 13 5 2 3" xfId="23429" xr:uid="{00000000-0005-0000-0000-0000E51D0000}"/>
    <cellStyle name="20% - Accent5 13 5 2 3 2" xfId="47261" xr:uid="{2267AA10-8AA6-4C7A-AE26-E03BA10C5057}"/>
    <cellStyle name="20% - Accent5 13 5 2 4" xfId="31384" xr:uid="{903EEBD0-03B5-448F-93EF-29A688B6C6A9}"/>
    <cellStyle name="20% - Accent5 13 5 3" xfId="11945" xr:uid="{00000000-0005-0000-0000-0000E61D0000}"/>
    <cellStyle name="20% - Accent5 13 5 3 2" xfId="35794" xr:uid="{83D054F9-985E-4BF8-B243-0D48804A969A}"/>
    <cellStyle name="20% - Accent5 13 5 4" xfId="19900" xr:uid="{00000000-0005-0000-0000-0000E71D0000}"/>
    <cellStyle name="20% - Accent5 13 5 4 2" xfId="43732" xr:uid="{EAA67211-FB3C-4E16-997B-C0BBC83A62D9}"/>
    <cellStyle name="20% - Accent5 13 5 5" xfId="27853" xr:uid="{1A114ED1-1FDB-4A95-82DA-A34596D97751}"/>
    <cellStyle name="20% - Accent5 13 6" xfId="5740" xr:uid="{00000000-0005-0000-0000-0000E81D0000}"/>
    <cellStyle name="20% - Accent5 13 6 2" xfId="13724" xr:uid="{00000000-0005-0000-0000-0000E91D0000}"/>
    <cellStyle name="20% - Accent5 13 6 2 2" xfId="37567" xr:uid="{734AA32E-13C5-4BAA-8C4B-2A0D7A56E335}"/>
    <cellStyle name="20% - Accent5 13 6 3" xfId="21672" xr:uid="{00000000-0005-0000-0000-0000EA1D0000}"/>
    <cellStyle name="20% - Accent5 13 6 3 2" xfId="45504" xr:uid="{9F936676-B125-44B2-84EB-9B1D9BD7BF13}"/>
    <cellStyle name="20% - Accent5 13 6 4" xfId="29626" xr:uid="{8E422EF6-9D21-4AAA-A843-04AAC89FC54D}"/>
    <cellStyle name="20% - Accent5 13 7" xfId="9293" xr:uid="{00000000-0005-0000-0000-0000EB1D0000}"/>
    <cellStyle name="20% - Accent5 13 7 2" xfId="17251" xr:uid="{00000000-0005-0000-0000-0000EC1D0000}"/>
    <cellStyle name="20% - Accent5 13 7 2 2" xfId="41091" xr:uid="{B524788F-EEFA-4FE2-BE57-6EB02200CAFB}"/>
    <cellStyle name="20% - Accent5 13 7 3" xfId="25195" xr:uid="{00000000-0005-0000-0000-0000ED1D0000}"/>
    <cellStyle name="20% - Accent5 13 7 3 2" xfId="49027" xr:uid="{9D1AE978-8338-42D3-A88D-773D3687E54C}"/>
    <cellStyle name="20% - Accent5 13 7 4" xfId="33150" xr:uid="{DDC9A46C-883C-42F2-A972-11B4A1493F5C}"/>
    <cellStyle name="20% - Accent5 13 8" xfId="10189" xr:uid="{00000000-0005-0000-0000-0000EE1D0000}"/>
    <cellStyle name="20% - Accent5 13 8 2" xfId="34038" xr:uid="{A6811475-5436-4961-9DAB-004138BBA7BE}"/>
    <cellStyle name="20% - Accent5 13 9" xfId="18144" xr:uid="{00000000-0005-0000-0000-0000EF1D0000}"/>
    <cellStyle name="20% - Accent5 13 9 2" xfId="41976" xr:uid="{5EF3DBC9-B4BD-4F21-AFF5-9CD055B3D876}"/>
    <cellStyle name="20% - Accent5 13_Exh G" xfId="2461" xr:uid="{00000000-0005-0000-0000-0000F01D0000}"/>
    <cellStyle name="20% - Accent5 14" xfId="245" xr:uid="{00000000-0005-0000-0000-0000F11D0000}"/>
    <cellStyle name="20% - Accent5 14 2" xfId="246" xr:uid="{00000000-0005-0000-0000-0000F21D0000}"/>
    <cellStyle name="20% - Accent5 14 2 2" xfId="1274" xr:uid="{00000000-0005-0000-0000-0000F31D0000}"/>
    <cellStyle name="20% - Accent5 14 2 2 2" xfId="4804" xr:uid="{00000000-0005-0000-0000-0000F41D0000}"/>
    <cellStyle name="20% - Accent5 14 2 2 2 2" xfId="8395" xr:uid="{00000000-0005-0000-0000-0000F51D0000}"/>
    <cellStyle name="20% - Accent5 14 2 2 2 2 2" xfId="16366" xr:uid="{00000000-0005-0000-0000-0000F61D0000}"/>
    <cellStyle name="20% - Accent5 14 2 2 2 2 2 2" xfId="40208" xr:uid="{42C18052-123A-4BED-A4CA-E9EE8AC21198}"/>
    <cellStyle name="20% - Accent5 14 2 2 2 2 3" xfId="24312" xr:uid="{00000000-0005-0000-0000-0000F71D0000}"/>
    <cellStyle name="20% - Accent5 14 2 2 2 2 3 2" xfId="48144" xr:uid="{0F60E358-11D5-4D91-997E-4BEE1318B09E}"/>
    <cellStyle name="20% - Accent5 14 2 2 2 2 4" xfId="32267" xr:uid="{C7132CB9-AA53-4B7C-9B86-E61E6BD75C11}"/>
    <cellStyle name="20% - Accent5 14 2 2 2 3" xfId="12828" xr:uid="{00000000-0005-0000-0000-0000F81D0000}"/>
    <cellStyle name="20% - Accent5 14 2 2 2 3 2" xfId="36677" xr:uid="{1A30A8C7-133D-4149-B315-8328BC8069C6}"/>
    <cellStyle name="20% - Accent5 14 2 2 2 4" xfId="20783" xr:uid="{00000000-0005-0000-0000-0000F91D0000}"/>
    <cellStyle name="20% - Accent5 14 2 2 2 4 2" xfId="44615" xr:uid="{807977A8-2E0A-4CBA-9701-59F193E59769}"/>
    <cellStyle name="20% - Accent5 14 2 2 2 5" xfId="28736" xr:uid="{EF3A6E4D-1E36-40AF-ABD6-44B5B69FB33C}"/>
    <cellStyle name="20% - Accent5 14 2 2 3" xfId="6636" xr:uid="{00000000-0005-0000-0000-0000FA1D0000}"/>
    <cellStyle name="20% - Accent5 14 2 2 3 2" xfId="14608" xr:uid="{00000000-0005-0000-0000-0000FB1D0000}"/>
    <cellStyle name="20% - Accent5 14 2 2 3 2 2" xfId="38450" xr:uid="{AC471207-075D-46B2-92E8-6B20DD92018A}"/>
    <cellStyle name="20% - Accent5 14 2 2 3 3" xfId="22555" xr:uid="{00000000-0005-0000-0000-0000FC1D0000}"/>
    <cellStyle name="20% - Accent5 14 2 2 3 3 2" xfId="46387" xr:uid="{08296A8B-1974-4EFC-A181-28D37A97DAA4}"/>
    <cellStyle name="20% - Accent5 14 2 2 3 4" xfId="30509" xr:uid="{FAF90A31-C148-48BE-9856-930885AB8884}"/>
    <cellStyle name="20% - Accent5 14 2 2 4" xfId="11072" xr:uid="{00000000-0005-0000-0000-0000FD1D0000}"/>
    <cellStyle name="20% - Accent5 14 2 2 4 2" xfId="34921" xr:uid="{D9334058-B518-464A-83D3-8631C4CCD45E}"/>
    <cellStyle name="20% - Accent5 14 2 2 5" xfId="19027" xr:uid="{00000000-0005-0000-0000-0000FE1D0000}"/>
    <cellStyle name="20% - Accent5 14 2 2 5 2" xfId="42859" xr:uid="{66B01DD9-E471-42B6-B851-7EB62F79E204}"/>
    <cellStyle name="20% - Accent5 14 2 2 6" xfId="26979" xr:uid="{AB03C91F-C52A-4FA0-A49F-8A487D7586ED}"/>
    <cellStyle name="20% - Accent5 14 2 2_Exh G" xfId="2471" xr:uid="{00000000-0005-0000-0000-0000FF1D0000}"/>
    <cellStyle name="20% - Accent5 14 2 3" xfId="3925" xr:uid="{00000000-0005-0000-0000-0000001E0000}"/>
    <cellStyle name="20% - Accent5 14 2 3 2" xfId="7517" xr:uid="{00000000-0005-0000-0000-0000011E0000}"/>
    <cellStyle name="20% - Accent5 14 2 3 2 2" xfId="15488" xr:uid="{00000000-0005-0000-0000-0000021E0000}"/>
    <cellStyle name="20% - Accent5 14 2 3 2 2 2" xfId="39330" xr:uid="{619DF550-7107-4266-8E02-CE59B569A572}"/>
    <cellStyle name="20% - Accent5 14 2 3 2 3" xfId="23434" xr:uid="{00000000-0005-0000-0000-0000031E0000}"/>
    <cellStyle name="20% - Accent5 14 2 3 2 3 2" xfId="47266" xr:uid="{52463A46-E1D2-4844-A9FD-0075F8115052}"/>
    <cellStyle name="20% - Accent5 14 2 3 2 4" xfId="31389" xr:uid="{05C520A1-AF4D-4556-B725-8884096D6800}"/>
    <cellStyle name="20% - Accent5 14 2 3 3" xfId="11950" xr:uid="{00000000-0005-0000-0000-0000041E0000}"/>
    <cellStyle name="20% - Accent5 14 2 3 3 2" xfId="35799" xr:uid="{BAD76776-46C7-4211-8A9F-FC4612EFBDFA}"/>
    <cellStyle name="20% - Accent5 14 2 3 4" xfId="19905" xr:uid="{00000000-0005-0000-0000-0000051E0000}"/>
    <cellStyle name="20% - Accent5 14 2 3 4 2" xfId="43737" xr:uid="{6D1C2F1D-47A9-454D-A8AE-050F27A88582}"/>
    <cellStyle name="20% - Accent5 14 2 3 5" xfId="27858" xr:uid="{D5B19370-1F6E-458E-89D4-AAF37147D324}"/>
    <cellStyle name="20% - Accent5 14 2 4" xfId="5745" xr:uid="{00000000-0005-0000-0000-0000061E0000}"/>
    <cellStyle name="20% - Accent5 14 2 4 2" xfId="13729" xr:uid="{00000000-0005-0000-0000-0000071E0000}"/>
    <cellStyle name="20% - Accent5 14 2 4 2 2" xfId="37572" xr:uid="{0AC961BF-D11C-49C4-BC84-DF9360192EF3}"/>
    <cellStyle name="20% - Accent5 14 2 4 3" xfId="21677" xr:uid="{00000000-0005-0000-0000-0000081E0000}"/>
    <cellStyle name="20% - Accent5 14 2 4 3 2" xfId="45509" xr:uid="{0EDACCB8-E087-476F-90B1-EEBAFDE5E87A}"/>
    <cellStyle name="20% - Accent5 14 2 4 4" xfId="29631" xr:uid="{961DFCE5-CDF1-4B8B-8D5D-4A89CE999193}"/>
    <cellStyle name="20% - Accent5 14 2 5" xfId="9298" xr:uid="{00000000-0005-0000-0000-0000091E0000}"/>
    <cellStyle name="20% - Accent5 14 2 5 2" xfId="17256" xr:uid="{00000000-0005-0000-0000-00000A1E0000}"/>
    <cellStyle name="20% - Accent5 14 2 5 2 2" xfId="41096" xr:uid="{36169D8D-A887-4C3B-906F-FFE7998F05D9}"/>
    <cellStyle name="20% - Accent5 14 2 5 3" xfId="25200" xr:uid="{00000000-0005-0000-0000-00000B1E0000}"/>
    <cellStyle name="20% - Accent5 14 2 5 3 2" xfId="49032" xr:uid="{A227CAFC-0610-4A5E-8BF6-0230A0A67658}"/>
    <cellStyle name="20% - Accent5 14 2 5 4" xfId="33155" xr:uid="{B012EF26-459B-45A9-A4E1-4CA1D1461BC4}"/>
    <cellStyle name="20% - Accent5 14 2 6" xfId="10194" xr:uid="{00000000-0005-0000-0000-00000C1E0000}"/>
    <cellStyle name="20% - Accent5 14 2 6 2" xfId="34043" xr:uid="{05A4BC1B-A84B-486C-9E37-FE53C30AD969}"/>
    <cellStyle name="20% - Accent5 14 2 7" xfId="18149" xr:uid="{00000000-0005-0000-0000-00000D1E0000}"/>
    <cellStyle name="20% - Accent5 14 2 7 2" xfId="41981" xr:uid="{16FA4BEB-4B20-46E9-9FA4-F742AF18447F}"/>
    <cellStyle name="20% - Accent5 14 2 8" xfId="26101" xr:uid="{1C01AEAC-EF35-4AE4-BB5E-1B6D7BF0DAAE}"/>
    <cellStyle name="20% - Accent5 14 2_Exh G" xfId="2470" xr:uid="{00000000-0005-0000-0000-00000E1E0000}"/>
    <cellStyle name="20% - Accent5 14 3" xfId="1273" xr:uid="{00000000-0005-0000-0000-00000F1E0000}"/>
    <cellStyle name="20% - Accent5 14 3 2" xfId="4803" xr:uid="{00000000-0005-0000-0000-0000101E0000}"/>
    <cellStyle name="20% - Accent5 14 3 2 2" xfId="8394" xr:uid="{00000000-0005-0000-0000-0000111E0000}"/>
    <cellStyle name="20% - Accent5 14 3 2 2 2" xfId="16365" xr:uid="{00000000-0005-0000-0000-0000121E0000}"/>
    <cellStyle name="20% - Accent5 14 3 2 2 2 2" xfId="40207" xr:uid="{3C6D057D-1766-4EB5-BAB2-063493981A0E}"/>
    <cellStyle name="20% - Accent5 14 3 2 2 3" xfId="24311" xr:uid="{00000000-0005-0000-0000-0000131E0000}"/>
    <cellStyle name="20% - Accent5 14 3 2 2 3 2" xfId="48143" xr:uid="{4D6EF735-826F-4E4D-94E3-27712F835FE2}"/>
    <cellStyle name="20% - Accent5 14 3 2 2 4" xfId="32266" xr:uid="{8142E049-94F1-4BC4-987F-02DFFC28D94F}"/>
    <cellStyle name="20% - Accent5 14 3 2 3" xfId="12827" xr:uid="{00000000-0005-0000-0000-0000141E0000}"/>
    <cellStyle name="20% - Accent5 14 3 2 3 2" xfId="36676" xr:uid="{486DAD3F-58CE-4B1E-B007-81C65EC2B534}"/>
    <cellStyle name="20% - Accent5 14 3 2 4" xfId="20782" xr:uid="{00000000-0005-0000-0000-0000151E0000}"/>
    <cellStyle name="20% - Accent5 14 3 2 4 2" xfId="44614" xr:uid="{860D748E-7043-4A3D-86A6-24C7E1C97151}"/>
    <cellStyle name="20% - Accent5 14 3 2 5" xfId="28735" xr:uid="{FD680071-4B5B-47D3-87C7-73D9D81B41CD}"/>
    <cellStyle name="20% - Accent5 14 3 3" xfId="6635" xr:uid="{00000000-0005-0000-0000-0000161E0000}"/>
    <cellStyle name="20% - Accent5 14 3 3 2" xfId="14607" xr:uid="{00000000-0005-0000-0000-0000171E0000}"/>
    <cellStyle name="20% - Accent5 14 3 3 2 2" xfId="38449" xr:uid="{55A7DC70-3572-482F-A745-AFA80C48F0BA}"/>
    <cellStyle name="20% - Accent5 14 3 3 3" xfId="22554" xr:uid="{00000000-0005-0000-0000-0000181E0000}"/>
    <cellStyle name="20% - Accent5 14 3 3 3 2" xfId="46386" xr:uid="{5FADA9F9-F823-484B-8FF4-5E88D92E76B4}"/>
    <cellStyle name="20% - Accent5 14 3 3 4" xfId="30508" xr:uid="{5C83E520-18FB-4CD2-A5DA-1EFA4E54FED4}"/>
    <cellStyle name="20% - Accent5 14 3 4" xfId="11071" xr:uid="{00000000-0005-0000-0000-0000191E0000}"/>
    <cellStyle name="20% - Accent5 14 3 4 2" xfId="34920" xr:uid="{1E103635-9013-4CFB-82F5-911F1FCB190E}"/>
    <cellStyle name="20% - Accent5 14 3 5" xfId="19026" xr:uid="{00000000-0005-0000-0000-00001A1E0000}"/>
    <cellStyle name="20% - Accent5 14 3 5 2" xfId="42858" xr:uid="{D3D38AE0-603D-4D8A-B2E5-78849E2B881B}"/>
    <cellStyle name="20% - Accent5 14 3 6" xfId="26978" xr:uid="{777B1B8E-1FB4-4896-9DF4-6FA043F994EC}"/>
    <cellStyle name="20% - Accent5 14 3_Exh G" xfId="2472" xr:uid="{00000000-0005-0000-0000-00001B1E0000}"/>
    <cellStyle name="20% - Accent5 14 4" xfId="3924" xr:uid="{00000000-0005-0000-0000-00001C1E0000}"/>
    <cellStyle name="20% - Accent5 14 4 2" xfId="7516" xr:uid="{00000000-0005-0000-0000-00001D1E0000}"/>
    <cellStyle name="20% - Accent5 14 4 2 2" xfId="15487" xr:uid="{00000000-0005-0000-0000-00001E1E0000}"/>
    <cellStyle name="20% - Accent5 14 4 2 2 2" xfId="39329" xr:uid="{E9752D5C-A284-4D7E-B16E-9001D8F1D0AA}"/>
    <cellStyle name="20% - Accent5 14 4 2 3" xfId="23433" xr:uid="{00000000-0005-0000-0000-00001F1E0000}"/>
    <cellStyle name="20% - Accent5 14 4 2 3 2" xfId="47265" xr:uid="{0C19C676-C00F-4955-8D6F-F5ECA9E990DE}"/>
    <cellStyle name="20% - Accent5 14 4 2 4" xfId="31388" xr:uid="{7FCF06AF-E940-4D5F-9E9C-C515393EFD8C}"/>
    <cellStyle name="20% - Accent5 14 4 3" xfId="11949" xr:uid="{00000000-0005-0000-0000-0000201E0000}"/>
    <cellStyle name="20% - Accent5 14 4 3 2" xfId="35798" xr:uid="{AE93CADB-CE7D-49F4-B285-7E7365AEF773}"/>
    <cellStyle name="20% - Accent5 14 4 4" xfId="19904" xr:uid="{00000000-0005-0000-0000-0000211E0000}"/>
    <cellStyle name="20% - Accent5 14 4 4 2" xfId="43736" xr:uid="{F3364425-CA08-444C-93D2-33D65F3A356A}"/>
    <cellStyle name="20% - Accent5 14 4 5" xfId="27857" xr:uid="{24A0057F-E791-4F44-B27B-CFF6EFDB33DC}"/>
    <cellStyle name="20% - Accent5 14 5" xfId="5744" xr:uid="{00000000-0005-0000-0000-0000221E0000}"/>
    <cellStyle name="20% - Accent5 14 5 2" xfId="13728" xr:uid="{00000000-0005-0000-0000-0000231E0000}"/>
    <cellStyle name="20% - Accent5 14 5 2 2" xfId="37571" xr:uid="{1D82F001-65AD-42ED-BE02-CB3A274CF44B}"/>
    <cellStyle name="20% - Accent5 14 5 3" xfId="21676" xr:uid="{00000000-0005-0000-0000-0000241E0000}"/>
    <cellStyle name="20% - Accent5 14 5 3 2" xfId="45508" xr:uid="{FC26FE91-E3FC-46D3-9412-1B62B91B61F5}"/>
    <cellStyle name="20% - Accent5 14 5 4" xfId="29630" xr:uid="{3C2F9E31-7849-46B6-9685-5346CD42BCFA}"/>
    <cellStyle name="20% - Accent5 14 6" xfId="9297" xr:uid="{00000000-0005-0000-0000-0000251E0000}"/>
    <cellStyle name="20% - Accent5 14 6 2" xfId="17255" xr:uid="{00000000-0005-0000-0000-0000261E0000}"/>
    <cellStyle name="20% - Accent5 14 6 2 2" xfId="41095" xr:uid="{D2B43074-8EC1-457E-8A9C-608152702C93}"/>
    <cellStyle name="20% - Accent5 14 6 3" xfId="25199" xr:uid="{00000000-0005-0000-0000-0000271E0000}"/>
    <cellStyle name="20% - Accent5 14 6 3 2" xfId="49031" xr:uid="{E6BC11BE-4D84-426B-96F0-8BD9E9AB6339}"/>
    <cellStyle name="20% - Accent5 14 6 4" xfId="33154" xr:uid="{9B4E13F9-5EC3-402A-B2C8-EFFB8E9565BD}"/>
    <cellStyle name="20% - Accent5 14 7" xfId="10193" xr:uid="{00000000-0005-0000-0000-0000281E0000}"/>
    <cellStyle name="20% - Accent5 14 7 2" xfId="34042" xr:uid="{2205B9C1-8A41-4042-9E35-2F966E1359F9}"/>
    <cellStyle name="20% - Accent5 14 8" xfId="18148" xr:uid="{00000000-0005-0000-0000-0000291E0000}"/>
    <cellStyle name="20% - Accent5 14 8 2" xfId="41980" xr:uid="{1633EC70-159D-4F84-B3A8-D76098AFA646}"/>
    <cellStyle name="20% - Accent5 14 9" xfId="26100" xr:uid="{EF3D7D16-3974-4051-A3F4-5D68052FFA9D}"/>
    <cellStyle name="20% - Accent5 14_Exh G" xfId="2469" xr:uid="{00000000-0005-0000-0000-00002A1E0000}"/>
    <cellStyle name="20% - Accent5 15" xfId="247" xr:uid="{00000000-0005-0000-0000-00002B1E0000}"/>
    <cellStyle name="20% - Accent5 15 2" xfId="1275" xr:uid="{00000000-0005-0000-0000-00002C1E0000}"/>
    <cellStyle name="20% - Accent5 15 2 2" xfId="4805" xr:uid="{00000000-0005-0000-0000-00002D1E0000}"/>
    <cellStyle name="20% - Accent5 15 2 2 2" xfId="8396" xr:uid="{00000000-0005-0000-0000-00002E1E0000}"/>
    <cellStyle name="20% - Accent5 15 2 2 2 2" xfId="16367" xr:uid="{00000000-0005-0000-0000-00002F1E0000}"/>
    <cellStyle name="20% - Accent5 15 2 2 2 2 2" xfId="40209" xr:uid="{6C0AC16A-D034-4FC1-A370-7176FBDF3F99}"/>
    <cellStyle name="20% - Accent5 15 2 2 2 3" xfId="24313" xr:uid="{00000000-0005-0000-0000-0000301E0000}"/>
    <cellStyle name="20% - Accent5 15 2 2 2 3 2" xfId="48145" xr:uid="{98A17D12-D57F-4B0F-AB4D-A52037D8A192}"/>
    <cellStyle name="20% - Accent5 15 2 2 2 4" xfId="32268" xr:uid="{96110B40-D7C7-4FBB-A2F8-111D309DB901}"/>
    <cellStyle name="20% - Accent5 15 2 2 3" xfId="12829" xr:uid="{00000000-0005-0000-0000-0000311E0000}"/>
    <cellStyle name="20% - Accent5 15 2 2 3 2" xfId="36678" xr:uid="{24EF6BF6-548B-45B2-B39C-4635D48D96A4}"/>
    <cellStyle name="20% - Accent5 15 2 2 4" xfId="20784" xr:uid="{00000000-0005-0000-0000-0000321E0000}"/>
    <cellStyle name="20% - Accent5 15 2 2 4 2" xfId="44616" xr:uid="{F58F3EFB-80AF-427F-8CE4-9D5E1D07BF76}"/>
    <cellStyle name="20% - Accent5 15 2 2 5" xfId="28737" xr:uid="{6810C77D-0AD5-42D5-8556-14842DE0680C}"/>
    <cellStyle name="20% - Accent5 15 2 3" xfId="6637" xr:uid="{00000000-0005-0000-0000-0000331E0000}"/>
    <cellStyle name="20% - Accent5 15 2 3 2" xfId="14609" xr:uid="{00000000-0005-0000-0000-0000341E0000}"/>
    <cellStyle name="20% - Accent5 15 2 3 2 2" xfId="38451" xr:uid="{0FCA9C11-A3C6-453C-81E7-FD73E4287ED7}"/>
    <cellStyle name="20% - Accent5 15 2 3 3" xfId="22556" xr:uid="{00000000-0005-0000-0000-0000351E0000}"/>
    <cellStyle name="20% - Accent5 15 2 3 3 2" xfId="46388" xr:uid="{0908A25D-111D-4841-BACE-190875446F65}"/>
    <cellStyle name="20% - Accent5 15 2 3 4" xfId="30510" xr:uid="{A07CD9D4-FE02-434A-A761-74E4790AE7A8}"/>
    <cellStyle name="20% - Accent5 15 2 4" xfId="11073" xr:uid="{00000000-0005-0000-0000-0000361E0000}"/>
    <cellStyle name="20% - Accent5 15 2 4 2" xfId="34922" xr:uid="{AA4DF979-22A1-465F-A7E9-BC1428B72222}"/>
    <cellStyle name="20% - Accent5 15 2 5" xfId="19028" xr:uid="{00000000-0005-0000-0000-0000371E0000}"/>
    <cellStyle name="20% - Accent5 15 2 5 2" xfId="42860" xr:uid="{BA0D949C-EF1E-41BD-A7B9-94CDB70CED11}"/>
    <cellStyle name="20% - Accent5 15 2 6" xfId="26980" xr:uid="{CE3C7168-613F-481A-960E-C896155DBDEA}"/>
    <cellStyle name="20% - Accent5 15 2_Exh G" xfId="2474" xr:uid="{00000000-0005-0000-0000-0000381E0000}"/>
    <cellStyle name="20% - Accent5 15 3" xfId="3926" xr:uid="{00000000-0005-0000-0000-0000391E0000}"/>
    <cellStyle name="20% - Accent5 15 3 2" xfId="7518" xr:uid="{00000000-0005-0000-0000-00003A1E0000}"/>
    <cellStyle name="20% - Accent5 15 3 2 2" xfId="15489" xr:uid="{00000000-0005-0000-0000-00003B1E0000}"/>
    <cellStyle name="20% - Accent5 15 3 2 2 2" xfId="39331" xr:uid="{E23B2BF8-776A-4895-9F8B-CEC4A594B61A}"/>
    <cellStyle name="20% - Accent5 15 3 2 3" xfId="23435" xr:uid="{00000000-0005-0000-0000-00003C1E0000}"/>
    <cellStyle name="20% - Accent5 15 3 2 3 2" xfId="47267" xr:uid="{9B770143-A869-4C43-9553-AFF85B1732E7}"/>
    <cellStyle name="20% - Accent5 15 3 2 4" xfId="31390" xr:uid="{F6D0208D-18E3-4004-A3DB-AE92B7098CD7}"/>
    <cellStyle name="20% - Accent5 15 3 3" xfId="11951" xr:uid="{00000000-0005-0000-0000-00003D1E0000}"/>
    <cellStyle name="20% - Accent5 15 3 3 2" xfId="35800" xr:uid="{D6C92AB3-60A1-4E46-8DE8-A280B2253C44}"/>
    <cellStyle name="20% - Accent5 15 3 4" xfId="19906" xr:uid="{00000000-0005-0000-0000-00003E1E0000}"/>
    <cellStyle name="20% - Accent5 15 3 4 2" xfId="43738" xr:uid="{EE6DB6E4-25EC-4A77-B20D-827E9F5C2C68}"/>
    <cellStyle name="20% - Accent5 15 3 5" xfId="27859" xr:uid="{B4983D75-9AEA-46ED-ACD9-5268BF16162F}"/>
    <cellStyle name="20% - Accent5 15 4" xfId="5746" xr:uid="{00000000-0005-0000-0000-00003F1E0000}"/>
    <cellStyle name="20% - Accent5 15 4 2" xfId="13730" xr:uid="{00000000-0005-0000-0000-0000401E0000}"/>
    <cellStyle name="20% - Accent5 15 4 2 2" xfId="37573" xr:uid="{96664E36-4071-481C-9BEB-C37ECE60D3D6}"/>
    <cellStyle name="20% - Accent5 15 4 3" xfId="21678" xr:uid="{00000000-0005-0000-0000-0000411E0000}"/>
    <cellStyle name="20% - Accent5 15 4 3 2" xfId="45510" xr:uid="{D9A67F5C-FE25-4CCE-A855-CD320C159815}"/>
    <cellStyle name="20% - Accent5 15 4 4" xfId="29632" xr:uid="{D8C96A2C-5908-4016-B181-C0158F42234D}"/>
    <cellStyle name="20% - Accent5 15 5" xfId="9299" xr:uid="{00000000-0005-0000-0000-0000421E0000}"/>
    <cellStyle name="20% - Accent5 15 5 2" xfId="17257" xr:uid="{00000000-0005-0000-0000-0000431E0000}"/>
    <cellStyle name="20% - Accent5 15 5 2 2" xfId="41097" xr:uid="{CD770889-3440-4927-9B0E-34969EF1792A}"/>
    <cellStyle name="20% - Accent5 15 5 3" xfId="25201" xr:uid="{00000000-0005-0000-0000-0000441E0000}"/>
    <cellStyle name="20% - Accent5 15 5 3 2" xfId="49033" xr:uid="{4389EBFE-BEDB-47F1-8E96-9BD2EBC4E833}"/>
    <cellStyle name="20% - Accent5 15 5 4" xfId="33156" xr:uid="{08BADA86-FA4D-4601-94BD-91C7BEEC50A7}"/>
    <cellStyle name="20% - Accent5 15 6" xfId="10195" xr:uid="{00000000-0005-0000-0000-0000451E0000}"/>
    <cellStyle name="20% - Accent5 15 6 2" xfId="34044" xr:uid="{A0FF62B9-016C-4966-B217-D5A435A919C7}"/>
    <cellStyle name="20% - Accent5 15 7" xfId="18150" xr:uid="{00000000-0005-0000-0000-0000461E0000}"/>
    <cellStyle name="20% - Accent5 15 7 2" xfId="41982" xr:uid="{A3160F34-71F2-470C-8A98-74731D4D3A4E}"/>
    <cellStyle name="20% - Accent5 15 8" xfId="26102" xr:uid="{2273F41D-3B4A-4D50-9F10-49E9E2F33D6A}"/>
    <cellStyle name="20% - Accent5 15_Exh G" xfId="2473" xr:uid="{00000000-0005-0000-0000-0000471E0000}"/>
    <cellStyle name="20% - Accent5 16" xfId="847" xr:uid="{00000000-0005-0000-0000-0000481E0000}"/>
    <cellStyle name="20% - Accent5 16 2" xfId="1786" xr:uid="{00000000-0005-0000-0000-0000491E0000}"/>
    <cellStyle name="20% - Accent5 16 2 2" xfId="5307" xr:uid="{00000000-0005-0000-0000-00004A1E0000}"/>
    <cellStyle name="20% - Accent5 16 2 2 2" xfId="8898" xr:uid="{00000000-0005-0000-0000-00004B1E0000}"/>
    <cellStyle name="20% - Accent5 16 2 2 2 2" xfId="16869" xr:uid="{00000000-0005-0000-0000-00004C1E0000}"/>
    <cellStyle name="20% - Accent5 16 2 2 2 2 2" xfId="40711" xr:uid="{CD8D54AF-6416-4551-AF03-DC3ABD36FD7D}"/>
    <cellStyle name="20% - Accent5 16 2 2 2 3" xfId="24815" xr:uid="{00000000-0005-0000-0000-00004D1E0000}"/>
    <cellStyle name="20% - Accent5 16 2 2 2 3 2" xfId="48647" xr:uid="{0D58899D-6A51-421A-912E-14C61F7740FB}"/>
    <cellStyle name="20% - Accent5 16 2 2 2 4" xfId="32770" xr:uid="{0D1ECE56-DAC8-4F80-A933-B65554EB9CF6}"/>
    <cellStyle name="20% - Accent5 16 2 2 3" xfId="13331" xr:uid="{00000000-0005-0000-0000-00004E1E0000}"/>
    <cellStyle name="20% - Accent5 16 2 2 3 2" xfId="37180" xr:uid="{BD8BF230-5C80-4A6F-BFFB-A525AE10ECDE}"/>
    <cellStyle name="20% - Accent5 16 2 2 4" xfId="21286" xr:uid="{00000000-0005-0000-0000-00004F1E0000}"/>
    <cellStyle name="20% - Accent5 16 2 2 4 2" xfId="45118" xr:uid="{1C05D4EE-B333-479A-BEEC-B2CD5A0D1B0A}"/>
    <cellStyle name="20% - Accent5 16 2 2 5" xfId="29239" xr:uid="{634A5461-830E-48DF-9A22-345974B9AA97}"/>
    <cellStyle name="20% - Accent5 16 2 3" xfId="7139" xr:uid="{00000000-0005-0000-0000-0000501E0000}"/>
    <cellStyle name="20% - Accent5 16 2 3 2" xfId="15111" xr:uid="{00000000-0005-0000-0000-0000511E0000}"/>
    <cellStyle name="20% - Accent5 16 2 3 2 2" xfId="38953" xr:uid="{278DDC06-357E-4DDD-B6C4-4E2FB87D6C86}"/>
    <cellStyle name="20% - Accent5 16 2 3 3" xfId="23058" xr:uid="{00000000-0005-0000-0000-0000521E0000}"/>
    <cellStyle name="20% - Accent5 16 2 3 3 2" xfId="46890" xr:uid="{721CF5C8-AD96-4419-B1DF-751F5883F070}"/>
    <cellStyle name="20% - Accent5 16 2 3 4" xfId="31012" xr:uid="{22169C79-1629-4434-9230-7180B5D5A72B}"/>
    <cellStyle name="20% - Accent5 16 2 4" xfId="11575" xr:uid="{00000000-0005-0000-0000-0000531E0000}"/>
    <cellStyle name="20% - Accent5 16 2 4 2" xfId="35424" xr:uid="{36DACF6F-C85E-46C8-AD1C-6CB3E01E531F}"/>
    <cellStyle name="20% - Accent5 16 2 5" xfId="19530" xr:uid="{00000000-0005-0000-0000-0000541E0000}"/>
    <cellStyle name="20% - Accent5 16 2 5 2" xfId="43362" xr:uid="{6951F409-168B-4756-941B-982F8B2CFC57}"/>
    <cellStyle name="20% - Accent5 16 2 6" xfId="27482" xr:uid="{E9A83D6D-2ED7-4939-8D2F-4BE561790DCA}"/>
    <cellStyle name="20% - Accent5 16 2_Exh G" xfId="2476" xr:uid="{00000000-0005-0000-0000-0000551E0000}"/>
    <cellStyle name="20% - Accent5 16 3" xfId="4428" xr:uid="{00000000-0005-0000-0000-0000561E0000}"/>
    <cellStyle name="20% - Accent5 16 3 2" xfId="8020" xr:uid="{00000000-0005-0000-0000-0000571E0000}"/>
    <cellStyle name="20% - Accent5 16 3 2 2" xfId="15991" xr:uid="{00000000-0005-0000-0000-0000581E0000}"/>
    <cellStyle name="20% - Accent5 16 3 2 2 2" xfId="39833" xr:uid="{A6E9997C-7230-4208-A49F-5708ECE5C752}"/>
    <cellStyle name="20% - Accent5 16 3 2 3" xfId="23937" xr:uid="{00000000-0005-0000-0000-0000591E0000}"/>
    <cellStyle name="20% - Accent5 16 3 2 3 2" xfId="47769" xr:uid="{0BC449DE-8D06-4BD6-B6D9-7371FCC9CD68}"/>
    <cellStyle name="20% - Accent5 16 3 2 4" xfId="31892" xr:uid="{003661DC-D3F0-4FC0-8A78-21A24E787AEA}"/>
    <cellStyle name="20% - Accent5 16 3 3" xfId="12453" xr:uid="{00000000-0005-0000-0000-00005A1E0000}"/>
    <cellStyle name="20% - Accent5 16 3 3 2" xfId="36302" xr:uid="{9263AD86-CD88-4FE2-BE28-F5D171EE56AC}"/>
    <cellStyle name="20% - Accent5 16 3 4" xfId="20408" xr:uid="{00000000-0005-0000-0000-00005B1E0000}"/>
    <cellStyle name="20% - Accent5 16 3 4 2" xfId="44240" xr:uid="{05E06585-7FAA-46E9-BD66-E3ABE9BAADDF}"/>
    <cellStyle name="20% - Accent5 16 3 5" xfId="28361" xr:uid="{FBF2C0FD-046E-4637-AB8D-524096BB5492}"/>
    <cellStyle name="20% - Accent5 16 4" xfId="6258" xr:uid="{00000000-0005-0000-0000-00005C1E0000}"/>
    <cellStyle name="20% - Accent5 16 4 2" xfId="14233" xr:uid="{00000000-0005-0000-0000-00005D1E0000}"/>
    <cellStyle name="20% - Accent5 16 4 2 2" xfId="38075" xr:uid="{B6FDD149-22B0-4ED4-9F59-F8A9778A2DEC}"/>
    <cellStyle name="20% - Accent5 16 4 3" xfId="22180" xr:uid="{00000000-0005-0000-0000-00005E1E0000}"/>
    <cellStyle name="20% - Accent5 16 4 3 2" xfId="46012" xr:uid="{76419D62-E41B-4524-9E34-45168FDE67A2}"/>
    <cellStyle name="20% - Accent5 16 4 4" xfId="30134" xr:uid="{BD652081-57D2-44F6-9624-0B792A096811}"/>
    <cellStyle name="20% - Accent5 16 5" xfId="9801" xr:uid="{00000000-0005-0000-0000-00005F1E0000}"/>
    <cellStyle name="20% - Accent5 16 5 2" xfId="17759" xr:uid="{00000000-0005-0000-0000-0000601E0000}"/>
    <cellStyle name="20% - Accent5 16 5 2 2" xfId="41599" xr:uid="{361C4ED7-58E3-42F1-B236-D038CA0B2817}"/>
    <cellStyle name="20% - Accent5 16 5 3" xfId="25703" xr:uid="{00000000-0005-0000-0000-0000611E0000}"/>
    <cellStyle name="20% - Accent5 16 5 3 2" xfId="49535" xr:uid="{DD5376CE-1D17-457A-BDED-7E5856F753B9}"/>
    <cellStyle name="20% - Accent5 16 5 4" xfId="33658" xr:uid="{072D6F21-1DB9-4FA3-A76D-1F808B7E7441}"/>
    <cellStyle name="20% - Accent5 16 6" xfId="10697" xr:uid="{00000000-0005-0000-0000-0000621E0000}"/>
    <cellStyle name="20% - Accent5 16 6 2" xfId="34546" xr:uid="{A333D925-6962-4922-A459-7C5C75D3D1F9}"/>
    <cellStyle name="20% - Accent5 16 7" xfId="18652" xr:uid="{00000000-0005-0000-0000-0000631E0000}"/>
    <cellStyle name="20% - Accent5 16 7 2" xfId="42484" xr:uid="{A64BA5FB-1138-4D73-B57E-F4FF83006ECB}"/>
    <cellStyle name="20% - Accent5 16 8" xfId="26604" xr:uid="{B4E749AF-2110-4F5C-AB57-427D3D3417DE}"/>
    <cellStyle name="20% - Accent5 16_Exh G" xfId="2475" xr:uid="{00000000-0005-0000-0000-0000641E0000}"/>
    <cellStyle name="20% - Accent5 17" xfId="49802" xr:uid="{F21BA508-5F2E-4B0C-8F2F-67B8E340F3EE}"/>
    <cellStyle name="20% - Accent5 2" xfId="248" xr:uid="{00000000-0005-0000-0000-0000651E0000}"/>
    <cellStyle name="20% - Accent5 2 10" xfId="18151" xr:uid="{00000000-0005-0000-0000-0000661E0000}"/>
    <cellStyle name="20% - Accent5 2 10 2" xfId="41983" xr:uid="{806D8F63-AEE9-45E6-A679-F8B95DAC5437}"/>
    <cellStyle name="20% - Accent5 2 11" xfId="26103" xr:uid="{3B99B583-C0AA-4FF0-A0AA-4C43A9BEB3E1}"/>
    <cellStyle name="20% - Accent5 2 12" xfId="49787" xr:uid="{39659C3B-173F-45B7-AFE5-9CDB25164FCD}"/>
    <cellStyle name="20% - Accent5 2 13" xfId="49815" xr:uid="{FF1607C8-D95D-42DD-9AF6-5B2CB418C4B8}"/>
    <cellStyle name="20% - Accent5 2 2" xfId="249" xr:uid="{00000000-0005-0000-0000-0000671E0000}"/>
    <cellStyle name="20% - Accent5 2 2 10" xfId="26104" xr:uid="{F7763727-FE4C-4F3C-A41E-9EC107180D29}"/>
    <cellStyle name="20% - Accent5 2 2 2" xfId="250" xr:uid="{00000000-0005-0000-0000-0000681E0000}"/>
    <cellStyle name="20% - Accent5 2 2 2 2" xfId="1278" xr:uid="{00000000-0005-0000-0000-0000691E0000}"/>
    <cellStyle name="20% - Accent5 2 2 2 2 2" xfId="4808" xr:uid="{00000000-0005-0000-0000-00006A1E0000}"/>
    <cellStyle name="20% - Accent5 2 2 2 2 2 2" xfId="8399" xr:uid="{00000000-0005-0000-0000-00006B1E0000}"/>
    <cellStyle name="20% - Accent5 2 2 2 2 2 2 2" xfId="16370" xr:uid="{00000000-0005-0000-0000-00006C1E0000}"/>
    <cellStyle name="20% - Accent5 2 2 2 2 2 2 2 2" xfId="40212" xr:uid="{78052D98-F094-4130-8B50-38DF5A9FBAC5}"/>
    <cellStyle name="20% - Accent5 2 2 2 2 2 2 3" xfId="24316" xr:uid="{00000000-0005-0000-0000-00006D1E0000}"/>
    <cellStyle name="20% - Accent5 2 2 2 2 2 2 3 2" xfId="48148" xr:uid="{D95EC4B0-05C4-43DE-B741-4FF17D35E66A}"/>
    <cellStyle name="20% - Accent5 2 2 2 2 2 2 4" xfId="32271" xr:uid="{075E6267-8629-4CB2-9054-559F822A819E}"/>
    <cellStyle name="20% - Accent5 2 2 2 2 2 3" xfId="12832" xr:uid="{00000000-0005-0000-0000-00006E1E0000}"/>
    <cellStyle name="20% - Accent5 2 2 2 2 2 3 2" xfId="36681" xr:uid="{DA00B602-DFE7-49C6-9907-1A02DBC7F916}"/>
    <cellStyle name="20% - Accent5 2 2 2 2 2 4" xfId="20787" xr:uid="{00000000-0005-0000-0000-00006F1E0000}"/>
    <cellStyle name="20% - Accent5 2 2 2 2 2 4 2" xfId="44619" xr:uid="{DE8BFF95-02E0-4536-87D0-3ACF27A76CE5}"/>
    <cellStyle name="20% - Accent5 2 2 2 2 2 5" xfId="28740" xr:uid="{C8633938-48AC-48AD-8E6B-800079889A81}"/>
    <cellStyle name="20% - Accent5 2 2 2 2 3" xfId="6640" xr:uid="{00000000-0005-0000-0000-0000701E0000}"/>
    <cellStyle name="20% - Accent5 2 2 2 2 3 2" xfId="14612" xr:uid="{00000000-0005-0000-0000-0000711E0000}"/>
    <cellStyle name="20% - Accent5 2 2 2 2 3 2 2" xfId="38454" xr:uid="{9378BDC3-72A5-4305-9EA1-D90FC3EE55E1}"/>
    <cellStyle name="20% - Accent5 2 2 2 2 3 3" xfId="22559" xr:uid="{00000000-0005-0000-0000-0000721E0000}"/>
    <cellStyle name="20% - Accent5 2 2 2 2 3 3 2" xfId="46391" xr:uid="{2EB46A90-19F3-4CB0-97C3-1F95B46E8406}"/>
    <cellStyle name="20% - Accent5 2 2 2 2 3 4" xfId="30513" xr:uid="{EE8E5C1E-9A1C-4972-A150-7CDAC970F8E5}"/>
    <cellStyle name="20% - Accent5 2 2 2 2 4" xfId="11076" xr:uid="{00000000-0005-0000-0000-0000731E0000}"/>
    <cellStyle name="20% - Accent5 2 2 2 2 4 2" xfId="34925" xr:uid="{5D799E7C-4287-49F9-9A77-01A26996E475}"/>
    <cellStyle name="20% - Accent5 2 2 2 2 5" xfId="19031" xr:uid="{00000000-0005-0000-0000-0000741E0000}"/>
    <cellStyle name="20% - Accent5 2 2 2 2 5 2" xfId="42863" xr:uid="{7EF9C27E-2DB6-48D2-8A26-6305E46DE400}"/>
    <cellStyle name="20% - Accent5 2 2 2 2 6" xfId="26983" xr:uid="{77F4C72F-02E3-4B5F-893A-FBA5DFA50F0D}"/>
    <cellStyle name="20% - Accent5 2 2 2 2_Exh G" xfId="2480" xr:uid="{00000000-0005-0000-0000-0000751E0000}"/>
    <cellStyle name="20% - Accent5 2 2 2 3" xfId="3929" xr:uid="{00000000-0005-0000-0000-0000761E0000}"/>
    <cellStyle name="20% - Accent5 2 2 2 3 2" xfId="7521" xr:uid="{00000000-0005-0000-0000-0000771E0000}"/>
    <cellStyle name="20% - Accent5 2 2 2 3 2 2" xfId="15492" xr:uid="{00000000-0005-0000-0000-0000781E0000}"/>
    <cellStyle name="20% - Accent5 2 2 2 3 2 2 2" xfId="39334" xr:uid="{70B6DE0D-C82C-449C-B68D-2BF3AD75EAD9}"/>
    <cellStyle name="20% - Accent5 2 2 2 3 2 3" xfId="23438" xr:uid="{00000000-0005-0000-0000-0000791E0000}"/>
    <cellStyle name="20% - Accent5 2 2 2 3 2 3 2" xfId="47270" xr:uid="{C2E117F9-3156-4DAF-92C7-64DBD4A27999}"/>
    <cellStyle name="20% - Accent5 2 2 2 3 2 4" xfId="31393" xr:uid="{5AF6B1C8-F7E1-4DDD-9B43-D8D3F2657DAE}"/>
    <cellStyle name="20% - Accent5 2 2 2 3 3" xfId="11954" xr:uid="{00000000-0005-0000-0000-00007A1E0000}"/>
    <cellStyle name="20% - Accent5 2 2 2 3 3 2" xfId="35803" xr:uid="{E55EBC24-585F-4CB6-A575-0E56983637F7}"/>
    <cellStyle name="20% - Accent5 2 2 2 3 4" xfId="19909" xr:uid="{00000000-0005-0000-0000-00007B1E0000}"/>
    <cellStyle name="20% - Accent5 2 2 2 3 4 2" xfId="43741" xr:uid="{13442232-721B-4AB3-A561-1CE5EBFA4371}"/>
    <cellStyle name="20% - Accent5 2 2 2 3 5" xfId="27862" xr:uid="{5D817BC5-8493-4A84-B04F-DBB258BC259F}"/>
    <cellStyle name="20% - Accent5 2 2 2 4" xfId="5749" xr:uid="{00000000-0005-0000-0000-00007C1E0000}"/>
    <cellStyle name="20% - Accent5 2 2 2 4 2" xfId="13733" xr:uid="{00000000-0005-0000-0000-00007D1E0000}"/>
    <cellStyle name="20% - Accent5 2 2 2 4 2 2" xfId="37576" xr:uid="{DD301FF2-45C2-422E-A4FA-AE413AF636A3}"/>
    <cellStyle name="20% - Accent5 2 2 2 4 3" xfId="21681" xr:uid="{00000000-0005-0000-0000-00007E1E0000}"/>
    <cellStyle name="20% - Accent5 2 2 2 4 3 2" xfId="45513" xr:uid="{BFFF91C5-5107-4E2A-AA70-E07ED6382136}"/>
    <cellStyle name="20% - Accent5 2 2 2 4 4" xfId="29635" xr:uid="{DD2F8BBE-6CBD-46BF-BD46-4AE8BC8B7891}"/>
    <cellStyle name="20% - Accent5 2 2 2 5" xfId="9302" xr:uid="{00000000-0005-0000-0000-00007F1E0000}"/>
    <cellStyle name="20% - Accent5 2 2 2 5 2" xfId="17260" xr:uid="{00000000-0005-0000-0000-0000801E0000}"/>
    <cellStyle name="20% - Accent5 2 2 2 5 2 2" xfId="41100" xr:uid="{B9D00F12-A780-4E45-B0C9-46B60D7560FA}"/>
    <cellStyle name="20% - Accent5 2 2 2 5 3" xfId="25204" xr:uid="{00000000-0005-0000-0000-0000811E0000}"/>
    <cellStyle name="20% - Accent5 2 2 2 5 3 2" xfId="49036" xr:uid="{A4BD3A1A-07CB-4E40-ADBB-6FA72F8A0CD7}"/>
    <cellStyle name="20% - Accent5 2 2 2 5 4" xfId="33159" xr:uid="{F6BBC88A-39C3-47C9-978F-15675369F9F8}"/>
    <cellStyle name="20% - Accent5 2 2 2 6" xfId="10198" xr:uid="{00000000-0005-0000-0000-0000821E0000}"/>
    <cellStyle name="20% - Accent5 2 2 2 6 2" xfId="34047" xr:uid="{7493DE01-7088-42C8-9C88-F6EFEF373196}"/>
    <cellStyle name="20% - Accent5 2 2 2 7" xfId="18153" xr:uid="{00000000-0005-0000-0000-0000831E0000}"/>
    <cellStyle name="20% - Accent5 2 2 2 7 2" xfId="41985" xr:uid="{F59577CE-1B00-47D5-B26B-3487D0169C93}"/>
    <cellStyle name="20% - Accent5 2 2 2 8" xfId="26105" xr:uid="{1A64F3E4-22E8-4ABF-A7EF-0CE15B963AFF}"/>
    <cellStyle name="20% - Accent5 2 2 2_Exh G" xfId="2479" xr:uid="{00000000-0005-0000-0000-0000841E0000}"/>
    <cellStyle name="20% - Accent5 2 2 3" xfId="912" xr:uid="{00000000-0005-0000-0000-0000851E0000}"/>
    <cellStyle name="20% - Accent5 2 2 3 2" xfId="1840" xr:uid="{00000000-0005-0000-0000-0000861E0000}"/>
    <cellStyle name="20% - Accent5 2 2 3 2 2" xfId="5358" xr:uid="{00000000-0005-0000-0000-0000871E0000}"/>
    <cellStyle name="20% - Accent5 2 2 3 2 2 2" xfId="8949" xr:uid="{00000000-0005-0000-0000-0000881E0000}"/>
    <cellStyle name="20% - Accent5 2 2 3 2 2 2 2" xfId="16920" xr:uid="{00000000-0005-0000-0000-0000891E0000}"/>
    <cellStyle name="20% - Accent5 2 2 3 2 2 2 2 2" xfId="40762" xr:uid="{3F069FA0-E5DA-40B6-8DBB-F9752B02F435}"/>
    <cellStyle name="20% - Accent5 2 2 3 2 2 2 3" xfId="24866" xr:uid="{00000000-0005-0000-0000-00008A1E0000}"/>
    <cellStyle name="20% - Accent5 2 2 3 2 2 2 3 2" xfId="48698" xr:uid="{E26A3F67-F23D-42BF-98A6-CFA4159EF129}"/>
    <cellStyle name="20% - Accent5 2 2 3 2 2 2 4" xfId="32821" xr:uid="{CE34B3B3-DF17-4C05-A238-8D53746400D5}"/>
    <cellStyle name="20% - Accent5 2 2 3 2 2 3" xfId="13382" xr:uid="{00000000-0005-0000-0000-00008B1E0000}"/>
    <cellStyle name="20% - Accent5 2 2 3 2 2 3 2" xfId="37231" xr:uid="{B5B6DD8B-8EDD-484E-9A14-F39A739E931E}"/>
    <cellStyle name="20% - Accent5 2 2 3 2 2 4" xfId="21337" xr:uid="{00000000-0005-0000-0000-00008C1E0000}"/>
    <cellStyle name="20% - Accent5 2 2 3 2 2 4 2" xfId="45169" xr:uid="{F290EF41-06F5-42DB-957B-0E12A519B415}"/>
    <cellStyle name="20% - Accent5 2 2 3 2 2 5" xfId="29290" xr:uid="{3B474A2B-3466-45FE-9FF5-05D8F318D4DA}"/>
    <cellStyle name="20% - Accent5 2 2 3 2 3" xfId="7190" xr:uid="{00000000-0005-0000-0000-00008D1E0000}"/>
    <cellStyle name="20% - Accent5 2 2 3 2 3 2" xfId="15162" xr:uid="{00000000-0005-0000-0000-00008E1E0000}"/>
    <cellStyle name="20% - Accent5 2 2 3 2 3 2 2" xfId="39004" xr:uid="{97F784D8-C208-4F4E-AFD0-AF8DEBC2AEAA}"/>
    <cellStyle name="20% - Accent5 2 2 3 2 3 3" xfId="23109" xr:uid="{00000000-0005-0000-0000-00008F1E0000}"/>
    <cellStyle name="20% - Accent5 2 2 3 2 3 3 2" xfId="46941" xr:uid="{50771DD9-9A6D-4ADF-921F-DC4081AB4BC6}"/>
    <cellStyle name="20% - Accent5 2 2 3 2 3 4" xfId="31063" xr:uid="{2C9A79ED-9473-4737-B6C4-AD15B137FD78}"/>
    <cellStyle name="20% - Accent5 2 2 3 2 4" xfId="11626" xr:uid="{00000000-0005-0000-0000-0000901E0000}"/>
    <cellStyle name="20% - Accent5 2 2 3 2 4 2" xfId="35475" xr:uid="{5BBCEE09-F6EF-46A3-A27C-5CA9C034FED9}"/>
    <cellStyle name="20% - Accent5 2 2 3 2 5" xfId="19581" xr:uid="{00000000-0005-0000-0000-0000911E0000}"/>
    <cellStyle name="20% - Accent5 2 2 3 2 5 2" xfId="43413" xr:uid="{79FBF992-0770-4996-AC76-BD7C9EB35A78}"/>
    <cellStyle name="20% - Accent5 2 2 3 2 6" xfId="27533" xr:uid="{762040E4-E9CC-4360-9D18-DC0AEEE2F915}"/>
    <cellStyle name="20% - Accent5 2 2 3 2_Exh G" xfId="2482" xr:uid="{00000000-0005-0000-0000-0000921E0000}"/>
    <cellStyle name="20% - Accent5 2 2 3 3" xfId="4479" xr:uid="{00000000-0005-0000-0000-0000931E0000}"/>
    <cellStyle name="20% - Accent5 2 2 3 3 2" xfId="8071" xr:uid="{00000000-0005-0000-0000-0000941E0000}"/>
    <cellStyle name="20% - Accent5 2 2 3 3 2 2" xfId="16042" xr:uid="{00000000-0005-0000-0000-0000951E0000}"/>
    <cellStyle name="20% - Accent5 2 2 3 3 2 2 2" xfId="39884" xr:uid="{7648A0D7-6DAA-4401-B44E-D08E9FF61890}"/>
    <cellStyle name="20% - Accent5 2 2 3 3 2 3" xfId="23988" xr:uid="{00000000-0005-0000-0000-0000961E0000}"/>
    <cellStyle name="20% - Accent5 2 2 3 3 2 3 2" xfId="47820" xr:uid="{929B33DE-2BFF-4D45-9220-72C452647219}"/>
    <cellStyle name="20% - Accent5 2 2 3 3 2 4" xfId="31943" xr:uid="{4C664BAF-CACE-4F9A-8852-D3433F6C2A70}"/>
    <cellStyle name="20% - Accent5 2 2 3 3 3" xfId="12504" xr:uid="{00000000-0005-0000-0000-0000971E0000}"/>
    <cellStyle name="20% - Accent5 2 2 3 3 3 2" xfId="36353" xr:uid="{27305B91-9014-4EAA-A315-607D573A69F5}"/>
    <cellStyle name="20% - Accent5 2 2 3 3 4" xfId="20459" xr:uid="{00000000-0005-0000-0000-0000981E0000}"/>
    <cellStyle name="20% - Accent5 2 2 3 3 4 2" xfId="44291" xr:uid="{902AC4DC-FE92-40F4-BC0C-B9176ADB1F3E}"/>
    <cellStyle name="20% - Accent5 2 2 3 3 5" xfId="28412" xr:uid="{FE415AD4-B251-4A56-863A-CEB7B413C294}"/>
    <cellStyle name="20% - Accent5 2 2 3 4" xfId="6309" xr:uid="{00000000-0005-0000-0000-0000991E0000}"/>
    <cellStyle name="20% - Accent5 2 2 3 4 2" xfId="14284" xr:uid="{00000000-0005-0000-0000-00009A1E0000}"/>
    <cellStyle name="20% - Accent5 2 2 3 4 2 2" xfId="38126" xr:uid="{3FBF0614-4827-45F1-BB68-EF44093D0760}"/>
    <cellStyle name="20% - Accent5 2 2 3 4 3" xfId="22231" xr:uid="{00000000-0005-0000-0000-00009B1E0000}"/>
    <cellStyle name="20% - Accent5 2 2 3 4 3 2" xfId="46063" xr:uid="{28E05076-9AAE-4A8D-A67D-08061EBE9FC8}"/>
    <cellStyle name="20% - Accent5 2 2 3 4 4" xfId="30185" xr:uid="{54F79E74-EF5B-4ACB-9410-5F023B60E0E6}"/>
    <cellStyle name="20% - Accent5 2 2 3 5" xfId="9852" xr:uid="{00000000-0005-0000-0000-00009C1E0000}"/>
    <cellStyle name="20% - Accent5 2 2 3 5 2" xfId="17810" xr:uid="{00000000-0005-0000-0000-00009D1E0000}"/>
    <cellStyle name="20% - Accent5 2 2 3 5 2 2" xfId="41650" xr:uid="{A22C850A-5763-4452-AC84-627D8D918843}"/>
    <cellStyle name="20% - Accent5 2 2 3 5 3" xfId="25754" xr:uid="{00000000-0005-0000-0000-00009E1E0000}"/>
    <cellStyle name="20% - Accent5 2 2 3 5 3 2" xfId="49586" xr:uid="{8E0AFE8C-52EE-46D8-B5ED-427F185C1C47}"/>
    <cellStyle name="20% - Accent5 2 2 3 5 4" xfId="33709" xr:uid="{113C6B16-DD0D-4361-B023-3EA36334E033}"/>
    <cellStyle name="20% - Accent5 2 2 3 6" xfId="10748" xr:uid="{00000000-0005-0000-0000-00009F1E0000}"/>
    <cellStyle name="20% - Accent5 2 2 3 6 2" xfId="34597" xr:uid="{212E370C-D0EE-4231-80D3-09A37147A185}"/>
    <cellStyle name="20% - Accent5 2 2 3 7" xfId="18703" xr:uid="{00000000-0005-0000-0000-0000A01E0000}"/>
    <cellStyle name="20% - Accent5 2 2 3 7 2" xfId="42535" xr:uid="{1212129E-F6FD-48F2-8784-A4C54480E1A2}"/>
    <cellStyle name="20% - Accent5 2 2 3 8" xfId="26655" xr:uid="{38971907-DD45-413E-A7C2-960311776F07}"/>
    <cellStyle name="20% - Accent5 2 2 3_Exh G" xfId="2481" xr:uid="{00000000-0005-0000-0000-0000A11E0000}"/>
    <cellStyle name="20% - Accent5 2 2 4" xfId="1277" xr:uid="{00000000-0005-0000-0000-0000A21E0000}"/>
    <cellStyle name="20% - Accent5 2 2 4 2" xfId="4807" xr:uid="{00000000-0005-0000-0000-0000A31E0000}"/>
    <cellStyle name="20% - Accent5 2 2 4 2 2" xfId="8398" xr:uid="{00000000-0005-0000-0000-0000A41E0000}"/>
    <cellStyle name="20% - Accent5 2 2 4 2 2 2" xfId="16369" xr:uid="{00000000-0005-0000-0000-0000A51E0000}"/>
    <cellStyle name="20% - Accent5 2 2 4 2 2 2 2" xfId="40211" xr:uid="{66277825-E91F-45AD-ABE5-849862652D66}"/>
    <cellStyle name="20% - Accent5 2 2 4 2 2 3" xfId="24315" xr:uid="{00000000-0005-0000-0000-0000A61E0000}"/>
    <cellStyle name="20% - Accent5 2 2 4 2 2 3 2" xfId="48147" xr:uid="{6728436C-735F-4A16-A4A2-A77DAB1DE5A1}"/>
    <cellStyle name="20% - Accent5 2 2 4 2 2 4" xfId="32270" xr:uid="{57685C60-5CFE-4043-B62A-FE37F1892E27}"/>
    <cellStyle name="20% - Accent5 2 2 4 2 3" xfId="12831" xr:uid="{00000000-0005-0000-0000-0000A71E0000}"/>
    <cellStyle name="20% - Accent5 2 2 4 2 3 2" xfId="36680" xr:uid="{84EFC5C3-5F8A-48B8-827E-FB4B266DEBB6}"/>
    <cellStyle name="20% - Accent5 2 2 4 2 4" xfId="20786" xr:uid="{00000000-0005-0000-0000-0000A81E0000}"/>
    <cellStyle name="20% - Accent5 2 2 4 2 4 2" xfId="44618" xr:uid="{769024C2-E8EC-42D4-9735-6BA9AA6EA40C}"/>
    <cellStyle name="20% - Accent5 2 2 4 2 5" xfId="28739" xr:uid="{A6FACD55-3B45-49E7-B689-BF4A333E5F12}"/>
    <cellStyle name="20% - Accent5 2 2 4 3" xfId="6639" xr:uid="{00000000-0005-0000-0000-0000A91E0000}"/>
    <cellStyle name="20% - Accent5 2 2 4 3 2" xfId="14611" xr:uid="{00000000-0005-0000-0000-0000AA1E0000}"/>
    <cellStyle name="20% - Accent5 2 2 4 3 2 2" xfId="38453" xr:uid="{6E17944E-F3D9-4BEC-AAAF-6326832B9A7E}"/>
    <cellStyle name="20% - Accent5 2 2 4 3 3" xfId="22558" xr:uid="{00000000-0005-0000-0000-0000AB1E0000}"/>
    <cellStyle name="20% - Accent5 2 2 4 3 3 2" xfId="46390" xr:uid="{7BE5492A-79E8-41D9-9977-1022A564F6FE}"/>
    <cellStyle name="20% - Accent5 2 2 4 3 4" xfId="30512" xr:uid="{DF2943C3-8C73-409E-918A-895E8D06E049}"/>
    <cellStyle name="20% - Accent5 2 2 4 4" xfId="11075" xr:uid="{00000000-0005-0000-0000-0000AC1E0000}"/>
    <cellStyle name="20% - Accent5 2 2 4 4 2" xfId="34924" xr:uid="{C22354B5-B0A0-4FF2-A365-E6CD25E45D9D}"/>
    <cellStyle name="20% - Accent5 2 2 4 5" xfId="19030" xr:uid="{00000000-0005-0000-0000-0000AD1E0000}"/>
    <cellStyle name="20% - Accent5 2 2 4 5 2" xfId="42862" xr:uid="{5708D649-EA79-4E9B-99D2-4D5C867D4737}"/>
    <cellStyle name="20% - Accent5 2 2 4 6" xfId="26982" xr:uid="{140DFFA3-9A97-490A-ABE7-72457E2F5404}"/>
    <cellStyle name="20% - Accent5 2 2 4_Exh G" xfId="2483" xr:uid="{00000000-0005-0000-0000-0000AE1E0000}"/>
    <cellStyle name="20% - Accent5 2 2 5" xfId="3928" xr:uid="{00000000-0005-0000-0000-0000AF1E0000}"/>
    <cellStyle name="20% - Accent5 2 2 5 2" xfId="7520" xr:uid="{00000000-0005-0000-0000-0000B01E0000}"/>
    <cellStyle name="20% - Accent5 2 2 5 2 2" xfId="15491" xr:uid="{00000000-0005-0000-0000-0000B11E0000}"/>
    <cellStyle name="20% - Accent5 2 2 5 2 2 2" xfId="39333" xr:uid="{6AC95B25-5068-4E65-AF1D-1839FB7D24C8}"/>
    <cellStyle name="20% - Accent5 2 2 5 2 3" xfId="23437" xr:uid="{00000000-0005-0000-0000-0000B21E0000}"/>
    <cellStyle name="20% - Accent5 2 2 5 2 3 2" xfId="47269" xr:uid="{74BC22FF-7C94-4BE7-9815-8985347B743B}"/>
    <cellStyle name="20% - Accent5 2 2 5 2 4" xfId="31392" xr:uid="{587F5A36-433F-4256-A4BC-C480C81B1B08}"/>
    <cellStyle name="20% - Accent5 2 2 5 3" xfId="11953" xr:uid="{00000000-0005-0000-0000-0000B31E0000}"/>
    <cellStyle name="20% - Accent5 2 2 5 3 2" xfId="35802" xr:uid="{2B214C07-4B95-46C5-AEEA-1D3B348DCF7C}"/>
    <cellStyle name="20% - Accent5 2 2 5 4" xfId="19908" xr:uid="{00000000-0005-0000-0000-0000B41E0000}"/>
    <cellStyle name="20% - Accent5 2 2 5 4 2" xfId="43740" xr:uid="{50868B5C-67FB-4E0C-A032-5F9EEC563634}"/>
    <cellStyle name="20% - Accent5 2 2 5 5" xfId="27861" xr:uid="{B344FA21-6816-41B8-990A-36E490071380}"/>
    <cellStyle name="20% - Accent5 2 2 6" xfId="5748" xr:uid="{00000000-0005-0000-0000-0000B51E0000}"/>
    <cellStyle name="20% - Accent5 2 2 6 2" xfId="13732" xr:uid="{00000000-0005-0000-0000-0000B61E0000}"/>
    <cellStyle name="20% - Accent5 2 2 6 2 2" xfId="37575" xr:uid="{038E3027-E11D-493F-B509-BE1C03D3C4C3}"/>
    <cellStyle name="20% - Accent5 2 2 6 3" xfId="21680" xr:uid="{00000000-0005-0000-0000-0000B71E0000}"/>
    <cellStyle name="20% - Accent5 2 2 6 3 2" xfId="45512" xr:uid="{DB3A93D6-A690-4A7C-9B80-5FAEAB25E1DF}"/>
    <cellStyle name="20% - Accent5 2 2 6 4" xfId="29634" xr:uid="{B7237864-DE87-4C41-8973-D0030A003AA0}"/>
    <cellStyle name="20% - Accent5 2 2 7" xfId="9301" xr:uid="{00000000-0005-0000-0000-0000B81E0000}"/>
    <cellStyle name="20% - Accent5 2 2 7 2" xfId="17259" xr:uid="{00000000-0005-0000-0000-0000B91E0000}"/>
    <cellStyle name="20% - Accent5 2 2 7 2 2" xfId="41099" xr:uid="{8AD08DA6-6AEC-41D5-BCDD-FBF371CABE11}"/>
    <cellStyle name="20% - Accent5 2 2 7 3" xfId="25203" xr:uid="{00000000-0005-0000-0000-0000BA1E0000}"/>
    <cellStyle name="20% - Accent5 2 2 7 3 2" xfId="49035" xr:uid="{802798D8-0758-4902-8D92-072623C20709}"/>
    <cellStyle name="20% - Accent5 2 2 7 4" xfId="33158" xr:uid="{46DB6753-E8D0-4BB6-ADFF-FBE541B7E9D4}"/>
    <cellStyle name="20% - Accent5 2 2 8" xfId="10197" xr:uid="{00000000-0005-0000-0000-0000BB1E0000}"/>
    <cellStyle name="20% - Accent5 2 2 8 2" xfId="34046" xr:uid="{70519252-42D6-4FAF-8136-AD8D61E38359}"/>
    <cellStyle name="20% - Accent5 2 2 9" xfId="18152" xr:uid="{00000000-0005-0000-0000-0000BC1E0000}"/>
    <cellStyle name="20% - Accent5 2 2 9 2" xfId="41984" xr:uid="{23482311-AE9E-46C9-BC62-B58BFCF64A7D}"/>
    <cellStyle name="20% - Accent5 2 2_Exh G" xfId="2478" xr:uid="{00000000-0005-0000-0000-0000BD1E0000}"/>
    <cellStyle name="20% - Accent5 2 3" xfId="251" xr:uid="{00000000-0005-0000-0000-0000BE1E0000}"/>
    <cellStyle name="20% - Accent5 2 3 2" xfId="1279" xr:uid="{00000000-0005-0000-0000-0000BF1E0000}"/>
    <cellStyle name="20% - Accent5 2 3 2 2" xfId="4809" xr:uid="{00000000-0005-0000-0000-0000C01E0000}"/>
    <cellStyle name="20% - Accent5 2 3 2 2 2" xfId="8400" xr:uid="{00000000-0005-0000-0000-0000C11E0000}"/>
    <cellStyle name="20% - Accent5 2 3 2 2 2 2" xfId="16371" xr:uid="{00000000-0005-0000-0000-0000C21E0000}"/>
    <cellStyle name="20% - Accent5 2 3 2 2 2 2 2" xfId="40213" xr:uid="{52C0790A-37EF-480E-8F36-B0965A27D3CE}"/>
    <cellStyle name="20% - Accent5 2 3 2 2 2 3" xfId="24317" xr:uid="{00000000-0005-0000-0000-0000C31E0000}"/>
    <cellStyle name="20% - Accent5 2 3 2 2 2 3 2" xfId="48149" xr:uid="{A3C9190C-4899-48D8-89F5-FA718ED81D86}"/>
    <cellStyle name="20% - Accent5 2 3 2 2 2 4" xfId="32272" xr:uid="{69727AB3-115E-48FA-B9F5-1D99AE86EBD0}"/>
    <cellStyle name="20% - Accent5 2 3 2 2 3" xfId="12833" xr:uid="{00000000-0005-0000-0000-0000C41E0000}"/>
    <cellStyle name="20% - Accent5 2 3 2 2 3 2" xfId="36682" xr:uid="{2F3C3D8E-5C0B-4958-8BA2-20071E14CC96}"/>
    <cellStyle name="20% - Accent5 2 3 2 2 4" xfId="20788" xr:uid="{00000000-0005-0000-0000-0000C51E0000}"/>
    <cellStyle name="20% - Accent5 2 3 2 2 4 2" xfId="44620" xr:uid="{0E47228F-00DD-4E1C-9BAC-33F6A4A6F34F}"/>
    <cellStyle name="20% - Accent5 2 3 2 2 5" xfId="28741" xr:uid="{70215000-AB83-45BC-A962-C71347417DFE}"/>
    <cellStyle name="20% - Accent5 2 3 2 3" xfId="6641" xr:uid="{00000000-0005-0000-0000-0000C61E0000}"/>
    <cellStyle name="20% - Accent5 2 3 2 3 2" xfId="14613" xr:uid="{00000000-0005-0000-0000-0000C71E0000}"/>
    <cellStyle name="20% - Accent5 2 3 2 3 2 2" xfId="38455" xr:uid="{3B8CCBAD-4097-4C48-B0A7-10DF55B91AE1}"/>
    <cellStyle name="20% - Accent5 2 3 2 3 3" xfId="22560" xr:uid="{00000000-0005-0000-0000-0000C81E0000}"/>
    <cellStyle name="20% - Accent5 2 3 2 3 3 2" xfId="46392" xr:uid="{4647DB61-1C1A-4A23-86B5-1FB3646E8A69}"/>
    <cellStyle name="20% - Accent5 2 3 2 3 4" xfId="30514" xr:uid="{D1E6775C-446B-43E0-92FC-504931FE3AC3}"/>
    <cellStyle name="20% - Accent5 2 3 2 4" xfId="11077" xr:uid="{00000000-0005-0000-0000-0000C91E0000}"/>
    <cellStyle name="20% - Accent5 2 3 2 4 2" xfId="34926" xr:uid="{1F4FE8C9-97CD-4FE2-A7C1-719B0C2B2C0D}"/>
    <cellStyle name="20% - Accent5 2 3 2 5" xfId="19032" xr:uid="{00000000-0005-0000-0000-0000CA1E0000}"/>
    <cellStyle name="20% - Accent5 2 3 2 5 2" xfId="42864" xr:uid="{08F91B9F-5C64-4B88-9E81-C49994C5F52E}"/>
    <cellStyle name="20% - Accent5 2 3 2 6" xfId="26984" xr:uid="{E372C863-49EA-4721-976F-7FB744FD0706}"/>
    <cellStyle name="20% - Accent5 2 3 2_Exh G" xfId="2485" xr:uid="{00000000-0005-0000-0000-0000CB1E0000}"/>
    <cellStyle name="20% - Accent5 2 3 3" xfId="3930" xr:uid="{00000000-0005-0000-0000-0000CC1E0000}"/>
    <cellStyle name="20% - Accent5 2 3 3 2" xfId="7522" xr:uid="{00000000-0005-0000-0000-0000CD1E0000}"/>
    <cellStyle name="20% - Accent5 2 3 3 2 2" xfId="15493" xr:uid="{00000000-0005-0000-0000-0000CE1E0000}"/>
    <cellStyle name="20% - Accent5 2 3 3 2 2 2" xfId="39335" xr:uid="{EAA77046-3B3A-4EA3-9494-851DB8169CAA}"/>
    <cellStyle name="20% - Accent5 2 3 3 2 3" xfId="23439" xr:uid="{00000000-0005-0000-0000-0000CF1E0000}"/>
    <cellStyle name="20% - Accent5 2 3 3 2 3 2" xfId="47271" xr:uid="{788A02EA-7014-4F27-B5A4-AE67DCF71EBF}"/>
    <cellStyle name="20% - Accent5 2 3 3 2 4" xfId="31394" xr:uid="{D75C80A7-517C-4CBB-A691-D4BD78B9FD22}"/>
    <cellStyle name="20% - Accent5 2 3 3 3" xfId="11955" xr:uid="{00000000-0005-0000-0000-0000D01E0000}"/>
    <cellStyle name="20% - Accent5 2 3 3 3 2" xfId="35804" xr:uid="{14C0791A-1C30-4CB0-A7C8-D204CCC9BD01}"/>
    <cellStyle name="20% - Accent5 2 3 3 4" xfId="19910" xr:uid="{00000000-0005-0000-0000-0000D11E0000}"/>
    <cellStyle name="20% - Accent5 2 3 3 4 2" xfId="43742" xr:uid="{2B770DE6-A415-4319-A612-3B6FAD0A9C56}"/>
    <cellStyle name="20% - Accent5 2 3 3 5" xfId="27863" xr:uid="{C6D8F0DD-8FBB-4B72-A36C-3003C6325413}"/>
    <cellStyle name="20% - Accent5 2 3 4" xfId="5750" xr:uid="{00000000-0005-0000-0000-0000D21E0000}"/>
    <cellStyle name="20% - Accent5 2 3 4 2" xfId="13734" xr:uid="{00000000-0005-0000-0000-0000D31E0000}"/>
    <cellStyle name="20% - Accent5 2 3 4 2 2" xfId="37577" xr:uid="{42B43F27-DF89-4F0A-B337-FF32FD559C65}"/>
    <cellStyle name="20% - Accent5 2 3 4 3" xfId="21682" xr:uid="{00000000-0005-0000-0000-0000D41E0000}"/>
    <cellStyle name="20% - Accent5 2 3 4 3 2" xfId="45514" xr:uid="{74547EA9-2001-4706-BA2B-21B5B428D928}"/>
    <cellStyle name="20% - Accent5 2 3 4 4" xfId="29636" xr:uid="{92DB4FA5-067E-4FF5-811F-EFDC636187DB}"/>
    <cellStyle name="20% - Accent5 2 3 5" xfId="9303" xr:uid="{00000000-0005-0000-0000-0000D51E0000}"/>
    <cellStyle name="20% - Accent5 2 3 5 2" xfId="17261" xr:uid="{00000000-0005-0000-0000-0000D61E0000}"/>
    <cellStyle name="20% - Accent5 2 3 5 2 2" xfId="41101" xr:uid="{5E5E45F3-6912-4013-88B7-D3F21B23388B}"/>
    <cellStyle name="20% - Accent5 2 3 5 3" xfId="25205" xr:uid="{00000000-0005-0000-0000-0000D71E0000}"/>
    <cellStyle name="20% - Accent5 2 3 5 3 2" xfId="49037" xr:uid="{9B7F791F-997A-4D13-BBA7-E47C20E8B843}"/>
    <cellStyle name="20% - Accent5 2 3 5 4" xfId="33160" xr:uid="{0CF5A02A-C25A-4714-BADE-140E547533F3}"/>
    <cellStyle name="20% - Accent5 2 3 6" xfId="10199" xr:uid="{00000000-0005-0000-0000-0000D81E0000}"/>
    <cellStyle name="20% - Accent5 2 3 6 2" xfId="34048" xr:uid="{31115DD1-5C50-4730-8F2E-43D7B6C140EE}"/>
    <cellStyle name="20% - Accent5 2 3 7" xfId="18154" xr:uid="{00000000-0005-0000-0000-0000D91E0000}"/>
    <cellStyle name="20% - Accent5 2 3 7 2" xfId="41986" xr:uid="{D2FC82D1-E6FA-4AF3-8B14-97EB0157AA57}"/>
    <cellStyle name="20% - Accent5 2 3 8" xfId="26106" xr:uid="{B4ABD534-3D30-4E6C-88DC-C4DA00A919DC}"/>
    <cellStyle name="20% - Accent5 2 3_Exh G" xfId="2484" xr:uid="{00000000-0005-0000-0000-0000DA1E0000}"/>
    <cellStyle name="20% - Accent5 2 4" xfId="911" xr:uid="{00000000-0005-0000-0000-0000DB1E0000}"/>
    <cellStyle name="20% - Accent5 2 4 2" xfId="1839" xr:uid="{00000000-0005-0000-0000-0000DC1E0000}"/>
    <cellStyle name="20% - Accent5 2 4 2 2" xfId="5357" xr:uid="{00000000-0005-0000-0000-0000DD1E0000}"/>
    <cellStyle name="20% - Accent5 2 4 2 2 2" xfId="8948" xr:uid="{00000000-0005-0000-0000-0000DE1E0000}"/>
    <cellStyle name="20% - Accent5 2 4 2 2 2 2" xfId="16919" xr:uid="{00000000-0005-0000-0000-0000DF1E0000}"/>
    <cellStyle name="20% - Accent5 2 4 2 2 2 2 2" xfId="40761" xr:uid="{95713E84-B24A-4787-8935-66461324EC5F}"/>
    <cellStyle name="20% - Accent5 2 4 2 2 2 3" xfId="24865" xr:uid="{00000000-0005-0000-0000-0000E01E0000}"/>
    <cellStyle name="20% - Accent5 2 4 2 2 2 3 2" xfId="48697" xr:uid="{B682CDB4-DB57-45AB-9164-777610450D39}"/>
    <cellStyle name="20% - Accent5 2 4 2 2 2 4" xfId="32820" xr:uid="{482C5C49-1480-42DB-9B42-38B117FC92D1}"/>
    <cellStyle name="20% - Accent5 2 4 2 2 3" xfId="13381" xr:uid="{00000000-0005-0000-0000-0000E11E0000}"/>
    <cellStyle name="20% - Accent5 2 4 2 2 3 2" xfId="37230" xr:uid="{84F3DB1F-F06B-41B5-99DC-2B837839C702}"/>
    <cellStyle name="20% - Accent5 2 4 2 2 4" xfId="21336" xr:uid="{00000000-0005-0000-0000-0000E21E0000}"/>
    <cellStyle name="20% - Accent5 2 4 2 2 4 2" xfId="45168" xr:uid="{7EC22814-16DC-4290-9929-CB22CBD808D7}"/>
    <cellStyle name="20% - Accent5 2 4 2 2 5" xfId="29289" xr:uid="{E0230F5E-EE9F-4C4A-AD02-8D7EC14FC382}"/>
    <cellStyle name="20% - Accent5 2 4 2 3" xfId="7189" xr:uid="{00000000-0005-0000-0000-0000E31E0000}"/>
    <cellStyle name="20% - Accent5 2 4 2 3 2" xfId="15161" xr:uid="{00000000-0005-0000-0000-0000E41E0000}"/>
    <cellStyle name="20% - Accent5 2 4 2 3 2 2" xfId="39003" xr:uid="{D22E2B96-5139-4454-BA6F-78E04CBA1D28}"/>
    <cellStyle name="20% - Accent5 2 4 2 3 3" xfId="23108" xr:uid="{00000000-0005-0000-0000-0000E51E0000}"/>
    <cellStyle name="20% - Accent5 2 4 2 3 3 2" xfId="46940" xr:uid="{2D621961-DFCA-4092-A384-CB40507E4C52}"/>
    <cellStyle name="20% - Accent5 2 4 2 3 4" xfId="31062" xr:uid="{E922E5A7-4A68-4C50-9174-F7F6B5D12E50}"/>
    <cellStyle name="20% - Accent5 2 4 2 4" xfId="11625" xr:uid="{00000000-0005-0000-0000-0000E61E0000}"/>
    <cellStyle name="20% - Accent5 2 4 2 4 2" xfId="35474" xr:uid="{7FBA52C5-C37C-49E4-B7EB-FF26BB9DA90E}"/>
    <cellStyle name="20% - Accent5 2 4 2 5" xfId="19580" xr:uid="{00000000-0005-0000-0000-0000E71E0000}"/>
    <cellStyle name="20% - Accent5 2 4 2 5 2" xfId="43412" xr:uid="{FC6C69A1-11C1-4C6D-A1AC-725FDED0D120}"/>
    <cellStyle name="20% - Accent5 2 4 2 6" xfId="27532" xr:uid="{A44B3D99-E4E7-4A03-A558-DC6647767208}"/>
    <cellStyle name="20% - Accent5 2 4 2_Exh G" xfId="2487" xr:uid="{00000000-0005-0000-0000-0000E81E0000}"/>
    <cellStyle name="20% - Accent5 2 4 3" xfId="4478" xr:uid="{00000000-0005-0000-0000-0000E91E0000}"/>
    <cellStyle name="20% - Accent5 2 4 3 2" xfId="8070" xr:uid="{00000000-0005-0000-0000-0000EA1E0000}"/>
    <cellStyle name="20% - Accent5 2 4 3 2 2" xfId="16041" xr:uid="{00000000-0005-0000-0000-0000EB1E0000}"/>
    <cellStyle name="20% - Accent5 2 4 3 2 2 2" xfId="39883" xr:uid="{6948E651-687D-4A1A-BC65-36684F0A7E7F}"/>
    <cellStyle name="20% - Accent5 2 4 3 2 3" xfId="23987" xr:uid="{00000000-0005-0000-0000-0000EC1E0000}"/>
    <cellStyle name="20% - Accent5 2 4 3 2 3 2" xfId="47819" xr:uid="{847D03C7-887D-4811-B18A-58CE14183B68}"/>
    <cellStyle name="20% - Accent5 2 4 3 2 4" xfId="31942" xr:uid="{52C0C719-F5EE-4CE5-B616-AE76C85DA144}"/>
    <cellStyle name="20% - Accent5 2 4 3 3" xfId="12503" xr:uid="{00000000-0005-0000-0000-0000ED1E0000}"/>
    <cellStyle name="20% - Accent5 2 4 3 3 2" xfId="36352" xr:uid="{957166A5-5EC0-4F6B-9B1B-9DEFF0064DC9}"/>
    <cellStyle name="20% - Accent5 2 4 3 4" xfId="20458" xr:uid="{00000000-0005-0000-0000-0000EE1E0000}"/>
    <cellStyle name="20% - Accent5 2 4 3 4 2" xfId="44290" xr:uid="{71F740DD-A26D-4D5A-B270-9BB8410039BA}"/>
    <cellStyle name="20% - Accent5 2 4 3 5" xfId="28411" xr:uid="{73000160-7397-44CE-AF4D-7FE35E21F54F}"/>
    <cellStyle name="20% - Accent5 2 4 4" xfId="6308" xr:uid="{00000000-0005-0000-0000-0000EF1E0000}"/>
    <cellStyle name="20% - Accent5 2 4 4 2" xfId="14283" xr:uid="{00000000-0005-0000-0000-0000F01E0000}"/>
    <cellStyle name="20% - Accent5 2 4 4 2 2" xfId="38125" xr:uid="{2C5676C9-8BA8-4859-898C-A1D9A5FEB612}"/>
    <cellStyle name="20% - Accent5 2 4 4 3" xfId="22230" xr:uid="{00000000-0005-0000-0000-0000F11E0000}"/>
    <cellStyle name="20% - Accent5 2 4 4 3 2" xfId="46062" xr:uid="{D442B29E-4695-45A6-B8AA-BCCD65BEA3C7}"/>
    <cellStyle name="20% - Accent5 2 4 4 4" xfId="30184" xr:uid="{06AFE1EE-2163-4C89-9255-C32B3F4D3B4E}"/>
    <cellStyle name="20% - Accent5 2 4 5" xfId="9851" xr:uid="{00000000-0005-0000-0000-0000F21E0000}"/>
    <cellStyle name="20% - Accent5 2 4 5 2" xfId="17809" xr:uid="{00000000-0005-0000-0000-0000F31E0000}"/>
    <cellStyle name="20% - Accent5 2 4 5 2 2" xfId="41649" xr:uid="{D642E8B4-B610-4286-BECD-B9DD78565BC3}"/>
    <cellStyle name="20% - Accent5 2 4 5 3" xfId="25753" xr:uid="{00000000-0005-0000-0000-0000F41E0000}"/>
    <cellStyle name="20% - Accent5 2 4 5 3 2" xfId="49585" xr:uid="{8060629F-2779-4C55-AD76-0393AD19D44B}"/>
    <cellStyle name="20% - Accent5 2 4 5 4" xfId="33708" xr:uid="{4D3378FE-A025-495A-96B3-AE2E6D32BB1C}"/>
    <cellStyle name="20% - Accent5 2 4 6" xfId="10747" xr:uid="{00000000-0005-0000-0000-0000F51E0000}"/>
    <cellStyle name="20% - Accent5 2 4 6 2" xfId="34596" xr:uid="{2B98C86D-C321-434F-B3CE-09EBF531C58F}"/>
    <cellStyle name="20% - Accent5 2 4 7" xfId="18702" xr:uid="{00000000-0005-0000-0000-0000F61E0000}"/>
    <cellStyle name="20% - Accent5 2 4 7 2" xfId="42534" xr:uid="{CEEB0BC4-A458-4C1A-AA81-FEBA211AAD49}"/>
    <cellStyle name="20% - Accent5 2 4 8" xfId="26654" xr:uid="{F0DD4FD4-5806-4FF0-9187-D02245D7EEA8}"/>
    <cellStyle name="20% - Accent5 2 4_Exh G" xfId="2486" xr:uid="{00000000-0005-0000-0000-0000F71E0000}"/>
    <cellStyle name="20% - Accent5 2 5" xfId="1276" xr:uid="{00000000-0005-0000-0000-0000F81E0000}"/>
    <cellStyle name="20% - Accent5 2 5 2" xfId="4806" xr:uid="{00000000-0005-0000-0000-0000F91E0000}"/>
    <cellStyle name="20% - Accent5 2 5 2 2" xfId="8397" xr:uid="{00000000-0005-0000-0000-0000FA1E0000}"/>
    <cellStyle name="20% - Accent5 2 5 2 2 2" xfId="16368" xr:uid="{00000000-0005-0000-0000-0000FB1E0000}"/>
    <cellStyle name="20% - Accent5 2 5 2 2 2 2" xfId="40210" xr:uid="{8F560EAD-CE0F-47A3-A441-9AE72AB9F6D7}"/>
    <cellStyle name="20% - Accent5 2 5 2 2 3" xfId="24314" xr:uid="{00000000-0005-0000-0000-0000FC1E0000}"/>
    <cellStyle name="20% - Accent5 2 5 2 2 3 2" xfId="48146" xr:uid="{6437FEB3-0210-420D-9E51-8FD1779EB080}"/>
    <cellStyle name="20% - Accent5 2 5 2 2 4" xfId="32269" xr:uid="{6B1094FB-49BD-431F-B5C5-0769EBD48812}"/>
    <cellStyle name="20% - Accent5 2 5 2 3" xfId="12830" xr:uid="{00000000-0005-0000-0000-0000FD1E0000}"/>
    <cellStyle name="20% - Accent5 2 5 2 3 2" xfId="36679" xr:uid="{502D1A35-FA37-447F-8919-6AB5EB482061}"/>
    <cellStyle name="20% - Accent5 2 5 2 4" xfId="20785" xr:uid="{00000000-0005-0000-0000-0000FE1E0000}"/>
    <cellStyle name="20% - Accent5 2 5 2 4 2" xfId="44617" xr:uid="{4A9595B9-36DB-41A4-A056-29647EAA53E1}"/>
    <cellStyle name="20% - Accent5 2 5 2 5" xfId="28738" xr:uid="{19164F66-FD72-4FA0-89E8-9E55875EBCE1}"/>
    <cellStyle name="20% - Accent5 2 5 3" xfId="6638" xr:uid="{00000000-0005-0000-0000-0000FF1E0000}"/>
    <cellStyle name="20% - Accent5 2 5 3 2" xfId="14610" xr:uid="{00000000-0005-0000-0000-0000001F0000}"/>
    <cellStyle name="20% - Accent5 2 5 3 2 2" xfId="38452" xr:uid="{C7971F98-F980-441D-AB92-CCFC146DDED5}"/>
    <cellStyle name="20% - Accent5 2 5 3 3" xfId="22557" xr:uid="{00000000-0005-0000-0000-0000011F0000}"/>
    <cellStyle name="20% - Accent5 2 5 3 3 2" xfId="46389" xr:uid="{9403341A-FCE8-4041-8B0F-9E719ACFE80B}"/>
    <cellStyle name="20% - Accent5 2 5 3 4" xfId="30511" xr:uid="{7749FAAA-8F9A-427C-B1D5-85987090D698}"/>
    <cellStyle name="20% - Accent5 2 5 4" xfId="11074" xr:uid="{00000000-0005-0000-0000-0000021F0000}"/>
    <cellStyle name="20% - Accent5 2 5 4 2" xfId="34923" xr:uid="{3CEBD589-07F7-47B5-B519-642F70AB7E4A}"/>
    <cellStyle name="20% - Accent5 2 5 5" xfId="19029" xr:uid="{00000000-0005-0000-0000-0000031F0000}"/>
    <cellStyle name="20% - Accent5 2 5 5 2" xfId="42861" xr:uid="{EAA253B7-9BB2-4B52-A7C5-305D635CE84A}"/>
    <cellStyle name="20% - Accent5 2 5 6" xfId="26981" xr:uid="{2A0BCCD8-D79D-43A4-8B2A-5E754A25AD68}"/>
    <cellStyle name="20% - Accent5 2 5_Exh G" xfId="2488" xr:uid="{00000000-0005-0000-0000-0000041F0000}"/>
    <cellStyle name="20% - Accent5 2 6" xfId="3927" xr:uid="{00000000-0005-0000-0000-0000051F0000}"/>
    <cellStyle name="20% - Accent5 2 6 2" xfId="7519" xr:uid="{00000000-0005-0000-0000-0000061F0000}"/>
    <cellStyle name="20% - Accent5 2 6 2 2" xfId="15490" xr:uid="{00000000-0005-0000-0000-0000071F0000}"/>
    <cellStyle name="20% - Accent5 2 6 2 2 2" xfId="39332" xr:uid="{9992EC6D-FF4D-479E-8FCD-AA2B3C306BBB}"/>
    <cellStyle name="20% - Accent5 2 6 2 3" xfId="23436" xr:uid="{00000000-0005-0000-0000-0000081F0000}"/>
    <cellStyle name="20% - Accent5 2 6 2 3 2" xfId="47268" xr:uid="{D6A4C343-DBE9-4589-9C57-41F309DFA27A}"/>
    <cellStyle name="20% - Accent5 2 6 2 4" xfId="31391" xr:uid="{82F2DE8C-A9F8-493F-99E3-F255C1E8B221}"/>
    <cellStyle name="20% - Accent5 2 6 3" xfId="11952" xr:uid="{00000000-0005-0000-0000-0000091F0000}"/>
    <cellStyle name="20% - Accent5 2 6 3 2" xfId="35801" xr:uid="{5BA5A169-340D-4E03-9AD7-73F3AD5636C2}"/>
    <cellStyle name="20% - Accent5 2 6 4" xfId="19907" xr:uid="{00000000-0005-0000-0000-00000A1F0000}"/>
    <cellStyle name="20% - Accent5 2 6 4 2" xfId="43739" xr:uid="{89A6F20F-E6BC-4F97-8845-B346A9C0FCAB}"/>
    <cellStyle name="20% - Accent5 2 6 5" xfId="27860" xr:uid="{736A5600-757E-46CA-B8A4-7FEA559ECA85}"/>
    <cellStyle name="20% - Accent5 2 7" xfId="5747" xr:uid="{00000000-0005-0000-0000-00000B1F0000}"/>
    <cellStyle name="20% - Accent5 2 7 2" xfId="13731" xr:uid="{00000000-0005-0000-0000-00000C1F0000}"/>
    <cellStyle name="20% - Accent5 2 7 2 2" xfId="37574" xr:uid="{345ADE02-1DBF-46AC-97FA-CD29B7BA28CE}"/>
    <cellStyle name="20% - Accent5 2 7 3" xfId="21679" xr:uid="{00000000-0005-0000-0000-00000D1F0000}"/>
    <cellStyle name="20% - Accent5 2 7 3 2" xfId="45511" xr:uid="{B8346EFD-45B4-41CC-ABC6-20408716C200}"/>
    <cellStyle name="20% - Accent5 2 7 4" xfId="29633" xr:uid="{7425D9E3-AA18-4533-B6BC-6AD78C8A7064}"/>
    <cellStyle name="20% - Accent5 2 8" xfId="9300" xr:uid="{00000000-0005-0000-0000-00000E1F0000}"/>
    <cellStyle name="20% - Accent5 2 8 2" xfId="17258" xr:uid="{00000000-0005-0000-0000-00000F1F0000}"/>
    <cellStyle name="20% - Accent5 2 8 2 2" xfId="41098" xr:uid="{E73ECFB0-5350-4E87-84E5-06F2DB6F3098}"/>
    <cellStyle name="20% - Accent5 2 8 3" xfId="25202" xr:uid="{00000000-0005-0000-0000-0000101F0000}"/>
    <cellStyle name="20% - Accent5 2 8 3 2" xfId="49034" xr:uid="{2855E040-B7DF-4B7C-B684-1954AFC65BD5}"/>
    <cellStyle name="20% - Accent5 2 8 4" xfId="33157" xr:uid="{4A4584E7-2EA1-454E-A6A0-BCF62FDCA472}"/>
    <cellStyle name="20% - Accent5 2 9" xfId="10196" xr:uid="{00000000-0005-0000-0000-0000111F0000}"/>
    <cellStyle name="20% - Accent5 2 9 2" xfId="34045" xr:uid="{7BC756EA-4039-43FA-908F-C1B98DE3F8D7}"/>
    <cellStyle name="20% - Accent5 2_Exh G" xfId="2477" xr:uid="{00000000-0005-0000-0000-0000121F0000}"/>
    <cellStyle name="20% - Accent5 3" xfId="252" xr:uid="{00000000-0005-0000-0000-0000131F0000}"/>
    <cellStyle name="20% - Accent5 3 10" xfId="18155" xr:uid="{00000000-0005-0000-0000-0000141F0000}"/>
    <cellStyle name="20% - Accent5 3 10 2" xfId="41987" xr:uid="{D1A15652-8611-4422-808E-FC92FCA3FF2A}"/>
    <cellStyle name="20% - Accent5 3 11" xfId="26107" xr:uid="{9D55866E-B3CC-4633-9DAD-DD871A9F33E3}"/>
    <cellStyle name="20% - Accent5 3 12" xfId="49773" xr:uid="{B1364B62-E969-4E62-A715-EC57E16D280D}"/>
    <cellStyle name="20% - Accent5 3 13" xfId="49827" xr:uid="{67BC31E0-703A-42E3-BF41-EDE96BDA5966}"/>
    <cellStyle name="20% - Accent5 3 2" xfId="253" xr:uid="{00000000-0005-0000-0000-0000151F0000}"/>
    <cellStyle name="20% - Accent5 3 2 10" xfId="26108" xr:uid="{4E967EBA-3B6F-46A8-9D48-1F5617BDD4F8}"/>
    <cellStyle name="20% - Accent5 3 2 2" xfId="254" xr:uid="{00000000-0005-0000-0000-0000161F0000}"/>
    <cellStyle name="20% - Accent5 3 2 2 2" xfId="1282" xr:uid="{00000000-0005-0000-0000-0000171F0000}"/>
    <cellStyle name="20% - Accent5 3 2 2 2 2" xfId="4812" xr:uid="{00000000-0005-0000-0000-0000181F0000}"/>
    <cellStyle name="20% - Accent5 3 2 2 2 2 2" xfId="8403" xr:uid="{00000000-0005-0000-0000-0000191F0000}"/>
    <cellStyle name="20% - Accent5 3 2 2 2 2 2 2" xfId="16374" xr:uid="{00000000-0005-0000-0000-00001A1F0000}"/>
    <cellStyle name="20% - Accent5 3 2 2 2 2 2 2 2" xfId="40216" xr:uid="{DDF06356-1981-49F6-A847-848A42EB7D04}"/>
    <cellStyle name="20% - Accent5 3 2 2 2 2 2 3" xfId="24320" xr:uid="{00000000-0005-0000-0000-00001B1F0000}"/>
    <cellStyle name="20% - Accent5 3 2 2 2 2 2 3 2" xfId="48152" xr:uid="{C9C7C27F-D793-4BFC-B17A-0732A2DDFAFA}"/>
    <cellStyle name="20% - Accent5 3 2 2 2 2 2 4" xfId="32275" xr:uid="{1B5C7698-A558-437E-94D6-DBB1053F699F}"/>
    <cellStyle name="20% - Accent5 3 2 2 2 2 3" xfId="12836" xr:uid="{00000000-0005-0000-0000-00001C1F0000}"/>
    <cellStyle name="20% - Accent5 3 2 2 2 2 3 2" xfId="36685" xr:uid="{1B201984-8ED8-4F72-8056-F8048901341C}"/>
    <cellStyle name="20% - Accent5 3 2 2 2 2 4" xfId="20791" xr:uid="{00000000-0005-0000-0000-00001D1F0000}"/>
    <cellStyle name="20% - Accent5 3 2 2 2 2 4 2" xfId="44623" xr:uid="{11AD5967-493F-49A0-AF29-BF2C6FD1A574}"/>
    <cellStyle name="20% - Accent5 3 2 2 2 2 5" xfId="28744" xr:uid="{92779F6B-A4F8-4235-A8EA-54EE722F503F}"/>
    <cellStyle name="20% - Accent5 3 2 2 2 3" xfId="6644" xr:uid="{00000000-0005-0000-0000-00001E1F0000}"/>
    <cellStyle name="20% - Accent5 3 2 2 2 3 2" xfId="14616" xr:uid="{00000000-0005-0000-0000-00001F1F0000}"/>
    <cellStyle name="20% - Accent5 3 2 2 2 3 2 2" xfId="38458" xr:uid="{8F12F087-F185-477B-BE2B-1F892B80012F}"/>
    <cellStyle name="20% - Accent5 3 2 2 2 3 3" xfId="22563" xr:uid="{00000000-0005-0000-0000-0000201F0000}"/>
    <cellStyle name="20% - Accent5 3 2 2 2 3 3 2" xfId="46395" xr:uid="{DA39E621-7C3C-4707-BB4A-B741343B85A0}"/>
    <cellStyle name="20% - Accent5 3 2 2 2 3 4" xfId="30517" xr:uid="{299D008F-8A12-440B-9A76-8D54D32BD45B}"/>
    <cellStyle name="20% - Accent5 3 2 2 2 4" xfId="11080" xr:uid="{00000000-0005-0000-0000-0000211F0000}"/>
    <cellStyle name="20% - Accent5 3 2 2 2 4 2" xfId="34929" xr:uid="{AD1D88D7-1731-4D1D-83E5-5CD4813494D6}"/>
    <cellStyle name="20% - Accent5 3 2 2 2 5" xfId="19035" xr:uid="{00000000-0005-0000-0000-0000221F0000}"/>
    <cellStyle name="20% - Accent5 3 2 2 2 5 2" xfId="42867" xr:uid="{7658D699-B029-4724-B7FB-4E478B50C738}"/>
    <cellStyle name="20% - Accent5 3 2 2 2 6" xfId="26987" xr:uid="{F14A16C7-F2EA-4F12-955F-DCB03DAB8BD7}"/>
    <cellStyle name="20% - Accent5 3 2 2 2_Exh G" xfId="2492" xr:uid="{00000000-0005-0000-0000-0000231F0000}"/>
    <cellStyle name="20% - Accent5 3 2 2 3" xfId="3933" xr:uid="{00000000-0005-0000-0000-0000241F0000}"/>
    <cellStyle name="20% - Accent5 3 2 2 3 2" xfId="7525" xr:uid="{00000000-0005-0000-0000-0000251F0000}"/>
    <cellStyle name="20% - Accent5 3 2 2 3 2 2" xfId="15496" xr:uid="{00000000-0005-0000-0000-0000261F0000}"/>
    <cellStyle name="20% - Accent5 3 2 2 3 2 2 2" xfId="39338" xr:uid="{E5455759-48B3-498D-85A2-982FED88897C}"/>
    <cellStyle name="20% - Accent5 3 2 2 3 2 3" xfId="23442" xr:uid="{00000000-0005-0000-0000-0000271F0000}"/>
    <cellStyle name="20% - Accent5 3 2 2 3 2 3 2" xfId="47274" xr:uid="{897397B2-FE25-47F0-BB0B-37F9C792D2F8}"/>
    <cellStyle name="20% - Accent5 3 2 2 3 2 4" xfId="31397" xr:uid="{EAC9360A-3A3B-4BB9-B112-E92C244585A7}"/>
    <cellStyle name="20% - Accent5 3 2 2 3 3" xfId="11958" xr:uid="{00000000-0005-0000-0000-0000281F0000}"/>
    <cellStyle name="20% - Accent5 3 2 2 3 3 2" xfId="35807" xr:uid="{0BE2B348-F156-4A1D-8648-271F2B2FF0FD}"/>
    <cellStyle name="20% - Accent5 3 2 2 3 4" xfId="19913" xr:uid="{00000000-0005-0000-0000-0000291F0000}"/>
    <cellStyle name="20% - Accent5 3 2 2 3 4 2" xfId="43745" xr:uid="{80F59EF7-870A-495B-9A0D-E35986FFB8F6}"/>
    <cellStyle name="20% - Accent5 3 2 2 3 5" xfId="27866" xr:uid="{44C36D88-ECA9-4F2A-8C9F-1F0E5DE40829}"/>
    <cellStyle name="20% - Accent5 3 2 2 4" xfId="5753" xr:uid="{00000000-0005-0000-0000-00002A1F0000}"/>
    <cellStyle name="20% - Accent5 3 2 2 4 2" xfId="13737" xr:uid="{00000000-0005-0000-0000-00002B1F0000}"/>
    <cellStyle name="20% - Accent5 3 2 2 4 2 2" xfId="37580" xr:uid="{419E5172-386A-4ECE-BB73-EFEBB6F53206}"/>
    <cellStyle name="20% - Accent5 3 2 2 4 3" xfId="21685" xr:uid="{00000000-0005-0000-0000-00002C1F0000}"/>
    <cellStyle name="20% - Accent5 3 2 2 4 3 2" xfId="45517" xr:uid="{1DC15D6F-557D-4C47-AEAF-4B1E16A5C303}"/>
    <cellStyle name="20% - Accent5 3 2 2 4 4" xfId="29639" xr:uid="{AF8DCCE2-5E2F-4DAC-9091-F0B169091A3D}"/>
    <cellStyle name="20% - Accent5 3 2 2 5" xfId="9306" xr:uid="{00000000-0005-0000-0000-00002D1F0000}"/>
    <cellStyle name="20% - Accent5 3 2 2 5 2" xfId="17264" xr:uid="{00000000-0005-0000-0000-00002E1F0000}"/>
    <cellStyle name="20% - Accent5 3 2 2 5 2 2" xfId="41104" xr:uid="{708E1DCF-1367-4B79-9E4B-D74685313838}"/>
    <cellStyle name="20% - Accent5 3 2 2 5 3" xfId="25208" xr:uid="{00000000-0005-0000-0000-00002F1F0000}"/>
    <cellStyle name="20% - Accent5 3 2 2 5 3 2" xfId="49040" xr:uid="{D2724CCC-B9A7-402C-BA60-6434A819E007}"/>
    <cellStyle name="20% - Accent5 3 2 2 5 4" xfId="33163" xr:uid="{F2A2B110-183B-478C-AC3F-755D6D32616D}"/>
    <cellStyle name="20% - Accent5 3 2 2 6" xfId="10202" xr:uid="{00000000-0005-0000-0000-0000301F0000}"/>
    <cellStyle name="20% - Accent5 3 2 2 6 2" xfId="34051" xr:uid="{373D417B-CC7A-4530-9986-BC08E0DFAB87}"/>
    <cellStyle name="20% - Accent5 3 2 2 7" xfId="18157" xr:uid="{00000000-0005-0000-0000-0000311F0000}"/>
    <cellStyle name="20% - Accent5 3 2 2 7 2" xfId="41989" xr:uid="{45D5D31F-4495-47A8-A477-8EA112516745}"/>
    <cellStyle name="20% - Accent5 3 2 2 8" xfId="26109" xr:uid="{90A8663B-7FE9-42C4-921A-AB4BB096FA68}"/>
    <cellStyle name="20% - Accent5 3 2 2_Exh G" xfId="2491" xr:uid="{00000000-0005-0000-0000-0000321F0000}"/>
    <cellStyle name="20% - Accent5 3 2 3" xfId="914" xr:uid="{00000000-0005-0000-0000-0000331F0000}"/>
    <cellStyle name="20% - Accent5 3 2 3 2" xfId="1842" xr:uid="{00000000-0005-0000-0000-0000341F0000}"/>
    <cellStyle name="20% - Accent5 3 2 3 2 2" xfId="5360" xr:uid="{00000000-0005-0000-0000-0000351F0000}"/>
    <cellStyle name="20% - Accent5 3 2 3 2 2 2" xfId="8951" xr:uid="{00000000-0005-0000-0000-0000361F0000}"/>
    <cellStyle name="20% - Accent5 3 2 3 2 2 2 2" xfId="16922" xr:uid="{00000000-0005-0000-0000-0000371F0000}"/>
    <cellStyle name="20% - Accent5 3 2 3 2 2 2 2 2" xfId="40764" xr:uid="{3CFFEB1F-67C4-475B-AFA9-DC8794278EE4}"/>
    <cellStyle name="20% - Accent5 3 2 3 2 2 2 3" xfId="24868" xr:uid="{00000000-0005-0000-0000-0000381F0000}"/>
    <cellStyle name="20% - Accent5 3 2 3 2 2 2 3 2" xfId="48700" xr:uid="{76AABF60-B084-4D82-8A16-3FA9ED5FB1F6}"/>
    <cellStyle name="20% - Accent5 3 2 3 2 2 2 4" xfId="32823" xr:uid="{A3145CE2-6AB0-48F2-BCAD-009844363F6C}"/>
    <cellStyle name="20% - Accent5 3 2 3 2 2 3" xfId="13384" xr:uid="{00000000-0005-0000-0000-0000391F0000}"/>
    <cellStyle name="20% - Accent5 3 2 3 2 2 3 2" xfId="37233" xr:uid="{CD9C6B03-F2DC-44A8-9D5E-2A656D3D063F}"/>
    <cellStyle name="20% - Accent5 3 2 3 2 2 4" xfId="21339" xr:uid="{00000000-0005-0000-0000-00003A1F0000}"/>
    <cellStyle name="20% - Accent5 3 2 3 2 2 4 2" xfId="45171" xr:uid="{F68B36D0-7F28-4808-A086-AD7D3C7BD44B}"/>
    <cellStyle name="20% - Accent5 3 2 3 2 2 5" xfId="29292" xr:uid="{564A1EE2-5B6A-4B9D-935F-3A004542B835}"/>
    <cellStyle name="20% - Accent5 3 2 3 2 3" xfId="7192" xr:uid="{00000000-0005-0000-0000-00003B1F0000}"/>
    <cellStyle name="20% - Accent5 3 2 3 2 3 2" xfId="15164" xr:uid="{00000000-0005-0000-0000-00003C1F0000}"/>
    <cellStyle name="20% - Accent5 3 2 3 2 3 2 2" xfId="39006" xr:uid="{41210852-D61A-4682-B123-737F73DACD40}"/>
    <cellStyle name="20% - Accent5 3 2 3 2 3 3" xfId="23111" xr:uid="{00000000-0005-0000-0000-00003D1F0000}"/>
    <cellStyle name="20% - Accent5 3 2 3 2 3 3 2" xfId="46943" xr:uid="{4CE5BC37-436D-429C-8645-BE58A87F4B77}"/>
    <cellStyle name="20% - Accent5 3 2 3 2 3 4" xfId="31065" xr:uid="{8E0575AF-3C12-4992-A0A8-B40473FC1164}"/>
    <cellStyle name="20% - Accent5 3 2 3 2 4" xfId="11628" xr:uid="{00000000-0005-0000-0000-00003E1F0000}"/>
    <cellStyle name="20% - Accent5 3 2 3 2 4 2" xfId="35477" xr:uid="{AF6938D5-1CBF-437A-BECB-FE7A090D7561}"/>
    <cellStyle name="20% - Accent5 3 2 3 2 5" xfId="19583" xr:uid="{00000000-0005-0000-0000-00003F1F0000}"/>
    <cellStyle name="20% - Accent5 3 2 3 2 5 2" xfId="43415" xr:uid="{636832E6-A583-4B6D-9559-70FED2A5BC68}"/>
    <cellStyle name="20% - Accent5 3 2 3 2 6" xfId="27535" xr:uid="{3D0DDEB0-C5EA-4850-9988-754149F9737E}"/>
    <cellStyle name="20% - Accent5 3 2 3 2_Exh G" xfId="2494" xr:uid="{00000000-0005-0000-0000-0000401F0000}"/>
    <cellStyle name="20% - Accent5 3 2 3 3" xfId="4481" xr:uid="{00000000-0005-0000-0000-0000411F0000}"/>
    <cellStyle name="20% - Accent5 3 2 3 3 2" xfId="8073" xr:uid="{00000000-0005-0000-0000-0000421F0000}"/>
    <cellStyle name="20% - Accent5 3 2 3 3 2 2" xfId="16044" xr:uid="{00000000-0005-0000-0000-0000431F0000}"/>
    <cellStyle name="20% - Accent5 3 2 3 3 2 2 2" xfId="39886" xr:uid="{FA817DA5-79AA-4A1B-B69A-5B24DFB6BA8A}"/>
    <cellStyle name="20% - Accent5 3 2 3 3 2 3" xfId="23990" xr:uid="{00000000-0005-0000-0000-0000441F0000}"/>
    <cellStyle name="20% - Accent5 3 2 3 3 2 3 2" xfId="47822" xr:uid="{A8813BA7-A4AB-4C8A-AF9F-F3E58F6FA75D}"/>
    <cellStyle name="20% - Accent5 3 2 3 3 2 4" xfId="31945" xr:uid="{EED0999B-7D2F-4E9E-9FD2-5E4B9CE19193}"/>
    <cellStyle name="20% - Accent5 3 2 3 3 3" xfId="12506" xr:uid="{00000000-0005-0000-0000-0000451F0000}"/>
    <cellStyle name="20% - Accent5 3 2 3 3 3 2" xfId="36355" xr:uid="{1B3DEF65-9AA9-49DB-9B2F-DEC10B011C37}"/>
    <cellStyle name="20% - Accent5 3 2 3 3 4" xfId="20461" xr:uid="{00000000-0005-0000-0000-0000461F0000}"/>
    <cellStyle name="20% - Accent5 3 2 3 3 4 2" xfId="44293" xr:uid="{5A9CDAD9-E67B-42C6-9CBB-E365CF7C1D73}"/>
    <cellStyle name="20% - Accent5 3 2 3 3 5" xfId="28414" xr:uid="{B0510770-50BD-4133-965E-2BC1D7969218}"/>
    <cellStyle name="20% - Accent5 3 2 3 4" xfId="6311" xr:uid="{00000000-0005-0000-0000-0000471F0000}"/>
    <cellStyle name="20% - Accent5 3 2 3 4 2" xfId="14286" xr:uid="{00000000-0005-0000-0000-0000481F0000}"/>
    <cellStyle name="20% - Accent5 3 2 3 4 2 2" xfId="38128" xr:uid="{70DD2ECB-135F-4205-9ABC-AA8A13C5361E}"/>
    <cellStyle name="20% - Accent5 3 2 3 4 3" xfId="22233" xr:uid="{00000000-0005-0000-0000-0000491F0000}"/>
    <cellStyle name="20% - Accent5 3 2 3 4 3 2" xfId="46065" xr:uid="{0FC9CAFF-5AA3-4654-8BF9-2BA3CDF993E3}"/>
    <cellStyle name="20% - Accent5 3 2 3 4 4" xfId="30187" xr:uid="{4D7ED8C3-23F7-4DEB-836E-427531E57CF5}"/>
    <cellStyle name="20% - Accent5 3 2 3 5" xfId="9854" xr:uid="{00000000-0005-0000-0000-00004A1F0000}"/>
    <cellStyle name="20% - Accent5 3 2 3 5 2" xfId="17812" xr:uid="{00000000-0005-0000-0000-00004B1F0000}"/>
    <cellStyle name="20% - Accent5 3 2 3 5 2 2" xfId="41652" xr:uid="{DF645FE0-A680-4E2A-A5FA-3BA12439FA28}"/>
    <cellStyle name="20% - Accent5 3 2 3 5 3" xfId="25756" xr:uid="{00000000-0005-0000-0000-00004C1F0000}"/>
    <cellStyle name="20% - Accent5 3 2 3 5 3 2" xfId="49588" xr:uid="{31BCCD6B-C447-4E6D-81D6-100A02B20348}"/>
    <cellStyle name="20% - Accent5 3 2 3 5 4" xfId="33711" xr:uid="{0FE5A241-48C2-4EAA-AE98-884C3EFB7A91}"/>
    <cellStyle name="20% - Accent5 3 2 3 6" xfId="10750" xr:uid="{00000000-0005-0000-0000-00004D1F0000}"/>
    <cellStyle name="20% - Accent5 3 2 3 6 2" xfId="34599" xr:uid="{BC84EED9-6CE1-4D70-9D95-BD6953C2B79D}"/>
    <cellStyle name="20% - Accent5 3 2 3 7" xfId="18705" xr:uid="{00000000-0005-0000-0000-00004E1F0000}"/>
    <cellStyle name="20% - Accent5 3 2 3 7 2" xfId="42537" xr:uid="{F7093080-B411-4685-87C8-EFA77DC18F03}"/>
    <cellStyle name="20% - Accent5 3 2 3 8" xfId="26657" xr:uid="{DAF429D2-9F89-4876-A76B-EF39C5C3D094}"/>
    <cellStyle name="20% - Accent5 3 2 3_Exh G" xfId="2493" xr:uid="{00000000-0005-0000-0000-00004F1F0000}"/>
    <cellStyle name="20% - Accent5 3 2 4" xfId="1281" xr:uid="{00000000-0005-0000-0000-0000501F0000}"/>
    <cellStyle name="20% - Accent5 3 2 4 2" xfId="4811" xr:uid="{00000000-0005-0000-0000-0000511F0000}"/>
    <cellStyle name="20% - Accent5 3 2 4 2 2" xfId="8402" xr:uid="{00000000-0005-0000-0000-0000521F0000}"/>
    <cellStyle name="20% - Accent5 3 2 4 2 2 2" xfId="16373" xr:uid="{00000000-0005-0000-0000-0000531F0000}"/>
    <cellStyle name="20% - Accent5 3 2 4 2 2 2 2" xfId="40215" xr:uid="{C2F54819-7F17-4288-BE28-F4B98CF95170}"/>
    <cellStyle name="20% - Accent5 3 2 4 2 2 3" xfId="24319" xr:uid="{00000000-0005-0000-0000-0000541F0000}"/>
    <cellStyle name="20% - Accent5 3 2 4 2 2 3 2" xfId="48151" xr:uid="{F1D8D911-811E-403A-978E-1238697D023C}"/>
    <cellStyle name="20% - Accent5 3 2 4 2 2 4" xfId="32274" xr:uid="{28FB328B-B080-4460-834B-A598B67C3382}"/>
    <cellStyle name="20% - Accent5 3 2 4 2 3" xfId="12835" xr:uid="{00000000-0005-0000-0000-0000551F0000}"/>
    <cellStyle name="20% - Accent5 3 2 4 2 3 2" xfId="36684" xr:uid="{D0DEBEB3-E10C-4C60-B453-97CBCBD6BAFF}"/>
    <cellStyle name="20% - Accent5 3 2 4 2 4" xfId="20790" xr:uid="{00000000-0005-0000-0000-0000561F0000}"/>
    <cellStyle name="20% - Accent5 3 2 4 2 4 2" xfId="44622" xr:uid="{6986E510-AF4C-4BE8-8C32-9AC9D80E234D}"/>
    <cellStyle name="20% - Accent5 3 2 4 2 5" xfId="28743" xr:uid="{A900DF04-B3A7-4C23-AB4C-EA0D248C0D60}"/>
    <cellStyle name="20% - Accent5 3 2 4 3" xfId="6643" xr:uid="{00000000-0005-0000-0000-0000571F0000}"/>
    <cellStyle name="20% - Accent5 3 2 4 3 2" xfId="14615" xr:uid="{00000000-0005-0000-0000-0000581F0000}"/>
    <cellStyle name="20% - Accent5 3 2 4 3 2 2" xfId="38457" xr:uid="{48E8C3FD-8255-4F89-9457-3FE9CF872D3C}"/>
    <cellStyle name="20% - Accent5 3 2 4 3 3" xfId="22562" xr:uid="{00000000-0005-0000-0000-0000591F0000}"/>
    <cellStyle name="20% - Accent5 3 2 4 3 3 2" xfId="46394" xr:uid="{94D5AF2E-5E98-4961-87ED-EAC416F987CC}"/>
    <cellStyle name="20% - Accent5 3 2 4 3 4" xfId="30516" xr:uid="{0051BF3C-C6B3-4536-B9D5-86648A7C5367}"/>
    <cellStyle name="20% - Accent5 3 2 4 4" xfId="11079" xr:uid="{00000000-0005-0000-0000-00005A1F0000}"/>
    <cellStyle name="20% - Accent5 3 2 4 4 2" xfId="34928" xr:uid="{8D5D7ACD-2BEC-4E22-909E-09FEEE774616}"/>
    <cellStyle name="20% - Accent5 3 2 4 5" xfId="19034" xr:uid="{00000000-0005-0000-0000-00005B1F0000}"/>
    <cellStyle name="20% - Accent5 3 2 4 5 2" xfId="42866" xr:uid="{95EEA537-400C-4A27-8A6F-A503B49BB1BB}"/>
    <cellStyle name="20% - Accent5 3 2 4 6" xfId="26986" xr:uid="{D7C0880A-9ED4-4F7F-9DFC-631E1CA6B388}"/>
    <cellStyle name="20% - Accent5 3 2 4_Exh G" xfId="2495" xr:uid="{00000000-0005-0000-0000-00005C1F0000}"/>
    <cellStyle name="20% - Accent5 3 2 5" xfId="3932" xr:uid="{00000000-0005-0000-0000-00005D1F0000}"/>
    <cellStyle name="20% - Accent5 3 2 5 2" xfId="7524" xr:uid="{00000000-0005-0000-0000-00005E1F0000}"/>
    <cellStyle name="20% - Accent5 3 2 5 2 2" xfId="15495" xr:uid="{00000000-0005-0000-0000-00005F1F0000}"/>
    <cellStyle name="20% - Accent5 3 2 5 2 2 2" xfId="39337" xr:uid="{674A4FDF-37CA-475A-84F6-150FDB82C447}"/>
    <cellStyle name="20% - Accent5 3 2 5 2 3" xfId="23441" xr:uid="{00000000-0005-0000-0000-0000601F0000}"/>
    <cellStyle name="20% - Accent5 3 2 5 2 3 2" xfId="47273" xr:uid="{60F7403B-94B3-480B-9562-8D6807B74534}"/>
    <cellStyle name="20% - Accent5 3 2 5 2 4" xfId="31396" xr:uid="{3EF81BCD-D319-4C73-8FCC-C67C33CC687D}"/>
    <cellStyle name="20% - Accent5 3 2 5 3" xfId="11957" xr:uid="{00000000-0005-0000-0000-0000611F0000}"/>
    <cellStyle name="20% - Accent5 3 2 5 3 2" xfId="35806" xr:uid="{34374C8B-64A6-4072-A605-194BBF6F1E3D}"/>
    <cellStyle name="20% - Accent5 3 2 5 4" xfId="19912" xr:uid="{00000000-0005-0000-0000-0000621F0000}"/>
    <cellStyle name="20% - Accent5 3 2 5 4 2" xfId="43744" xr:uid="{9F8DD5C8-36ED-445E-96E9-901BC88507EB}"/>
    <cellStyle name="20% - Accent5 3 2 5 5" xfId="27865" xr:uid="{839FD5CE-1682-4A12-B1DA-2429D0933A7A}"/>
    <cellStyle name="20% - Accent5 3 2 6" xfId="5752" xr:uid="{00000000-0005-0000-0000-0000631F0000}"/>
    <cellStyle name="20% - Accent5 3 2 6 2" xfId="13736" xr:uid="{00000000-0005-0000-0000-0000641F0000}"/>
    <cellStyle name="20% - Accent5 3 2 6 2 2" xfId="37579" xr:uid="{4D1838BF-5841-471A-837C-6A65F7E906E8}"/>
    <cellStyle name="20% - Accent5 3 2 6 3" xfId="21684" xr:uid="{00000000-0005-0000-0000-0000651F0000}"/>
    <cellStyle name="20% - Accent5 3 2 6 3 2" xfId="45516" xr:uid="{31329398-C160-4F20-B63D-AA223DC0197D}"/>
    <cellStyle name="20% - Accent5 3 2 6 4" xfId="29638" xr:uid="{6F9F49D3-D7FB-4161-A8A4-F1B34A92A1DC}"/>
    <cellStyle name="20% - Accent5 3 2 7" xfId="9305" xr:uid="{00000000-0005-0000-0000-0000661F0000}"/>
    <cellStyle name="20% - Accent5 3 2 7 2" xfId="17263" xr:uid="{00000000-0005-0000-0000-0000671F0000}"/>
    <cellStyle name="20% - Accent5 3 2 7 2 2" xfId="41103" xr:uid="{70DCAAEA-CA5B-4F55-9253-4F6B8DE59E7C}"/>
    <cellStyle name="20% - Accent5 3 2 7 3" xfId="25207" xr:uid="{00000000-0005-0000-0000-0000681F0000}"/>
    <cellStyle name="20% - Accent5 3 2 7 3 2" xfId="49039" xr:uid="{DF0B3B9E-E03C-4B49-853F-2A629EF07D57}"/>
    <cellStyle name="20% - Accent5 3 2 7 4" xfId="33162" xr:uid="{787EA3B2-2631-4C5D-AABB-C1E88047E560}"/>
    <cellStyle name="20% - Accent5 3 2 8" xfId="10201" xr:uid="{00000000-0005-0000-0000-0000691F0000}"/>
    <cellStyle name="20% - Accent5 3 2 8 2" xfId="34050" xr:uid="{E6FBB3FB-0E78-4B65-B790-52449B001D1A}"/>
    <cellStyle name="20% - Accent5 3 2 9" xfId="18156" xr:uid="{00000000-0005-0000-0000-00006A1F0000}"/>
    <cellStyle name="20% - Accent5 3 2 9 2" xfId="41988" xr:uid="{FCDA576C-F7B0-4032-8B70-393DFA37F34B}"/>
    <cellStyle name="20% - Accent5 3 2_Exh G" xfId="2490" xr:uid="{00000000-0005-0000-0000-00006B1F0000}"/>
    <cellStyle name="20% - Accent5 3 3" xfId="255" xr:uid="{00000000-0005-0000-0000-00006C1F0000}"/>
    <cellStyle name="20% - Accent5 3 3 2" xfId="1283" xr:uid="{00000000-0005-0000-0000-00006D1F0000}"/>
    <cellStyle name="20% - Accent5 3 3 2 2" xfId="4813" xr:uid="{00000000-0005-0000-0000-00006E1F0000}"/>
    <cellStyle name="20% - Accent5 3 3 2 2 2" xfId="8404" xr:uid="{00000000-0005-0000-0000-00006F1F0000}"/>
    <cellStyle name="20% - Accent5 3 3 2 2 2 2" xfId="16375" xr:uid="{00000000-0005-0000-0000-0000701F0000}"/>
    <cellStyle name="20% - Accent5 3 3 2 2 2 2 2" xfId="40217" xr:uid="{50ED666C-658B-42BE-821D-3C6860C654DB}"/>
    <cellStyle name="20% - Accent5 3 3 2 2 2 3" xfId="24321" xr:uid="{00000000-0005-0000-0000-0000711F0000}"/>
    <cellStyle name="20% - Accent5 3 3 2 2 2 3 2" xfId="48153" xr:uid="{29D4F9AA-CC9F-4C62-934E-C27E976EB2A4}"/>
    <cellStyle name="20% - Accent5 3 3 2 2 2 4" xfId="32276" xr:uid="{DB9CCA29-6BD5-4227-9B5A-9644D7362C24}"/>
    <cellStyle name="20% - Accent5 3 3 2 2 3" xfId="12837" xr:uid="{00000000-0005-0000-0000-0000721F0000}"/>
    <cellStyle name="20% - Accent5 3 3 2 2 3 2" xfId="36686" xr:uid="{4608E6F0-9790-4BB7-BF47-01D83DB873CB}"/>
    <cellStyle name="20% - Accent5 3 3 2 2 4" xfId="20792" xr:uid="{00000000-0005-0000-0000-0000731F0000}"/>
    <cellStyle name="20% - Accent5 3 3 2 2 4 2" xfId="44624" xr:uid="{F7C89231-1B02-4AB7-B692-9D4061337164}"/>
    <cellStyle name="20% - Accent5 3 3 2 2 5" xfId="28745" xr:uid="{DF13AD6B-88C5-4B6C-B14A-66C083210A6D}"/>
    <cellStyle name="20% - Accent5 3 3 2 3" xfId="6645" xr:uid="{00000000-0005-0000-0000-0000741F0000}"/>
    <cellStyle name="20% - Accent5 3 3 2 3 2" xfId="14617" xr:uid="{00000000-0005-0000-0000-0000751F0000}"/>
    <cellStyle name="20% - Accent5 3 3 2 3 2 2" xfId="38459" xr:uid="{F6CD071B-D0AE-4ADB-A297-D0361E9BC233}"/>
    <cellStyle name="20% - Accent5 3 3 2 3 3" xfId="22564" xr:uid="{00000000-0005-0000-0000-0000761F0000}"/>
    <cellStyle name="20% - Accent5 3 3 2 3 3 2" xfId="46396" xr:uid="{3A733179-1AD9-4BC7-914B-08A04F482710}"/>
    <cellStyle name="20% - Accent5 3 3 2 3 4" xfId="30518" xr:uid="{07891802-23A7-4888-BCD0-8AC5460DA7B8}"/>
    <cellStyle name="20% - Accent5 3 3 2 4" xfId="11081" xr:uid="{00000000-0005-0000-0000-0000771F0000}"/>
    <cellStyle name="20% - Accent5 3 3 2 4 2" xfId="34930" xr:uid="{5E373054-876E-4F62-8DC3-05B462316A6E}"/>
    <cellStyle name="20% - Accent5 3 3 2 5" xfId="19036" xr:uid="{00000000-0005-0000-0000-0000781F0000}"/>
    <cellStyle name="20% - Accent5 3 3 2 5 2" xfId="42868" xr:uid="{9CEE978E-DA1E-4CD9-A21B-9790BE8D3279}"/>
    <cellStyle name="20% - Accent5 3 3 2 6" xfId="26988" xr:uid="{10F09034-6F6A-4189-8722-7F42C775AC5E}"/>
    <cellStyle name="20% - Accent5 3 3 2_Exh G" xfId="2497" xr:uid="{00000000-0005-0000-0000-0000791F0000}"/>
    <cellStyle name="20% - Accent5 3 3 3" xfId="3934" xr:uid="{00000000-0005-0000-0000-00007A1F0000}"/>
    <cellStyle name="20% - Accent5 3 3 3 2" xfId="7526" xr:uid="{00000000-0005-0000-0000-00007B1F0000}"/>
    <cellStyle name="20% - Accent5 3 3 3 2 2" xfId="15497" xr:uid="{00000000-0005-0000-0000-00007C1F0000}"/>
    <cellStyle name="20% - Accent5 3 3 3 2 2 2" xfId="39339" xr:uid="{C1CCEC65-072C-43E4-A563-3738DC6D0DD6}"/>
    <cellStyle name="20% - Accent5 3 3 3 2 3" xfId="23443" xr:uid="{00000000-0005-0000-0000-00007D1F0000}"/>
    <cellStyle name="20% - Accent5 3 3 3 2 3 2" xfId="47275" xr:uid="{FAA55C0C-2B0E-4F98-8C6C-0C9BF9D2F2F0}"/>
    <cellStyle name="20% - Accent5 3 3 3 2 4" xfId="31398" xr:uid="{7726A279-24E4-4A6B-9F38-275FB0C9B54A}"/>
    <cellStyle name="20% - Accent5 3 3 3 3" xfId="11959" xr:uid="{00000000-0005-0000-0000-00007E1F0000}"/>
    <cellStyle name="20% - Accent5 3 3 3 3 2" xfId="35808" xr:uid="{5DAFEE07-3637-441F-875F-02B19B6E4DD0}"/>
    <cellStyle name="20% - Accent5 3 3 3 4" xfId="19914" xr:uid="{00000000-0005-0000-0000-00007F1F0000}"/>
    <cellStyle name="20% - Accent5 3 3 3 4 2" xfId="43746" xr:uid="{7729F32D-8388-4AAB-9FFA-A6DF4D8741D6}"/>
    <cellStyle name="20% - Accent5 3 3 3 5" xfId="27867" xr:uid="{72216F27-0086-4702-8CAC-65E226FE3816}"/>
    <cellStyle name="20% - Accent5 3 3 4" xfId="5754" xr:uid="{00000000-0005-0000-0000-0000801F0000}"/>
    <cellStyle name="20% - Accent5 3 3 4 2" xfId="13738" xr:uid="{00000000-0005-0000-0000-0000811F0000}"/>
    <cellStyle name="20% - Accent5 3 3 4 2 2" xfId="37581" xr:uid="{5B105818-D14F-48DD-8844-7F8599B6DB9B}"/>
    <cellStyle name="20% - Accent5 3 3 4 3" xfId="21686" xr:uid="{00000000-0005-0000-0000-0000821F0000}"/>
    <cellStyle name="20% - Accent5 3 3 4 3 2" xfId="45518" xr:uid="{7FC084BF-DC95-4C47-9A51-1825C7F9C51F}"/>
    <cellStyle name="20% - Accent5 3 3 4 4" xfId="29640" xr:uid="{E923502B-747F-45D2-B93C-332889F0D9DA}"/>
    <cellStyle name="20% - Accent5 3 3 5" xfId="9307" xr:uid="{00000000-0005-0000-0000-0000831F0000}"/>
    <cellStyle name="20% - Accent5 3 3 5 2" xfId="17265" xr:uid="{00000000-0005-0000-0000-0000841F0000}"/>
    <cellStyle name="20% - Accent5 3 3 5 2 2" xfId="41105" xr:uid="{B9F11228-71B4-48DB-90EC-D145AB8947C1}"/>
    <cellStyle name="20% - Accent5 3 3 5 3" xfId="25209" xr:uid="{00000000-0005-0000-0000-0000851F0000}"/>
    <cellStyle name="20% - Accent5 3 3 5 3 2" xfId="49041" xr:uid="{42A41A53-42E2-44E4-B641-F633E04BA6A6}"/>
    <cellStyle name="20% - Accent5 3 3 5 4" xfId="33164" xr:uid="{9A0F7EA0-37ED-47FA-B0D8-94F886597EE7}"/>
    <cellStyle name="20% - Accent5 3 3 6" xfId="10203" xr:uid="{00000000-0005-0000-0000-0000861F0000}"/>
    <cellStyle name="20% - Accent5 3 3 6 2" xfId="34052" xr:uid="{A7AAF48B-33B7-4F60-92F8-0A25EE43D7B7}"/>
    <cellStyle name="20% - Accent5 3 3 7" xfId="18158" xr:uid="{00000000-0005-0000-0000-0000871F0000}"/>
    <cellStyle name="20% - Accent5 3 3 7 2" xfId="41990" xr:uid="{F19E6BCA-3438-4E72-8C20-A89D81F7FA71}"/>
    <cellStyle name="20% - Accent5 3 3 8" xfId="26110" xr:uid="{226FD49C-0506-452F-80E8-553C5C1F21D4}"/>
    <cellStyle name="20% - Accent5 3 3_Exh G" xfId="2496" xr:uid="{00000000-0005-0000-0000-0000881F0000}"/>
    <cellStyle name="20% - Accent5 3 4" xfId="913" xr:uid="{00000000-0005-0000-0000-0000891F0000}"/>
    <cellStyle name="20% - Accent5 3 4 2" xfId="1841" xr:uid="{00000000-0005-0000-0000-00008A1F0000}"/>
    <cellStyle name="20% - Accent5 3 4 2 2" xfId="5359" xr:uid="{00000000-0005-0000-0000-00008B1F0000}"/>
    <cellStyle name="20% - Accent5 3 4 2 2 2" xfId="8950" xr:uid="{00000000-0005-0000-0000-00008C1F0000}"/>
    <cellStyle name="20% - Accent5 3 4 2 2 2 2" xfId="16921" xr:uid="{00000000-0005-0000-0000-00008D1F0000}"/>
    <cellStyle name="20% - Accent5 3 4 2 2 2 2 2" xfId="40763" xr:uid="{C9AF3B58-46D4-49D9-B9A6-01504F2BA27E}"/>
    <cellStyle name="20% - Accent5 3 4 2 2 2 3" xfId="24867" xr:uid="{00000000-0005-0000-0000-00008E1F0000}"/>
    <cellStyle name="20% - Accent5 3 4 2 2 2 3 2" xfId="48699" xr:uid="{23651A99-48B7-49A1-AE58-DA5263439C6F}"/>
    <cellStyle name="20% - Accent5 3 4 2 2 2 4" xfId="32822" xr:uid="{B40E0723-E7E2-43F8-9C71-17909D368690}"/>
    <cellStyle name="20% - Accent5 3 4 2 2 3" xfId="13383" xr:uid="{00000000-0005-0000-0000-00008F1F0000}"/>
    <cellStyle name="20% - Accent5 3 4 2 2 3 2" xfId="37232" xr:uid="{B40DB2C3-04D1-4B0D-81CF-D33E3280C9A1}"/>
    <cellStyle name="20% - Accent5 3 4 2 2 4" xfId="21338" xr:uid="{00000000-0005-0000-0000-0000901F0000}"/>
    <cellStyle name="20% - Accent5 3 4 2 2 4 2" xfId="45170" xr:uid="{E0A2DE39-8DC8-4753-B432-4C637F29522D}"/>
    <cellStyle name="20% - Accent5 3 4 2 2 5" xfId="29291" xr:uid="{D7E1095E-3B4D-47EB-B804-EAB4B3AEA2D1}"/>
    <cellStyle name="20% - Accent5 3 4 2 3" xfId="7191" xr:uid="{00000000-0005-0000-0000-0000911F0000}"/>
    <cellStyle name="20% - Accent5 3 4 2 3 2" xfId="15163" xr:uid="{00000000-0005-0000-0000-0000921F0000}"/>
    <cellStyle name="20% - Accent5 3 4 2 3 2 2" xfId="39005" xr:uid="{929EC2D6-F850-4985-BEA4-DD53D65CCEFD}"/>
    <cellStyle name="20% - Accent5 3 4 2 3 3" xfId="23110" xr:uid="{00000000-0005-0000-0000-0000931F0000}"/>
    <cellStyle name="20% - Accent5 3 4 2 3 3 2" xfId="46942" xr:uid="{DE3F5D55-E103-4455-9C45-1833C4BBA10B}"/>
    <cellStyle name="20% - Accent5 3 4 2 3 4" xfId="31064" xr:uid="{F87236CA-DCB9-4F90-B422-627FAC41BE3A}"/>
    <cellStyle name="20% - Accent5 3 4 2 4" xfId="11627" xr:uid="{00000000-0005-0000-0000-0000941F0000}"/>
    <cellStyle name="20% - Accent5 3 4 2 4 2" xfId="35476" xr:uid="{FAD7EEB5-851E-4ADC-8939-719157CBB126}"/>
    <cellStyle name="20% - Accent5 3 4 2 5" xfId="19582" xr:uid="{00000000-0005-0000-0000-0000951F0000}"/>
    <cellStyle name="20% - Accent5 3 4 2 5 2" xfId="43414" xr:uid="{4F756F03-7D4B-4BF1-B850-C760E89BAD35}"/>
    <cellStyle name="20% - Accent5 3 4 2 6" xfId="27534" xr:uid="{DB0E164B-6281-4BFD-8972-68827EEB6534}"/>
    <cellStyle name="20% - Accent5 3 4 2_Exh G" xfId="2499" xr:uid="{00000000-0005-0000-0000-0000961F0000}"/>
    <cellStyle name="20% - Accent5 3 4 3" xfId="4480" xr:uid="{00000000-0005-0000-0000-0000971F0000}"/>
    <cellStyle name="20% - Accent5 3 4 3 2" xfId="8072" xr:uid="{00000000-0005-0000-0000-0000981F0000}"/>
    <cellStyle name="20% - Accent5 3 4 3 2 2" xfId="16043" xr:uid="{00000000-0005-0000-0000-0000991F0000}"/>
    <cellStyle name="20% - Accent5 3 4 3 2 2 2" xfId="39885" xr:uid="{AF5570E4-853F-48EF-B91B-3A1A5B1C85F0}"/>
    <cellStyle name="20% - Accent5 3 4 3 2 3" xfId="23989" xr:uid="{00000000-0005-0000-0000-00009A1F0000}"/>
    <cellStyle name="20% - Accent5 3 4 3 2 3 2" xfId="47821" xr:uid="{1BBFD631-FF6D-4C7A-B11C-DC0978A031EC}"/>
    <cellStyle name="20% - Accent5 3 4 3 2 4" xfId="31944" xr:uid="{F02D3A70-A49A-4CF9-B864-EF69FE34D2DA}"/>
    <cellStyle name="20% - Accent5 3 4 3 3" xfId="12505" xr:uid="{00000000-0005-0000-0000-00009B1F0000}"/>
    <cellStyle name="20% - Accent5 3 4 3 3 2" xfId="36354" xr:uid="{346E1B12-33E3-417B-961D-B7F8E679D6B5}"/>
    <cellStyle name="20% - Accent5 3 4 3 4" xfId="20460" xr:uid="{00000000-0005-0000-0000-00009C1F0000}"/>
    <cellStyle name="20% - Accent5 3 4 3 4 2" xfId="44292" xr:uid="{85B46E29-A76A-4E6B-A296-9E781D932A9E}"/>
    <cellStyle name="20% - Accent5 3 4 3 5" xfId="28413" xr:uid="{B9389831-A0FD-4B5F-9BEE-07BC425E45A0}"/>
    <cellStyle name="20% - Accent5 3 4 4" xfId="6310" xr:uid="{00000000-0005-0000-0000-00009D1F0000}"/>
    <cellStyle name="20% - Accent5 3 4 4 2" xfId="14285" xr:uid="{00000000-0005-0000-0000-00009E1F0000}"/>
    <cellStyle name="20% - Accent5 3 4 4 2 2" xfId="38127" xr:uid="{7D336748-26A4-49FE-80C6-96B377B706B1}"/>
    <cellStyle name="20% - Accent5 3 4 4 3" xfId="22232" xr:uid="{00000000-0005-0000-0000-00009F1F0000}"/>
    <cellStyle name="20% - Accent5 3 4 4 3 2" xfId="46064" xr:uid="{215D26F2-E4B3-4CB1-A176-F1810B88D194}"/>
    <cellStyle name="20% - Accent5 3 4 4 4" xfId="30186" xr:uid="{32DFF9F9-D9DA-42BE-B8EC-0F4F7331BF35}"/>
    <cellStyle name="20% - Accent5 3 4 5" xfId="9853" xr:uid="{00000000-0005-0000-0000-0000A01F0000}"/>
    <cellStyle name="20% - Accent5 3 4 5 2" xfId="17811" xr:uid="{00000000-0005-0000-0000-0000A11F0000}"/>
    <cellStyle name="20% - Accent5 3 4 5 2 2" xfId="41651" xr:uid="{600AAA3F-DB4E-466D-A316-6A20E775AB5A}"/>
    <cellStyle name="20% - Accent5 3 4 5 3" xfId="25755" xr:uid="{00000000-0005-0000-0000-0000A21F0000}"/>
    <cellStyle name="20% - Accent5 3 4 5 3 2" xfId="49587" xr:uid="{3E90A0CC-9507-49CA-83F7-74D53A6B794F}"/>
    <cellStyle name="20% - Accent5 3 4 5 4" xfId="33710" xr:uid="{0DA6D1AA-00DC-4A4A-8902-F3F4D7A64DCC}"/>
    <cellStyle name="20% - Accent5 3 4 6" xfId="10749" xr:uid="{00000000-0005-0000-0000-0000A31F0000}"/>
    <cellStyle name="20% - Accent5 3 4 6 2" xfId="34598" xr:uid="{076C8595-793A-431D-815A-7B3E1D21C25F}"/>
    <cellStyle name="20% - Accent5 3 4 7" xfId="18704" xr:uid="{00000000-0005-0000-0000-0000A41F0000}"/>
    <cellStyle name="20% - Accent5 3 4 7 2" xfId="42536" xr:uid="{21F79489-14AD-45D2-867C-21100F7611B7}"/>
    <cellStyle name="20% - Accent5 3 4 8" xfId="26656" xr:uid="{9E55D9A2-32FF-471E-8239-3C2B07A70C34}"/>
    <cellStyle name="20% - Accent5 3 4_Exh G" xfId="2498" xr:uid="{00000000-0005-0000-0000-0000A51F0000}"/>
    <cellStyle name="20% - Accent5 3 5" xfId="1280" xr:uid="{00000000-0005-0000-0000-0000A61F0000}"/>
    <cellStyle name="20% - Accent5 3 5 2" xfId="4810" xr:uid="{00000000-0005-0000-0000-0000A71F0000}"/>
    <cellStyle name="20% - Accent5 3 5 2 2" xfId="8401" xr:uid="{00000000-0005-0000-0000-0000A81F0000}"/>
    <cellStyle name="20% - Accent5 3 5 2 2 2" xfId="16372" xr:uid="{00000000-0005-0000-0000-0000A91F0000}"/>
    <cellStyle name="20% - Accent5 3 5 2 2 2 2" xfId="40214" xr:uid="{B3B1FD42-C079-4CF5-AF00-74E1FA68D916}"/>
    <cellStyle name="20% - Accent5 3 5 2 2 3" xfId="24318" xr:uid="{00000000-0005-0000-0000-0000AA1F0000}"/>
    <cellStyle name="20% - Accent5 3 5 2 2 3 2" xfId="48150" xr:uid="{140C1B59-C561-4D3E-95CE-8CBDBC42E7C4}"/>
    <cellStyle name="20% - Accent5 3 5 2 2 4" xfId="32273" xr:uid="{214ED543-F152-4827-9965-9054DB583E33}"/>
    <cellStyle name="20% - Accent5 3 5 2 3" xfId="12834" xr:uid="{00000000-0005-0000-0000-0000AB1F0000}"/>
    <cellStyle name="20% - Accent5 3 5 2 3 2" xfId="36683" xr:uid="{4B8CA411-D207-4F46-B76F-A9BEF2D178C5}"/>
    <cellStyle name="20% - Accent5 3 5 2 4" xfId="20789" xr:uid="{00000000-0005-0000-0000-0000AC1F0000}"/>
    <cellStyle name="20% - Accent5 3 5 2 4 2" xfId="44621" xr:uid="{7D76F872-EAE8-4EB9-9552-599A1C13B830}"/>
    <cellStyle name="20% - Accent5 3 5 2 5" xfId="28742" xr:uid="{C1E9126F-E054-4FAB-BF7F-906DEA02C449}"/>
    <cellStyle name="20% - Accent5 3 5 3" xfId="6642" xr:uid="{00000000-0005-0000-0000-0000AD1F0000}"/>
    <cellStyle name="20% - Accent5 3 5 3 2" xfId="14614" xr:uid="{00000000-0005-0000-0000-0000AE1F0000}"/>
    <cellStyle name="20% - Accent5 3 5 3 2 2" xfId="38456" xr:uid="{7EA3DF3B-AA2F-435A-9890-C961037732D3}"/>
    <cellStyle name="20% - Accent5 3 5 3 3" xfId="22561" xr:uid="{00000000-0005-0000-0000-0000AF1F0000}"/>
    <cellStyle name="20% - Accent5 3 5 3 3 2" xfId="46393" xr:uid="{12734964-821D-4F99-850D-185CC6C1FCBC}"/>
    <cellStyle name="20% - Accent5 3 5 3 4" xfId="30515" xr:uid="{B6D5F5E6-4E19-4EF5-ACAD-1F227E565A2E}"/>
    <cellStyle name="20% - Accent5 3 5 4" xfId="11078" xr:uid="{00000000-0005-0000-0000-0000B01F0000}"/>
    <cellStyle name="20% - Accent5 3 5 4 2" xfId="34927" xr:uid="{DD3A1CA5-A476-462D-B860-07DE11ABDC9E}"/>
    <cellStyle name="20% - Accent5 3 5 5" xfId="19033" xr:uid="{00000000-0005-0000-0000-0000B11F0000}"/>
    <cellStyle name="20% - Accent5 3 5 5 2" xfId="42865" xr:uid="{F6C2D0F6-E623-49EA-973B-0DF15280CB54}"/>
    <cellStyle name="20% - Accent5 3 5 6" xfId="26985" xr:uid="{416FA9D5-C115-4575-B24D-43FA14BEB285}"/>
    <cellStyle name="20% - Accent5 3 5_Exh G" xfId="2500" xr:uid="{00000000-0005-0000-0000-0000B21F0000}"/>
    <cellStyle name="20% - Accent5 3 6" xfId="3931" xr:uid="{00000000-0005-0000-0000-0000B31F0000}"/>
    <cellStyle name="20% - Accent5 3 6 2" xfId="7523" xr:uid="{00000000-0005-0000-0000-0000B41F0000}"/>
    <cellStyle name="20% - Accent5 3 6 2 2" xfId="15494" xr:uid="{00000000-0005-0000-0000-0000B51F0000}"/>
    <cellStyle name="20% - Accent5 3 6 2 2 2" xfId="39336" xr:uid="{2AC13832-F0B1-478D-974D-796A346D51C7}"/>
    <cellStyle name="20% - Accent5 3 6 2 3" xfId="23440" xr:uid="{00000000-0005-0000-0000-0000B61F0000}"/>
    <cellStyle name="20% - Accent5 3 6 2 3 2" xfId="47272" xr:uid="{9AD9F0DF-42E8-4336-A6C5-2D2AC71EF82B}"/>
    <cellStyle name="20% - Accent5 3 6 2 4" xfId="31395" xr:uid="{F17838F2-4CB2-4098-A2C0-A9B74C6F9C12}"/>
    <cellStyle name="20% - Accent5 3 6 3" xfId="11956" xr:uid="{00000000-0005-0000-0000-0000B71F0000}"/>
    <cellStyle name="20% - Accent5 3 6 3 2" xfId="35805" xr:uid="{848889B0-F5B3-41FB-9FB8-DADB635C6B7E}"/>
    <cellStyle name="20% - Accent5 3 6 4" xfId="19911" xr:uid="{00000000-0005-0000-0000-0000B81F0000}"/>
    <cellStyle name="20% - Accent5 3 6 4 2" xfId="43743" xr:uid="{5D691C83-4863-4764-9A79-111B429EC2B4}"/>
    <cellStyle name="20% - Accent5 3 6 5" xfId="27864" xr:uid="{0ACDC08E-2A0E-4BE0-9221-41B7EAD00545}"/>
    <cellStyle name="20% - Accent5 3 7" xfId="5751" xr:uid="{00000000-0005-0000-0000-0000B91F0000}"/>
    <cellStyle name="20% - Accent5 3 7 2" xfId="13735" xr:uid="{00000000-0005-0000-0000-0000BA1F0000}"/>
    <cellStyle name="20% - Accent5 3 7 2 2" xfId="37578" xr:uid="{754E7ABF-BBBE-4163-AD2B-43985D668AE3}"/>
    <cellStyle name="20% - Accent5 3 7 3" xfId="21683" xr:uid="{00000000-0005-0000-0000-0000BB1F0000}"/>
    <cellStyle name="20% - Accent5 3 7 3 2" xfId="45515" xr:uid="{32F2A4A6-A473-48D9-B3B8-A48A47983F52}"/>
    <cellStyle name="20% - Accent5 3 7 4" xfId="29637" xr:uid="{E324CF62-BBBE-489A-AED0-A1482BAFC978}"/>
    <cellStyle name="20% - Accent5 3 8" xfId="9304" xr:uid="{00000000-0005-0000-0000-0000BC1F0000}"/>
    <cellStyle name="20% - Accent5 3 8 2" xfId="17262" xr:uid="{00000000-0005-0000-0000-0000BD1F0000}"/>
    <cellStyle name="20% - Accent5 3 8 2 2" xfId="41102" xr:uid="{37E7583D-8F72-49BF-8A25-42493EAB3928}"/>
    <cellStyle name="20% - Accent5 3 8 3" xfId="25206" xr:uid="{00000000-0005-0000-0000-0000BE1F0000}"/>
    <cellStyle name="20% - Accent5 3 8 3 2" xfId="49038" xr:uid="{5ACBB648-2901-4333-B7E3-2A3824871B73}"/>
    <cellStyle name="20% - Accent5 3 8 4" xfId="33161" xr:uid="{F7F2A141-8227-4532-8FAE-CDB5B148F959}"/>
    <cellStyle name="20% - Accent5 3 9" xfId="10200" xr:uid="{00000000-0005-0000-0000-0000BF1F0000}"/>
    <cellStyle name="20% - Accent5 3 9 2" xfId="34049" xr:uid="{8EEE242C-9AC4-4068-88E7-174CAC889C9E}"/>
    <cellStyle name="20% - Accent5 3_Exh G" xfId="2489" xr:uid="{00000000-0005-0000-0000-0000C01F0000}"/>
    <cellStyle name="20% - Accent5 4" xfId="256" xr:uid="{00000000-0005-0000-0000-0000C11F0000}"/>
    <cellStyle name="20% - Accent5 4 10" xfId="18159" xr:uid="{00000000-0005-0000-0000-0000C21F0000}"/>
    <cellStyle name="20% - Accent5 4 10 2" xfId="41991" xr:uid="{5CAB093D-F5AC-4338-84D8-FBD7B352ED06}"/>
    <cellStyle name="20% - Accent5 4 11" xfId="26111" xr:uid="{7FE13B60-CF95-4A62-8ED0-2D84B2497EFA}"/>
    <cellStyle name="20% - Accent5 4 2" xfId="257" xr:uid="{00000000-0005-0000-0000-0000C31F0000}"/>
    <cellStyle name="20% - Accent5 4 2 10" xfId="26112" xr:uid="{298011B7-A9EA-4B0B-88B5-4957F6D6B75D}"/>
    <cellStyle name="20% - Accent5 4 2 2" xfId="258" xr:uid="{00000000-0005-0000-0000-0000C41F0000}"/>
    <cellStyle name="20% - Accent5 4 2 2 2" xfId="1286" xr:uid="{00000000-0005-0000-0000-0000C51F0000}"/>
    <cellStyle name="20% - Accent5 4 2 2 2 2" xfId="4816" xr:uid="{00000000-0005-0000-0000-0000C61F0000}"/>
    <cellStyle name="20% - Accent5 4 2 2 2 2 2" xfId="8407" xr:uid="{00000000-0005-0000-0000-0000C71F0000}"/>
    <cellStyle name="20% - Accent5 4 2 2 2 2 2 2" xfId="16378" xr:uid="{00000000-0005-0000-0000-0000C81F0000}"/>
    <cellStyle name="20% - Accent5 4 2 2 2 2 2 2 2" xfId="40220" xr:uid="{0F20549F-3BBC-4986-855F-B8D790A36F2E}"/>
    <cellStyle name="20% - Accent5 4 2 2 2 2 2 3" xfId="24324" xr:uid="{00000000-0005-0000-0000-0000C91F0000}"/>
    <cellStyle name="20% - Accent5 4 2 2 2 2 2 3 2" xfId="48156" xr:uid="{FC63BE34-45BB-4D44-A752-78F6391462AD}"/>
    <cellStyle name="20% - Accent5 4 2 2 2 2 2 4" xfId="32279" xr:uid="{AA5A2D8F-E452-4CA6-AAB4-51C577F4929C}"/>
    <cellStyle name="20% - Accent5 4 2 2 2 2 3" xfId="12840" xr:uid="{00000000-0005-0000-0000-0000CA1F0000}"/>
    <cellStyle name="20% - Accent5 4 2 2 2 2 3 2" xfId="36689" xr:uid="{2563BFE6-EB2B-4A87-9679-AE7F328C015E}"/>
    <cellStyle name="20% - Accent5 4 2 2 2 2 4" xfId="20795" xr:uid="{00000000-0005-0000-0000-0000CB1F0000}"/>
    <cellStyle name="20% - Accent5 4 2 2 2 2 4 2" xfId="44627" xr:uid="{754BDB7A-6DF0-4F62-B4D3-CA093F5221FF}"/>
    <cellStyle name="20% - Accent5 4 2 2 2 2 5" xfId="28748" xr:uid="{1D28A4D0-F5BA-4F7B-A774-042C09FD1BB1}"/>
    <cellStyle name="20% - Accent5 4 2 2 2 3" xfId="6648" xr:uid="{00000000-0005-0000-0000-0000CC1F0000}"/>
    <cellStyle name="20% - Accent5 4 2 2 2 3 2" xfId="14620" xr:uid="{00000000-0005-0000-0000-0000CD1F0000}"/>
    <cellStyle name="20% - Accent5 4 2 2 2 3 2 2" xfId="38462" xr:uid="{7DDEF07F-D351-4267-863D-AC418700E55F}"/>
    <cellStyle name="20% - Accent5 4 2 2 2 3 3" xfId="22567" xr:uid="{00000000-0005-0000-0000-0000CE1F0000}"/>
    <cellStyle name="20% - Accent5 4 2 2 2 3 3 2" xfId="46399" xr:uid="{E26C4EEC-CDAC-46B6-9828-8072B0F38B69}"/>
    <cellStyle name="20% - Accent5 4 2 2 2 3 4" xfId="30521" xr:uid="{9D7F3B99-C984-4BFE-B970-A850B246C700}"/>
    <cellStyle name="20% - Accent5 4 2 2 2 4" xfId="11084" xr:uid="{00000000-0005-0000-0000-0000CF1F0000}"/>
    <cellStyle name="20% - Accent5 4 2 2 2 4 2" xfId="34933" xr:uid="{339417B0-044E-4187-899E-DA701CC8427B}"/>
    <cellStyle name="20% - Accent5 4 2 2 2 5" xfId="19039" xr:uid="{00000000-0005-0000-0000-0000D01F0000}"/>
    <cellStyle name="20% - Accent5 4 2 2 2 5 2" xfId="42871" xr:uid="{39967844-B5BE-4EDD-B50F-2A642A477484}"/>
    <cellStyle name="20% - Accent5 4 2 2 2 6" xfId="26991" xr:uid="{EF6E8CD6-C3EB-430B-A64B-28EE59F546FE}"/>
    <cellStyle name="20% - Accent5 4 2 2 2_Exh G" xfId="2504" xr:uid="{00000000-0005-0000-0000-0000D11F0000}"/>
    <cellStyle name="20% - Accent5 4 2 2 3" xfId="3937" xr:uid="{00000000-0005-0000-0000-0000D21F0000}"/>
    <cellStyle name="20% - Accent5 4 2 2 3 2" xfId="7529" xr:uid="{00000000-0005-0000-0000-0000D31F0000}"/>
    <cellStyle name="20% - Accent5 4 2 2 3 2 2" xfId="15500" xr:uid="{00000000-0005-0000-0000-0000D41F0000}"/>
    <cellStyle name="20% - Accent5 4 2 2 3 2 2 2" xfId="39342" xr:uid="{9EC18E63-64D3-4590-8B42-75F6BBC61811}"/>
    <cellStyle name="20% - Accent5 4 2 2 3 2 3" xfId="23446" xr:uid="{00000000-0005-0000-0000-0000D51F0000}"/>
    <cellStyle name="20% - Accent5 4 2 2 3 2 3 2" xfId="47278" xr:uid="{284BF122-45BF-4684-827A-AA154FEFB4C9}"/>
    <cellStyle name="20% - Accent5 4 2 2 3 2 4" xfId="31401" xr:uid="{D78B28D8-3D16-4415-AA84-C535909A8469}"/>
    <cellStyle name="20% - Accent5 4 2 2 3 3" xfId="11962" xr:uid="{00000000-0005-0000-0000-0000D61F0000}"/>
    <cellStyle name="20% - Accent5 4 2 2 3 3 2" xfId="35811" xr:uid="{F1EF4C97-9180-48CD-B988-1E669D0D6A7E}"/>
    <cellStyle name="20% - Accent5 4 2 2 3 4" xfId="19917" xr:uid="{00000000-0005-0000-0000-0000D71F0000}"/>
    <cellStyle name="20% - Accent5 4 2 2 3 4 2" xfId="43749" xr:uid="{6FA8C3EF-659D-4B4B-AD2D-1DF09DC92D3F}"/>
    <cellStyle name="20% - Accent5 4 2 2 3 5" xfId="27870" xr:uid="{4F094628-748D-4276-85E2-32F6CAD32462}"/>
    <cellStyle name="20% - Accent5 4 2 2 4" xfId="5757" xr:uid="{00000000-0005-0000-0000-0000D81F0000}"/>
    <cellStyle name="20% - Accent5 4 2 2 4 2" xfId="13741" xr:uid="{00000000-0005-0000-0000-0000D91F0000}"/>
    <cellStyle name="20% - Accent5 4 2 2 4 2 2" xfId="37584" xr:uid="{BC366603-BE27-405C-9B9E-6610FD60BAF9}"/>
    <cellStyle name="20% - Accent5 4 2 2 4 3" xfId="21689" xr:uid="{00000000-0005-0000-0000-0000DA1F0000}"/>
    <cellStyle name="20% - Accent5 4 2 2 4 3 2" xfId="45521" xr:uid="{66A8C5F1-A2D0-49B4-A5BE-38C850C7E6F4}"/>
    <cellStyle name="20% - Accent5 4 2 2 4 4" xfId="29643" xr:uid="{54AD9266-938B-49E8-8E3F-4B4573B5B0C1}"/>
    <cellStyle name="20% - Accent5 4 2 2 5" xfId="9310" xr:uid="{00000000-0005-0000-0000-0000DB1F0000}"/>
    <cellStyle name="20% - Accent5 4 2 2 5 2" xfId="17268" xr:uid="{00000000-0005-0000-0000-0000DC1F0000}"/>
    <cellStyle name="20% - Accent5 4 2 2 5 2 2" xfId="41108" xr:uid="{5A141B45-19B1-4CF7-A224-0D548B1DB9FB}"/>
    <cellStyle name="20% - Accent5 4 2 2 5 3" xfId="25212" xr:uid="{00000000-0005-0000-0000-0000DD1F0000}"/>
    <cellStyle name="20% - Accent5 4 2 2 5 3 2" xfId="49044" xr:uid="{CB5C3B7D-F97B-48BD-87E1-F527EBAE701F}"/>
    <cellStyle name="20% - Accent5 4 2 2 5 4" xfId="33167" xr:uid="{C1CC0414-8798-4CDB-AD2C-EBBF9EB45C0B}"/>
    <cellStyle name="20% - Accent5 4 2 2 6" xfId="10206" xr:uid="{00000000-0005-0000-0000-0000DE1F0000}"/>
    <cellStyle name="20% - Accent5 4 2 2 6 2" xfId="34055" xr:uid="{AFAE1F7E-DE92-4BAB-9B23-0FE730B67FFB}"/>
    <cellStyle name="20% - Accent5 4 2 2 7" xfId="18161" xr:uid="{00000000-0005-0000-0000-0000DF1F0000}"/>
    <cellStyle name="20% - Accent5 4 2 2 7 2" xfId="41993" xr:uid="{6D5B30F2-3CA5-4837-A2F4-8534649395A8}"/>
    <cellStyle name="20% - Accent5 4 2 2 8" xfId="26113" xr:uid="{885A7404-1111-4B12-AD44-AEB9602E8A4B}"/>
    <cellStyle name="20% - Accent5 4 2 2_Exh G" xfId="2503" xr:uid="{00000000-0005-0000-0000-0000E01F0000}"/>
    <cellStyle name="20% - Accent5 4 2 3" xfId="916" xr:uid="{00000000-0005-0000-0000-0000E11F0000}"/>
    <cellStyle name="20% - Accent5 4 2 3 2" xfId="1844" xr:uid="{00000000-0005-0000-0000-0000E21F0000}"/>
    <cellStyle name="20% - Accent5 4 2 3 2 2" xfId="5362" xr:uid="{00000000-0005-0000-0000-0000E31F0000}"/>
    <cellStyle name="20% - Accent5 4 2 3 2 2 2" xfId="8953" xr:uid="{00000000-0005-0000-0000-0000E41F0000}"/>
    <cellStyle name="20% - Accent5 4 2 3 2 2 2 2" xfId="16924" xr:uid="{00000000-0005-0000-0000-0000E51F0000}"/>
    <cellStyle name="20% - Accent5 4 2 3 2 2 2 2 2" xfId="40766" xr:uid="{473E64CE-C4AD-4680-AF64-A0253AC72A5E}"/>
    <cellStyle name="20% - Accent5 4 2 3 2 2 2 3" xfId="24870" xr:uid="{00000000-0005-0000-0000-0000E61F0000}"/>
    <cellStyle name="20% - Accent5 4 2 3 2 2 2 3 2" xfId="48702" xr:uid="{10C2C475-5D3A-4608-B2EC-ED72965BE2F5}"/>
    <cellStyle name="20% - Accent5 4 2 3 2 2 2 4" xfId="32825" xr:uid="{634BA2EE-4BE3-4259-9305-C2768E16A7C4}"/>
    <cellStyle name="20% - Accent5 4 2 3 2 2 3" xfId="13386" xr:uid="{00000000-0005-0000-0000-0000E71F0000}"/>
    <cellStyle name="20% - Accent5 4 2 3 2 2 3 2" xfId="37235" xr:uid="{7DF73472-4BF9-441E-B126-79EB9A0B54FB}"/>
    <cellStyle name="20% - Accent5 4 2 3 2 2 4" xfId="21341" xr:uid="{00000000-0005-0000-0000-0000E81F0000}"/>
    <cellStyle name="20% - Accent5 4 2 3 2 2 4 2" xfId="45173" xr:uid="{2EDD5879-E501-4507-B2BF-F0A622AC822D}"/>
    <cellStyle name="20% - Accent5 4 2 3 2 2 5" xfId="29294" xr:uid="{ED4D02E1-9154-4F48-BC77-747957B79A43}"/>
    <cellStyle name="20% - Accent5 4 2 3 2 3" xfId="7194" xr:uid="{00000000-0005-0000-0000-0000E91F0000}"/>
    <cellStyle name="20% - Accent5 4 2 3 2 3 2" xfId="15166" xr:uid="{00000000-0005-0000-0000-0000EA1F0000}"/>
    <cellStyle name="20% - Accent5 4 2 3 2 3 2 2" xfId="39008" xr:uid="{CA060927-BA8F-4EA4-850F-F00094444B23}"/>
    <cellStyle name="20% - Accent5 4 2 3 2 3 3" xfId="23113" xr:uid="{00000000-0005-0000-0000-0000EB1F0000}"/>
    <cellStyle name="20% - Accent5 4 2 3 2 3 3 2" xfId="46945" xr:uid="{D6496D08-F8E9-472F-9F7F-22A880B82FE3}"/>
    <cellStyle name="20% - Accent5 4 2 3 2 3 4" xfId="31067" xr:uid="{08914420-ECEA-4596-AD8D-065655A09F6B}"/>
    <cellStyle name="20% - Accent5 4 2 3 2 4" xfId="11630" xr:uid="{00000000-0005-0000-0000-0000EC1F0000}"/>
    <cellStyle name="20% - Accent5 4 2 3 2 4 2" xfId="35479" xr:uid="{2C0F6C66-FAD0-458E-BA0C-CA07BB36430A}"/>
    <cellStyle name="20% - Accent5 4 2 3 2 5" xfId="19585" xr:uid="{00000000-0005-0000-0000-0000ED1F0000}"/>
    <cellStyle name="20% - Accent5 4 2 3 2 5 2" xfId="43417" xr:uid="{7658E809-2742-4D3B-A041-2A278BCB1F58}"/>
    <cellStyle name="20% - Accent5 4 2 3 2 6" xfId="27537" xr:uid="{BDCFE229-EA65-4F4A-885F-EA90831CD811}"/>
    <cellStyle name="20% - Accent5 4 2 3 2_Exh G" xfId="2506" xr:uid="{00000000-0005-0000-0000-0000EE1F0000}"/>
    <cellStyle name="20% - Accent5 4 2 3 3" xfId="4483" xr:uid="{00000000-0005-0000-0000-0000EF1F0000}"/>
    <cellStyle name="20% - Accent5 4 2 3 3 2" xfId="8075" xr:uid="{00000000-0005-0000-0000-0000F01F0000}"/>
    <cellStyle name="20% - Accent5 4 2 3 3 2 2" xfId="16046" xr:uid="{00000000-0005-0000-0000-0000F11F0000}"/>
    <cellStyle name="20% - Accent5 4 2 3 3 2 2 2" xfId="39888" xr:uid="{4EE3A1DA-7789-4516-BEFF-9CDEAA5921E9}"/>
    <cellStyle name="20% - Accent5 4 2 3 3 2 3" xfId="23992" xr:uid="{00000000-0005-0000-0000-0000F21F0000}"/>
    <cellStyle name="20% - Accent5 4 2 3 3 2 3 2" xfId="47824" xr:uid="{87B9D81D-C611-411F-8F2A-3670D977161C}"/>
    <cellStyle name="20% - Accent5 4 2 3 3 2 4" xfId="31947" xr:uid="{C7ED851C-32A6-4FE1-BDC9-B2AF992A6251}"/>
    <cellStyle name="20% - Accent5 4 2 3 3 3" xfId="12508" xr:uid="{00000000-0005-0000-0000-0000F31F0000}"/>
    <cellStyle name="20% - Accent5 4 2 3 3 3 2" xfId="36357" xr:uid="{4B130D05-AD97-4A43-9B0F-411E525F483D}"/>
    <cellStyle name="20% - Accent5 4 2 3 3 4" xfId="20463" xr:uid="{00000000-0005-0000-0000-0000F41F0000}"/>
    <cellStyle name="20% - Accent5 4 2 3 3 4 2" xfId="44295" xr:uid="{3F1C5E35-E3C5-414D-BEA6-70A87DEEAB4C}"/>
    <cellStyle name="20% - Accent5 4 2 3 3 5" xfId="28416" xr:uid="{3C58B741-1DBA-4B05-957C-C6370AE719ED}"/>
    <cellStyle name="20% - Accent5 4 2 3 4" xfId="6313" xr:uid="{00000000-0005-0000-0000-0000F51F0000}"/>
    <cellStyle name="20% - Accent5 4 2 3 4 2" xfId="14288" xr:uid="{00000000-0005-0000-0000-0000F61F0000}"/>
    <cellStyle name="20% - Accent5 4 2 3 4 2 2" xfId="38130" xr:uid="{930656EE-277D-498C-A6FD-E34C26A675D8}"/>
    <cellStyle name="20% - Accent5 4 2 3 4 3" xfId="22235" xr:uid="{00000000-0005-0000-0000-0000F71F0000}"/>
    <cellStyle name="20% - Accent5 4 2 3 4 3 2" xfId="46067" xr:uid="{BF7B007C-C1DA-4DA0-AC34-9F10B4CBF324}"/>
    <cellStyle name="20% - Accent5 4 2 3 4 4" xfId="30189" xr:uid="{ED0E41ED-EC4B-4E1D-A194-89ABB61CCF71}"/>
    <cellStyle name="20% - Accent5 4 2 3 5" xfId="9856" xr:uid="{00000000-0005-0000-0000-0000F81F0000}"/>
    <cellStyle name="20% - Accent5 4 2 3 5 2" xfId="17814" xr:uid="{00000000-0005-0000-0000-0000F91F0000}"/>
    <cellStyle name="20% - Accent5 4 2 3 5 2 2" xfId="41654" xr:uid="{62A4CDF4-1C0E-4ABB-8047-825D4584CF95}"/>
    <cellStyle name="20% - Accent5 4 2 3 5 3" xfId="25758" xr:uid="{00000000-0005-0000-0000-0000FA1F0000}"/>
    <cellStyle name="20% - Accent5 4 2 3 5 3 2" xfId="49590" xr:uid="{123D9C89-E715-4188-ABF4-C65086BF0DB0}"/>
    <cellStyle name="20% - Accent5 4 2 3 5 4" xfId="33713" xr:uid="{BF7E0AF6-DEE5-4B71-8B9D-59940FD3B2A8}"/>
    <cellStyle name="20% - Accent5 4 2 3 6" xfId="10752" xr:uid="{00000000-0005-0000-0000-0000FB1F0000}"/>
    <cellStyle name="20% - Accent5 4 2 3 6 2" xfId="34601" xr:uid="{888813B9-C4A2-489D-96B4-2A25B690A483}"/>
    <cellStyle name="20% - Accent5 4 2 3 7" xfId="18707" xr:uid="{00000000-0005-0000-0000-0000FC1F0000}"/>
    <cellStyle name="20% - Accent5 4 2 3 7 2" xfId="42539" xr:uid="{A3EAA467-EBA2-4732-871B-CC7C24AE0AB8}"/>
    <cellStyle name="20% - Accent5 4 2 3 8" xfId="26659" xr:uid="{DB406A03-FED9-4D9A-B200-C7B796D5784D}"/>
    <cellStyle name="20% - Accent5 4 2 3_Exh G" xfId="2505" xr:uid="{00000000-0005-0000-0000-0000FD1F0000}"/>
    <cellStyle name="20% - Accent5 4 2 4" xfId="1285" xr:uid="{00000000-0005-0000-0000-0000FE1F0000}"/>
    <cellStyle name="20% - Accent5 4 2 4 2" xfId="4815" xr:uid="{00000000-0005-0000-0000-0000FF1F0000}"/>
    <cellStyle name="20% - Accent5 4 2 4 2 2" xfId="8406" xr:uid="{00000000-0005-0000-0000-000000200000}"/>
    <cellStyle name="20% - Accent5 4 2 4 2 2 2" xfId="16377" xr:uid="{00000000-0005-0000-0000-000001200000}"/>
    <cellStyle name="20% - Accent5 4 2 4 2 2 2 2" xfId="40219" xr:uid="{7FCA29BB-8869-40A9-B06F-CB04D4354723}"/>
    <cellStyle name="20% - Accent5 4 2 4 2 2 3" xfId="24323" xr:uid="{00000000-0005-0000-0000-000002200000}"/>
    <cellStyle name="20% - Accent5 4 2 4 2 2 3 2" xfId="48155" xr:uid="{66E2448C-9C13-4B0D-9366-68AD3178B01C}"/>
    <cellStyle name="20% - Accent5 4 2 4 2 2 4" xfId="32278" xr:uid="{8AC89A57-97F8-4780-951E-6531C16A6F94}"/>
    <cellStyle name="20% - Accent5 4 2 4 2 3" xfId="12839" xr:uid="{00000000-0005-0000-0000-000003200000}"/>
    <cellStyle name="20% - Accent5 4 2 4 2 3 2" xfId="36688" xr:uid="{A32C3692-C146-4DD5-BC06-EDCFDC33BA24}"/>
    <cellStyle name="20% - Accent5 4 2 4 2 4" xfId="20794" xr:uid="{00000000-0005-0000-0000-000004200000}"/>
    <cellStyle name="20% - Accent5 4 2 4 2 4 2" xfId="44626" xr:uid="{40AF3DBA-C407-4FE6-9E17-45F679E99432}"/>
    <cellStyle name="20% - Accent5 4 2 4 2 5" xfId="28747" xr:uid="{B8547C0B-5DBA-49E4-B94C-BF4AC3516D8A}"/>
    <cellStyle name="20% - Accent5 4 2 4 3" xfId="6647" xr:uid="{00000000-0005-0000-0000-000005200000}"/>
    <cellStyle name="20% - Accent5 4 2 4 3 2" xfId="14619" xr:uid="{00000000-0005-0000-0000-000006200000}"/>
    <cellStyle name="20% - Accent5 4 2 4 3 2 2" xfId="38461" xr:uid="{ECB529B7-4E86-4244-9C6E-B72F90C3409A}"/>
    <cellStyle name="20% - Accent5 4 2 4 3 3" xfId="22566" xr:uid="{00000000-0005-0000-0000-000007200000}"/>
    <cellStyle name="20% - Accent5 4 2 4 3 3 2" xfId="46398" xr:uid="{FBE4CF47-FC85-4C3B-87F3-A767217DE7E5}"/>
    <cellStyle name="20% - Accent5 4 2 4 3 4" xfId="30520" xr:uid="{3448B849-48F7-4E44-A949-D6076034DCF8}"/>
    <cellStyle name="20% - Accent5 4 2 4 4" xfId="11083" xr:uid="{00000000-0005-0000-0000-000008200000}"/>
    <cellStyle name="20% - Accent5 4 2 4 4 2" xfId="34932" xr:uid="{515A9648-018B-4AA3-87BB-FC295A8BB2C2}"/>
    <cellStyle name="20% - Accent5 4 2 4 5" xfId="19038" xr:uid="{00000000-0005-0000-0000-000009200000}"/>
    <cellStyle name="20% - Accent5 4 2 4 5 2" xfId="42870" xr:uid="{4E1330BF-A7D9-4259-B86A-5AB49D75A37F}"/>
    <cellStyle name="20% - Accent5 4 2 4 6" xfId="26990" xr:uid="{08CEED28-254D-47BD-B3D3-CC1BEB0F1C1F}"/>
    <cellStyle name="20% - Accent5 4 2 4_Exh G" xfId="2507" xr:uid="{00000000-0005-0000-0000-00000A200000}"/>
    <cellStyle name="20% - Accent5 4 2 5" xfId="3936" xr:uid="{00000000-0005-0000-0000-00000B200000}"/>
    <cellStyle name="20% - Accent5 4 2 5 2" xfId="7528" xr:uid="{00000000-0005-0000-0000-00000C200000}"/>
    <cellStyle name="20% - Accent5 4 2 5 2 2" xfId="15499" xr:uid="{00000000-0005-0000-0000-00000D200000}"/>
    <cellStyle name="20% - Accent5 4 2 5 2 2 2" xfId="39341" xr:uid="{0A679857-6AAE-4205-8E0E-098CC38748B4}"/>
    <cellStyle name="20% - Accent5 4 2 5 2 3" xfId="23445" xr:uid="{00000000-0005-0000-0000-00000E200000}"/>
    <cellStyle name="20% - Accent5 4 2 5 2 3 2" xfId="47277" xr:uid="{E129ADC4-78F3-492D-8D54-6EA63BF59978}"/>
    <cellStyle name="20% - Accent5 4 2 5 2 4" xfId="31400" xr:uid="{44D65158-8991-49BB-BB5A-A491EE3AE5DC}"/>
    <cellStyle name="20% - Accent5 4 2 5 3" xfId="11961" xr:uid="{00000000-0005-0000-0000-00000F200000}"/>
    <cellStyle name="20% - Accent5 4 2 5 3 2" xfId="35810" xr:uid="{25511A9B-315C-491E-AB71-4224323714F7}"/>
    <cellStyle name="20% - Accent5 4 2 5 4" xfId="19916" xr:uid="{00000000-0005-0000-0000-000010200000}"/>
    <cellStyle name="20% - Accent5 4 2 5 4 2" xfId="43748" xr:uid="{7A2BC43A-7DC5-41B0-A911-36E30131C7E0}"/>
    <cellStyle name="20% - Accent5 4 2 5 5" xfId="27869" xr:uid="{00BFD455-47A4-4B02-869D-F58FF6DBFE03}"/>
    <cellStyle name="20% - Accent5 4 2 6" xfId="5756" xr:uid="{00000000-0005-0000-0000-000011200000}"/>
    <cellStyle name="20% - Accent5 4 2 6 2" xfId="13740" xr:uid="{00000000-0005-0000-0000-000012200000}"/>
    <cellStyle name="20% - Accent5 4 2 6 2 2" xfId="37583" xr:uid="{72BF0741-A8B3-4CE9-81BC-83A3A50A332B}"/>
    <cellStyle name="20% - Accent5 4 2 6 3" xfId="21688" xr:uid="{00000000-0005-0000-0000-000013200000}"/>
    <cellStyle name="20% - Accent5 4 2 6 3 2" xfId="45520" xr:uid="{BB8DADA6-17EA-441E-9C91-63CD4C2F13BD}"/>
    <cellStyle name="20% - Accent5 4 2 6 4" xfId="29642" xr:uid="{B36F0BBC-5CDC-4F38-8E99-7415413432F6}"/>
    <cellStyle name="20% - Accent5 4 2 7" xfId="9309" xr:uid="{00000000-0005-0000-0000-000014200000}"/>
    <cellStyle name="20% - Accent5 4 2 7 2" xfId="17267" xr:uid="{00000000-0005-0000-0000-000015200000}"/>
    <cellStyle name="20% - Accent5 4 2 7 2 2" xfId="41107" xr:uid="{CB43DD91-68F9-40A1-8F4F-BE2E83EAF1FE}"/>
    <cellStyle name="20% - Accent5 4 2 7 3" xfId="25211" xr:uid="{00000000-0005-0000-0000-000016200000}"/>
    <cellStyle name="20% - Accent5 4 2 7 3 2" xfId="49043" xr:uid="{C870FBFD-D183-4BA8-B589-5A6573DA3460}"/>
    <cellStyle name="20% - Accent5 4 2 7 4" xfId="33166" xr:uid="{8AE77227-510F-480D-B04E-C49048A09D0B}"/>
    <cellStyle name="20% - Accent5 4 2 8" xfId="10205" xr:uid="{00000000-0005-0000-0000-000017200000}"/>
    <cellStyle name="20% - Accent5 4 2 8 2" xfId="34054" xr:uid="{F2091597-CD3D-40F0-B30F-E779DECC6D3B}"/>
    <cellStyle name="20% - Accent5 4 2 9" xfId="18160" xr:uid="{00000000-0005-0000-0000-000018200000}"/>
    <cellStyle name="20% - Accent5 4 2 9 2" xfId="41992" xr:uid="{6A11C2C6-E822-4300-9A99-5CE4FC637F6C}"/>
    <cellStyle name="20% - Accent5 4 2_Exh G" xfId="2502" xr:uid="{00000000-0005-0000-0000-000019200000}"/>
    <cellStyle name="20% - Accent5 4 3" xfId="259" xr:uid="{00000000-0005-0000-0000-00001A200000}"/>
    <cellStyle name="20% - Accent5 4 3 2" xfId="1287" xr:uid="{00000000-0005-0000-0000-00001B200000}"/>
    <cellStyle name="20% - Accent5 4 3 2 2" xfId="4817" xr:uid="{00000000-0005-0000-0000-00001C200000}"/>
    <cellStyle name="20% - Accent5 4 3 2 2 2" xfId="8408" xr:uid="{00000000-0005-0000-0000-00001D200000}"/>
    <cellStyle name="20% - Accent5 4 3 2 2 2 2" xfId="16379" xr:uid="{00000000-0005-0000-0000-00001E200000}"/>
    <cellStyle name="20% - Accent5 4 3 2 2 2 2 2" xfId="40221" xr:uid="{895368F1-C04C-4B38-9152-17151F67C131}"/>
    <cellStyle name="20% - Accent5 4 3 2 2 2 3" xfId="24325" xr:uid="{00000000-0005-0000-0000-00001F200000}"/>
    <cellStyle name="20% - Accent5 4 3 2 2 2 3 2" xfId="48157" xr:uid="{7A6A77F6-A6D5-4EE0-B302-EE2249BC229C}"/>
    <cellStyle name="20% - Accent5 4 3 2 2 2 4" xfId="32280" xr:uid="{211D9EDC-1921-4ACB-BABB-605B1950E068}"/>
    <cellStyle name="20% - Accent5 4 3 2 2 3" xfId="12841" xr:uid="{00000000-0005-0000-0000-000020200000}"/>
    <cellStyle name="20% - Accent5 4 3 2 2 3 2" xfId="36690" xr:uid="{721A5669-B9F6-4067-8DE5-E554B651F72F}"/>
    <cellStyle name="20% - Accent5 4 3 2 2 4" xfId="20796" xr:uid="{00000000-0005-0000-0000-000021200000}"/>
    <cellStyle name="20% - Accent5 4 3 2 2 4 2" xfId="44628" xr:uid="{0BF9B6E3-1971-4A6C-BF98-ED4B0B613758}"/>
    <cellStyle name="20% - Accent5 4 3 2 2 5" xfId="28749" xr:uid="{1022D8D3-FC52-41E1-B0DE-24AD9A6DBD57}"/>
    <cellStyle name="20% - Accent5 4 3 2 3" xfId="6649" xr:uid="{00000000-0005-0000-0000-000022200000}"/>
    <cellStyle name="20% - Accent5 4 3 2 3 2" xfId="14621" xr:uid="{00000000-0005-0000-0000-000023200000}"/>
    <cellStyle name="20% - Accent5 4 3 2 3 2 2" xfId="38463" xr:uid="{8210E4F6-F458-405F-AAFA-AD1AEBBF8F25}"/>
    <cellStyle name="20% - Accent5 4 3 2 3 3" xfId="22568" xr:uid="{00000000-0005-0000-0000-000024200000}"/>
    <cellStyle name="20% - Accent5 4 3 2 3 3 2" xfId="46400" xr:uid="{F7977537-A00F-4877-A7B6-A37EED0290D5}"/>
    <cellStyle name="20% - Accent5 4 3 2 3 4" xfId="30522" xr:uid="{C6CDA589-AAF8-453C-9A8E-3A7998E9A645}"/>
    <cellStyle name="20% - Accent5 4 3 2 4" xfId="11085" xr:uid="{00000000-0005-0000-0000-000025200000}"/>
    <cellStyle name="20% - Accent5 4 3 2 4 2" xfId="34934" xr:uid="{D7B2664F-C57F-4409-B185-FF260412D543}"/>
    <cellStyle name="20% - Accent5 4 3 2 5" xfId="19040" xr:uid="{00000000-0005-0000-0000-000026200000}"/>
    <cellStyle name="20% - Accent5 4 3 2 5 2" xfId="42872" xr:uid="{4D11728B-77AD-40BB-B31B-03C40A73DE08}"/>
    <cellStyle name="20% - Accent5 4 3 2 6" xfId="26992" xr:uid="{234A4D2B-C009-488F-A33C-4BDE5341A04F}"/>
    <cellStyle name="20% - Accent5 4 3 2_Exh G" xfId="2509" xr:uid="{00000000-0005-0000-0000-000027200000}"/>
    <cellStyle name="20% - Accent5 4 3 3" xfId="3938" xr:uid="{00000000-0005-0000-0000-000028200000}"/>
    <cellStyle name="20% - Accent5 4 3 3 2" xfId="7530" xr:uid="{00000000-0005-0000-0000-000029200000}"/>
    <cellStyle name="20% - Accent5 4 3 3 2 2" xfId="15501" xr:uid="{00000000-0005-0000-0000-00002A200000}"/>
    <cellStyle name="20% - Accent5 4 3 3 2 2 2" xfId="39343" xr:uid="{7B165257-A789-4575-A069-201B83FB5667}"/>
    <cellStyle name="20% - Accent5 4 3 3 2 3" xfId="23447" xr:uid="{00000000-0005-0000-0000-00002B200000}"/>
    <cellStyle name="20% - Accent5 4 3 3 2 3 2" xfId="47279" xr:uid="{FACE7364-E7BF-4F17-BE27-C1792D0F9EAD}"/>
    <cellStyle name="20% - Accent5 4 3 3 2 4" xfId="31402" xr:uid="{4D51AC3E-927C-4422-AF21-534AD664BBB1}"/>
    <cellStyle name="20% - Accent5 4 3 3 3" xfId="11963" xr:uid="{00000000-0005-0000-0000-00002C200000}"/>
    <cellStyle name="20% - Accent5 4 3 3 3 2" xfId="35812" xr:uid="{3F3418BF-DA9B-4D7A-84CA-79E26363CD31}"/>
    <cellStyle name="20% - Accent5 4 3 3 4" xfId="19918" xr:uid="{00000000-0005-0000-0000-00002D200000}"/>
    <cellStyle name="20% - Accent5 4 3 3 4 2" xfId="43750" xr:uid="{F20C1532-42EC-40A2-8C89-531638C1B207}"/>
    <cellStyle name="20% - Accent5 4 3 3 5" xfId="27871" xr:uid="{C2CDA451-F07F-49B9-9C0D-E485F8E52259}"/>
    <cellStyle name="20% - Accent5 4 3 4" xfId="5758" xr:uid="{00000000-0005-0000-0000-00002E200000}"/>
    <cellStyle name="20% - Accent5 4 3 4 2" xfId="13742" xr:uid="{00000000-0005-0000-0000-00002F200000}"/>
    <cellStyle name="20% - Accent5 4 3 4 2 2" xfId="37585" xr:uid="{43A6E380-B2A7-44E8-AE88-F7FD47E55F8F}"/>
    <cellStyle name="20% - Accent5 4 3 4 3" xfId="21690" xr:uid="{00000000-0005-0000-0000-000030200000}"/>
    <cellStyle name="20% - Accent5 4 3 4 3 2" xfId="45522" xr:uid="{1D0F4A25-5927-4B4C-B685-F93196926E04}"/>
    <cellStyle name="20% - Accent5 4 3 4 4" xfId="29644" xr:uid="{EC7B0646-2B63-4C8A-8272-540ACF214B70}"/>
    <cellStyle name="20% - Accent5 4 3 5" xfId="9311" xr:uid="{00000000-0005-0000-0000-000031200000}"/>
    <cellStyle name="20% - Accent5 4 3 5 2" xfId="17269" xr:uid="{00000000-0005-0000-0000-000032200000}"/>
    <cellStyle name="20% - Accent5 4 3 5 2 2" xfId="41109" xr:uid="{6665801E-D33C-4D5C-9EB1-7842AB3B91BE}"/>
    <cellStyle name="20% - Accent5 4 3 5 3" xfId="25213" xr:uid="{00000000-0005-0000-0000-000033200000}"/>
    <cellStyle name="20% - Accent5 4 3 5 3 2" xfId="49045" xr:uid="{1CA73AD8-FD29-4BC4-A1A8-4EEC5011BD84}"/>
    <cellStyle name="20% - Accent5 4 3 5 4" xfId="33168" xr:uid="{D93521FD-89DF-4BDE-8970-1685E1D30792}"/>
    <cellStyle name="20% - Accent5 4 3 6" xfId="10207" xr:uid="{00000000-0005-0000-0000-000034200000}"/>
    <cellStyle name="20% - Accent5 4 3 6 2" xfId="34056" xr:uid="{ED2A4FEE-8BF0-41DF-9323-3643D6943851}"/>
    <cellStyle name="20% - Accent5 4 3 7" xfId="18162" xr:uid="{00000000-0005-0000-0000-000035200000}"/>
    <cellStyle name="20% - Accent5 4 3 7 2" xfId="41994" xr:uid="{5BA23772-DAFB-438D-92A4-9649919545EB}"/>
    <cellStyle name="20% - Accent5 4 3 8" xfId="26114" xr:uid="{963C9BF5-84FF-4FAC-B97F-E7405A1049DC}"/>
    <cellStyle name="20% - Accent5 4 3_Exh G" xfId="2508" xr:uid="{00000000-0005-0000-0000-000036200000}"/>
    <cellStyle name="20% - Accent5 4 4" xfId="915" xr:uid="{00000000-0005-0000-0000-000037200000}"/>
    <cellStyle name="20% - Accent5 4 4 2" xfId="1843" xr:uid="{00000000-0005-0000-0000-000038200000}"/>
    <cellStyle name="20% - Accent5 4 4 2 2" xfId="5361" xr:uid="{00000000-0005-0000-0000-000039200000}"/>
    <cellStyle name="20% - Accent5 4 4 2 2 2" xfId="8952" xr:uid="{00000000-0005-0000-0000-00003A200000}"/>
    <cellStyle name="20% - Accent5 4 4 2 2 2 2" xfId="16923" xr:uid="{00000000-0005-0000-0000-00003B200000}"/>
    <cellStyle name="20% - Accent5 4 4 2 2 2 2 2" xfId="40765" xr:uid="{5E0E2430-25B9-4284-8C44-87FBCA3DCAB6}"/>
    <cellStyle name="20% - Accent5 4 4 2 2 2 3" xfId="24869" xr:uid="{00000000-0005-0000-0000-00003C200000}"/>
    <cellStyle name="20% - Accent5 4 4 2 2 2 3 2" xfId="48701" xr:uid="{9DB1E36F-A4CF-41AF-8408-F484C0647EE7}"/>
    <cellStyle name="20% - Accent5 4 4 2 2 2 4" xfId="32824" xr:uid="{1A2BEA5B-6FDD-45DC-AE63-2AEC67447156}"/>
    <cellStyle name="20% - Accent5 4 4 2 2 3" xfId="13385" xr:uid="{00000000-0005-0000-0000-00003D200000}"/>
    <cellStyle name="20% - Accent5 4 4 2 2 3 2" xfId="37234" xr:uid="{7ECF48AC-8EFD-4782-B47C-C53803F5BB09}"/>
    <cellStyle name="20% - Accent5 4 4 2 2 4" xfId="21340" xr:uid="{00000000-0005-0000-0000-00003E200000}"/>
    <cellStyle name="20% - Accent5 4 4 2 2 4 2" xfId="45172" xr:uid="{E9BE0CB0-B8F5-4EAB-ABF0-772D16D4898C}"/>
    <cellStyle name="20% - Accent5 4 4 2 2 5" xfId="29293" xr:uid="{E1649436-3841-4FC0-BF4A-C4EF2DB81854}"/>
    <cellStyle name="20% - Accent5 4 4 2 3" xfId="7193" xr:uid="{00000000-0005-0000-0000-00003F200000}"/>
    <cellStyle name="20% - Accent5 4 4 2 3 2" xfId="15165" xr:uid="{00000000-0005-0000-0000-000040200000}"/>
    <cellStyle name="20% - Accent5 4 4 2 3 2 2" xfId="39007" xr:uid="{15A6EAAF-68E0-4DFD-922B-F842D368206E}"/>
    <cellStyle name="20% - Accent5 4 4 2 3 3" xfId="23112" xr:uid="{00000000-0005-0000-0000-000041200000}"/>
    <cellStyle name="20% - Accent5 4 4 2 3 3 2" xfId="46944" xr:uid="{47F6A169-400D-4B40-8888-ACDB142E5911}"/>
    <cellStyle name="20% - Accent5 4 4 2 3 4" xfId="31066" xr:uid="{EE223E7E-99A3-445B-8451-0E8CCA578266}"/>
    <cellStyle name="20% - Accent5 4 4 2 4" xfId="11629" xr:uid="{00000000-0005-0000-0000-000042200000}"/>
    <cellStyle name="20% - Accent5 4 4 2 4 2" xfId="35478" xr:uid="{0239F87A-CB15-40AD-9A69-B6EFD07BE2AA}"/>
    <cellStyle name="20% - Accent5 4 4 2 5" xfId="19584" xr:uid="{00000000-0005-0000-0000-000043200000}"/>
    <cellStyle name="20% - Accent5 4 4 2 5 2" xfId="43416" xr:uid="{3740D823-9E92-4F91-AB7B-95232C19AC1F}"/>
    <cellStyle name="20% - Accent5 4 4 2 6" xfId="27536" xr:uid="{6EDDC7A3-FA58-4038-A2C6-194655B08C9A}"/>
    <cellStyle name="20% - Accent5 4 4 2_Exh G" xfId="2511" xr:uid="{00000000-0005-0000-0000-000044200000}"/>
    <cellStyle name="20% - Accent5 4 4 3" xfId="4482" xr:uid="{00000000-0005-0000-0000-000045200000}"/>
    <cellStyle name="20% - Accent5 4 4 3 2" xfId="8074" xr:uid="{00000000-0005-0000-0000-000046200000}"/>
    <cellStyle name="20% - Accent5 4 4 3 2 2" xfId="16045" xr:uid="{00000000-0005-0000-0000-000047200000}"/>
    <cellStyle name="20% - Accent5 4 4 3 2 2 2" xfId="39887" xr:uid="{1286F0B7-2029-4D7F-B94C-E1BBA50D9797}"/>
    <cellStyle name="20% - Accent5 4 4 3 2 3" xfId="23991" xr:uid="{00000000-0005-0000-0000-000048200000}"/>
    <cellStyle name="20% - Accent5 4 4 3 2 3 2" xfId="47823" xr:uid="{262EE927-FF2A-448A-B2B2-9A72384D71D7}"/>
    <cellStyle name="20% - Accent5 4 4 3 2 4" xfId="31946" xr:uid="{A186D45D-82E5-44C3-86AE-539961B1E926}"/>
    <cellStyle name="20% - Accent5 4 4 3 3" xfId="12507" xr:uid="{00000000-0005-0000-0000-000049200000}"/>
    <cellStyle name="20% - Accent5 4 4 3 3 2" xfId="36356" xr:uid="{36E145D4-3F90-4A1E-BFB5-4E24C55658EF}"/>
    <cellStyle name="20% - Accent5 4 4 3 4" xfId="20462" xr:uid="{00000000-0005-0000-0000-00004A200000}"/>
    <cellStyle name="20% - Accent5 4 4 3 4 2" xfId="44294" xr:uid="{B4229C38-68DF-439F-BEB3-F1AB94607F0F}"/>
    <cellStyle name="20% - Accent5 4 4 3 5" xfId="28415" xr:uid="{017909F5-49D5-43F4-BC57-633FE43DBE96}"/>
    <cellStyle name="20% - Accent5 4 4 4" xfId="6312" xr:uid="{00000000-0005-0000-0000-00004B200000}"/>
    <cellStyle name="20% - Accent5 4 4 4 2" xfId="14287" xr:uid="{00000000-0005-0000-0000-00004C200000}"/>
    <cellStyle name="20% - Accent5 4 4 4 2 2" xfId="38129" xr:uid="{B672C0BE-E219-4ED3-9445-8D0C2A09962F}"/>
    <cellStyle name="20% - Accent5 4 4 4 3" xfId="22234" xr:uid="{00000000-0005-0000-0000-00004D200000}"/>
    <cellStyle name="20% - Accent5 4 4 4 3 2" xfId="46066" xr:uid="{6547C0B9-3EAF-4E88-8B7C-A384B4EF7F54}"/>
    <cellStyle name="20% - Accent5 4 4 4 4" xfId="30188" xr:uid="{757B0675-8F6D-4E2E-8F8E-440DA1E4F114}"/>
    <cellStyle name="20% - Accent5 4 4 5" xfId="9855" xr:uid="{00000000-0005-0000-0000-00004E200000}"/>
    <cellStyle name="20% - Accent5 4 4 5 2" xfId="17813" xr:uid="{00000000-0005-0000-0000-00004F200000}"/>
    <cellStyle name="20% - Accent5 4 4 5 2 2" xfId="41653" xr:uid="{5BF720C8-2522-4286-B289-A3B034A74B70}"/>
    <cellStyle name="20% - Accent5 4 4 5 3" xfId="25757" xr:uid="{00000000-0005-0000-0000-000050200000}"/>
    <cellStyle name="20% - Accent5 4 4 5 3 2" xfId="49589" xr:uid="{EEFBF3AD-AB42-49AF-831D-097B250C0CD7}"/>
    <cellStyle name="20% - Accent5 4 4 5 4" xfId="33712" xr:uid="{5DF62074-BF46-488B-899E-332814CADCAC}"/>
    <cellStyle name="20% - Accent5 4 4 6" xfId="10751" xr:uid="{00000000-0005-0000-0000-000051200000}"/>
    <cellStyle name="20% - Accent5 4 4 6 2" xfId="34600" xr:uid="{C35B1D51-FE3B-4C78-BEA4-28EB2CB4F57E}"/>
    <cellStyle name="20% - Accent5 4 4 7" xfId="18706" xr:uid="{00000000-0005-0000-0000-000052200000}"/>
    <cellStyle name="20% - Accent5 4 4 7 2" xfId="42538" xr:uid="{5251C2E8-7C2E-4602-94EA-5346C346FD39}"/>
    <cellStyle name="20% - Accent5 4 4 8" xfId="26658" xr:uid="{ABF06B26-E1B1-4711-9F9D-74D3FF0DA0E2}"/>
    <cellStyle name="20% - Accent5 4 4_Exh G" xfId="2510" xr:uid="{00000000-0005-0000-0000-000053200000}"/>
    <cellStyle name="20% - Accent5 4 5" xfId="1284" xr:uid="{00000000-0005-0000-0000-000054200000}"/>
    <cellStyle name="20% - Accent5 4 5 2" xfId="4814" xr:uid="{00000000-0005-0000-0000-000055200000}"/>
    <cellStyle name="20% - Accent5 4 5 2 2" xfId="8405" xr:uid="{00000000-0005-0000-0000-000056200000}"/>
    <cellStyle name="20% - Accent5 4 5 2 2 2" xfId="16376" xr:uid="{00000000-0005-0000-0000-000057200000}"/>
    <cellStyle name="20% - Accent5 4 5 2 2 2 2" xfId="40218" xr:uid="{43A8BA15-8B69-4E59-A246-6B7D185B4CB3}"/>
    <cellStyle name="20% - Accent5 4 5 2 2 3" xfId="24322" xr:uid="{00000000-0005-0000-0000-000058200000}"/>
    <cellStyle name="20% - Accent5 4 5 2 2 3 2" xfId="48154" xr:uid="{723AF4C5-6515-42D9-9853-17BE40D9C16B}"/>
    <cellStyle name="20% - Accent5 4 5 2 2 4" xfId="32277" xr:uid="{31915D40-BA38-4603-A989-2B8C0037061B}"/>
    <cellStyle name="20% - Accent5 4 5 2 3" xfId="12838" xr:uid="{00000000-0005-0000-0000-000059200000}"/>
    <cellStyle name="20% - Accent5 4 5 2 3 2" xfId="36687" xr:uid="{264E7B32-B1EC-4C28-B867-96CB5F1F6125}"/>
    <cellStyle name="20% - Accent5 4 5 2 4" xfId="20793" xr:uid="{00000000-0005-0000-0000-00005A200000}"/>
    <cellStyle name="20% - Accent5 4 5 2 4 2" xfId="44625" xr:uid="{E2C04153-425B-42D2-A098-757223E4D7C7}"/>
    <cellStyle name="20% - Accent5 4 5 2 5" xfId="28746" xr:uid="{0D6D8CB1-42D7-4842-81B4-510E2459E5C3}"/>
    <cellStyle name="20% - Accent5 4 5 3" xfId="6646" xr:uid="{00000000-0005-0000-0000-00005B200000}"/>
    <cellStyle name="20% - Accent5 4 5 3 2" xfId="14618" xr:uid="{00000000-0005-0000-0000-00005C200000}"/>
    <cellStyle name="20% - Accent5 4 5 3 2 2" xfId="38460" xr:uid="{B8291D91-FEB8-486D-A089-6EE7C3BEC590}"/>
    <cellStyle name="20% - Accent5 4 5 3 3" xfId="22565" xr:uid="{00000000-0005-0000-0000-00005D200000}"/>
    <cellStyle name="20% - Accent5 4 5 3 3 2" xfId="46397" xr:uid="{ECCC9C95-022B-456A-B1C7-FCC63D764B18}"/>
    <cellStyle name="20% - Accent5 4 5 3 4" xfId="30519" xr:uid="{9041C327-6A2B-4592-8F0F-D2652CEA01CB}"/>
    <cellStyle name="20% - Accent5 4 5 4" xfId="11082" xr:uid="{00000000-0005-0000-0000-00005E200000}"/>
    <cellStyle name="20% - Accent5 4 5 4 2" xfId="34931" xr:uid="{49029897-5C1B-431F-9204-5BC7DC68D643}"/>
    <cellStyle name="20% - Accent5 4 5 5" xfId="19037" xr:uid="{00000000-0005-0000-0000-00005F200000}"/>
    <cellStyle name="20% - Accent5 4 5 5 2" xfId="42869" xr:uid="{AAB43B8F-10E5-4F4E-A628-3BC2AF5E9EA9}"/>
    <cellStyle name="20% - Accent5 4 5 6" xfId="26989" xr:uid="{C685572F-E74F-444D-973E-3239EE6A4DF3}"/>
    <cellStyle name="20% - Accent5 4 5_Exh G" xfId="2512" xr:uid="{00000000-0005-0000-0000-000060200000}"/>
    <cellStyle name="20% - Accent5 4 6" xfId="3935" xr:uid="{00000000-0005-0000-0000-000061200000}"/>
    <cellStyle name="20% - Accent5 4 6 2" xfId="7527" xr:uid="{00000000-0005-0000-0000-000062200000}"/>
    <cellStyle name="20% - Accent5 4 6 2 2" xfId="15498" xr:uid="{00000000-0005-0000-0000-000063200000}"/>
    <cellStyle name="20% - Accent5 4 6 2 2 2" xfId="39340" xr:uid="{B854EB7A-281F-4A4D-AE1A-B645CC22AD52}"/>
    <cellStyle name="20% - Accent5 4 6 2 3" xfId="23444" xr:uid="{00000000-0005-0000-0000-000064200000}"/>
    <cellStyle name="20% - Accent5 4 6 2 3 2" xfId="47276" xr:uid="{AAF46EBD-DB3D-4592-BC15-A582E70A0CEC}"/>
    <cellStyle name="20% - Accent5 4 6 2 4" xfId="31399" xr:uid="{BE682D37-BCB6-42D9-8062-C44C14BE1C10}"/>
    <cellStyle name="20% - Accent5 4 6 3" xfId="11960" xr:uid="{00000000-0005-0000-0000-000065200000}"/>
    <cellStyle name="20% - Accent5 4 6 3 2" xfId="35809" xr:uid="{16BC4DAC-62EA-4328-9782-DDCADFEF876C}"/>
    <cellStyle name="20% - Accent5 4 6 4" xfId="19915" xr:uid="{00000000-0005-0000-0000-000066200000}"/>
    <cellStyle name="20% - Accent5 4 6 4 2" xfId="43747" xr:uid="{74EBD2F4-9ABE-4D65-A9C2-87A510344C38}"/>
    <cellStyle name="20% - Accent5 4 6 5" xfId="27868" xr:uid="{6437BED7-5302-4613-9479-8751BD83578C}"/>
    <cellStyle name="20% - Accent5 4 7" xfId="5755" xr:uid="{00000000-0005-0000-0000-000067200000}"/>
    <cellStyle name="20% - Accent5 4 7 2" xfId="13739" xr:uid="{00000000-0005-0000-0000-000068200000}"/>
    <cellStyle name="20% - Accent5 4 7 2 2" xfId="37582" xr:uid="{B81691DB-273B-42D3-81A1-B17B4F6F3B2C}"/>
    <cellStyle name="20% - Accent5 4 7 3" xfId="21687" xr:uid="{00000000-0005-0000-0000-000069200000}"/>
    <cellStyle name="20% - Accent5 4 7 3 2" xfId="45519" xr:uid="{3D68496E-B1FE-4E8F-B5AE-4E2E6C859190}"/>
    <cellStyle name="20% - Accent5 4 7 4" xfId="29641" xr:uid="{CD35AD24-5353-47C1-86A4-6C1F5D6824A1}"/>
    <cellStyle name="20% - Accent5 4 8" xfId="9308" xr:uid="{00000000-0005-0000-0000-00006A200000}"/>
    <cellStyle name="20% - Accent5 4 8 2" xfId="17266" xr:uid="{00000000-0005-0000-0000-00006B200000}"/>
    <cellStyle name="20% - Accent5 4 8 2 2" xfId="41106" xr:uid="{BE541FD3-A131-49E1-B1FC-E0FF94691430}"/>
    <cellStyle name="20% - Accent5 4 8 3" xfId="25210" xr:uid="{00000000-0005-0000-0000-00006C200000}"/>
    <cellStyle name="20% - Accent5 4 8 3 2" xfId="49042" xr:uid="{B828C99B-F258-46EC-9599-FE6953E81B84}"/>
    <cellStyle name="20% - Accent5 4 8 4" xfId="33165" xr:uid="{415DBF4A-A8A6-4363-A790-EBE83723B034}"/>
    <cellStyle name="20% - Accent5 4 9" xfId="10204" xr:uid="{00000000-0005-0000-0000-00006D200000}"/>
    <cellStyle name="20% - Accent5 4 9 2" xfId="34053" xr:uid="{0A988DBC-BAA7-4564-9B62-E6A639A600F9}"/>
    <cellStyle name="20% - Accent5 4_Exh G" xfId="2501" xr:uid="{00000000-0005-0000-0000-00006E200000}"/>
    <cellStyle name="20% - Accent5 5" xfId="260" xr:uid="{00000000-0005-0000-0000-00006F200000}"/>
    <cellStyle name="20% - Accent5 5 10" xfId="18163" xr:uid="{00000000-0005-0000-0000-000070200000}"/>
    <cellStyle name="20% - Accent5 5 10 2" xfId="41995" xr:uid="{B139BC75-4F09-4E6D-8601-F0BE7FB9283E}"/>
    <cellStyle name="20% - Accent5 5 11" xfId="26115" xr:uid="{F647F6EE-9B61-46CC-A002-470B22CBDABD}"/>
    <cellStyle name="20% - Accent5 5 2" xfId="261" xr:uid="{00000000-0005-0000-0000-000071200000}"/>
    <cellStyle name="20% - Accent5 5 2 2" xfId="262" xr:uid="{00000000-0005-0000-0000-000072200000}"/>
    <cellStyle name="20% - Accent5 5 2 2 2" xfId="1290" xr:uid="{00000000-0005-0000-0000-000073200000}"/>
    <cellStyle name="20% - Accent5 5 2 2 2 2" xfId="4820" xr:uid="{00000000-0005-0000-0000-000074200000}"/>
    <cellStyle name="20% - Accent5 5 2 2 2 2 2" xfId="8411" xr:uid="{00000000-0005-0000-0000-000075200000}"/>
    <cellStyle name="20% - Accent5 5 2 2 2 2 2 2" xfId="16382" xr:uid="{00000000-0005-0000-0000-000076200000}"/>
    <cellStyle name="20% - Accent5 5 2 2 2 2 2 2 2" xfId="40224" xr:uid="{ACCBB967-3611-4557-A108-CDCC7D05D2EF}"/>
    <cellStyle name="20% - Accent5 5 2 2 2 2 2 3" xfId="24328" xr:uid="{00000000-0005-0000-0000-000077200000}"/>
    <cellStyle name="20% - Accent5 5 2 2 2 2 2 3 2" xfId="48160" xr:uid="{9B83A733-B533-474B-B443-35D6E18624E9}"/>
    <cellStyle name="20% - Accent5 5 2 2 2 2 2 4" xfId="32283" xr:uid="{8CB332F9-421E-41E4-BE76-95D9557C9F9F}"/>
    <cellStyle name="20% - Accent5 5 2 2 2 2 3" xfId="12844" xr:uid="{00000000-0005-0000-0000-000078200000}"/>
    <cellStyle name="20% - Accent5 5 2 2 2 2 3 2" xfId="36693" xr:uid="{C2303B8F-E88D-4BD9-9DC3-12C994A5A2DD}"/>
    <cellStyle name="20% - Accent5 5 2 2 2 2 4" xfId="20799" xr:uid="{00000000-0005-0000-0000-000079200000}"/>
    <cellStyle name="20% - Accent5 5 2 2 2 2 4 2" xfId="44631" xr:uid="{1F8468FA-6823-4178-913E-3E5EC0DD3371}"/>
    <cellStyle name="20% - Accent5 5 2 2 2 2 5" xfId="28752" xr:uid="{8E59A3C0-407E-4FD4-B06C-704E7D0E01F5}"/>
    <cellStyle name="20% - Accent5 5 2 2 2 3" xfId="6652" xr:uid="{00000000-0005-0000-0000-00007A200000}"/>
    <cellStyle name="20% - Accent5 5 2 2 2 3 2" xfId="14624" xr:uid="{00000000-0005-0000-0000-00007B200000}"/>
    <cellStyle name="20% - Accent5 5 2 2 2 3 2 2" xfId="38466" xr:uid="{327A7974-4A62-4D9E-8893-031D26583420}"/>
    <cellStyle name="20% - Accent5 5 2 2 2 3 3" xfId="22571" xr:uid="{00000000-0005-0000-0000-00007C200000}"/>
    <cellStyle name="20% - Accent5 5 2 2 2 3 3 2" xfId="46403" xr:uid="{79716659-5A20-4BEA-A137-6C3F4A8EF1F3}"/>
    <cellStyle name="20% - Accent5 5 2 2 2 3 4" xfId="30525" xr:uid="{122BF087-C5F8-4884-B079-32AEA0BDE75D}"/>
    <cellStyle name="20% - Accent5 5 2 2 2 4" xfId="11088" xr:uid="{00000000-0005-0000-0000-00007D200000}"/>
    <cellStyle name="20% - Accent5 5 2 2 2 4 2" xfId="34937" xr:uid="{4D40CBD5-8739-4DEA-862A-CDD1A65CEB56}"/>
    <cellStyle name="20% - Accent5 5 2 2 2 5" xfId="19043" xr:uid="{00000000-0005-0000-0000-00007E200000}"/>
    <cellStyle name="20% - Accent5 5 2 2 2 5 2" xfId="42875" xr:uid="{A298EC45-8562-4E39-AB5E-33A8B0BB57F3}"/>
    <cellStyle name="20% - Accent5 5 2 2 2 6" xfId="26995" xr:uid="{6A420048-53B4-44A6-A25E-ECB777C33CA0}"/>
    <cellStyle name="20% - Accent5 5 2 2 2_Exh G" xfId="2516" xr:uid="{00000000-0005-0000-0000-00007F200000}"/>
    <cellStyle name="20% - Accent5 5 2 2 3" xfId="3941" xr:uid="{00000000-0005-0000-0000-000080200000}"/>
    <cellStyle name="20% - Accent5 5 2 2 3 2" xfId="7533" xr:uid="{00000000-0005-0000-0000-000081200000}"/>
    <cellStyle name="20% - Accent5 5 2 2 3 2 2" xfId="15504" xr:uid="{00000000-0005-0000-0000-000082200000}"/>
    <cellStyle name="20% - Accent5 5 2 2 3 2 2 2" xfId="39346" xr:uid="{E5BA176C-0397-471F-8555-D016AA40E3BB}"/>
    <cellStyle name="20% - Accent5 5 2 2 3 2 3" xfId="23450" xr:uid="{00000000-0005-0000-0000-000083200000}"/>
    <cellStyle name="20% - Accent5 5 2 2 3 2 3 2" xfId="47282" xr:uid="{6B78A036-2F63-497A-95B6-B592F1CEC0BD}"/>
    <cellStyle name="20% - Accent5 5 2 2 3 2 4" xfId="31405" xr:uid="{91A38C3F-C71C-4457-B23D-0155C46750E1}"/>
    <cellStyle name="20% - Accent5 5 2 2 3 3" xfId="11966" xr:uid="{00000000-0005-0000-0000-000084200000}"/>
    <cellStyle name="20% - Accent5 5 2 2 3 3 2" xfId="35815" xr:uid="{B3967786-599F-432C-9547-0412E8552507}"/>
    <cellStyle name="20% - Accent5 5 2 2 3 4" xfId="19921" xr:uid="{00000000-0005-0000-0000-000085200000}"/>
    <cellStyle name="20% - Accent5 5 2 2 3 4 2" xfId="43753" xr:uid="{4AB1F24F-7982-4000-B7AF-6250A1A98F47}"/>
    <cellStyle name="20% - Accent5 5 2 2 3 5" xfId="27874" xr:uid="{FEC45B54-F6C9-4BA9-9360-7C9AA8DAE41E}"/>
    <cellStyle name="20% - Accent5 5 2 2 4" xfId="5761" xr:uid="{00000000-0005-0000-0000-000086200000}"/>
    <cellStyle name="20% - Accent5 5 2 2 4 2" xfId="13745" xr:uid="{00000000-0005-0000-0000-000087200000}"/>
    <cellStyle name="20% - Accent5 5 2 2 4 2 2" xfId="37588" xr:uid="{4E870773-6EEE-426A-B85D-7226A44AD637}"/>
    <cellStyle name="20% - Accent5 5 2 2 4 3" xfId="21693" xr:uid="{00000000-0005-0000-0000-000088200000}"/>
    <cellStyle name="20% - Accent5 5 2 2 4 3 2" xfId="45525" xr:uid="{04B6F5FC-3B6A-4984-A046-04F7C41A7D0D}"/>
    <cellStyle name="20% - Accent5 5 2 2 4 4" xfId="29647" xr:uid="{3D0003C1-ED92-44AB-8B96-B8BA2C7EC5DB}"/>
    <cellStyle name="20% - Accent5 5 2 2 5" xfId="9314" xr:uid="{00000000-0005-0000-0000-000089200000}"/>
    <cellStyle name="20% - Accent5 5 2 2 5 2" xfId="17272" xr:uid="{00000000-0005-0000-0000-00008A200000}"/>
    <cellStyle name="20% - Accent5 5 2 2 5 2 2" xfId="41112" xr:uid="{6EE81A89-FC7B-416F-A494-6789CA514670}"/>
    <cellStyle name="20% - Accent5 5 2 2 5 3" xfId="25216" xr:uid="{00000000-0005-0000-0000-00008B200000}"/>
    <cellStyle name="20% - Accent5 5 2 2 5 3 2" xfId="49048" xr:uid="{EF522BAB-B994-4DE3-9EF0-8DF6ABA1D94A}"/>
    <cellStyle name="20% - Accent5 5 2 2 5 4" xfId="33171" xr:uid="{9C931507-7785-4B89-B5C9-A60E57B10098}"/>
    <cellStyle name="20% - Accent5 5 2 2 6" xfId="10210" xr:uid="{00000000-0005-0000-0000-00008C200000}"/>
    <cellStyle name="20% - Accent5 5 2 2 6 2" xfId="34059" xr:uid="{C77458F1-EAD9-4918-9CFF-3F8AC6188ECF}"/>
    <cellStyle name="20% - Accent5 5 2 2 7" xfId="18165" xr:uid="{00000000-0005-0000-0000-00008D200000}"/>
    <cellStyle name="20% - Accent5 5 2 2 7 2" xfId="41997" xr:uid="{95D17CE5-4961-4EFF-AC7C-A27652BC4595}"/>
    <cellStyle name="20% - Accent5 5 2 2 8" xfId="26117" xr:uid="{E5EDB607-2F45-40DD-87FA-8CE7D237FE44}"/>
    <cellStyle name="20% - Accent5 5 2 2_Exh G" xfId="2515" xr:uid="{00000000-0005-0000-0000-00008E200000}"/>
    <cellStyle name="20% - Accent5 5 2 3" xfId="1289" xr:uid="{00000000-0005-0000-0000-00008F200000}"/>
    <cellStyle name="20% - Accent5 5 2 3 2" xfId="4819" xr:uid="{00000000-0005-0000-0000-000090200000}"/>
    <cellStyle name="20% - Accent5 5 2 3 2 2" xfId="8410" xr:uid="{00000000-0005-0000-0000-000091200000}"/>
    <cellStyle name="20% - Accent5 5 2 3 2 2 2" xfId="16381" xr:uid="{00000000-0005-0000-0000-000092200000}"/>
    <cellStyle name="20% - Accent5 5 2 3 2 2 2 2" xfId="40223" xr:uid="{734F4E97-99A6-4AEA-A7B2-F9E77F7AE4E4}"/>
    <cellStyle name="20% - Accent5 5 2 3 2 2 3" xfId="24327" xr:uid="{00000000-0005-0000-0000-000093200000}"/>
    <cellStyle name="20% - Accent5 5 2 3 2 2 3 2" xfId="48159" xr:uid="{0BF4DE5A-4DEA-46C0-929A-75FFA95E531F}"/>
    <cellStyle name="20% - Accent5 5 2 3 2 2 4" xfId="32282" xr:uid="{3202C69C-FA7A-481B-BAAA-CE2022CB47A3}"/>
    <cellStyle name="20% - Accent5 5 2 3 2 3" xfId="12843" xr:uid="{00000000-0005-0000-0000-000094200000}"/>
    <cellStyle name="20% - Accent5 5 2 3 2 3 2" xfId="36692" xr:uid="{6302B64E-2D49-4DD6-ADF9-78827D2F798D}"/>
    <cellStyle name="20% - Accent5 5 2 3 2 4" xfId="20798" xr:uid="{00000000-0005-0000-0000-000095200000}"/>
    <cellStyle name="20% - Accent5 5 2 3 2 4 2" xfId="44630" xr:uid="{229AF3A1-11F9-4FDE-B4E1-875E47CE9F7E}"/>
    <cellStyle name="20% - Accent5 5 2 3 2 5" xfId="28751" xr:uid="{1D126D56-E05E-4526-9697-A03DA25926E9}"/>
    <cellStyle name="20% - Accent5 5 2 3 3" xfId="6651" xr:uid="{00000000-0005-0000-0000-000096200000}"/>
    <cellStyle name="20% - Accent5 5 2 3 3 2" xfId="14623" xr:uid="{00000000-0005-0000-0000-000097200000}"/>
    <cellStyle name="20% - Accent5 5 2 3 3 2 2" xfId="38465" xr:uid="{E48CC96D-8511-468E-8DD8-B58D6B337BCA}"/>
    <cellStyle name="20% - Accent5 5 2 3 3 3" xfId="22570" xr:uid="{00000000-0005-0000-0000-000098200000}"/>
    <cellStyle name="20% - Accent5 5 2 3 3 3 2" xfId="46402" xr:uid="{C4A13650-ADF5-43FC-A9B6-AEA7981E7222}"/>
    <cellStyle name="20% - Accent5 5 2 3 3 4" xfId="30524" xr:uid="{033D17A8-BB6D-476D-A82C-B4CF8DACC405}"/>
    <cellStyle name="20% - Accent5 5 2 3 4" xfId="11087" xr:uid="{00000000-0005-0000-0000-000099200000}"/>
    <cellStyle name="20% - Accent5 5 2 3 4 2" xfId="34936" xr:uid="{34A7AA82-47D4-43B6-ABAA-7F44F0E6BF4A}"/>
    <cellStyle name="20% - Accent5 5 2 3 5" xfId="19042" xr:uid="{00000000-0005-0000-0000-00009A200000}"/>
    <cellStyle name="20% - Accent5 5 2 3 5 2" xfId="42874" xr:uid="{CF39D2CB-F076-4067-9A57-AF13910A8488}"/>
    <cellStyle name="20% - Accent5 5 2 3 6" xfId="26994" xr:uid="{9878AB13-00E3-4501-837D-87208103B224}"/>
    <cellStyle name="20% - Accent5 5 2 3_Exh G" xfId="2517" xr:uid="{00000000-0005-0000-0000-00009B200000}"/>
    <cellStyle name="20% - Accent5 5 2 4" xfId="3940" xr:uid="{00000000-0005-0000-0000-00009C200000}"/>
    <cellStyle name="20% - Accent5 5 2 4 2" xfId="7532" xr:uid="{00000000-0005-0000-0000-00009D200000}"/>
    <cellStyle name="20% - Accent5 5 2 4 2 2" xfId="15503" xr:uid="{00000000-0005-0000-0000-00009E200000}"/>
    <cellStyle name="20% - Accent5 5 2 4 2 2 2" xfId="39345" xr:uid="{14564047-9644-4ED5-ABCC-CD5C569390A5}"/>
    <cellStyle name="20% - Accent5 5 2 4 2 3" xfId="23449" xr:uid="{00000000-0005-0000-0000-00009F200000}"/>
    <cellStyle name="20% - Accent5 5 2 4 2 3 2" xfId="47281" xr:uid="{BA1810C5-F3E8-4EAA-8092-008DD4F90BCC}"/>
    <cellStyle name="20% - Accent5 5 2 4 2 4" xfId="31404" xr:uid="{89F3B7C6-5E4B-4D2C-A218-CF71A0BD7FF5}"/>
    <cellStyle name="20% - Accent5 5 2 4 3" xfId="11965" xr:uid="{00000000-0005-0000-0000-0000A0200000}"/>
    <cellStyle name="20% - Accent5 5 2 4 3 2" xfId="35814" xr:uid="{8C083370-2698-4798-8A40-73B8598398D8}"/>
    <cellStyle name="20% - Accent5 5 2 4 4" xfId="19920" xr:uid="{00000000-0005-0000-0000-0000A1200000}"/>
    <cellStyle name="20% - Accent5 5 2 4 4 2" xfId="43752" xr:uid="{58C3A66B-4BE7-4BA1-B5AE-0B06AA7174B0}"/>
    <cellStyle name="20% - Accent5 5 2 4 5" xfId="27873" xr:uid="{E9C2A95E-26FA-4E2C-9AAF-F8FCF678C44C}"/>
    <cellStyle name="20% - Accent5 5 2 5" xfId="5760" xr:uid="{00000000-0005-0000-0000-0000A2200000}"/>
    <cellStyle name="20% - Accent5 5 2 5 2" xfId="13744" xr:uid="{00000000-0005-0000-0000-0000A3200000}"/>
    <cellStyle name="20% - Accent5 5 2 5 2 2" xfId="37587" xr:uid="{3BC45725-BD2D-46CA-B14F-C22DE4FF4DD3}"/>
    <cellStyle name="20% - Accent5 5 2 5 3" xfId="21692" xr:uid="{00000000-0005-0000-0000-0000A4200000}"/>
    <cellStyle name="20% - Accent5 5 2 5 3 2" xfId="45524" xr:uid="{83AF8F55-9F85-488C-B124-68C111B969D1}"/>
    <cellStyle name="20% - Accent5 5 2 5 4" xfId="29646" xr:uid="{B0C24940-5190-4CCF-B887-00617D6DD7C8}"/>
    <cellStyle name="20% - Accent5 5 2 6" xfId="9313" xr:uid="{00000000-0005-0000-0000-0000A5200000}"/>
    <cellStyle name="20% - Accent5 5 2 6 2" xfId="17271" xr:uid="{00000000-0005-0000-0000-0000A6200000}"/>
    <cellStyle name="20% - Accent5 5 2 6 2 2" xfId="41111" xr:uid="{FFEF2511-59F6-4165-9C7C-235CDC9F5770}"/>
    <cellStyle name="20% - Accent5 5 2 6 3" xfId="25215" xr:uid="{00000000-0005-0000-0000-0000A7200000}"/>
    <cellStyle name="20% - Accent5 5 2 6 3 2" xfId="49047" xr:uid="{C5A404E4-FC68-49EA-8D77-E86985146915}"/>
    <cellStyle name="20% - Accent5 5 2 6 4" xfId="33170" xr:uid="{45C093F2-0AEE-4CD7-BECE-4BCA66E7BD1F}"/>
    <cellStyle name="20% - Accent5 5 2 7" xfId="10209" xr:uid="{00000000-0005-0000-0000-0000A8200000}"/>
    <cellStyle name="20% - Accent5 5 2 7 2" xfId="34058" xr:uid="{19F1B287-6ADA-49FB-9692-8CA280DCF41A}"/>
    <cellStyle name="20% - Accent5 5 2 8" xfId="18164" xr:uid="{00000000-0005-0000-0000-0000A9200000}"/>
    <cellStyle name="20% - Accent5 5 2 8 2" xfId="41996" xr:uid="{B95AD40F-35F5-417A-B10A-5E3E78284C00}"/>
    <cellStyle name="20% - Accent5 5 2 9" xfId="26116" xr:uid="{6F534E49-5503-4A78-8274-2C17473B5B22}"/>
    <cellStyle name="20% - Accent5 5 2_Exh G" xfId="2514" xr:uid="{00000000-0005-0000-0000-0000AA200000}"/>
    <cellStyle name="20% - Accent5 5 3" xfId="263" xr:uid="{00000000-0005-0000-0000-0000AB200000}"/>
    <cellStyle name="20% - Accent5 5 3 2" xfId="1291" xr:uid="{00000000-0005-0000-0000-0000AC200000}"/>
    <cellStyle name="20% - Accent5 5 3 2 2" xfId="4821" xr:uid="{00000000-0005-0000-0000-0000AD200000}"/>
    <cellStyle name="20% - Accent5 5 3 2 2 2" xfId="8412" xr:uid="{00000000-0005-0000-0000-0000AE200000}"/>
    <cellStyle name="20% - Accent5 5 3 2 2 2 2" xfId="16383" xr:uid="{00000000-0005-0000-0000-0000AF200000}"/>
    <cellStyle name="20% - Accent5 5 3 2 2 2 2 2" xfId="40225" xr:uid="{D34847BC-6947-4F95-B4B9-86C6A3F04C92}"/>
    <cellStyle name="20% - Accent5 5 3 2 2 2 3" xfId="24329" xr:uid="{00000000-0005-0000-0000-0000B0200000}"/>
    <cellStyle name="20% - Accent5 5 3 2 2 2 3 2" xfId="48161" xr:uid="{F9B1FE69-DDEF-4A3F-BB83-31726ADE0A1A}"/>
    <cellStyle name="20% - Accent5 5 3 2 2 2 4" xfId="32284" xr:uid="{32DDDC68-6382-4B78-9222-A394B767C2ED}"/>
    <cellStyle name="20% - Accent5 5 3 2 2 3" xfId="12845" xr:uid="{00000000-0005-0000-0000-0000B1200000}"/>
    <cellStyle name="20% - Accent5 5 3 2 2 3 2" xfId="36694" xr:uid="{4BCB8ABE-0F23-4E34-9443-D4E64323073C}"/>
    <cellStyle name="20% - Accent5 5 3 2 2 4" xfId="20800" xr:uid="{00000000-0005-0000-0000-0000B2200000}"/>
    <cellStyle name="20% - Accent5 5 3 2 2 4 2" xfId="44632" xr:uid="{9DB8836E-23E3-4624-8CA9-2A216864C05D}"/>
    <cellStyle name="20% - Accent5 5 3 2 2 5" xfId="28753" xr:uid="{324636E3-9086-47BA-A4FF-D045B7E05BE9}"/>
    <cellStyle name="20% - Accent5 5 3 2 3" xfId="6653" xr:uid="{00000000-0005-0000-0000-0000B3200000}"/>
    <cellStyle name="20% - Accent5 5 3 2 3 2" xfId="14625" xr:uid="{00000000-0005-0000-0000-0000B4200000}"/>
    <cellStyle name="20% - Accent5 5 3 2 3 2 2" xfId="38467" xr:uid="{A2063037-EB08-4347-BB9E-713385247E3C}"/>
    <cellStyle name="20% - Accent5 5 3 2 3 3" xfId="22572" xr:uid="{00000000-0005-0000-0000-0000B5200000}"/>
    <cellStyle name="20% - Accent5 5 3 2 3 3 2" xfId="46404" xr:uid="{7CCD8AD1-B5EB-490E-A4D4-DE829D717F4C}"/>
    <cellStyle name="20% - Accent5 5 3 2 3 4" xfId="30526" xr:uid="{88E16930-C548-49DA-8D55-F903C67DC8C9}"/>
    <cellStyle name="20% - Accent5 5 3 2 4" xfId="11089" xr:uid="{00000000-0005-0000-0000-0000B6200000}"/>
    <cellStyle name="20% - Accent5 5 3 2 4 2" xfId="34938" xr:uid="{17E71795-7A39-4FDF-B0FF-2ED9000D466B}"/>
    <cellStyle name="20% - Accent5 5 3 2 5" xfId="19044" xr:uid="{00000000-0005-0000-0000-0000B7200000}"/>
    <cellStyle name="20% - Accent5 5 3 2 5 2" xfId="42876" xr:uid="{4D361D4E-4BD7-460F-A74B-AA7B019C834D}"/>
    <cellStyle name="20% - Accent5 5 3 2 6" xfId="26996" xr:uid="{204E6021-6A6B-4195-814F-509306E794DC}"/>
    <cellStyle name="20% - Accent5 5 3 2_Exh G" xfId="2519" xr:uid="{00000000-0005-0000-0000-0000B8200000}"/>
    <cellStyle name="20% - Accent5 5 3 3" xfId="3942" xr:uid="{00000000-0005-0000-0000-0000B9200000}"/>
    <cellStyle name="20% - Accent5 5 3 3 2" xfId="7534" xr:uid="{00000000-0005-0000-0000-0000BA200000}"/>
    <cellStyle name="20% - Accent5 5 3 3 2 2" xfId="15505" xr:uid="{00000000-0005-0000-0000-0000BB200000}"/>
    <cellStyle name="20% - Accent5 5 3 3 2 2 2" xfId="39347" xr:uid="{334C6369-98D2-4DB4-B7A7-96119714F7C9}"/>
    <cellStyle name="20% - Accent5 5 3 3 2 3" xfId="23451" xr:uid="{00000000-0005-0000-0000-0000BC200000}"/>
    <cellStyle name="20% - Accent5 5 3 3 2 3 2" xfId="47283" xr:uid="{27255BE6-BAFB-4584-AAEC-8A2A0EB7977A}"/>
    <cellStyle name="20% - Accent5 5 3 3 2 4" xfId="31406" xr:uid="{6F633941-2CDC-470F-88C9-C26366F986B5}"/>
    <cellStyle name="20% - Accent5 5 3 3 3" xfId="11967" xr:uid="{00000000-0005-0000-0000-0000BD200000}"/>
    <cellStyle name="20% - Accent5 5 3 3 3 2" xfId="35816" xr:uid="{9E8FA58C-D3A6-4D7D-AD4D-355AA182EBE5}"/>
    <cellStyle name="20% - Accent5 5 3 3 4" xfId="19922" xr:uid="{00000000-0005-0000-0000-0000BE200000}"/>
    <cellStyle name="20% - Accent5 5 3 3 4 2" xfId="43754" xr:uid="{B375606D-2C59-48C3-BBC4-67DDD032FAF0}"/>
    <cellStyle name="20% - Accent5 5 3 3 5" xfId="27875" xr:uid="{DDF2D075-47F9-4FB7-8883-4F4B5569E56F}"/>
    <cellStyle name="20% - Accent5 5 3 4" xfId="5762" xr:uid="{00000000-0005-0000-0000-0000BF200000}"/>
    <cellStyle name="20% - Accent5 5 3 4 2" xfId="13746" xr:uid="{00000000-0005-0000-0000-0000C0200000}"/>
    <cellStyle name="20% - Accent5 5 3 4 2 2" xfId="37589" xr:uid="{998E74CB-11AA-4830-BD21-4F315A00B643}"/>
    <cellStyle name="20% - Accent5 5 3 4 3" xfId="21694" xr:uid="{00000000-0005-0000-0000-0000C1200000}"/>
    <cellStyle name="20% - Accent5 5 3 4 3 2" xfId="45526" xr:uid="{68DEE266-46B2-491A-9314-18D87BF99E8D}"/>
    <cellStyle name="20% - Accent5 5 3 4 4" xfId="29648" xr:uid="{CF571918-48A9-4212-974B-26F4E367ED7C}"/>
    <cellStyle name="20% - Accent5 5 3 5" xfId="9315" xr:uid="{00000000-0005-0000-0000-0000C2200000}"/>
    <cellStyle name="20% - Accent5 5 3 5 2" xfId="17273" xr:uid="{00000000-0005-0000-0000-0000C3200000}"/>
    <cellStyle name="20% - Accent5 5 3 5 2 2" xfId="41113" xr:uid="{8F75FB7D-EDCC-460A-B904-335866710440}"/>
    <cellStyle name="20% - Accent5 5 3 5 3" xfId="25217" xr:uid="{00000000-0005-0000-0000-0000C4200000}"/>
    <cellStyle name="20% - Accent5 5 3 5 3 2" xfId="49049" xr:uid="{732331E7-F98C-4C18-B6CA-EFC56665250C}"/>
    <cellStyle name="20% - Accent5 5 3 5 4" xfId="33172" xr:uid="{8C1E00B0-9C29-44A7-926C-FEC0D392F9F4}"/>
    <cellStyle name="20% - Accent5 5 3 6" xfId="10211" xr:uid="{00000000-0005-0000-0000-0000C5200000}"/>
    <cellStyle name="20% - Accent5 5 3 6 2" xfId="34060" xr:uid="{09258E78-DA13-4A97-B4B5-2E8CB363694D}"/>
    <cellStyle name="20% - Accent5 5 3 7" xfId="18166" xr:uid="{00000000-0005-0000-0000-0000C6200000}"/>
    <cellStyle name="20% - Accent5 5 3 7 2" xfId="41998" xr:uid="{7AE78F75-4C0E-4A18-9069-CE36FF604A7B}"/>
    <cellStyle name="20% - Accent5 5 3 8" xfId="26118" xr:uid="{42C96C6D-47AF-43F4-8D31-A17C7D40FA34}"/>
    <cellStyle name="20% - Accent5 5 3_Exh G" xfId="2518" xr:uid="{00000000-0005-0000-0000-0000C7200000}"/>
    <cellStyle name="20% - Accent5 5 4" xfId="917" xr:uid="{00000000-0005-0000-0000-0000C8200000}"/>
    <cellStyle name="20% - Accent5 5 5" xfId="1288" xr:uid="{00000000-0005-0000-0000-0000C9200000}"/>
    <cellStyle name="20% - Accent5 5 5 2" xfId="4818" xr:uid="{00000000-0005-0000-0000-0000CA200000}"/>
    <cellStyle name="20% - Accent5 5 5 2 2" xfId="8409" xr:uid="{00000000-0005-0000-0000-0000CB200000}"/>
    <cellStyle name="20% - Accent5 5 5 2 2 2" xfId="16380" xr:uid="{00000000-0005-0000-0000-0000CC200000}"/>
    <cellStyle name="20% - Accent5 5 5 2 2 2 2" xfId="40222" xr:uid="{9F6F1EB7-A6EB-48BF-A545-CF4F83D85101}"/>
    <cellStyle name="20% - Accent5 5 5 2 2 3" xfId="24326" xr:uid="{00000000-0005-0000-0000-0000CD200000}"/>
    <cellStyle name="20% - Accent5 5 5 2 2 3 2" xfId="48158" xr:uid="{F7A8C2B8-2FE1-4E95-81CA-1F1712D56837}"/>
    <cellStyle name="20% - Accent5 5 5 2 2 4" xfId="32281" xr:uid="{C2258E8C-208F-4315-B767-715E91A714C0}"/>
    <cellStyle name="20% - Accent5 5 5 2 3" xfId="12842" xr:uid="{00000000-0005-0000-0000-0000CE200000}"/>
    <cellStyle name="20% - Accent5 5 5 2 3 2" xfId="36691" xr:uid="{DB000C44-7C1A-4290-8020-2FA03AA001D0}"/>
    <cellStyle name="20% - Accent5 5 5 2 4" xfId="20797" xr:uid="{00000000-0005-0000-0000-0000CF200000}"/>
    <cellStyle name="20% - Accent5 5 5 2 4 2" xfId="44629" xr:uid="{1585373D-10B4-4918-AD1B-B5D4B31D110C}"/>
    <cellStyle name="20% - Accent5 5 5 2 5" xfId="28750" xr:uid="{C3BAD3B9-4A39-4D2B-BE7D-401D88D20A32}"/>
    <cellStyle name="20% - Accent5 5 5 3" xfId="6650" xr:uid="{00000000-0005-0000-0000-0000D0200000}"/>
    <cellStyle name="20% - Accent5 5 5 3 2" xfId="14622" xr:uid="{00000000-0005-0000-0000-0000D1200000}"/>
    <cellStyle name="20% - Accent5 5 5 3 2 2" xfId="38464" xr:uid="{F0C1CEB5-02A4-4BDC-81AF-492FF36CF71D}"/>
    <cellStyle name="20% - Accent5 5 5 3 3" xfId="22569" xr:uid="{00000000-0005-0000-0000-0000D2200000}"/>
    <cellStyle name="20% - Accent5 5 5 3 3 2" xfId="46401" xr:uid="{70F58A1C-A273-4150-8143-C5F32AFF3966}"/>
    <cellStyle name="20% - Accent5 5 5 3 4" xfId="30523" xr:uid="{6CA0CBDE-D600-45C4-A5E7-A4E06693CF8F}"/>
    <cellStyle name="20% - Accent5 5 5 4" xfId="11086" xr:uid="{00000000-0005-0000-0000-0000D3200000}"/>
    <cellStyle name="20% - Accent5 5 5 4 2" xfId="34935" xr:uid="{FC5109D1-ED86-4305-9CEC-FC53A91366B0}"/>
    <cellStyle name="20% - Accent5 5 5 5" xfId="19041" xr:uid="{00000000-0005-0000-0000-0000D4200000}"/>
    <cellStyle name="20% - Accent5 5 5 5 2" xfId="42873" xr:uid="{E0DF1038-0E7F-4794-8CF8-DA1E1723291E}"/>
    <cellStyle name="20% - Accent5 5 5 6" xfId="26993" xr:uid="{6340CAD5-BC5B-4550-83BF-891FC9A74D57}"/>
    <cellStyle name="20% - Accent5 5 5_Exh G" xfId="2520" xr:uid="{00000000-0005-0000-0000-0000D5200000}"/>
    <cellStyle name="20% - Accent5 5 6" xfId="3939" xr:uid="{00000000-0005-0000-0000-0000D6200000}"/>
    <cellStyle name="20% - Accent5 5 6 2" xfId="7531" xr:uid="{00000000-0005-0000-0000-0000D7200000}"/>
    <cellStyle name="20% - Accent5 5 6 2 2" xfId="15502" xr:uid="{00000000-0005-0000-0000-0000D8200000}"/>
    <cellStyle name="20% - Accent5 5 6 2 2 2" xfId="39344" xr:uid="{A2D9574E-4B8E-4E3D-9E56-A48B56101BE8}"/>
    <cellStyle name="20% - Accent5 5 6 2 3" xfId="23448" xr:uid="{00000000-0005-0000-0000-0000D9200000}"/>
    <cellStyle name="20% - Accent5 5 6 2 3 2" xfId="47280" xr:uid="{DCC3E615-25E3-4C9C-B20D-D856FA8E6E03}"/>
    <cellStyle name="20% - Accent5 5 6 2 4" xfId="31403" xr:uid="{5FAA740C-5353-428D-86F0-9BB68C9CF586}"/>
    <cellStyle name="20% - Accent5 5 6 3" xfId="11964" xr:uid="{00000000-0005-0000-0000-0000DA200000}"/>
    <cellStyle name="20% - Accent5 5 6 3 2" xfId="35813" xr:uid="{C2691A3F-1D89-4A4B-B7AD-AB2F38DBF56D}"/>
    <cellStyle name="20% - Accent5 5 6 4" xfId="19919" xr:uid="{00000000-0005-0000-0000-0000DB200000}"/>
    <cellStyle name="20% - Accent5 5 6 4 2" xfId="43751" xr:uid="{CA80DBEB-48D3-490E-9D81-15280D768488}"/>
    <cellStyle name="20% - Accent5 5 6 5" xfId="27872" xr:uid="{3FE83CC9-C1B1-4DFE-B319-A7B4A589FC36}"/>
    <cellStyle name="20% - Accent5 5 7" xfId="5759" xr:uid="{00000000-0005-0000-0000-0000DC200000}"/>
    <cellStyle name="20% - Accent5 5 7 2" xfId="13743" xr:uid="{00000000-0005-0000-0000-0000DD200000}"/>
    <cellStyle name="20% - Accent5 5 7 2 2" xfId="37586" xr:uid="{AF23B8A3-8A59-4158-A4B4-3F7CB639355C}"/>
    <cellStyle name="20% - Accent5 5 7 3" xfId="21691" xr:uid="{00000000-0005-0000-0000-0000DE200000}"/>
    <cellStyle name="20% - Accent5 5 7 3 2" xfId="45523" xr:uid="{798C2FCF-A205-47A0-83ED-66FF5F9BD9C6}"/>
    <cellStyle name="20% - Accent5 5 7 4" xfId="29645" xr:uid="{D19ECD34-5642-4355-9EC2-F712B99EFCF4}"/>
    <cellStyle name="20% - Accent5 5 8" xfId="9312" xr:uid="{00000000-0005-0000-0000-0000DF200000}"/>
    <cellStyle name="20% - Accent5 5 8 2" xfId="17270" xr:uid="{00000000-0005-0000-0000-0000E0200000}"/>
    <cellStyle name="20% - Accent5 5 8 2 2" xfId="41110" xr:uid="{F32993A6-D9BB-4698-986F-3AF8C94BFA9E}"/>
    <cellStyle name="20% - Accent5 5 8 3" xfId="25214" xr:uid="{00000000-0005-0000-0000-0000E1200000}"/>
    <cellStyle name="20% - Accent5 5 8 3 2" xfId="49046" xr:uid="{6E60E385-FC0B-4569-99A6-42E6ABA9C91A}"/>
    <cellStyle name="20% - Accent5 5 8 4" xfId="33169" xr:uid="{2712594D-68F7-4066-B3BB-96CAC5BFEBA9}"/>
    <cellStyle name="20% - Accent5 5 9" xfId="10208" xr:uid="{00000000-0005-0000-0000-0000E2200000}"/>
    <cellStyle name="20% - Accent5 5 9 2" xfId="34057" xr:uid="{5468E28D-9A83-4AD3-BA34-83D2C62518A5}"/>
    <cellStyle name="20% - Accent5 5_Exh G" xfId="2513" xr:uid="{00000000-0005-0000-0000-0000E3200000}"/>
    <cellStyle name="20% - Accent5 6" xfId="264" xr:uid="{00000000-0005-0000-0000-0000E4200000}"/>
    <cellStyle name="20% - Accent5 6 10" xfId="18167" xr:uid="{00000000-0005-0000-0000-0000E5200000}"/>
    <cellStyle name="20% - Accent5 6 10 2" xfId="41999" xr:uid="{E1F67FDB-4680-42FA-AD56-DA88722F2C76}"/>
    <cellStyle name="20% - Accent5 6 11" xfId="26119" xr:uid="{234D8714-A779-4462-AAE1-74D6FFE28358}"/>
    <cellStyle name="20% - Accent5 6 2" xfId="265" xr:uid="{00000000-0005-0000-0000-0000E6200000}"/>
    <cellStyle name="20% - Accent5 6 2 2" xfId="266" xr:uid="{00000000-0005-0000-0000-0000E7200000}"/>
    <cellStyle name="20% - Accent5 6 2 2 2" xfId="1294" xr:uid="{00000000-0005-0000-0000-0000E8200000}"/>
    <cellStyle name="20% - Accent5 6 2 2 2 2" xfId="4824" xr:uid="{00000000-0005-0000-0000-0000E9200000}"/>
    <cellStyle name="20% - Accent5 6 2 2 2 2 2" xfId="8415" xr:uid="{00000000-0005-0000-0000-0000EA200000}"/>
    <cellStyle name="20% - Accent5 6 2 2 2 2 2 2" xfId="16386" xr:uid="{00000000-0005-0000-0000-0000EB200000}"/>
    <cellStyle name="20% - Accent5 6 2 2 2 2 2 2 2" xfId="40228" xr:uid="{C50531EB-2F2F-4C46-9FEF-DB75CF4055A7}"/>
    <cellStyle name="20% - Accent5 6 2 2 2 2 2 3" xfId="24332" xr:uid="{00000000-0005-0000-0000-0000EC200000}"/>
    <cellStyle name="20% - Accent5 6 2 2 2 2 2 3 2" xfId="48164" xr:uid="{8CD91905-3E0E-488A-B7A3-79099B57459D}"/>
    <cellStyle name="20% - Accent5 6 2 2 2 2 2 4" xfId="32287" xr:uid="{2844DC13-6DDE-4FEC-B385-E82693B0DAA0}"/>
    <cellStyle name="20% - Accent5 6 2 2 2 2 3" xfId="12848" xr:uid="{00000000-0005-0000-0000-0000ED200000}"/>
    <cellStyle name="20% - Accent5 6 2 2 2 2 3 2" xfId="36697" xr:uid="{F7153050-597B-40A7-91A6-4BDDD3185706}"/>
    <cellStyle name="20% - Accent5 6 2 2 2 2 4" xfId="20803" xr:uid="{00000000-0005-0000-0000-0000EE200000}"/>
    <cellStyle name="20% - Accent5 6 2 2 2 2 4 2" xfId="44635" xr:uid="{807321D4-7E52-4964-8F34-7035975AC672}"/>
    <cellStyle name="20% - Accent5 6 2 2 2 2 5" xfId="28756" xr:uid="{D2C150C8-7E19-4870-A1F3-2A698D57599A}"/>
    <cellStyle name="20% - Accent5 6 2 2 2 3" xfId="6656" xr:uid="{00000000-0005-0000-0000-0000EF200000}"/>
    <cellStyle name="20% - Accent5 6 2 2 2 3 2" xfId="14628" xr:uid="{00000000-0005-0000-0000-0000F0200000}"/>
    <cellStyle name="20% - Accent5 6 2 2 2 3 2 2" xfId="38470" xr:uid="{57C6C7F8-A674-4F34-98AB-2CDB1062404B}"/>
    <cellStyle name="20% - Accent5 6 2 2 2 3 3" xfId="22575" xr:uid="{00000000-0005-0000-0000-0000F1200000}"/>
    <cellStyle name="20% - Accent5 6 2 2 2 3 3 2" xfId="46407" xr:uid="{D7C3ED92-CE56-4532-86AE-073BF8BF8DDB}"/>
    <cellStyle name="20% - Accent5 6 2 2 2 3 4" xfId="30529" xr:uid="{76136EEC-AE29-47BF-8104-BA4753866D11}"/>
    <cellStyle name="20% - Accent5 6 2 2 2 4" xfId="11092" xr:uid="{00000000-0005-0000-0000-0000F2200000}"/>
    <cellStyle name="20% - Accent5 6 2 2 2 4 2" xfId="34941" xr:uid="{F2839372-245A-4203-B14E-844AE799CD5C}"/>
    <cellStyle name="20% - Accent5 6 2 2 2 5" xfId="19047" xr:uid="{00000000-0005-0000-0000-0000F3200000}"/>
    <cellStyle name="20% - Accent5 6 2 2 2 5 2" xfId="42879" xr:uid="{0081BA15-143A-43EC-997D-7CE99CB9CDE8}"/>
    <cellStyle name="20% - Accent5 6 2 2 2 6" xfId="26999" xr:uid="{578012B7-6A5E-40BC-B44C-84C6FCCE6D48}"/>
    <cellStyle name="20% - Accent5 6 2 2 2_Exh G" xfId="2524" xr:uid="{00000000-0005-0000-0000-0000F4200000}"/>
    <cellStyle name="20% - Accent5 6 2 2 3" xfId="3945" xr:uid="{00000000-0005-0000-0000-0000F5200000}"/>
    <cellStyle name="20% - Accent5 6 2 2 3 2" xfId="7537" xr:uid="{00000000-0005-0000-0000-0000F6200000}"/>
    <cellStyle name="20% - Accent5 6 2 2 3 2 2" xfId="15508" xr:uid="{00000000-0005-0000-0000-0000F7200000}"/>
    <cellStyle name="20% - Accent5 6 2 2 3 2 2 2" xfId="39350" xr:uid="{C8766B7D-B03B-4158-BB59-BAEC8D8D1967}"/>
    <cellStyle name="20% - Accent5 6 2 2 3 2 3" xfId="23454" xr:uid="{00000000-0005-0000-0000-0000F8200000}"/>
    <cellStyle name="20% - Accent5 6 2 2 3 2 3 2" xfId="47286" xr:uid="{C78D89D0-5C39-4E8F-AD1D-C950E077C4EE}"/>
    <cellStyle name="20% - Accent5 6 2 2 3 2 4" xfId="31409" xr:uid="{FD23F13E-1720-45B6-98CD-4926A7A3DED5}"/>
    <cellStyle name="20% - Accent5 6 2 2 3 3" xfId="11970" xr:uid="{00000000-0005-0000-0000-0000F9200000}"/>
    <cellStyle name="20% - Accent5 6 2 2 3 3 2" xfId="35819" xr:uid="{806FDB63-3E5D-48C4-9C40-71D7C1B82411}"/>
    <cellStyle name="20% - Accent5 6 2 2 3 4" xfId="19925" xr:uid="{00000000-0005-0000-0000-0000FA200000}"/>
    <cellStyle name="20% - Accent5 6 2 2 3 4 2" xfId="43757" xr:uid="{8866A14C-ED48-457A-B0E0-4DDCF5B0330C}"/>
    <cellStyle name="20% - Accent5 6 2 2 3 5" xfId="27878" xr:uid="{669EA78B-67ED-46EF-A571-58E05D58F0A5}"/>
    <cellStyle name="20% - Accent5 6 2 2 4" xfId="5765" xr:uid="{00000000-0005-0000-0000-0000FB200000}"/>
    <cellStyle name="20% - Accent5 6 2 2 4 2" xfId="13749" xr:uid="{00000000-0005-0000-0000-0000FC200000}"/>
    <cellStyle name="20% - Accent5 6 2 2 4 2 2" xfId="37592" xr:uid="{DC0E7798-0A9D-42D2-BBDC-5165C3D77FAC}"/>
    <cellStyle name="20% - Accent5 6 2 2 4 3" xfId="21697" xr:uid="{00000000-0005-0000-0000-0000FD200000}"/>
    <cellStyle name="20% - Accent5 6 2 2 4 3 2" xfId="45529" xr:uid="{8351AEED-129B-406D-A45C-DCA5DF498FB3}"/>
    <cellStyle name="20% - Accent5 6 2 2 4 4" xfId="29651" xr:uid="{707E14C6-F631-4418-8650-250C92666460}"/>
    <cellStyle name="20% - Accent5 6 2 2 5" xfId="9318" xr:uid="{00000000-0005-0000-0000-0000FE200000}"/>
    <cellStyle name="20% - Accent5 6 2 2 5 2" xfId="17276" xr:uid="{00000000-0005-0000-0000-0000FF200000}"/>
    <cellStyle name="20% - Accent5 6 2 2 5 2 2" xfId="41116" xr:uid="{28301008-BEB6-4979-9F4D-DDC8D3F72915}"/>
    <cellStyle name="20% - Accent5 6 2 2 5 3" xfId="25220" xr:uid="{00000000-0005-0000-0000-000000210000}"/>
    <cellStyle name="20% - Accent5 6 2 2 5 3 2" xfId="49052" xr:uid="{B0BCD381-7ACF-40C6-97A7-CB6EF3891C37}"/>
    <cellStyle name="20% - Accent5 6 2 2 5 4" xfId="33175" xr:uid="{E49D2CDF-1E45-49B4-9C6C-6299F1C0D210}"/>
    <cellStyle name="20% - Accent5 6 2 2 6" xfId="10214" xr:uid="{00000000-0005-0000-0000-000001210000}"/>
    <cellStyle name="20% - Accent5 6 2 2 6 2" xfId="34063" xr:uid="{0506E64A-A3A8-461E-AABD-C1AC155C063A}"/>
    <cellStyle name="20% - Accent5 6 2 2 7" xfId="18169" xr:uid="{00000000-0005-0000-0000-000002210000}"/>
    <cellStyle name="20% - Accent5 6 2 2 7 2" xfId="42001" xr:uid="{6E823E11-C678-41FF-AA55-4B9570BD83D0}"/>
    <cellStyle name="20% - Accent5 6 2 2 8" xfId="26121" xr:uid="{61BBE158-1BBC-4C90-A2F4-37DEA2578AAD}"/>
    <cellStyle name="20% - Accent5 6 2 2_Exh G" xfId="2523" xr:uid="{00000000-0005-0000-0000-000003210000}"/>
    <cellStyle name="20% - Accent5 6 2 3" xfId="1293" xr:uid="{00000000-0005-0000-0000-000004210000}"/>
    <cellStyle name="20% - Accent5 6 2 3 2" xfId="4823" xr:uid="{00000000-0005-0000-0000-000005210000}"/>
    <cellStyle name="20% - Accent5 6 2 3 2 2" xfId="8414" xr:uid="{00000000-0005-0000-0000-000006210000}"/>
    <cellStyle name="20% - Accent5 6 2 3 2 2 2" xfId="16385" xr:uid="{00000000-0005-0000-0000-000007210000}"/>
    <cellStyle name="20% - Accent5 6 2 3 2 2 2 2" xfId="40227" xr:uid="{30F76D4F-55CD-43DE-B016-CB218DB1C7D7}"/>
    <cellStyle name="20% - Accent5 6 2 3 2 2 3" xfId="24331" xr:uid="{00000000-0005-0000-0000-000008210000}"/>
    <cellStyle name="20% - Accent5 6 2 3 2 2 3 2" xfId="48163" xr:uid="{FAA34B8A-FA48-470C-A2CC-D81662D435D4}"/>
    <cellStyle name="20% - Accent5 6 2 3 2 2 4" xfId="32286" xr:uid="{C9B750D2-FB30-482F-B131-1220BF6E4362}"/>
    <cellStyle name="20% - Accent5 6 2 3 2 3" xfId="12847" xr:uid="{00000000-0005-0000-0000-000009210000}"/>
    <cellStyle name="20% - Accent5 6 2 3 2 3 2" xfId="36696" xr:uid="{0FD6A5F1-9E01-4E57-9D03-62A24CA854EB}"/>
    <cellStyle name="20% - Accent5 6 2 3 2 4" xfId="20802" xr:uid="{00000000-0005-0000-0000-00000A210000}"/>
    <cellStyle name="20% - Accent5 6 2 3 2 4 2" xfId="44634" xr:uid="{8D39AA63-7347-4771-92C5-33615DA4D1D2}"/>
    <cellStyle name="20% - Accent5 6 2 3 2 5" xfId="28755" xr:uid="{868E8960-F192-4316-AA02-F82BA8F9DFEA}"/>
    <cellStyle name="20% - Accent5 6 2 3 3" xfId="6655" xr:uid="{00000000-0005-0000-0000-00000B210000}"/>
    <cellStyle name="20% - Accent5 6 2 3 3 2" xfId="14627" xr:uid="{00000000-0005-0000-0000-00000C210000}"/>
    <cellStyle name="20% - Accent5 6 2 3 3 2 2" xfId="38469" xr:uid="{5C80647A-8282-4429-B07D-3D3AF6A7029C}"/>
    <cellStyle name="20% - Accent5 6 2 3 3 3" xfId="22574" xr:uid="{00000000-0005-0000-0000-00000D210000}"/>
    <cellStyle name="20% - Accent5 6 2 3 3 3 2" xfId="46406" xr:uid="{90BCCB37-9F35-46F7-A681-BA3A59E4D666}"/>
    <cellStyle name="20% - Accent5 6 2 3 3 4" xfId="30528" xr:uid="{E17021F5-4DF9-4F51-8EEE-FB0F46D449A8}"/>
    <cellStyle name="20% - Accent5 6 2 3 4" xfId="11091" xr:uid="{00000000-0005-0000-0000-00000E210000}"/>
    <cellStyle name="20% - Accent5 6 2 3 4 2" xfId="34940" xr:uid="{5B7AB6F1-B28E-41DB-A0D8-245A3C3ABEC4}"/>
    <cellStyle name="20% - Accent5 6 2 3 5" xfId="19046" xr:uid="{00000000-0005-0000-0000-00000F210000}"/>
    <cellStyle name="20% - Accent5 6 2 3 5 2" xfId="42878" xr:uid="{D171D137-89B2-42CD-B4D0-5719B45CDFE7}"/>
    <cellStyle name="20% - Accent5 6 2 3 6" xfId="26998" xr:uid="{6EC48712-857C-4606-9837-B14055A23715}"/>
    <cellStyle name="20% - Accent5 6 2 3_Exh G" xfId="2525" xr:uid="{00000000-0005-0000-0000-000010210000}"/>
    <cellStyle name="20% - Accent5 6 2 4" xfId="3944" xr:uid="{00000000-0005-0000-0000-000011210000}"/>
    <cellStyle name="20% - Accent5 6 2 4 2" xfId="7536" xr:uid="{00000000-0005-0000-0000-000012210000}"/>
    <cellStyle name="20% - Accent5 6 2 4 2 2" xfId="15507" xr:uid="{00000000-0005-0000-0000-000013210000}"/>
    <cellStyle name="20% - Accent5 6 2 4 2 2 2" xfId="39349" xr:uid="{B59F0BE6-017F-40EB-BE89-1535B4205881}"/>
    <cellStyle name="20% - Accent5 6 2 4 2 3" xfId="23453" xr:uid="{00000000-0005-0000-0000-000014210000}"/>
    <cellStyle name="20% - Accent5 6 2 4 2 3 2" xfId="47285" xr:uid="{DA412E8F-FA57-434D-BC46-DAF40439327F}"/>
    <cellStyle name="20% - Accent5 6 2 4 2 4" xfId="31408" xr:uid="{C29919BF-3E5B-420D-ABA2-2F73BA7599ED}"/>
    <cellStyle name="20% - Accent5 6 2 4 3" xfId="11969" xr:uid="{00000000-0005-0000-0000-000015210000}"/>
    <cellStyle name="20% - Accent5 6 2 4 3 2" xfId="35818" xr:uid="{6C6BD6A2-3106-4891-BF2D-6819D670A1E8}"/>
    <cellStyle name="20% - Accent5 6 2 4 4" xfId="19924" xr:uid="{00000000-0005-0000-0000-000016210000}"/>
    <cellStyle name="20% - Accent5 6 2 4 4 2" xfId="43756" xr:uid="{48518C83-15F0-481E-8481-F3ED646C32C3}"/>
    <cellStyle name="20% - Accent5 6 2 4 5" xfId="27877" xr:uid="{6C070C71-447F-4569-9051-D9D1CEE44794}"/>
    <cellStyle name="20% - Accent5 6 2 5" xfId="5764" xr:uid="{00000000-0005-0000-0000-000017210000}"/>
    <cellStyle name="20% - Accent5 6 2 5 2" xfId="13748" xr:uid="{00000000-0005-0000-0000-000018210000}"/>
    <cellStyle name="20% - Accent5 6 2 5 2 2" xfId="37591" xr:uid="{D2AB670E-64AE-4994-A728-95C46E801376}"/>
    <cellStyle name="20% - Accent5 6 2 5 3" xfId="21696" xr:uid="{00000000-0005-0000-0000-000019210000}"/>
    <cellStyle name="20% - Accent5 6 2 5 3 2" xfId="45528" xr:uid="{11281CE5-FE90-4AC9-B2ED-F31B8F1ECD07}"/>
    <cellStyle name="20% - Accent5 6 2 5 4" xfId="29650" xr:uid="{3E5096C8-EB59-436B-8BC1-E7A83A123F4E}"/>
    <cellStyle name="20% - Accent5 6 2 6" xfId="9317" xr:uid="{00000000-0005-0000-0000-00001A210000}"/>
    <cellStyle name="20% - Accent5 6 2 6 2" xfId="17275" xr:uid="{00000000-0005-0000-0000-00001B210000}"/>
    <cellStyle name="20% - Accent5 6 2 6 2 2" xfId="41115" xr:uid="{EFBD5ECB-DA74-4664-9BCA-38C612FD91AB}"/>
    <cellStyle name="20% - Accent5 6 2 6 3" xfId="25219" xr:uid="{00000000-0005-0000-0000-00001C210000}"/>
    <cellStyle name="20% - Accent5 6 2 6 3 2" xfId="49051" xr:uid="{11464979-666D-4632-A591-F0901BE968E3}"/>
    <cellStyle name="20% - Accent5 6 2 6 4" xfId="33174" xr:uid="{DB171F40-2BAF-4949-A429-8204D0723460}"/>
    <cellStyle name="20% - Accent5 6 2 7" xfId="10213" xr:uid="{00000000-0005-0000-0000-00001D210000}"/>
    <cellStyle name="20% - Accent5 6 2 7 2" xfId="34062" xr:uid="{0730C491-D3B0-4DB1-A82D-DF4C4094E670}"/>
    <cellStyle name="20% - Accent5 6 2 8" xfId="18168" xr:uid="{00000000-0005-0000-0000-00001E210000}"/>
    <cellStyle name="20% - Accent5 6 2 8 2" xfId="42000" xr:uid="{F6424C8D-FF8D-453F-ACD8-7CBF96B6A51F}"/>
    <cellStyle name="20% - Accent5 6 2 9" xfId="26120" xr:uid="{C3564A83-726E-4807-A039-3CE83107EEE6}"/>
    <cellStyle name="20% - Accent5 6 2_Exh G" xfId="2522" xr:uid="{00000000-0005-0000-0000-00001F210000}"/>
    <cellStyle name="20% - Accent5 6 3" xfId="267" xr:uid="{00000000-0005-0000-0000-000020210000}"/>
    <cellStyle name="20% - Accent5 6 3 2" xfId="1295" xr:uid="{00000000-0005-0000-0000-000021210000}"/>
    <cellStyle name="20% - Accent5 6 3 2 2" xfId="4825" xr:uid="{00000000-0005-0000-0000-000022210000}"/>
    <cellStyle name="20% - Accent5 6 3 2 2 2" xfId="8416" xr:uid="{00000000-0005-0000-0000-000023210000}"/>
    <cellStyle name="20% - Accent5 6 3 2 2 2 2" xfId="16387" xr:uid="{00000000-0005-0000-0000-000024210000}"/>
    <cellStyle name="20% - Accent5 6 3 2 2 2 2 2" xfId="40229" xr:uid="{563BC9BF-3B55-4A17-A8FA-2F09630B821D}"/>
    <cellStyle name="20% - Accent5 6 3 2 2 2 3" xfId="24333" xr:uid="{00000000-0005-0000-0000-000025210000}"/>
    <cellStyle name="20% - Accent5 6 3 2 2 2 3 2" xfId="48165" xr:uid="{F141EAB6-C569-4F2F-969B-858B33D55205}"/>
    <cellStyle name="20% - Accent5 6 3 2 2 2 4" xfId="32288" xr:uid="{BF9FC4A5-E32B-42D3-B6FB-83AFD6BCD2A2}"/>
    <cellStyle name="20% - Accent5 6 3 2 2 3" xfId="12849" xr:uid="{00000000-0005-0000-0000-000026210000}"/>
    <cellStyle name="20% - Accent5 6 3 2 2 3 2" xfId="36698" xr:uid="{097B0477-E303-4350-ACCD-CE4698C919F2}"/>
    <cellStyle name="20% - Accent5 6 3 2 2 4" xfId="20804" xr:uid="{00000000-0005-0000-0000-000027210000}"/>
    <cellStyle name="20% - Accent5 6 3 2 2 4 2" xfId="44636" xr:uid="{EE64E1BB-8828-47D1-B706-EB0AEDC321C0}"/>
    <cellStyle name="20% - Accent5 6 3 2 2 5" xfId="28757" xr:uid="{362CB722-4E0D-4621-9DF2-AE970AF64B6F}"/>
    <cellStyle name="20% - Accent5 6 3 2 3" xfId="6657" xr:uid="{00000000-0005-0000-0000-000028210000}"/>
    <cellStyle name="20% - Accent5 6 3 2 3 2" xfId="14629" xr:uid="{00000000-0005-0000-0000-000029210000}"/>
    <cellStyle name="20% - Accent5 6 3 2 3 2 2" xfId="38471" xr:uid="{95C88FE1-FBFC-4097-A736-98BF0060C8EC}"/>
    <cellStyle name="20% - Accent5 6 3 2 3 3" xfId="22576" xr:uid="{00000000-0005-0000-0000-00002A210000}"/>
    <cellStyle name="20% - Accent5 6 3 2 3 3 2" xfId="46408" xr:uid="{19624230-4130-4FDE-8025-FA7E9E0EE51C}"/>
    <cellStyle name="20% - Accent5 6 3 2 3 4" xfId="30530" xr:uid="{A7DA2BC5-878A-4030-8FDF-5289C9F39A3D}"/>
    <cellStyle name="20% - Accent5 6 3 2 4" xfId="11093" xr:uid="{00000000-0005-0000-0000-00002B210000}"/>
    <cellStyle name="20% - Accent5 6 3 2 4 2" xfId="34942" xr:uid="{935A8777-4A62-4D8C-87E8-4ADBE6AB259F}"/>
    <cellStyle name="20% - Accent5 6 3 2 5" xfId="19048" xr:uid="{00000000-0005-0000-0000-00002C210000}"/>
    <cellStyle name="20% - Accent5 6 3 2 5 2" xfId="42880" xr:uid="{4FABE15D-5FDE-4338-9E60-D1B8147AFC9F}"/>
    <cellStyle name="20% - Accent5 6 3 2 6" xfId="27000" xr:uid="{C4EE07C5-CEED-42DA-BF2D-18E3A75070B8}"/>
    <cellStyle name="20% - Accent5 6 3 2_Exh G" xfId="2527" xr:uid="{00000000-0005-0000-0000-00002D210000}"/>
    <cellStyle name="20% - Accent5 6 3 3" xfId="3946" xr:uid="{00000000-0005-0000-0000-00002E210000}"/>
    <cellStyle name="20% - Accent5 6 3 3 2" xfId="7538" xr:uid="{00000000-0005-0000-0000-00002F210000}"/>
    <cellStyle name="20% - Accent5 6 3 3 2 2" xfId="15509" xr:uid="{00000000-0005-0000-0000-000030210000}"/>
    <cellStyle name="20% - Accent5 6 3 3 2 2 2" xfId="39351" xr:uid="{E0D12349-C682-464E-A490-393720FB8B0E}"/>
    <cellStyle name="20% - Accent5 6 3 3 2 3" xfId="23455" xr:uid="{00000000-0005-0000-0000-000031210000}"/>
    <cellStyle name="20% - Accent5 6 3 3 2 3 2" xfId="47287" xr:uid="{A9A021E8-7E93-4C07-B8EB-5C8902ECCA2A}"/>
    <cellStyle name="20% - Accent5 6 3 3 2 4" xfId="31410" xr:uid="{50BF3462-89D1-4846-A2A9-25B74A6FF5D7}"/>
    <cellStyle name="20% - Accent5 6 3 3 3" xfId="11971" xr:uid="{00000000-0005-0000-0000-000032210000}"/>
    <cellStyle name="20% - Accent5 6 3 3 3 2" xfId="35820" xr:uid="{93C602A4-FB4D-42E7-A3A2-9FE65941A825}"/>
    <cellStyle name="20% - Accent5 6 3 3 4" xfId="19926" xr:uid="{00000000-0005-0000-0000-000033210000}"/>
    <cellStyle name="20% - Accent5 6 3 3 4 2" xfId="43758" xr:uid="{93F73FD1-8BC8-438C-996F-66DD5C8DC09D}"/>
    <cellStyle name="20% - Accent5 6 3 3 5" xfId="27879" xr:uid="{1FDD264C-590C-498A-8F53-0F083CF4550D}"/>
    <cellStyle name="20% - Accent5 6 3 4" xfId="5766" xr:uid="{00000000-0005-0000-0000-000034210000}"/>
    <cellStyle name="20% - Accent5 6 3 4 2" xfId="13750" xr:uid="{00000000-0005-0000-0000-000035210000}"/>
    <cellStyle name="20% - Accent5 6 3 4 2 2" xfId="37593" xr:uid="{0DC5C54D-D7FD-4A6A-B259-5414D5399961}"/>
    <cellStyle name="20% - Accent5 6 3 4 3" xfId="21698" xr:uid="{00000000-0005-0000-0000-000036210000}"/>
    <cellStyle name="20% - Accent5 6 3 4 3 2" xfId="45530" xr:uid="{4013B3A7-3618-4D6D-987F-66F07AE8136E}"/>
    <cellStyle name="20% - Accent5 6 3 4 4" xfId="29652" xr:uid="{B056EC6C-1A6B-46EB-B6FB-E3CB9E67C998}"/>
    <cellStyle name="20% - Accent5 6 3 5" xfId="9319" xr:uid="{00000000-0005-0000-0000-000037210000}"/>
    <cellStyle name="20% - Accent5 6 3 5 2" xfId="17277" xr:uid="{00000000-0005-0000-0000-000038210000}"/>
    <cellStyle name="20% - Accent5 6 3 5 2 2" xfId="41117" xr:uid="{B53CEB91-8F32-4599-8CCA-56B41672F524}"/>
    <cellStyle name="20% - Accent5 6 3 5 3" xfId="25221" xr:uid="{00000000-0005-0000-0000-000039210000}"/>
    <cellStyle name="20% - Accent5 6 3 5 3 2" xfId="49053" xr:uid="{B7FD14A7-C4B2-4B6B-A3EC-EF4AFA827E6D}"/>
    <cellStyle name="20% - Accent5 6 3 5 4" xfId="33176" xr:uid="{65E29026-3649-4F39-A519-3D48B461B42A}"/>
    <cellStyle name="20% - Accent5 6 3 6" xfId="10215" xr:uid="{00000000-0005-0000-0000-00003A210000}"/>
    <cellStyle name="20% - Accent5 6 3 6 2" xfId="34064" xr:uid="{C1743AE3-B010-463A-A156-2A23D4E194B3}"/>
    <cellStyle name="20% - Accent5 6 3 7" xfId="18170" xr:uid="{00000000-0005-0000-0000-00003B210000}"/>
    <cellStyle name="20% - Accent5 6 3 7 2" xfId="42002" xr:uid="{9AF8E2A6-AB59-4E19-BB26-DC610DF77AAC}"/>
    <cellStyle name="20% - Accent5 6 3 8" xfId="26122" xr:uid="{4004002A-E69C-430A-BD37-6EDD4F26A86E}"/>
    <cellStyle name="20% - Accent5 6 3_Exh G" xfId="2526" xr:uid="{00000000-0005-0000-0000-00003C210000}"/>
    <cellStyle name="20% - Accent5 6 4" xfId="918" xr:uid="{00000000-0005-0000-0000-00003D210000}"/>
    <cellStyle name="20% - Accent5 6 4 2" xfId="1845" xr:uid="{00000000-0005-0000-0000-00003E210000}"/>
    <cellStyle name="20% - Accent5 6 4 2 2" xfId="5363" xr:uid="{00000000-0005-0000-0000-00003F210000}"/>
    <cellStyle name="20% - Accent5 6 4 2 2 2" xfId="8954" xr:uid="{00000000-0005-0000-0000-000040210000}"/>
    <cellStyle name="20% - Accent5 6 4 2 2 2 2" xfId="16925" xr:uid="{00000000-0005-0000-0000-000041210000}"/>
    <cellStyle name="20% - Accent5 6 4 2 2 2 2 2" xfId="40767" xr:uid="{D9C6DA18-050A-4364-A2E6-69940CDC8FA6}"/>
    <cellStyle name="20% - Accent5 6 4 2 2 2 3" xfId="24871" xr:uid="{00000000-0005-0000-0000-000042210000}"/>
    <cellStyle name="20% - Accent5 6 4 2 2 2 3 2" xfId="48703" xr:uid="{9A8F0C1C-45C0-426A-849D-68C0578428C8}"/>
    <cellStyle name="20% - Accent5 6 4 2 2 2 4" xfId="32826" xr:uid="{39B1B4E6-2E7D-464A-ADB5-83AE4D584C58}"/>
    <cellStyle name="20% - Accent5 6 4 2 2 3" xfId="13387" xr:uid="{00000000-0005-0000-0000-000043210000}"/>
    <cellStyle name="20% - Accent5 6 4 2 2 3 2" xfId="37236" xr:uid="{AA0EE12E-A292-42C9-B8DA-0333C6AA487F}"/>
    <cellStyle name="20% - Accent5 6 4 2 2 4" xfId="21342" xr:uid="{00000000-0005-0000-0000-000044210000}"/>
    <cellStyle name="20% - Accent5 6 4 2 2 4 2" xfId="45174" xr:uid="{34EFB3C2-1A91-426F-8F02-42E1EAA2960F}"/>
    <cellStyle name="20% - Accent5 6 4 2 2 5" xfId="29295" xr:uid="{9B0B9C58-362D-409E-A24E-356C429A70EC}"/>
    <cellStyle name="20% - Accent5 6 4 2 3" xfId="7195" xr:uid="{00000000-0005-0000-0000-000045210000}"/>
    <cellStyle name="20% - Accent5 6 4 2 3 2" xfId="15167" xr:uid="{00000000-0005-0000-0000-000046210000}"/>
    <cellStyle name="20% - Accent5 6 4 2 3 2 2" xfId="39009" xr:uid="{5F12E5BD-77BC-49D4-9CAD-82D9E5629729}"/>
    <cellStyle name="20% - Accent5 6 4 2 3 3" xfId="23114" xr:uid="{00000000-0005-0000-0000-000047210000}"/>
    <cellStyle name="20% - Accent5 6 4 2 3 3 2" xfId="46946" xr:uid="{C95159BA-F42B-42CE-8AD4-711485384FB3}"/>
    <cellStyle name="20% - Accent5 6 4 2 3 4" xfId="31068" xr:uid="{71E88E62-BAEE-46B7-87B8-92C2885D6C85}"/>
    <cellStyle name="20% - Accent5 6 4 2 4" xfId="11631" xr:uid="{00000000-0005-0000-0000-000048210000}"/>
    <cellStyle name="20% - Accent5 6 4 2 4 2" xfId="35480" xr:uid="{54ED8290-93B5-476C-A7AA-F9AF0D9502D8}"/>
    <cellStyle name="20% - Accent5 6 4 2 5" xfId="19586" xr:uid="{00000000-0005-0000-0000-000049210000}"/>
    <cellStyle name="20% - Accent5 6 4 2 5 2" xfId="43418" xr:uid="{95E3A3ED-D003-4F34-A9DA-310D7CED6C20}"/>
    <cellStyle name="20% - Accent5 6 4 2 6" xfId="27538" xr:uid="{81CAB153-AD75-4FF7-B769-2B0A24BC0E14}"/>
    <cellStyle name="20% - Accent5 6 4 2_Exh G" xfId="2529" xr:uid="{00000000-0005-0000-0000-00004A210000}"/>
    <cellStyle name="20% - Accent5 6 4 3" xfId="4484" xr:uid="{00000000-0005-0000-0000-00004B210000}"/>
    <cellStyle name="20% - Accent5 6 4 3 2" xfId="8076" xr:uid="{00000000-0005-0000-0000-00004C210000}"/>
    <cellStyle name="20% - Accent5 6 4 3 2 2" xfId="16047" xr:uid="{00000000-0005-0000-0000-00004D210000}"/>
    <cellStyle name="20% - Accent5 6 4 3 2 2 2" xfId="39889" xr:uid="{9163BF24-9C05-497E-BA5A-FFBB0C116C2F}"/>
    <cellStyle name="20% - Accent5 6 4 3 2 3" xfId="23993" xr:uid="{00000000-0005-0000-0000-00004E210000}"/>
    <cellStyle name="20% - Accent5 6 4 3 2 3 2" xfId="47825" xr:uid="{28320AF7-172B-4605-8740-46362F57644A}"/>
    <cellStyle name="20% - Accent5 6 4 3 2 4" xfId="31948" xr:uid="{51CB531E-CB1B-4C40-AB4C-2AA4DA7C4F36}"/>
    <cellStyle name="20% - Accent5 6 4 3 3" xfId="12509" xr:uid="{00000000-0005-0000-0000-00004F210000}"/>
    <cellStyle name="20% - Accent5 6 4 3 3 2" xfId="36358" xr:uid="{4F358885-5C78-4F39-8FA6-D247506E6E15}"/>
    <cellStyle name="20% - Accent5 6 4 3 4" xfId="20464" xr:uid="{00000000-0005-0000-0000-000050210000}"/>
    <cellStyle name="20% - Accent5 6 4 3 4 2" xfId="44296" xr:uid="{E2F5C24A-502C-41FF-A61B-08449FE1D305}"/>
    <cellStyle name="20% - Accent5 6 4 3 5" xfId="28417" xr:uid="{2F75A5A5-CA15-4C39-B450-768C2874D730}"/>
    <cellStyle name="20% - Accent5 6 4 4" xfId="6314" xr:uid="{00000000-0005-0000-0000-000051210000}"/>
    <cellStyle name="20% - Accent5 6 4 4 2" xfId="14289" xr:uid="{00000000-0005-0000-0000-000052210000}"/>
    <cellStyle name="20% - Accent5 6 4 4 2 2" xfId="38131" xr:uid="{D1E22575-A6A4-47B7-80A1-FAAF72F8C7E8}"/>
    <cellStyle name="20% - Accent5 6 4 4 3" xfId="22236" xr:uid="{00000000-0005-0000-0000-000053210000}"/>
    <cellStyle name="20% - Accent5 6 4 4 3 2" xfId="46068" xr:uid="{DBE71960-AE47-47D3-97F8-E70D0AE51907}"/>
    <cellStyle name="20% - Accent5 6 4 4 4" xfId="30190" xr:uid="{E673979B-038E-4D06-B1FE-FA6E51136D64}"/>
    <cellStyle name="20% - Accent5 6 4 5" xfId="9857" xr:uid="{00000000-0005-0000-0000-000054210000}"/>
    <cellStyle name="20% - Accent5 6 4 5 2" xfId="17815" xr:uid="{00000000-0005-0000-0000-000055210000}"/>
    <cellStyle name="20% - Accent5 6 4 5 2 2" xfId="41655" xr:uid="{94BC32AD-5517-4EEE-99DF-ED2C804A9B93}"/>
    <cellStyle name="20% - Accent5 6 4 5 3" xfId="25759" xr:uid="{00000000-0005-0000-0000-000056210000}"/>
    <cellStyle name="20% - Accent5 6 4 5 3 2" xfId="49591" xr:uid="{BC6E5780-D893-4D00-B1E9-E42B8CA33321}"/>
    <cellStyle name="20% - Accent5 6 4 5 4" xfId="33714" xr:uid="{8C62B5A5-BA31-442B-AAEB-0ACC361EE129}"/>
    <cellStyle name="20% - Accent5 6 4 6" xfId="10753" xr:uid="{00000000-0005-0000-0000-000057210000}"/>
    <cellStyle name="20% - Accent5 6 4 6 2" xfId="34602" xr:uid="{38FDB78A-1032-41E8-871B-778225DB9566}"/>
    <cellStyle name="20% - Accent5 6 4 7" xfId="18708" xr:uid="{00000000-0005-0000-0000-000058210000}"/>
    <cellStyle name="20% - Accent5 6 4 7 2" xfId="42540" xr:uid="{BD33AF91-6F6B-4A12-ABDB-E06D1ECA713D}"/>
    <cellStyle name="20% - Accent5 6 4 8" xfId="26660" xr:uid="{79600A10-22C3-44C9-AEB6-12BE8D9FA85B}"/>
    <cellStyle name="20% - Accent5 6 4_Exh G" xfId="2528" xr:uid="{00000000-0005-0000-0000-000059210000}"/>
    <cellStyle name="20% - Accent5 6 5" xfId="1292" xr:uid="{00000000-0005-0000-0000-00005A210000}"/>
    <cellStyle name="20% - Accent5 6 5 2" xfId="4822" xr:uid="{00000000-0005-0000-0000-00005B210000}"/>
    <cellStyle name="20% - Accent5 6 5 2 2" xfId="8413" xr:uid="{00000000-0005-0000-0000-00005C210000}"/>
    <cellStyle name="20% - Accent5 6 5 2 2 2" xfId="16384" xr:uid="{00000000-0005-0000-0000-00005D210000}"/>
    <cellStyle name="20% - Accent5 6 5 2 2 2 2" xfId="40226" xr:uid="{15C5F8F7-F960-4E64-98CE-AB07033E84C9}"/>
    <cellStyle name="20% - Accent5 6 5 2 2 3" xfId="24330" xr:uid="{00000000-0005-0000-0000-00005E210000}"/>
    <cellStyle name="20% - Accent5 6 5 2 2 3 2" xfId="48162" xr:uid="{3AA925FE-21CE-43CF-8750-FDE5B85A8B3B}"/>
    <cellStyle name="20% - Accent5 6 5 2 2 4" xfId="32285" xr:uid="{567A3DB3-F519-4FE3-A258-6EC6E7A5CC1D}"/>
    <cellStyle name="20% - Accent5 6 5 2 3" xfId="12846" xr:uid="{00000000-0005-0000-0000-00005F210000}"/>
    <cellStyle name="20% - Accent5 6 5 2 3 2" xfId="36695" xr:uid="{F6EF9C2C-303C-41A9-AE80-A235ADA3EEB5}"/>
    <cellStyle name="20% - Accent5 6 5 2 4" xfId="20801" xr:uid="{00000000-0005-0000-0000-000060210000}"/>
    <cellStyle name="20% - Accent5 6 5 2 4 2" xfId="44633" xr:uid="{1F64C233-8556-4C03-A0A4-D549CF85F564}"/>
    <cellStyle name="20% - Accent5 6 5 2 5" xfId="28754" xr:uid="{171A2231-15E6-404C-A07D-964459C3D3B4}"/>
    <cellStyle name="20% - Accent5 6 5 3" xfId="6654" xr:uid="{00000000-0005-0000-0000-000061210000}"/>
    <cellStyle name="20% - Accent5 6 5 3 2" xfId="14626" xr:uid="{00000000-0005-0000-0000-000062210000}"/>
    <cellStyle name="20% - Accent5 6 5 3 2 2" xfId="38468" xr:uid="{486BD08C-013D-44AA-BF20-6124BCAF683D}"/>
    <cellStyle name="20% - Accent5 6 5 3 3" xfId="22573" xr:uid="{00000000-0005-0000-0000-000063210000}"/>
    <cellStyle name="20% - Accent5 6 5 3 3 2" xfId="46405" xr:uid="{0DA436B4-ECAA-4305-952E-8B0E3B125E08}"/>
    <cellStyle name="20% - Accent5 6 5 3 4" xfId="30527" xr:uid="{9CCE49AF-A22F-4E13-B54D-1B4E069CEDFF}"/>
    <cellStyle name="20% - Accent5 6 5 4" xfId="11090" xr:uid="{00000000-0005-0000-0000-000064210000}"/>
    <cellStyle name="20% - Accent5 6 5 4 2" xfId="34939" xr:uid="{CC755830-6319-4AF6-815F-714E0B737ACF}"/>
    <cellStyle name="20% - Accent5 6 5 5" xfId="19045" xr:uid="{00000000-0005-0000-0000-000065210000}"/>
    <cellStyle name="20% - Accent5 6 5 5 2" xfId="42877" xr:uid="{9505FC64-C224-449F-B4C4-51236E5C026C}"/>
    <cellStyle name="20% - Accent5 6 5 6" xfId="26997" xr:uid="{27406B6F-A3E1-4B12-B737-CB1B49CE1174}"/>
    <cellStyle name="20% - Accent5 6 5_Exh G" xfId="2530" xr:uid="{00000000-0005-0000-0000-000066210000}"/>
    <cellStyle name="20% - Accent5 6 6" xfId="3943" xr:uid="{00000000-0005-0000-0000-000067210000}"/>
    <cellStyle name="20% - Accent5 6 6 2" xfId="7535" xr:uid="{00000000-0005-0000-0000-000068210000}"/>
    <cellStyle name="20% - Accent5 6 6 2 2" xfId="15506" xr:uid="{00000000-0005-0000-0000-000069210000}"/>
    <cellStyle name="20% - Accent5 6 6 2 2 2" xfId="39348" xr:uid="{A8EBB828-5195-4A3F-8F32-08CC06D08B52}"/>
    <cellStyle name="20% - Accent5 6 6 2 3" xfId="23452" xr:uid="{00000000-0005-0000-0000-00006A210000}"/>
    <cellStyle name="20% - Accent5 6 6 2 3 2" xfId="47284" xr:uid="{665B5859-5E2D-4DA6-88C4-13599AC081A2}"/>
    <cellStyle name="20% - Accent5 6 6 2 4" xfId="31407" xr:uid="{F6EE0D69-A53F-48DB-B51B-3EB566E1C422}"/>
    <cellStyle name="20% - Accent5 6 6 3" xfId="11968" xr:uid="{00000000-0005-0000-0000-00006B210000}"/>
    <cellStyle name="20% - Accent5 6 6 3 2" xfId="35817" xr:uid="{E61BB20D-5128-4D24-953E-615F60494F5F}"/>
    <cellStyle name="20% - Accent5 6 6 4" xfId="19923" xr:uid="{00000000-0005-0000-0000-00006C210000}"/>
    <cellStyle name="20% - Accent5 6 6 4 2" xfId="43755" xr:uid="{F4EDADF6-E9F2-4654-BE16-6DE81EBD6654}"/>
    <cellStyle name="20% - Accent5 6 6 5" xfId="27876" xr:uid="{2D8AE66D-0FAE-4663-93B4-776E988AD131}"/>
    <cellStyle name="20% - Accent5 6 7" xfId="5763" xr:uid="{00000000-0005-0000-0000-00006D210000}"/>
    <cellStyle name="20% - Accent5 6 7 2" xfId="13747" xr:uid="{00000000-0005-0000-0000-00006E210000}"/>
    <cellStyle name="20% - Accent5 6 7 2 2" xfId="37590" xr:uid="{B77A53B4-6080-4B10-9BE5-F4C6938713E6}"/>
    <cellStyle name="20% - Accent5 6 7 3" xfId="21695" xr:uid="{00000000-0005-0000-0000-00006F210000}"/>
    <cellStyle name="20% - Accent5 6 7 3 2" xfId="45527" xr:uid="{5A77C169-B444-4518-BC5E-1F133503F0F1}"/>
    <cellStyle name="20% - Accent5 6 7 4" xfId="29649" xr:uid="{0F3EBC81-A8E7-4ABD-B4EC-90F5524F7446}"/>
    <cellStyle name="20% - Accent5 6 8" xfId="9316" xr:uid="{00000000-0005-0000-0000-000070210000}"/>
    <cellStyle name="20% - Accent5 6 8 2" xfId="17274" xr:uid="{00000000-0005-0000-0000-000071210000}"/>
    <cellStyle name="20% - Accent5 6 8 2 2" xfId="41114" xr:uid="{C6F81F35-EFB2-4B26-9213-A6D1B0E0BEFD}"/>
    <cellStyle name="20% - Accent5 6 8 3" xfId="25218" xr:uid="{00000000-0005-0000-0000-000072210000}"/>
    <cellStyle name="20% - Accent5 6 8 3 2" xfId="49050" xr:uid="{68D43A82-4B1B-4BD4-9613-3F64DBB9D95F}"/>
    <cellStyle name="20% - Accent5 6 8 4" xfId="33173" xr:uid="{EA5EE787-A216-4E11-867C-7C2D4F663529}"/>
    <cellStyle name="20% - Accent5 6 9" xfId="10212" xr:uid="{00000000-0005-0000-0000-000073210000}"/>
    <cellStyle name="20% - Accent5 6 9 2" xfId="34061" xr:uid="{99514F0D-2E82-450F-879E-D97F7A5918A0}"/>
    <cellStyle name="20% - Accent5 6_Exh G" xfId="2521" xr:uid="{00000000-0005-0000-0000-000074210000}"/>
    <cellStyle name="20% - Accent5 7" xfId="268" xr:uid="{00000000-0005-0000-0000-000075210000}"/>
    <cellStyle name="20% - Accent5 7 10" xfId="18171" xr:uid="{00000000-0005-0000-0000-000076210000}"/>
    <cellStyle name="20% - Accent5 7 10 2" xfId="42003" xr:uid="{3D831311-8BA7-4DA8-B719-902ADE6B7CD4}"/>
    <cellStyle name="20% - Accent5 7 11" xfId="26123" xr:uid="{54433DA2-6599-4A7C-AFC5-EF27C0CE521F}"/>
    <cellStyle name="20% - Accent5 7 2" xfId="269" xr:uid="{00000000-0005-0000-0000-000077210000}"/>
    <cellStyle name="20% - Accent5 7 2 2" xfId="270" xr:uid="{00000000-0005-0000-0000-000078210000}"/>
    <cellStyle name="20% - Accent5 7 2 2 2" xfId="1298" xr:uid="{00000000-0005-0000-0000-000079210000}"/>
    <cellStyle name="20% - Accent5 7 2 2 2 2" xfId="4828" xr:uid="{00000000-0005-0000-0000-00007A210000}"/>
    <cellStyle name="20% - Accent5 7 2 2 2 2 2" xfId="8419" xr:uid="{00000000-0005-0000-0000-00007B210000}"/>
    <cellStyle name="20% - Accent5 7 2 2 2 2 2 2" xfId="16390" xr:uid="{00000000-0005-0000-0000-00007C210000}"/>
    <cellStyle name="20% - Accent5 7 2 2 2 2 2 2 2" xfId="40232" xr:uid="{81A60DB1-00D5-4614-BE34-6646965E03D7}"/>
    <cellStyle name="20% - Accent5 7 2 2 2 2 2 3" xfId="24336" xr:uid="{00000000-0005-0000-0000-00007D210000}"/>
    <cellStyle name="20% - Accent5 7 2 2 2 2 2 3 2" xfId="48168" xr:uid="{50F4EB30-AA0A-4783-83CA-96C6B3EF6982}"/>
    <cellStyle name="20% - Accent5 7 2 2 2 2 2 4" xfId="32291" xr:uid="{BEE170D4-3A23-405F-8EF2-3A1D5E9BD96B}"/>
    <cellStyle name="20% - Accent5 7 2 2 2 2 3" xfId="12852" xr:uid="{00000000-0005-0000-0000-00007E210000}"/>
    <cellStyle name="20% - Accent5 7 2 2 2 2 3 2" xfId="36701" xr:uid="{CCD96D6B-0268-4DF1-BD21-CCFAE98A9D7D}"/>
    <cellStyle name="20% - Accent5 7 2 2 2 2 4" xfId="20807" xr:uid="{00000000-0005-0000-0000-00007F210000}"/>
    <cellStyle name="20% - Accent5 7 2 2 2 2 4 2" xfId="44639" xr:uid="{087E1CFE-C258-45DA-A079-904FEDD034BA}"/>
    <cellStyle name="20% - Accent5 7 2 2 2 2 5" xfId="28760" xr:uid="{231567D9-C0C1-4E83-86C8-27F1F474C0B7}"/>
    <cellStyle name="20% - Accent5 7 2 2 2 3" xfId="6660" xr:uid="{00000000-0005-0000-0000-000080210000}"/>
    <cellStyle name="20% - Accent5 7 2 2 2 3 2" xfId="14632" xr:uid="{00000000-0005-0000-0000-000081210000}"/>
    <cellStyle name="20% - Accent5 7 2 2 2 3 2 2" xfId="38474" xr:uid="{FB700B06-A92A-40EF-8544-3F8B3A196B69}"/>
    <cellStyle name="20% - Accent5 7 2 2 2 3 3" xfId="22579" xr:uid="{00000000-0005-0000-0000-000082210000}"/>
    <cellStyle name="20% - Accent5 7 2 2 2 3 3 2" xfId="46411" xr:uid="{A1D5573D-18F3-46A0-BCB4-9FD8DDB3402F}"/>
    <cellStyle name="20% - Accent5 7 2 2 2 3 4" xfId="30533" xr:uid="{E347D21E-BAD5-4C1B-A0FF-B8726630A362}"/>
    <cellStyle name="20% - Accent5 7 2 2 2 4" xfId="11096" xr:uid="{00000000-0005-0000-0000-000083210000}"/>
    <cellStyle name="20% - Accent5 7 2 2 2 4 2" xfId="34945" xr:uid="{4CC5B6CD-A6F3-4C4C-AF09-DA96BD378765}"/>
    <cellStyle name="20% - Accent5 7 2 2 2 5" xfId="19051" xr:uid="{00000000-0005-0000-0000-000084210000}"/>
    <cellStyle name="20% - Accent5 7 2 2 2 5 2" xfId="42883" xr:uid="{A62F3ED5-9073-4126-8ABB-477B91C26361}"/>
    <cellStyle name="20% - Accent5 7 2 2 2 6" xfId="27003" xr:uid="{9810B203-3324-46FA-969C-B6E8E4CE8606}"/>
    <cellStyle name="20% - Accent5 7 2 2 2_Exh G" xfId="2534" xr:uid="{00000000-0005-0000-0000-000085210000}"/>
    <cellStyle name="20% - Accent5 7 2 2 3" xfId="3949" xr:uid="{00000000-0005-0000-0000-000086210000}"/>
    <cellStyle name="20% - Accent5 7 2 2 3 2" xfId="7541" xr:uid="{00000000-0005-0000-0000-000087210000}"/>
    <cellStyle name="20% - Accent5 7 2 2 3 2 2" xfId="15512" xr:uid="{00000000-0005-0000-0000-000088210000}"/>
    <cellStyle name="20% - Accent5 7 2 2 3 2 2 2" xfId="39354" xr:uid="{0BC76E65-CC52-4BB6-ADCC-20AB966D3584}"/>
    <cellStyle name="20% - Accent5 7 2 2 3 2 3" xfId="23458" xr:uid="{00000000-0005-0000-0000-000089210000}"/>
    <cellStyle name="20% - Accent5 7 2 2 3 2 3 2" xfId="47290" xr:uid="{304756F0-3E0B-4D48-9207-0623E6D2C878}"/>
    <cellStyle name="20% - Accent5 7 2 2 3 2 4" xfId="31413" xr:uid="{FD99252F-5C17-456E-BC84-4044C38637EE}"/>
    <cellStyle name="20% - Accent5 7 2 2 3 3" xfId="11974" xr:uid="{00000000-0005-0000-0000-00008A210000}"/>
    <cellStyle name="20% - Accent5 7 2 2 3 3 2" xfId="35823" xr:uid="{C0A5E614-AFE8-466F-8634-CCAD97B6E9A3}"/>
    <cellStyle name="20% - Accent5 7 2 2 3 4" xfId="19929" xr:uid="{00000000-0005-0000-0000-00008B210000}"/>
    <cellStyle name="20% - Accent5 7 2 2 3 4 2" xfId="43761" xr:uid="{E155297E-D580-4396-A021-AE24F1C35B04}"/>
    <cellStyle name="20% - Accent5 7 2 2 3 5" xfId="27882" xr:uid="{14BC9731-F179-4DCB-9F30-D9E7C52C75DB}"/>
    <cellStyle name="20% - Accent5 7 2 2 4" xfId="5769" xr:uid="{00000000-0005-0000-0000-00008C210000}"/>
    <cellStyle name="20% - Accent5 7 2 2 4 2" xfId="13753" xr:uid="{00000000-0005-0000-0000-00008D210000}"/>
    <cellStyle name="20% - Accent5 7 2 2 4 2 2" xfId="37596" xr:uid="{DCCDE2E4-3D1E-4685-A9FE-6F2BA8EA6B56}"/>
    <cellStyle name="20% - Accent5 7 2 2 4 3" xfId="21701" xr:uid="{00000000-0005-0000-0000-00008E210000}"/>
    <cellStyle name="20% - Accent5 7 2 2 4 3 2" xfId="45533" xr:uid="{19A9F290-6CFB-4A3C-84EE-E4AC03513089}"/>
    <cellStyle name="20% - Accent5 7 2 2 4 4" xfId="29655" xr:uid="{4AFF4531-57B2-4486-B640-9FD3EEC9FDF7}"/>
    <cellStyle name="20% - Accent5 7 2 2 5" xfId="9322" xr:uid="{00000000-0005-0000-0000-00008F210000}"/>
    <cellStyle name="20% - Accent5 7 2 2 5 2" xfId="17280" xr:uid="{00000000-0005-0000-0000-000090210000}"/>
    <cellStyle name="20% - Accent5 7 2 2 5 2 2" xfId="41120" xr:uid="{93CAC180-FF4D-41CF-B83C-2884C4FA01B1}"/>
    <cellStyle name="20% - Accent5 7 2 2 5 3" xfId="25224" xr:uid="{00000000-0005-0000-0000-000091210000}"/>
    <cellStyle name="20% - Accent5 7 2 2 5 3 2" xfId="49056" xr:uid="{0E20931D-38BE-423D-A0F2-46E201C4E7BF}"/>
    <cellStyle name="20% - Accent5 7 2 2 5 4" xfId="33179" xr:uid="{38E84821-B06F-4674-822E-4497803B0193}"/>
    <cellStyle name="20% - Accent5 7 2 2 6" xfId="10218" xr:uid="{00000000-0005-0000-0000-000092210000}"/>
    <cellStyle name="20% - Accent5 7 2 2 6 2" xfId="34067" xr:uid="{F537F183-52C1-487F-B591-3038CC77E2F5}"/>
    <cellStyle name="20% - Accent5 7 2 2 7" xfId="18173" xr:uid="{00000000-0005-0000-0000-000093210000}"/>
    <cellStyle name="20% - Accent5 7 2 2 7 2" xfId="42005" xr:uid="{8612CD7D-92A1-447F-9CEB-F56CD214775B}"/>
    <cellStyle name="20% - Accent5 7 2 2 8" xfId="26125" xr:uid="{326E1099-656C-4D2A-A8E5-70EEB3469FEB}"/>
    <cellStyle name="20% - Accent5 7 2 2_Exh G" xfId="2533" xr:uid="{00000000-0005-0000-0000-000094210000}"/>
    <cellStyle name="20% - Accent5 7 2 3" xfId="1297" xr:uid="{00000000-0005-0000-0000-000095210000}"/>
    <cellStyle name="20% - Accent5 7 2 3 2" xfId="4827" xr:uid="{00000000-0005-0000-0000-000096210000}"/>
    <cellStyle name="20% - Accent5 7 2 3 2 2" xfId="8418" xr:uid="{00000000-0005-0000-0000-000097210000}"/>
    <cellStyle name="20% - Accent5 7 2 3 2 2 2" xfId="16389" xr:uid="{00000000-0005-0000-0000-000098210000}"/>
    <cellStyle name="20% - Accent5 7 2 3 2 2 2 2" xfId="40231" xr:uid="{FA7E1944-C14C-42F7-84D1-6FC9DAD0006A}"/>
    <cellStyle name="20% - Accent5 7 2 3 2 2 3" xfId="24335" xr:uid="{00000000-0005-0000-0000-000099210000}"/>
    <cellStyle name="20% - Accent5 7 2 3 2 2 3 2" xfId="48167" xr:uid="{69E47BE7-7244-478A-970E-6951C2920594}"/>
    <cellStyle name="20% - Accent5 7 2 3 2 2 4" xfId="32290" xr:uid="{FBBEB3B0-9E13-4594-BA65-242AF423CA6E}"/>
    <cellStyle name="20% - Accent5 7 2 3 2 3" xfId="12851" xr:uid="{00000000-0005-0000-0000-00009A210000}"/>
    <cellStyle name="20% - Accent5 7 2 3 2 3 2" xfId="36700" xr:uid="{05E95D2E-A94F-4F45-8D97-D32E602BA26B}"/>
    <cellStyle name="20% - Accent5 7 2 3 2 4" xfId="20806" xr:uid="{00000000-0005-0000-0000-00009B210000}"/>
    <cellStyle name="20% - Accent5 7 2 3 2 4 2" xfId="44638" xr:uid="{90E33BAE-D62D-4FCD-A81D-D1C52EDA3EA4}"/>
    <cellStyle name="20% - Accent5 7 2 3 2 5" xfId="28759" xr:uid="{3397974B-29A3-489C-B42C-A65096AE766C}"/>
    <cellStyle name="20% - Accent5 7 2 3 3" xfId="6659" xr:uid="{00000000-0005-0000-0000-00009C210000}"/>
    <cellStyle name="20% - Accent5 7 2 3 3 2" xfId="14631" xr:uid="{00000000-0005-0000-0000-00009D210000}"/>
    <cellStyle name="20% - Accent5 7 2 3 3 2 2" xfId="38473" xr:uid="{45F015D1-E583-4BF5-A887-FBC96F4B94A8}"/>
    <cellStyle name="20% - Accent5 7 2 3 3 3" xfId="22578" xr:uid="{00000000-0005-0000-0000-00009E210000}"/>
    <cellStyle name="20% - Accent5 7 2 3 3 3 2" xfId="46410" xr:uid="{CB7F9F32-383F-4F57-976A-D5AA79BBC069}"/>
    <cellStyle name="20% - Accent5 7 2 3 3 4" xfId="30532" xr:uid="{B900865C-2C89-4FF9-8AAF-0F8F51AE0749}"/>
    <cellStyle name="20% - Accent5 7 2 3 4" xfId="11095" xr:uid="{00000000-0005-0000-0000-00009F210000}"/>
    <cellStyle name="20% - Accent5 7 2 3 4 2" xfId="34944" xr:uid="{D23420C1-1A11-423C-B0D3-2EF1AB25ADAB}"/>
    <cellStyle name="20% - Accent5 7 2 3 5" xfId="19050" xr:uid="{00000000-0005-0000-0000-0000A0210000}"/>
    <cellStyle name="20% - Accent5 7 2 3 5 2" xfId="42882" xr:uid="{5475771E-B7AA-4EFA-98A2-50E533428800}"/>
    <cellStyle name="20% - Accent5 7 2 3 6" xfId="27002" xr:uid="{A46CE553-5207-4111-A605-1C99C3320027}"/>
    <cellStyle name="20% - Accent5 7 2 3_Exh G" xfId="2535" xr:uid="{00000000-0005-0000-0000-0000A1210000}"/>
    <cellStyle name="20% - Accent5 7 2 4" xfId="3948" xr:uid="{00000000-0005-0000-0000-0000A2210000}"/>
    <cellStyle name="20% - Accent5 7 2 4 2" xfId="7540" xr:uid="{00000000-0005-0000-0000-0000A3210000}"/>
    <cellStyle name="20% - Accent5 7 2 4 2 2" xfId="15511" xr:uid="{00000000-0005-0000-0000-0000A4210000}"/>
    <cellStyle name="20% - Accent5 7 2 4 2 2 2" xfId="39353" xr:uid="{9448B5EA-3386-4118-AD8F-18981524155D}"/>
    <cellStyle name="20% - Accent5 7 2 4 2 3" xfId="23457" xr:uid="{00000000-0005-0000-0000-0000A5210000}"/>
    <cellStyle name="20% - Accent5 7 2 4 2 3 2" xfId="47289" xr:uid="{A8193D11-8DFF-4676-AE2E-D052A666B909}"/>
    <cellStyle name="20% - Accent5 7 2 4 2 4" xfId="31412" xr:uid="{CFEBEA20-DF7D-4926-817F-DBCDE7989E63}"/>
    <cellStyle name="20% - Accent5 7 2 4 3" xfId="11973" xr:uid="{00000000-0005-0000-0000-0000A6210000}"/>
    <cellStyle name="20% - Accent5 7 2 4 3 2" xfId="35822" xr:uid="{922F5352-E465-494C-837D-C748782F50A1}"/>
    <cellStyle name="20% - Accent5 7 2 4 4" xfId="19928" xr:uid="{00000000-0005-0000-0000-0000A7210000}"/>
    <cellStyle name="20% - Accent5 7 2 4 4 2" xfId="43760" xr:uid="{7D8B106C-B844-4995-B67E-85ADF81BCC85}"/>
    <cellStyle name="20% - Accent5 7 2 4 5" xfId="27881" xr:uid="{8C7E3606-B700-4EC9-981E-0C7F36A6F1A3}"/>
    <cellStyle name="20% - Accent5 7 2 5" xfId="5768" xr:uid="{00000000-0005-0000-0000-0000A8210000}"/>
    <cellStyle name="20% - Accent5 7 2 5 2" xfId="13752" xr:uid="{00000000-0005-0000-0000-0000A9210000}"/>
    <cellStyle name="20% - Accent5 7 2 5 2 2" xfId="37595" xr:uid="{6D37D221-7772-47DB-B360-78F89A01BA7B}"/>
    <cellStyle name="20% - Accent5 7 2 5 3" xfId="21700" xr:uid="{00000000-0005-0000-0000-0000AA210000}"/>
    <cellStyle name="20% - Accent5 7 2 5 3 2" xfId="45532" xr:uid="{AD474158-369A-4F38-8D73-ED819DD69681}"/>
    <cellStyle name="20% - Accent5 7 2 5 4" xfId="29654" xr:uid="{537D024D-C39F-492C-B22A-7EB0E67F1A7A}"/>
    <cellStyle name="20% - Accent5 7 2 6" xfId="9321" xr:uid="{00000000-0005-0000-0000-0000AB210000}"/>
    <cellStyle name="20% - Accent5 7 2 6 2" xfId="17279" xr:uid="{00000000-0005-0000-0000-0000AC210000}"/>
    <cellStyle name="20% - Accent5 7 2 6 2 2" xfId="41119" xr:uid="{EF50F8BB-DBD2-4B68-B04F-183B31FBE717}"/>
    <cellStyle name="20% - Accent5 7 2 6 3" xfId="25223" xr:uid="{00000000-0005-0000-0000-0000AD210000}"/>
    <cellStyle name="20% - Accent5 7 2 6 3 2" xfId="49055" xr:uid="{E7D0AED5-06BC-45FF-BCD2-67EAD0C3FE11}"/>
    <cellStyle name="20% - Accent5 7 2 6 4" xfId="33178" xr:uid="{E0999E3C-98DC-4BF1-85C3-A895F2E018C9}"/>
    <cellStyle name="20% - Accent5 7 2 7" xfId="10217" xr:uid="{00000000-0005-0000-0000-0000AE210000}"/>
    <cellStyle name="20% - Accent5 7 2 7 2" xfId="34066" xr:uid="{E2F90FB5-A902-4CFD-94FC-64EE6A3164D6}"/>
    <cellStyle name="20% - Accent5 7 2 8" xfId="18172" xr:uid="{00000000-0005-0000-0000-0000AF210000}"/>
    <cellStyle name="20% - Accent5 7 2 8 2" xfId="42004" xr:uid="{25DC9076-DE41-475D-B123-E81B223871B9}"/>
    <cellStyle name="20% - Accent5 7 2 9" xfId="26124" xr:uid="{5D094402-4B4E-4912-9580-1914570B942C}"/>
    <cellStyle name="20% - Accent5 7 2_Exh G" xfId="2532" xr:uid="{00000000-0005-0000-0000-0000B0210000}"/>
    <cellStyle name="20% - Accent5 7 3" xfId="271" xr:uid="{00000000-0005-0000-0000-0000B1210000}"/>
    <cellStyle name="20% - Accent5 7 3 2" xfId="1299" xr:uid="{00000000-0005-0000-0000-0000B2210000}"/>
    <cellStyle name="20% - Accent5 7 3 2 2" xfId="4829" xr:uid="{00000000-0005-0000-0000-0000B3210000}"/>
    <cellStyle name="20% - Accent5 7 3 2 2 2" xfId="8420" xr:uid="{00000000-0005-0000-0000-0000B4210000}"/>
    <cellStyle name="20% - Accent5 7 3 2 2 2 2" xfId="16391" xr:uid="{00000000-0005-0000-0000-0000B5210000}"/>
    <cellStyle name="20% - Accent5 7 3 2 2 2 2 2" xfId="40233" xr:uid="{2A31D934-2E52-4462-8A40-C87327566F67}"/>
    <cellStyle name="20% - Accent5 7 3 2 2 2 3" xfId="24337" xr:uid="{00000000-0005-0000-0000-0000B6210000}"/>
    <cellStyle name="20% - Accent5 7 3 2 2 2 3 2" xfId="48169" xr:uid="{3106D403-F265-42B3-93B4-5C47B04C0F7C}"/>
    <cellStyle name="20% - Accent5 7 3 2 2 2 4" xfId="32292" xr:uid="{6306324A-AC29-4141-A1B9-C4FCD34A7790}"/>
    <cellStyle name="20% - Accent5 7 3 2 2 3" xfId="12853" xr:uid="{00000000-0005-0000-0000-0000B7210000}"/>
    <cellStyle name="20% - Accent5 7 3 2 2 3 2" xfId="36702" xr:uid="{001DE1F9-4AAD-49DD-9BCF-6E11342344A5}"/>
    <cellStyle name="20% - Accent5 7 3 2 2 4" xfId="20808" xr:uid="{00000000-0005-0000-0000-0000B8210000}"/>
    <cellStyle name="20% - Accent5 7 3 2 2 4 2" xfId="44640" xr:uid="{B6587D28-B643-4821-A8D7-540F3F7D081C}"/>
    <cellStyle name="20% - Accent5 7 3 2 2 5" xfId="28761" xr:uid="{750F979F-54E6-4CB0-BD62-192278F438C8}"/>
    <cellStyle name="20% - Accent5 7 3 2 3" xfId="6661" xr:uid="{00000000-0005-0000-0000-0000B9210000}"/>
    <cellStyle name="20% - Accent5 7 3 2 3 2" xfId="14633" xr:uid="{00000000-0005-0000-0000-0000BA210000}"/>
    <cellStyle name="20% - Accent5 7 3 2 3 2 2" xfId="38475" xr:uid="{9D03761F-4D7C-4060-A8C7-EE53A2B54B8E}"/>
    <cellStyle name="20% - Accent5 7 3 2 3 3" xfId="22580" xr:uid="{00000000-0005-0000-0000-0000BB210000}"/>
    <cellStyle name="20% - Accent5 7 3 2 3 3 2" xfId="46412" xr:uid="{2E3DD49C-C22B-4924-BF31-F0D3B1029626}"/>
    <cellStyle name="20% - Accent5 7 3 2 3 4" xfId="30534" xr:uid="{5D23A0FA-652F-4D70-B367-BA5D0D2BAECC}"/>
    <cellStyle name="20% - Accent5 7 3 2 4" xfId="11097" xr:uid="{00000000-0005-0000-0000-0000BC210000}"/>
    <cellStyle name="20% - Accent5 7 3 2 4 2" xfId="34946" xr:uid="{9994062B-133C-4200-8269-FDFA30751376}"/>
    <cellStyle name="20% - Accent5 7 3 2 5" xfId="19052" xr:uid="{00000000-0005-0000-0000-0000BD210000}"/>
    <cellStyle name="20% - Accent5 7 3 2 5 2" xfId="42884" xr:uid="{8B26474D-6D15-4055-B535-77699EC205DC}"/>
    <cellStyle name="20% - Accent5 7 3 2 6" xfId="27004" xr:uid="{05CFC4D0-4ACF-4549-AC16-DEF12A4C4BA6}"/>
    <cellStyle name="20% - Accent5 7 3 2_Exh G" xfId="2537" xr:uid="{00000000-0005-0000-0000-0000BE210000}"/>
    <cellStyle name="20% - Accent5 7 3 3" xfId="3950" xr:uid="{00000000-0005-0000-0000-0000BF210000}"/>
    <cellStyle name="20% - Accent5 7 3 3 2" xfId="7542" xr:uid="{00000000-0005-0000-0000-0000C0210000}"/>
    <cellStyle name="20% - Accent5 7 3 3 2 2" xfId="15513" xr:uid="{00000000-0005-0000-0000-0000C1210000}"/>
    <cellStyle name="20% - Accent5 7 3 3 2 2 2" xfId="39355" xr:uid="{220CADF6-9072-446D-9560-31BA3653D7BA}"/>
    <cellStyle name="20% - Accent5 7 3 3 2 3" xfId="23459" xr:uid="{00000000-0005-0000-0000-0000C2210000}"/>
    <cellStyle name="20% - Accent5 7 3 3 2 3 2" xfId="47291" xr:uid="{3BD6CB44-8B48-4CBC-9132-4839E0A0D882}"/>
    <cellStyle name="20% - Accent5 7 3 3 2 4" xfId="31414" xr:uid="{16CCE4CD-CC12-43A2-B5E9-468CE65F8F51}"/>
    <cellStyle name="20% - Accent5 7 3 3 3" xfId="11975" xr:uid="{00000000-0005-0000-0000-0000C3210000}"/>
    <cellStyle name="20% - Accent5 7 3 3 3 2" xfId="35824" xr:uid="{5A6C2957-9C8F-4B0B-B877-6339B65977E5}"/>
    <cellStyle name="20% - Accent5 7 3 3 4" xfId="19930" xr:uid="{00000000-0005-0000-0000-0000C4210000}"/>
    <cellStyle name="20% - Accent5 7 3 3 4 2" xfId="43762" xr:uid="{897BD714-4227-4267-B7A2-382B9C676252}"/>
    <cellStyle name="20% - Accent5 7 3 3 5" xfId="27883" xr:uid="{54D7A381-F9A3-4943-92D5-A04D948A2275}"/>
    <cellStyle name="20% - Accent5 7 3 4" xfId="5770" xr:uid="{00000000-0005-0000-0000-0000C5210000}"/>
    <cellStyle name="20% - Accent5 7 3 4 2" xfId="13754" xr:uid="{00000000-0005-0000-0000-0000C6210000}"/>
    <cellStyle name="20% - Accent5 7 3 4 2 2" xfId="37597" xr:uid="{71502BC9-E3C3-45F7-B517-A4694396A877}"/>
    <cellStyle name="20% - Accent5 7 3 4 3" xfId="21702" xr:uid="{00000000-0005-0000-0000-0000C7210000}"/>
    <cellStyle name="20% - Accent5 7 3 4 3 2" xfId="45534" xr:uid="{EA19BEE1-D2C2-45F3-B0BD-0678A85E39A3}"/>
    <cellStyle name="20% - Accent5 7 3 4 4" xfId="29656" xr:uid="{06AF7229-5685-4EAE-946F-F252692CBB67}"/>
    <cellStyle name="20% - Accent5 7 3 5" xfId="9323" xr:uid="{00000000-0005-0000-0000-0000C8210000}"/>
    <cellStyle name="20% - Accent5 7 3 5 2" xfId="17281" xr:uid="{00000000-0005-0000-0000-0000C9210000}"/>
    <cellStyle name="20% - Accent5 7 3 5 2 2" xfId="41121" xr:uid="{159B8B44-552D-4E83-8133-511ADC997724}"/>
    <cellStyle name="20% - Accent5 7 3 5 3" xfId="25225" xr:uid="{00000000-0005-0000-0000-0000CA210000}"/>
    <cellStyle name="20% - Accent5 7 3 5 3 2" xfId="49057" xr:uid="{62B66780-FCF5-4221-A68E-6EA97C894FB5}"/>
    <cellStyle name="20% - Accent5 7 3 5 4" xfId="33180" xr:uid="{CF2B118B-B2F9-46B3-BB42-C9188E186B72}"/>
    <cellStyle name="20% - Accent5 7 3 6" xfId="10219" xr:uid="{00000000-0005-0000-0000-0000CB210000}"/>
    <cellStyle name="20% - Accent5 7 3 6 2" xfId="34068" xr:uid="{0CCD2BCB-2828-4FA6-88B8-F9459F16B630}"/>
    <cellStyle name="20% - Accent5 7 3 7" xfId="18174" xr:uid="{00000000-0005-0000-0000-0000CC210000}"/>
    <cellStyle name="20% - Accent5 7 3 7 2" xfId="42006" xr:uid="{11E78093-D540-4EF7-805E-21EF792559D1}"/>
    <cellStyle name="20% - Accent5 7 3 8" xfId="26126" xr:uid="{50DD67ED-30C6-489C-9DEC-926737B5C4F5}"/>
    <cellStyle name="20% - Accent5 7 3_Exh G" xfId="2536" xr:uid="{00000000-0005-0000-0000-0000CD210000}"/>
    <cellStyle name="20% - Accent5 7 4" xfId="919" xr:uid="{00000000-0005-0000-0000-0000CE210000}"/>
    <cellStyle name="20% - Accent5 7 4 2" xfId="1846" xr:uid="{00000000-0005-0000-0000-0000CF210000}"/>
    <cellStyle name="20% - Accent5 7 4 2 2" xfId="5364" xr:uid="{00000000-0005-0000-0000-0000D0210000}"/>
    <cellStyle name="20% - Accent5 7 4 2 2 2" xfId="8955" xr:uid="{00000000-0005-0000-0000-0000D1210000}"/>
    <cellStyle name="20% - Accent5 7 4 2 2 2 2" xfId="16926" xr:uid="{00000000-0005-0000-0000-0000D2210000}"/>
    <cellStyle name="20% - Accent5 7 4 2 2 2 2 2" xfId="40768" xr:uid="{30D3CA0E-6949-4DE1-A155-004ED04E18E0}"/>
    <cellStyle name="20% - Accent5 7 4 2 2 2 3" xfId="24872" xr:uid="{00000000-0005-0000-0000-0000D3210000}"/>
    <cellStyle name="20% - Accent5 7 4 2 2 2 3 2" xfId="48704" xr:uid="{3896291B-628E-44DF-82D1-756E8B7F0E1E}"/>
    <cellStyle name="20% - Accent5 7 4 2 2 2 4" xfId="32827" xr:uid="{C8D7B984-BD92-479F-AC3E-22ACBA95CCB5}"/>
    <cellStyle name="20% - Accent5 7 4 2 2 3" xfId="13388" xr:uid="{00000000-0005-0000-0000-0000D4210000}"/>
    <cellStyle name="20% - Accent5 7 4 2 2 3 2" xfId="37237" xr:uid="{469585AF-DA60-41F6-8514-833DA5B2F1EB}"/>
    <cellStyle name="20% - Accent5 7 4 2 2 4" xfId="21343" xr:uid="{00000000-0005-0000-0000-0000D5210000}"/>
    <cellStyle name="20% - Accent5 7 4 2 2 4 2" xfId="45175" xr:uid="{A0323CDA-BEE3-4156-B2DC-F85B6F113943}"/>
    <cellStyle name="20% - Accent5 7 4 2 2 5" xfId="29296" xr:uid="{158BC628-7023-4144-87DE-211E39BA0844}"/>
    <cellStyle name="20% - Accent5 7 4 2 3" xfId="7196" xr:uid="{00000000-0005-0000-0000-0000D6210000}"/>
    <cellStyle name="20% - Accent5 7 4 2 3 2" xfId="15168" xr:uid="{00000000-0005-0000-0000-0000D7210000}"/>
    <cellStyle name="20% - Accent5 7 4 2 3 2 2" xfId="39010" xr:uid="{C5E579BF-FA28-4652-9CE4-03AEECF61E98}"/>
    <cellStyle name="20% - Accent5 7 4 2 3 3" xfId="23115" xr:uid="{00000000-0005-0000-0000-0000D8210000}"/>
    <cellStyle name="20% - Accent5 7 4 2 3 3 2" xfId="46947" xr:uid="{5A4EC2C4-3FA8-4302-B97A-E7E134516921}"/>
    <cellStyle name="20% - Accent5 7 4 2 3 4" xfId="31069" xr:uid="{91155B51-10F7-44C9-BA94-61190947F411}"/>
    <cellStyle name="20% - Accent5 7 4 2 4" xfId="11632" xr:uid="{00000000-0005-0000-0000-0000D9210000}"/>
    <cellStyle name="20% - Accent5 7 4 2 4 2" xfId="35481" xr:uid="{A4C8DEE2-405C-4779-97D9-A1A710F371C7}"/>
    <cellStyle name="20% - Accent5 7 4 2 5" xfId="19587" xr:uid="{00000000-0005-0000-0000-0000DA210000}"/>
    <cellStyle name="20% - Accent5 7 4 2 5 2" xfId="43419" xr:uid="{6BFDF06B-7ED4-4747-8835-EBB36BFBB365}"/>
    <cellStyle name="20% - Accent5 7 4 2 6" xfId="27539" xr:uid="{121574A3-60D0-42CE-8CA3-C7DA5654A749}"/>
    <cellStyle name="20% - Accent5 7 4 2_Exh G" xfId="2539" xr:uid="{00000000-0005-0000-0000-0000DB210000}"/>
    <cellStyle name="20% - Accent5 7 4 3" xfId="4485" xr:uid="{00000000-0005-0000-0000-0000DC210000}"/>
    <cellStyle name="20% - Accent5 7 4 3 2" xfId="8077" xr:uid="{00000000-0005-0000-0000-0000DD210000}"/>
    <cellStyle name="20% - Accent5 7 4 3 2 2" xfId="16048" xr:uid="{00000000-0005-0000-0000-0000DE210000}"/>
    <cellStyle name="20% - Accent5 7 4 3 2 2 2" xfId="39890" xr:uid="{1F7CB607-91A1-4334-BF91-275AE1725258}"/>
    <cellStyle name="20% - Accent5 7 4 3 2 3" xfId="23994" xr:uid="{00000000-0005-0000-0000-0000DF210000}"/>
    <cellStyle name="20% - Accent5 7 4 3 2 3 2" xfId="47826" xr:uid="{01EAA549-F69F-4678-AD0C-7BDDD833AE96}"/>
    <cellStyle name="20% - Accent5 7 4 3 2 4" xfId="31949" xr:uid="{8E5CA590-214E-4BF0-AF1C-D08137E17FCF}"/>
    <cellStyle name="20% - Accent5 7 4 3 3" xfId="12510" xr:uid="{00000000-0005-0000-0000-0000E0210000}"/>
    <cellStyle name="20% - Accent5 7 4 3 3 2" xfId="36359" xr:uid="{769F5E44-0D74-4014-9C8C-65BA5BB92080}"/>
    <cellStyle name="20% - Accent5 7 4 3 4" xfId="20465" xr:uid="{00000000-0005-0000-0000-0000E1210000}"/>
    <cellStyle name="20% - Accent5 7 4 3 4 2" xfId="44297" xr:uid="{86D82E1A-3369-4359-8B07-0CD9843AF406}"/>
    <cellStyle name="20% - Accent5 7 4 3 5" xfId="28418" xr:uid="{B80817D2-6728-4268-8151-EE6B62D0BF55}"/>
    <cellStyle name="20% - Accent5 7 4 4" xfId="6315" xr:uid="{00000000-0005-0000-0000-0000E2210000}"/>
    <cellStyle name="20% - Accent5 7 4 4 2" xfId="14290" xr:uid="{00000000-0005-0000-0000-0000E3210000}"/>
    <cellStyle name="20% - Accent5 7 4 4 2 2" xfId="38132" xr:uid="{5AC4D4E2-2A5F-4C1E-85BC-96258585EA2D}"/>
    <cellStyle name="20% - Accent5 7 4 4 3" xfId="22237" xr:uid="{00000000-0005-0000-0000-0000E4210000}"/>
    <cellStyle name="20% - Accent5 7 4 4 3 2" xfId="46069" xr:uid="{5CCFA934-B670-443E-8568-82CA1E8C04E2}"/>
    <cellStyle name="20% - Accent5 7 4 4 4" xfId="30191" xr:uid="{B39F2AEB-2ACF-42E2-B61E-15A9291F8A3E}"/>
    <cellStyle name="20% - Accent5 7 4 5" xfId="9858" xr:uid="{00000000-0005-0000-0000-0000E5210000}"/>
    <cellStyle name="20% - Accent5 7 4 5 2" xfId="17816" xr:uid="{00000000-0005-0000-0000-0000E6210000}"/>
    <cellStyle name="20% - Accent5 7 4 5 2 2" xfId="41656" xr:uid="{14129B8E-5989-4D2B-A5E1-8DFA9A6572CA}"/>
    <cellStyle name="20% - Accent5 7 4 5 3" xfId="25760" xr:uid="{00000000-0005-0000-0000-0000E7210000}"/>
    <cellStyle name="20% - Accent5 7 4 5 3 2" xfId="49592" xr:uid="{F8BE88AB-AAE0-4E14-8230-5AE5FD5065AA}"/>
    <cellStyle name="20% - Accent5 7 4 5 4" xfId="33715" xr:uid="{DFA6DDBC-73B4-4DB7-8484-A70375CE4829}"/>
    <cellStyle name="20% - Accent5 7 4 6" xfId="10754" xr:uid="{00000000-0005-0000-0000-0000E8210000}"/>
    <cellStyle name="20% - Accent5 7 4 6 2" xfId="34603" xr:uid="{90D093E9-6731-4DE5-B1FD-B7D1815D38C1}"/>
    <cellStyle name="20% - Accent5 7 4 7" xfId="18709" xr:uid="{00000000-0005-0000-0000-0000E9210000}"/>
    <cellStyle name="20% - Accent5 7 4 7 2" xfId="42541" xr:uid="{825ADD41-4578-4C25-A861-44F823C2FA02}"/>
    <cellStyle name="20% - Accent5 7 4 8" xfId="26661" xr:uid="{495B9B0B-395B-4E8D-9F7C-08832164381E}"/>
    <cellStyle name="20% - Accent5 7 4_Exh G" xfId="2538" xr:uid="{00000000-0005-0000-0000-0000EA210000}"/>
    <cellStyle name="20% - Accent5 7 5" xfId="1296" xr:uid="{00000000-0005-0000-0000-0000EB210000}"/>
    <cellStyle name="20% - Accent5 7 5 2" xfId="4826" xr:uid="{00000000-0005-0000-0000-0000EC210000}"/>
    <cellStyle name="20% - Accent5 7 5 2 2" xfId="8417" xr:uid="{00000000-0005-0000-0000-0000ED210000}"/>
    <cellStyle name="20% - Accent5 7 5 2 2 2" xfId="16388" xr:uid="{00000000-0005-0000-0000-0000EE210000}"/>
    <cellStyle name="20% - Accent5 7 5 2 2 2 2" xfId="40230" xr:uid="{62FD9236-FADF-4E68-9502-2309B2BC8A6B}"/>
    <cellStyle name="20% - Accent5 7 5 2 2 3" xfId="24334" xr:uid="{00000000-0005-0000-0000-0000EF210000}"/>
    <cellStyle name="20% - Accent5 7 5 2 2 3 2" xfId="48166" xr:uid="{390A98DC-CE20-4002-A1E9-EF5D3D6D83A4}"/>
    <cellStyle name="20% - Accent5 7 5 2 2 4" xfId="32289" xr:uid="{94178483-2AD8-406B-BA00-6EF37C9B3AAC}"/>
    <cellStyle name="20% - Accent5 7 5 2 3" xfId="12850" xr:uid="{00000000-0005-0000-0000-0000F0210000}"/>
    <cellStyle name="20% - Accent5 7 5 2 3 2" xfId="36699" xr:uid="{80FD2FE8-E071-4757-BE57-BCFB52CB7238}"/>
    <cellStyle name="20% - Accent5 7 5 2 4" xfId="20805" xr:uid="{00000000-0005-0000-0000-0000F1210000}"/>
    <cellStyle name="20% - Accent5 7 5 2 4 2" xfId="44637" xr:uid="{2DB7AC0F-1001-4EE3-B56E-976EA9281C29}"/>
    <cellStyle name="20% - Accent5 7 5 2 5" xfId="28758" xr:uid="{358E0C20-D010-4B47-AD56-32427853FEA4}"/>
    <cellStyle name="20% - Accent5 7 5 3" xfId="6658" xr:uid="{00000000-0005-0000-0000-0000F2210000}"/>
    <cellStyle name="20% - Accent5 7 5 3 2" xfId="14630" xr:uid="{00000000-0005-0000-0000-0000F3210000}"/>
    <cellStyle name="20% - Accent5 7 5 3 2 2" xfId="38472" xr:uid="{FCA1DF59-FFAF-4BD5-AAEC-DB3111FE6F47}"/>
    <cellStyle name="20% - Accent5 7 5 3 3" xfId="22577" xr:uid="{00000000-0005-0000-0000-0000F4210000}"/>
    <cellStyle name="20% - Accent5 7 5 3 3 2" xfId="46409" xr:uid="{203AEEAB-B2B7-4884-83DC-37DA4B5624FB}"/>
    <cellStyle name="20% - Accent5 7 5 3 4" xfId="30531" xr:uid="{6A0299C7-4106-4EF0-A155-AA8313DFC191}"/>
    <cellStyle name="20% - Accent5 7 5 4" xfId="11094" xr:uid="{00000000-0005-0000-0000-0000F5210000}"/>
    <cellStyle name="20% - Accent5 7 5 4 2" xfId="34943" xr:uid="{E6FA2D95-5E8A-490F-AB0D-8FC55798688B}"/>
    <cellStyle name="20% - Accent5 7 5 5" xfId="19049" xr:uid="{00000000-0005-0000-0000-0000F6210000}"/>
    <cellStyle name="20% - Accent5 7 5 5 2" xfId="42881" xr:uid="{95BAA16C-E300-4839-8C2E-0552B4EAF322}"/>
    <cellStyle name="20% - Accent5 7 5 6" xfId="27001" xr:uid="{94BA9003-24BF-4A5A-9EB4-FC497082B3D1}"/>
    <cellStyle name="20% - Accent5 7 5_Exh G" xfId="2540" xr:uid="{00000000-0005-0000-0000-0000F7210000}"/>
    <cellStyle name="20% - Accent5 7 6" xfId="3947" xr:uid="{00000000-0005-0000-0000-0000F8210000}"/>
    <cellStyle name="20% - Accent5 7 6 2" xfId="7539" xr:uid="{00000000-0005-0000-0000-0000F9210000}"/>
    <cellStyle name="20% - Accent5 7 6 2 2" xfId="15510" xr:uid="{00000000-0005-0000-0000-0000FA210000}"/>
    <cellStyle name="20% - Accent5 7 6 2 2 2" xfId="39352" xr:uid="{4D8D70A8-4CCB-4B39-B6D3-1DBCA3AD9C7F}"/>
    <cellStyle name="20% - Accent5 7 6 2 3" xfId="23456" xr:uid="{00000000-0005-0000-0000-0000FB210000}"/>
    <cellStyle name="20% - Accent5 7 6 2 3 2" xfId="47288" xr:uid="{363A1822-2FB2-421A-B8B1-ACB4B811439D}"/>
    <cellStyle name="20% - Accent5 7 6 2 4" xfId="31411" xr:uid="{E67382F1-A6D3-4496-B0AA-4A180885FC98}"/>
    <cellStyle name="20% - Accent5 7 6 3" xfId="11972" xr:uid="{00000000-0005-0000-0000-0000FC210000}"/>
    <cellStyle name="20% - Accent5 7 6 3 2" xfId="35821" xr:uid="{9A5B494C-5A2D-4D94-8395-C40B8D51C168}"/>
    <cellStyle name="20% - Accent5 7 6 4" xfId="19927" xr:uid="{00000000-0005-0000-0000-0000FD210000}"/>
    <cellStyle name="20% - Accent5 7 6 4 2" xfId="43759" xr:uid="{9E513B30-21DC-4B6A-B91F-516B123EE73D}"/>
    <cellStyle name="20% - Accent5 7 6 5" xfId="27880" xr:uid="{3116F5F3-A19A-466D-A84D-6A07D7F8A2BF}"/>
    <cellStyle name="20% - Accent5 7 7" xfId="5767" xr:uid="{00000000-0005-0000-0000-0000FE210000}"/>
    <cellStyle name="20% - Accent5 7 7 2" xfId="13751" xr:uid="{00000000-0005-0000-0000-0000FF210000}"/>
    <cellStyle name="20% - Accent5 7 7 2 2" xfId="37594" xr:uid="{40428144-4914-401B-BFA6-EEBE56DD9334}"/>
    <cellStyle name="20% - Accent5 7 7 3" xfId="21699" xr:uid="{00000000-0005-0000-0000-000000220000}"/>
    <cellStyle name="20% - Accent5 7 7 3 2" xfId="45531" xr:uid="{D52410AC-E7BC-4F38-936E-C672D21E2A07}"/>
    <cellStyle name="20% - Accent5 7 7 4" xfId="29653" xr:uid="{8176D73E-D569-4D89-B291-C382F31D2EBD}"/>
    <cellStyle name="20% - Accent5 7 8" xfId="9320" xr:uid="{00000000-0005-0000-0000-000001220000}"/>
    <cellStyle name="20% - Accent5 7 8 2" xfId="17278" xr:uid="{00000000-0005-0000-0000-000002220000}"/>
    <cellStyle name="20% - Accent5 7 8 2 2" xfId="41118" xr:uid="{AFEA9C7B-E6BD-4D1D-8B88-DC3DAD8F7B63}"/>
    <cellStyle name="20% - Accent5 7 8 3" xfId="25222" xr:uid="{00000000-0005-0000-0000-000003220000}"/>
    <cellStyle name="20% - Accent5 7 8 3 2" xfId="49054" xr:uid="{982D73E6-58C2-4CDB-AE59-152715973399}"/>
    <cellStyle name="20% - Accent5 7 8 4" xfId="33177" xr:uid="{907A34D8-3EF2-41C0-B649-E9A95632D141}"/>
    <cellStyle name="20% - Accent5 7 9" xfId="10216" xr:uid="{00000000-0005-0000-0000-000004220000}"/>
    <cellStyle name="20% - Accent5 7 9 2" xfId="34065" xr:uid="{61A3330C-E8C8-42D4-A02D-D2A5F7A04412}"/>
    <cellStyle name="20% - Accent5 7_Exh G" xfId="2531" xr:uid="{00000000-0005-0000-0000-000005220000}"/>
    <cellStyle name="20% - Accent5 8" xfId="272" xr:uid="{00000000-0005-0000-0000-000006220000}"/>
    <cellStyle name="20% - Accent5 8 10" xfId="18175" xr:uid="{00000000-0005-0000-0000-000007220000}"/>
    <cellStyle name="20% - Accent5 8 10 2" xfId="42007" xr:uid="{253C5708-88EA-431B-8E7F-132A1BEFF592}"/>
    <cellStyle name="20% - Accent5 8 11" xfId="26127" xr:uid="{55997DD7-C049-4C76-98EF-6D4263C69047}"/>
    <cellStyle name="20% - Accent5 8 2" xfId="273" xr:uid="{00000000-0005-0000-0000-000008220000}"/>
    <cellStyle name="20% - Accent5 8 2 2" xfId="274" xr:uid="{00000000-0005-0000-0000-000009220000}"/>
    <cellStyle name="20% - Accent5 8 2 2 2" xfId="1302" xr:uid="{00000000-0005-0000-0000-00000A220000}"/>
    <cellStyle name="20% - Accent5 8 2 2 2 2" xfId="4832" xr:uid="{00000000-0005-0000-0000-00000B220000}"/>
    <cellStyle name="20% - Accent5 8 2 2 2 2 2" xfId="8423" xr:uid="{00000000-0005-0000-0000-00000C220000}"/>
    <cellStyle name="20% - Accent5 8 2 2 2 2 2 2" xfId="16394" xr:uid="{00000000-0005-0000-0000-00000D220000}"/>
    <cellStyle name="20% - Accent5 8 2 2 2 2 2 2 2" xfId="40236" xr:uid="{895F3518-782C-4285-A61D-00DD7633DA72}"/>
    <cellStyle name="20% - Accent5 8 2 2 2 2 2 3" xfId="24340" xr:uid="{00000000-0005-0000-0000-00000E220000}"/>
    <cellStyle name="20% - Accent5 8 2 2 2 2 2 3 2" xfId="48172" xr:uid="{A0438942-8A1A-49FD-BDA2-9330FD35AD52}"/>
    <cellStyle name="20% - Accent5 8 2 2 2 2 2 4" xfId="32295" xr:uid="{0E4EB623-F6AB-4E4D-AE86-BA85C6DB873C}"/>
    <cellStyle name="20% - Accent5 8 2 2 2 2 3" xfId="12856" xr:uid="{00000000-0005-0000-0000-00000F220000}"/>
    <cellStyle name="20% - Accent5 8 2 2 2 2 3 2" xfId="36705" xr:uid="{63C32027-CEB2-4EA7-8B18-5E7A8E61DDBA}"/>
    <cellStyle name="20% - Accent5 8 2 2 2 2 4" xfId="20811" xr:uid="{00000000-0005-0000-0000-000010220000}"/>
    <cellStyle name="20% - Accent5 8 2 2 2 2 4 2" xfId="44643" xr:uid="{71A8B3D1-3F71-4D3A-ABB1-13DAE12C2B22}"/>
    <cellStyle name="20% - Accent5 8 2 2 2 2 5" xfId="28764" xr:uid="{32131B81-3269-4BD0-BE1D-1E842262C6E3}"/>
    <cellStyle name="20% - Accent5 8 2 2 2 3" xfId="6664" xr:uid="{00000000-0005-0000-0000-000011220000}"/>
    <cellStyle name="20% - Accent5 8 2 2 2 3 2" xfId="14636" xr:uid="{00000000-0005-0000-0000-000012220000}"/>
    <cellStyle name="20% - Accent5 8 2 2 2 3 2 2" xfId="38478" xr:uid="{DE4AA83E-653B-4F75-80E0-B9821293DAE8}"/>
    <cellStyle name="20% - Accent5 8 2 2 2 3 3" xfId="22583" xr:uid="{00000000-0005-0000-0000-000013220000}"/>
    <cellStyle name="20% - Accent5 8 2 2 2 3 3 2" xfId="46415" xr:uid="{5446014D-EE56-40E9-A807-1D5D6705F3DA}"/>
    <cellStyle name="20% - Accent5 8 2 2 2 3 4" xfId="30537" xr:uid="{7F817295-5EDE-4A8B-B35B-2CDF81713EBE}"/>
    <cellStyle name="20% - Accent5 8 2 2 2 4" xfId="11100" xr:uid="{00000000-0005-0000-0000-000014220000}"/>
    <cellStyle name="20% - Accent5 8 2 2 2 4 2" xfId="34949" xr:uid="{8005A3FB-81C0-4DE8-B711-3A4CB88A7FF7}"/>
    <cellStyle name="20% - Accent5 8 2 2 2 5" xfId="19055" xr:uid="{00000000-0005-0000-0000-000015220000}"/>
    <cellStyle name="20% - Accent5 8 2 2 2 5 2" xfId="42887" xr:uid="{ED194A76-B359-421F-B1E1-13BAA3652FFE}"/>
    <cellStyle name="20% - Accent5 8 2 2 2 6" xfId="27007" xr:uid="{D48EBC11-9C2E-4D77-94D8-CA1ECAC46783}"/>
    <cellStyle name="20% - Accent5 8 2 2 2_Exh G" xfId="2544" xr:uid="{00000000-0005-0000-0000-000016220000}"/>
    <cellStyle name="20% - Accent5 8 2 2 3" xfId="3953" xr:uid="{00000000-0005-0000-0000-000017220000}"/>
    <cellStyle name="20% - Accent5 8 2 2 3 2" xfId="7545" xr:uid="{00000000-0005-0000-0000-000018220000}"/>
    <cellStyle name="20% - Accent5 8 2 2 3 2 2" xfId="15516" xr:uid="{00000000-0005-0000-0000-000019220000}"/>
    <cellStyle name="20% - Accent5 8 2 2 3 2 2 2" xfId="39358" xr:uid="{9FC90ECC-B8EE-4F8C-8034-E6A0E77D75E3}"/>
    <cellStyle name="20% - Accent5 8 2 2 3 2 3" xfId="23462" xr:uid="{00000000-0005-0000-0000-00001A220000}"/>
    <cellStyle name="20% - Accent5 8 2 2 3 2 3 2" xfId="47294" xr:uid="{0548BDC0-A5C6-44A8-88DC-8E7021AB6010}"/>
    <cellStyle name="20% - Accent5 8 2 2 3 2 4" xfId="31417" xr:uid="{1457E95D-D5C3-4399-9E12-7CF27C5C2613}"/>
    <cellStyle name="20% - Accent5 8 2 2 3 3" xfId="11978" xr:uid="{00000000-0005-0000-0000-00001B220000}"/>
    <cellStyle name="20% - Accent5 8 2 2 3 3 2" xfId="35827" xr:uid="{7476AA8E-8D45-498E-A96C-97F75AEE84CF}"/>
    <cellStyle name="20% - Accent5 8 2 2 3 4" xfId="19933" xr:uid="{00000000-0005-0000-0000-00001C220000}"/>
    <cellStyle name="20% - Accent5 8 2 2 3 4 2" xfId="43765" xr:uid="{291CAB15-A0BC-432D-B309-631AF6F7B6EF}"/>
    <cellStyle name="20% - Accent5 8 2 2 3 5" xfId="27886" xr:uid="{8C23C07E-9011-4500-AB4B-1A8EC8290525}"/>
    <cellStyle name="20% - Accent5 8 2 2 4" xfId="5773" xr:uid="{00000000-0005-0000-0000-00001D220000}"/>
    <cellStyle name="20% - Accent5 8 2 2 4 2" xfId="13757" xr:uid="{00000000-0005-0000-0000-00001E220000}"/>
    <cellStyle name="20% - Accent5 8 2 2 4 2 2" xfId="37600" xr:uid="{9E0CB392-8A56-4919-B014-033C72335F4D}"/>
    <cellStyle name="20% - Accent5 8 2 2 4 3" xfId="21705" xr:uid="{00000000-0005-0000-0000-00001F220000}"/>
    <cellStyle name="20% - Accent5 8 2 2 4 3 2" xfId="45537" xr:uid="{D467A1BD-A02C-4A59-A996-8BD064AFD76B}"/>
    <cellStyle name="20% - Accent5 8 2 2 4 4" xfId="29659" xr:uid="{26E8AB19-9BE0-454D-A56D-14775999ECC3}"/>
    <cellStyle name="20% - Accent5 8 2 2 5" xfId="9326" xr:uid="{00000000-0005-0000-0000-000020220000}"/>
    <cellStyle name="20% - Accent5 8 2 2 5 2" xfId="17284" xr:uid="{00000000-0005-0000-0000-000021220000}"/>
    <cellStyle name="20% - Accent5 8 2 2 5 2 2" xfId="41124" xr:uid="{4113B236-134C-4CA5-8B63-2598D3598199}"/>
    <cellStyle name="20% - Accent5 8 2 2 5 3" xfId="25228" xr:uid="{00000000-0005-0000-0000-000022220000}"/>
    <cellStyle name="20% - Accent5 8 2 2 5 3 2" xfId="49060" xr:uid="{89D64FA7-DA87-414D-A3C4-86DF6E13ECDC}"/>
    <cellStyle name="20% - Accent5 8 2 2 5 4" xfId="33183" xr:uid="{A2D7256F-7857-466D-81F2-2E2B1629BAC7}"/>
    <cellStyle name="20% - Accent5 8 2 2 6" xfId="10222" xr:uid="{00000000-0005-0000-0000-000023220000}"/>
    <cellStyle name="20% - Accent5 8 2 2 6 2" xfId="34071" xr:uid="{8F9CDA06-4138-476D-95D9-F0E89A57A4BF}"/>
    <cellStyle name="20% - Accent5 8 2 2 7" xfId="18177" xr:uid="{00000000-0005-0000-0000-000024220000}"/>
    <cellStyle name="20% - Accent5 8 2 2 7 2" xfId="42009" xr:uid="{A16C2EC4-941C-41F9-88E4-99DE4C8491E3}"/>
    <cellStyle name="20% - Accent5 8 2 2 8" xfId="26129" xr:uid="{4A54825D-B573-49B3-AA8A-85C7AF8DA9BE}"/>
    <cellStyle name="20% - Accent5 8 2 2_Exh G" xfId="2543" xr:uid="{00000000-0005-0000-0000-000025220000}"/>
    <cellStyle name="20% - Accent5 8 2 3" xfId="1301" xr:uid="{00000000-0005-0000-0000-000026220000}"/>
    <cellStyle name="20% - Accent5 8 2 3 2" xfId="4831" xr:uid="{00000000-0005-0000-0000-000027220000}"/>
    <cellStyle name="20% - Accent5 8 2 3 2 2" xfId="8422" xr:uid="{00000000-0005-0000-0000-000028220000}"/>
    <cellStyle name="20% - Accent5 8 2 3 2 2 2" xfId="16393" xr:uid="{00000000-0005-0000-0000-000029220000}"/>
    <cellStyle name="20% - Accent5 8 2 3 2 2 2 2" xfId="40235" xr:uid="{BB7489B5-DBCE-4DF8-8E3C-E7464E91047E}"/>
    <cellStyle name="20% - Accent5 8 2 3 2 2 3" xfId="24339" xr:uid="{00000000-0005-0000-0000-00002A220000}"/>
    <cellStyle name="20% - Accent5 8 2 3 2 2 3 2" xfId="48171" xr:uid="{997DB208-54FC-47CC-B891-7E288B7BADA6}"/>
    <cellStyle name="20% - Accent5 8 2 3 2 2 4" xfId="32294" xr:uid="{CA78C8F4-709B-4792-84D8-50FA2CC09364}"/>
    <cellStyle name="20% - Accent5 8 2 3 2 3" xfId="12855" xr:uid="{00000000-0005-0000-0000-00002B220000}"/>
    <cellStyle name="20% - Accent5 8 2 3 2 3 2" xfId="36704" xr:uid="{286C45E4-9B9A-48FD-B17C-4C6D4400DDD0}"/>
    <cellStyle name="20% - Accent5 8 2 3 2 4" xfId="20810" xr:uid="{00000000-0005-0000-0000-00002C220000}"/>
    <cellStyle name="20% - Accent5 8 2 3 2 4 2" xfId="44642" xr:uid="{6B143EB3-F996-4C0E-BC49-AF190C441AB4}"/>
    <cellStyle name="20% - Accent5 8 2 3 2 5" xfId="28763" xr:uid="{65630AE6-6BCB-44AF-822D-6F3A6E66BC90}"/>
    <cellStyle name="20% - Accent5 8 2 3 3" xfId="6663" xr:uid="{00000000-0005-0000-0000-00002D220000}"/>
    <cellStyle name="20% - Accent5 8 2 3 3 2" xfId="14635" xr:uid="{00000000-0005-0000-0000-00002E220000}"/>
    <cellStyle name="20% - Accent5 8 2 3 3 2 2" xfId="38477" xr:uid="{C130B7E6-50F3-4C1C-91B8-DCEF19AB3BF9}"/>
    <cellStyle name="20% - Accent5 8 2 3 3 3" xfId="22582" xr:uid="{00000000-0005-0000-0000-00002F220000}"/>
    <cellStyle name="20% - Accent5 8 2 3 3 3 2" xfId="46414" xr:uid="{D01E373F-F436-4250-9B0C-AE9AF3D40C0B}"/>
    <cellStyle name="20% - Accent5 8 2 3 3 4" xfId="30536" xr:uid="{68D67DB6-72CC-43ED-A09C-838786BE7BF2}"/>
    <cellStyle name="20% - Accent5 8 2 3 4" xfId="11099" xr:uid="{00000000-0005-0000-0000-000030220000}"/>
    <cellStyle name="20% - Accent5 8 2 3 4 2" xfId="34948" xr:uid="{CC92DB1C-C4BB-47A5-BE42-F39DCD2CBFE7}"/>
    <cellStyle name="20% - Accent5 8 2 3 5" xfId="19054" xr:uid="{00000000-0005-0000-0000-000031220000}"/>
    <cellStyle name="20% - Accent5 8 2 3 5 2" xfId="42886" xr:uid="{9FAC2BE2-CE80-46B4-AE07-8A17EA020212}"/>
    <cellStyle name="20% - Accent5 8 2 3 6" xfId="27006" xr:uid="{72CE80DC-28AC-443E-B4AB-DA893CEA2B11}"/>
    <cellStyle name="20% - Accent5 8 2 3_Exh G" xfId="2545" xr:uid="{00000000-0005-0000-0000-000032220000}"/>
    <cellStyle name="20% - Accent5 8 2 4" xfId="3952" xr:uid="{00000000-0005-0000-0000-000033220000}"/>
    <cellStyle name="20% - Accent5 8 2 4 2" xfId="7544" xr:uid="{00000000-0005-0000-0000-000034220000}"/>
    <cellStyle name="20% - Accent5 8 2 4 2 2" xfId="15515" xr:uid="{00000000-0005-0000-0000-000035220000}"/>
    <cellStyle name="20% - Accent5 8 2 4 2 2 2" xfId="39357" xr:uid="{0D84040D-82F8-452F-B53C-EE8DD04C4F0A}"/>
    <cellStyle name="20% - Accent5 8 2 4 2 3" xfId="23461" xr:uid="{00000000-0005-0000-0000-000036220000}"/>
    <cellStyle name="20% - Accent5 8 2 4 2 3 2" xfId="47293" xr:uid="{92244ACF-9747-45F4-B5F0-709080516362}"/>
    <cellStyle name="20% - Accent5 8 2 4 2 4" xfId="31416" xr:uid="{3C0CA1B0-3038-4334-B65C-6EF5F4F42140}"/>
    <cellStyle name="20% - Accent5 8 2 4 3" xfId="11977" xr:uid="{00000000-0005-0000-0000-000037220000}"/>
    <cellStyle name="20% - Accent5 8 2 4 3 2" xfId="35826" xr:uid="{01C4EB73-41D4-450F-91E7-8D932E880DF5}"/>
    <cellStyle name="20% - Accent5 8 2 4 4" xfId="19932" xr:uid="{00000000-0005-0000-0000-000038220000}"/>
    <cellStyle name="20% - Accent5 8 2 4 4 2" xfId="43764" xr:uid="{FD511594-04A7-476C-986E-27784B5C8140}"/>
    <cellStyle name="20% - Accent5 8 2 4 5" xfId="27885" xr:uid="{5DE665FA-E0D7-441B-9AE8-EAA6B95F0B40}"/>
    <cellStyle name="20% - Accent5 8 2 5" xfId="5772" xr:uid="{00000000-0005-0000-0000-000039220000}"/>
    <cellStyle name="20% - Accent5 8 2 5 2" xfId="13756" xr:uid="{00000000-0005-0000-0000-00003A220000}"/>
    <cellStyle name="20% - Accent5 8 2 5 2 2" xfId="37599" xr:uid="{FCE7F6D3-B487-4DDB-B3FA-B60177903D3F}"/>
    <cellStyle name="20% - Accent5 8 2 5 3" xfId="21704" xr:uid="{00000000-0005-0000-0000-00003B220000}"/>
    <cellStyle name="20% - Accent5 8 2 5 3 2" xfId="45536" xr:uid="{550FD1F3-F759-4EE4-A0C6-4BDE3897DA55}"/>
    <cellStyle name="20% - Accent5 8 2 5 4" xfId="29658" xr:uid="{9C3B1D5C-692C-4E43-B345-7699C6516333}"/>
    <cellStyle name="20% - Accent5 8 2 6" xfId="9325" xr:uid="{00000000-0005-0000-0000-00003C220000}"/>
    <cellStyle name="20% - Accent5 8 2 6 2" xfId="17283" xr:uid="{00000000-0005-0000-0000-00003D220000}"/>
    <cellStyle name="20% - Accent5 8 2 6 2 2" xfId="41123" xr:uid="{3601721A-A836-4589-9357-CBC1975D24C4}"/>
    <cellStyle name="20% - Accent5 8 2 6 3" xfId="25227" xr:uid="{00000000-0005-0000-0000-00003E220000}"/>
    <cellStyle name="20% - Accent5 8 2 6 3 2" xfId="49059" xr:uid="{C54DD34A-5D82-4B3B-858C-6D8F4ADDE54B}"/>
    <cellStyle name="20% - Accent5 8 2 6 4" xfId="33182" xr:uid="{667633C3-8659-4F84-B73C-271AA7FEFB3A}"/>
    <cellStyle name="20% - Accent5 8 2 7" xfId="10221" xr:uid="{00000000-0005-0000-0000-00003F220000}"/>
    <cellStyle name="20% - Accent5 8 2 7 2" xfId="34070" xr:uid="{F427A605-0957-42DD-BC65-D3A3CBB278B1}"/>
    <cellStyle name="20% - Accent5 8 2 8" xfId="18176" xr:uid="{00000000-0005-0000-0000-000040220000}"/>
    <cellStyle name="20% - Accent5 8 2 8 2" xfId="42008" xr:uid="{E8DDDA23-F40F-4565-A7E6-8C83017D578D}"/>
    <cellStyle name="20% - Accent5 8 2 9" xfId="26128" xr:uid="{ACEC0E3F-E771-4E58-9E7E-1BACCA2E78FB}"/>
    <cellStyle name="20% - Accent5 8 2_Exh G" xfId="2542" xr:uid="{00000000-0005-0000-0000-000041220000}"/>
    <cellStyle name="20% - Accent5 8 3" xfId="275" xr:uid="{00000000-0005-0000-0000-000042220000}"/>
    <cellStyle name="20% - Accent5 8 3 2" xfId="1303" xr:uid="{00000000-0005-0000-0000-000043220000}"/>
    <cellStyle name="20% - Accent5 8 3 2 2" xfId="4833" xr:uid="{00000000-0005-0000-0000-000044220000}"/>
    <cellStyle name="20% - Accent5 8 3 2 2 2" xfId="8424" xr:uid="{00000000-0005-0000-0000-000045220000}"/>
    <cellStyle name="20% - Accent5 8 3 2 2 2 2" xfId="16395" xr:uid="{00000000-0005-0000-0000-000046220000}"/>
    <cellStyle name="20% - Accent5 8 3 2 2 2 2 2" xfId="40237" xr:uid="{5D5DCD1E-2AF8-4641-8465-5EBCE4C19941}"/>
    <cellStyle name="20% - Accent5 8 3 2 2 2 3" xfId="24341" xr:uid="{00000000-0005-0000-0000-000047220000}"/>
    <cellStyle name="20% - Accent5 8 3 2 2 2 3 2" xfId="48173" xr:uid="{5FF10DA2-D151-4BC2-B182-51B2BDCE9B1B}"/>
    <cellStyle name="20% - Accent5 8 3 2 2 2 4" xfId="32296" xr:uid="{02AD6E79-D5A0-4ED1-B206-0F5BCB2315A2}"/>
    <cellStyle name="20% - Accent5 8 3 2 2 3" xfId="12857" xr:uid="{00000000-0005-0000-0000-000048220000}"/>
    <cellStyle name="20% - Accent5 8 3 2 2 3 2" xfId="36706" xr:uid="{E4F9409F-43E4-43A4-B8D4-6187D8C7F070}"/>
    <cellStyle name="20% - Accent5 8 3 2 2 4" xfId="20812" xr:uid="{00000000-0005-0000-0000-000049220000}"/>
    <cellStyle name="20% - Accent5 8 3 2 2 4 2" xfId="44644" xr:uid="{4A1289E8-7B8C-45E9-900F-6EBD1DD31E1B}"/>
    <cellStyle name="20% - Accent5 8 3 2 2 5" xfId="28765" xr:uid="{35C471C5-2CB5-402B-BEE7-C7436675A1F5}"/>
    <cellStyle name="20% - Accent5 8 3 2 3" xfId="6665" xr:uid="{00000000-0005-0000-0000-00004A220000}"/>
    <cellStyle name="20% - Accent5 8 3 2 3 2" xfId="14637" xr:uid="{00000000-0005-0000-0000-00004B220000}"/>
    <cellStyle name="20% - Accent5 8 3 2 3 2 2" xfId="38479" xr:uid="{4AAEB860-8BAD-4617-A3F4-0B3267B82081}"/>
    <cellStyle name="20% - Accent5 8 3 2 3 3" xfId="22584" xr:uid="{00000000-0005-0000-0000-00004C220000}"/>
    <cellStyle name="20% - Accent5 8 3 2 3 3 2" xfId="46416" xr:uid="{D35DEF8D-818F-442F-92A3-D2F4DD05538F}"/>
    <cellStyle name="20% - Accent5 8 3 2 3 4" xfId="30538" xr:uid="{F4094A99-6D41-4CF2-A42E-34A3F077B4E9}"/>
    <cellStyle name="20% - Accent5 8 3 2 4" xfId="11101" xr:uid="{00000000-0005-0000-0000-00004D220000}"/>
    <cellStyle name="20% - Accent5 8 3 2 4 2" xfId="34950" xr:uid="{7930120F-F69C-4C41-B0E3-EB6770D398D3}"/>
    <cellStyle name="20% - Accent5 8 3 2 5" xfId="19056" xr:uid="{00000000-0005-0000-0000-00004E220000}"/>
    <cellStyle name="20% - Accent5 8 3 2 5 2" xfId="42888" xr:uid="{D236091D-9737-4F6A-9F7F-057CB5CCA5DC}"/>
    <cellStyle name="20% - Accent5 8 3 2 6" xfId="27008" xr:uid="{98A436AD-6056-41EA-AC8F-F53F09B1483D}"/>
    <cellStyle name="20% - Accent5 8 3 2_Exh G" xfId="2547" xr:uid="{00000000-0005-0000-0000-00004F220000}"/>
    <cellStyle name="20% - Accent5 8 3 3" xfId="3954" xr:uid="{00000000-0005-0000-0000-000050220000}"/>
    <cellStyle name="20% - Accent5 8 3 3 2" xfId="7546" xr:uid="{00000000-0005-0000-0000-000051220000}"/>
    <cellStyle name="20% - Accent5 8 3 3 2 2" xfId="15517" xr:uid="{00000000-0005-0000-0000-000052220000}"/>
    <cellStyle name="20% - Accent5 8 3 3 2 2 2" xfId="39359" xr:uid="{2DD55995-1AA8-422C-A784-452F66B4F972}"/>
    <cellStyle name="20% - Accent5 8 3 3 2 3" xfId="23463" xr:uid="{00000000-0005-0000-0000-000053220000}"/>
    <cellStyle name="20% - Accent5 8 3 3 2 3 2" xfId="47295" xr:uid="{14A10D24-FC2F-48A6-88E1-BDC9B691FDF5}"/>
    <cellStyle name="20% - Accent5 8 3 3 2 4" xfId="31418" xr:uid="{C855FB0B-0E0C-46C9-9D08-D3CC23499F92}"/>
    <cellStyle name="20% - Accent5 8 3 3 3" xfId="11979" xr:uid="{00000000-0005-0000-0000-000054220000}"/>
    <cellStyle name="20% - Accent5 8 3 3 3 2" xfId="35828" xr:uid="{D300D2F2-5DEC-47E4-9754-77DD23CDC544}"/>
    <cellStyle name="20% - Accent5 8 3 3 4" xfId="19934" xr:uid="{00000000-0005-0000-0000-000055220000}"/>
    <cellStyle name="20% - Accent5 8 3 3 4 2" xfId="43766" xr:uid="{7899EDFD-44B0-40F1-95CF-92106CD2041C}"/>
    <cellStyle name="20% - Accent5 8 3 3 5" xfId="27887" xr:uid="{E8E434E7-9745-4619-9E2C-826BA3D14726}"/>
    <cellStyle name="20% - Accent5 8 3 4" xfId="5774" xr:uid="{00000000-0005-0000-0000-000056220000}"/>
    <cellStyle name="20% - Accent5 8 3 4 2" xfId="13758" xr:uid="{00000000-0005-0000-0000-000057220000}"/>
    <cellStyle name="20% - Accent5 8 3 4 2 2" xfId="37601" xr:uid="{FDF7547E-D54D-4C97-AFFA-C16F401C680E}"/>
    <cellStyle name="20% - Accent5 8 3 4 3" xfId="21706" xr:uid="{00000000-0005-0000-0000-000058220000}"/>
    <cellStyle name="20% - Accent5 8 3 4 3 2" xfId="45538" xr:uid="{F154EEA7-51F9-421E-A585-C9A699B10F8D}"/>
    <cellStyle name="20% - Accent5 8 3 4 4" xfId="29660" xr:uid="{7D7B1F12-C3F8-40DE-A374-5AEBE23BF299}"/>
    <cellStyle name="20% - Accent5 8 3 5" xfId="9327" xr:uid="{00000000-0005-0000-0000-000059220000}"/>
    <cellStyle name="20% - Accent5 8 3 5 2" xfId="17285" xr:uid="{00000000-0005-0000-0000-00005A220000}"/>
    <cellStyle name="20% - Accent5 8 3 5 2 2" xfId="41125" xr:uid="{35492D37-1882-4BCD-9741-815A0D78D18D}"/>
    <cellStyle name="20% - Accent5 8 3 5 3" xfId="25229" xr:uid="{00000000-0005-0000-0000-00005B220000}"/>
    <cellStyle name="20% - Accent5 8 3 5 3 2" xfId="49061" xr:uid="{15286BA8-F674-422E-B276-F3A2620C7481}"/>
    <cellStyle name="20% - Accent5 8 3 5 4" xfId="33184" xr:uid="{3D7F4566-7816-4943-904C-9DDC70AE6862}"/>
    <cellStyle name="20% - Accent5 8 3 6" xfId="10223" xr:uid="{00000000-0005-0000-0000-00005C220000}"/>
    <cellStyle name="20% - Accent5 8 3 6 2" xfId="34072" xr:uid="{A27CDFF5-68DB-4879-BA6E-556AE899ACA8}"/>
    <cellStyle name="20% - Accent5 8 3 7" xfId="18178" xr:uid="{00000000-0005-0000-0000-00005D220000}"/>
    <cellStyle name="20% - Accent5 8 3 7 2" xfId="42010" xr:uid="{A1EA433A-4C9A-42E4-B35F-E945CB70AA58}"/>
    <cellStyle name="20% - Accent5 8 3 8" xfId="26130" xr:uid="{376D9A50-5B18-452E-8F48-1890675926D4}"/>
    <cellStyle name="20% - Accent5 8 3_Exh G" xfId="2546" xr:uid="{00000000-0005-0000-0000-00005E220000}"/>
    <cellStyle name="20% - Accent5 8 4" xfId="920" xr:uid="{00000000-0005-0000-0000-00005F220000}"/>
    <cellStyle name="20% - Accent5 8 4 2" xfId="1847" xr:uid="{00000000-0005-0000-0000-000060220000}"/>
    <cellStyle name="20% - Accent5 8 4 2 2" xfId="5365" xr:uid="{00000000-0005-0000-0000-000061220000}"/>
    <cellStyle name="20% - Accent5 8 4 2 2 2" xfId="8956" xr:uid="{00000000-0005-0000-0000-000062220000}"/>
    <cellStyle name="20% - Accent5 8 4 2 2 2 2" xfId="16927" xr:uid="{00000000-0005-0000-0000-000063220000}"/>
    <cellStyle name="20% - Accent5 8 4 2 2 2 2 2" xfId="40769" xr:uid="{9F65D5E5-D18C-4AC4-A6FF-F3CE8A329A02}"/>
    <cellStyle name="20% - Accent5 8 4 2 2 2 3" xfId="24873" xr:uid="{00000000-0005-0000-0000-000064220000}"/>
    <cellStyle name="20% - Accent5 8 4 2 2 2 3 2" xfId="48705" xr:uid="{38AEE89D-3DC6-4CF1-8BFD-297373992D9A}"/>
    <cellStyle name="20% - Accent5 8 4 2 2 2 4" xfId="32828" xr:uid="{DFD4221E-0027-4134-9581-6664E88B9BCE}"/>
    <cellStyle name="20% - Accent5 8 4 2 2 3" xfId="13389" xr:uid="{00000000-0005-0000-0000-000065220000}"/>
    <cellStyle name="20% - Accent5 8 4 2 2 3 2" xfId="37238" xr:uid="{9EA936DC-2F70-44F2-80A7-1EE49EADA64D}"/>
    <cellStyle name="20% - Accent5 8 4 2 2 4" xfId="21344" xr:uid="{00000000-0005-0000-0000-000066220000}"/>
    <cellStyle name="20% - Accent5 8 4 2 2 4 2" xfId="45176" xr:uid="{E8614CA9-3F32-40C4-9BBD-31B7A4C4CA56}"/>
    <cellStyle name="20% - Accent5 8 4 2 2 5" xfId="29297" xr:uid="{59ED7A7C-6398-401C-A133-01B36F2A8EF8}"/>
    <cellStyle name="20% - Accent5 8 4 2 3" xfId="7197" xr:uid="{00000000-0005-0000-0000-000067220000}"/>
    <cellStyle name="20% - Accent5 8 4 2 3 2" xfId="15169" xr:uid="{00000000-0005-0000-0000-000068220000}"/>
    <cellStyle name="20% - Accent5 8 4 2 3 2 2" xfId="39011" xr:uid="{0B835287-CD27-454C-B27F-1C06D5EE795A}"/>
    <cellStyle name="20% - Accent5 8 4 2 3 3" xfId="23116" xr:uid="{00000000-0005-0000-0000-000069220000}"/>
    <cellStyle name="20% - Accent5 8 4 2 3 3 2" xfId="46948" xr:uid="{369DB548-5F7C-48D4-A268-9A450E40DC02}"/>
    <cellStyle name="20% - Accent5 8 4 2 3 4" xfId="31070" xr:uid="{980F2AFA-0195-4B0C-AA7E-70F1ECCF6B6A}"/>
    <cellStyle name="20% - Accent5 8 4 2 4" xfId="11633" xr:uid="{00000000-0005-0000-0000-00006A220000}"/>
    <cellStyle name="20% - Accent5 8 4 2 4 2" xfId="35482" xr:uid="{7D831F5B-3ED2-48F5-A0AE-3C938A70C01B}"/>
    <cellStyle name="20% - Accent5 8 4 2 5" xfId="19588" xr:uid="{00000000-0005-0000-0000-00006B220000}"/>
    <cellStyle name="20% - Accent5 8 4 2 5 2" xfId="43420" xr:uid="{894CB68E-1416-4A04-B13F-F04C856EAB30}"/>
    <cellStyle name="20% - Accent5 8 4 2 6" xfId="27540" xr:uid="{884199B6-DFF1-4B7E-BD16-3A02351CC67F}"/>
    <cellStyle name="20% - Accent5 8 4 2_Exh G" xfId="2549" xr:uid="{00000000-0005-0000-0000-00006C220000}"/>
    <cellStyle name="20% - Accent5 8 4 3" xfId="4486" xr:uid="{00000000-0005-0000-0000-00006D220000}"/>
    <cellStyle name="20% - Accent5 8 4 3 2" xfId="8078" xr:uid="{00000000-0005-0000-0000-00006E220000}"/>
    <cellStyle name="20% - Accent5 8 4 3 2 2" xfId="16049" xr:uid="{00000000-0005-0000-0000-00006F220000}"/>
    <cellStyle name="20% - Accent5 8 4 3 2 2 2" xfId="39891" xr:uid="{D5EA8939-CB40-4593-B66B-0F688C06D851}"/>
    <cellStyle name="20% - Accent5 8 4 3 2 3" xfId="23995" xr:uid="{00000000-0005-0000-0000-000070220000}"/>
    <cellStyle name="20% - Accent5 8 4 3 2 3 2" xfId="47827" xr:uid="{5C0018DC-0509-4CAE-B2D7-8B594020D257}"/>
    <cellStyle name="20% - Accent5 8 4 3 2 4" xfId="31950" xr:uid="{D6E3ACE9-F5FE-43C0-B3AA-147F6803C6BD}"/>
    <cellStyle name="20% - Accent5 8 4 3 3" xfId="12511" xr:uid="{00000000-0005-0000-0000-000071220000}"/>
    <cellStyle name="20% - Accent5 8 4 3 3 2" xfId="36360" xr:uid="{5DCE5E57-F9D1-453F-867F-F8041CBA67A7}"/>
    <cellStyle name="20% - Accent5 8 4 3 4" xfId="20466" xr:uid="{00000000-0005-0000-0000-000072220000}"/>
    <cellStyle name="20% - Accent5 8 4 3 4 2" xfId="44298" xr:uid="{BE128D19-21FE-43DC-B935-1BE959AC9F10}"/>
    <cellStyle name="20% - Accent5 8 4 3 5" xfId="28419" xr:uid="{4E232CD9-09D5-4854-8534-2A5B78A39F4D}"/>
    <cellStyle name="20% - Accent5 8 4 4" xfId="6316" xr:uid="{00000000-0005-0000-0000-000073220000}"/>
    <cellStyle name="20% - Accent5 8 4 4 2" xfId="14291" xr:uid="{00000000-0005-0000-0000-000074220000}"/>
    <cellStyle name="20% - Accent5 8 4 4 2 2" xfId="38133" xr:uid="{D3925FA9-4F35-4A7F-96A8-EF5BC75BAF7B}"/>
    <cellStyle name="20% - Accent5 8 4 4 3" xfId="22238" xr:uid="{00000000-0005-0000-0000-000075220000}"/>
    <cellStyle name="20% - Accent5 8 4 4 3 2" xfId="46070" xr:uid="{A8EEEB21-BD97-41B5-9E35-4091E0BF3DBB}"/>
    <cellStyle name="20% - Accent5 8 4 4 4" xfId="30192" xr:uid="{809B1A88-D331-403A-A414-9C4026AA6DBB}"/>
    <cellStyle name="20% - Accent5 8 4 5" xfId="9859" xr:uid="{00000000-0005-0000-0000-000076220000}"/>
    <cellStyle name="20% - Accent5 8 4 5 2" xfId="17817" xr:uid="{00000000-0005-0000-0000-000077220000}"/>
    <cellStyle name="20% - Accent5 8 4 5 2 2" xfId="41657" xr:uid="{8B754BCA-7B3A-4323-9600-B33C6EE5F447}"/>
    <cellStyle name="20% - Accent5 8 4 5 3" xfId="25761" xr:uid="{00000000-0005-0000-0000-000078220000}"/>
    <cellStyle name="20% - Accent5 8 4 5 3 2" xfId="49593" xr:uid="{69AB5C4B-020C-467F-B843-898A7F557D62}"/>
    <cellStyle name="20% - Accent5 8 4 5 4" xfId="33716" xr:uid="{AD47A51C-6174-4DB6-B482-11B06BEE99B1}"/>
    <cellStyle name="20% - Accent5 8 4 6" xfId="10755" xr:uid="{00000000-0005-0000-0000-000079220000}"/>
    <cellStyle name="20% - Accent5 8 4 6 2" xfId="34604" xr:uid="{097ACADD-ECC6-4644-843F-1E86C6EAF4E3}"/>
    <cellStyle name="20% - Accent5 8 4 7" xfId="18710" xr:uid="{00000000-0005-0000-0000-00007A220000}"/>
    <cellStyle name="20% - Accent5 8 4 7 2" xfId="42542" xr:uid="{EA720097-5159-4429-A67D-A85CCE23F089}"/>
    <cellStyle name="20% - Accent5 8 4 8" xfId="26662" xr:uid="{CC6DC358-5775-48B4-8A49-3D83BC4834D2}"/>
    <cellStyle name="20% - Accent5 8 4_Exh G" xfId="2548" xr:uid="{00000000-0005-0000-0000-00007B220000}"/>
    <cellStyle name="20% - Accent5 8 5" xfId="1300" xr:uid="{00000000-0005-0000-0000-00007C220000}"/>
    <cellStyle name="20% - Accent5 8 5 2" xfId="4830" xr:uid="{00000000-0005-0000-0000-00007D220000}"/>
    <cellStyle name="20% - Accent5 8 5 2 2" xfId="8421" xr:uid="{00000000-0005-0000-0000-00007E220000}"/>
    <cellStyle name="20% - Accent5 8 5 2 2 2" xfId="16392" xr:uid="{00000000-0005-0000-0000-00007F220000}"/>
    <cellStyle name="20% - Accent5 8 5 2 2 2 2" xfId="40234" xr:uid="{3A0ACE9F-CA5A-4793-9E43-B3EC7928CA01}"/>
    <cellStyle name="20% - Accent5 8 5 2 2 3" xfId="24338" xr:uid="{00000000-0005-0000-0000-000080220000}"/>
    <cellStyle name="20% - Accent5 8 5 2 2 3 2" xfId="48170" xr:uid="{1D914BA4-A6C8-4481-BB54-6FD6D05A7F9E}"/>
    <cellStyle name="20% - Accent5 8 5 2 2 4" xfId="32293" xr:uid="{AD4A05BA-6AE2-40D1-B11E-F7FD5CCAA3CF}"/>
    <cellStyle name="20% - Accent5 8 5 2 3" xfId="12854" xr:uid="{00000000-0005-0000-0000-000081220000}"/>
    <cellStyle name="20% - Accent5 8 5 2 3 2" xfId="36703" xr:uid="{3908EAC3-07A2-4E94-9B5C-CFCFB8523DB6}"/>
    <cellStyle name="20% - Accent5 8 5 2 4" xfId="20809" xr:uid="{00000000-0005-0000-0000-000082220000}"/>
    <cellStyle name="20% - Accent5 8 5 2 4 2" xfId="44641" xr:uid="{511F3EC0-C12A-42E3-A6F6-F1424BA38348}"/>
    <cellStyle name="20% - Accent5 8 5 2 5" xfId="28762" xr:uid="{1A17CA89-6109-488E-BF20-6EBCC157813A}"/>
    <cellStyle name="20% - Accent5 8 5 3" xfId="6662" xr:uid="{00000000-0005-0000-0000-000083220000}"/>
    <cellStyle name="20% - Accent5 8 5 3 2" xfId="14634" xr:uid="{00000000-0005-0000-0000-000084220000}"/>
    <cellStyle name="20% - Accent5 8 5 3 2 2" xfId="38476" xr:uid="{A99A7B5C-48D5-4454-A842-E856DEFE2455}"/>
    <cellStyle name="20% - Accent5 8 5 3 3" xfId="22581" xr:uid="{00000000-0005-0000-0000-000085220000}"/>
    <cellStyle name="20% - Accent5 8 5 3 3 2" xfId="46413" xr:uid="{D506478A-9F75-4FA0-92E6-2EF81153728F}"/>
    <cellStyle name="20% - Accent5 8 5 3 4" xfId="30535" xr:uid="{43A92EA4-1697-4DA3-99DD-F677E2EB16BB}"/>
    <cellStyle name="20% - Accent5 8 5 4" xfId="11098" xr:uid="{00000000-0005-0000-0000-000086220000}"/>
    <cellStyle name="20% - Accent5 8 5 4 2" xfId="34947" xr:uid="{6A356AAA-8725-41CD-9E22-A8E680CA4C0B}"/>
    <cellStyle name="20% - Accent5 8 5 5" xfId="19053" xr:uid="{00000000-0005-0000-0000-000087220000}"/>
    <cellStyle name="20% - Accent5 8 5 5 2" xfId="42885" xr:uid="{37EED30A-C6EB-4D5F-9B76-4C79714B5D7A}"/>
    <cellStyle name="20% - Accent5 8 5 6" xfId="27005" xr:uid="{5850F554-95CC-4FDA-93CB-7A79F150AE70}"/>
    <cellStyle name="20% - Accent5 8 5_Exh G" xfId="2550" xr:uid="{00000000-0005-0000-0000-000088220000}"/>
    <cellStyle name="20% - Accent5 8 6" xfId="3951" xr:uid="{00000000-0005-0000-0000-000089220000}"/>
    <cellStyle name="20% - Accent5 8 6 2" xfId="7543" xr:uid="{00000000-0005-0000-0000-00008A220000}"/>
    <cellStyle name="20% - Accent5 8 6 2 2" xfId="15514" xr:uid="{00000000-0005-0000-0000-00008B220000}"/>
    <cellStyle name="20% - Accent5 8 6 2 2 2" xfId="39356" xr:uid="{23316631-FE71-42F7-9E7F-F7B580304442}"/>
    <cellStyle name="20% - Accent5 8 6 2 3" xfId="23460" xr:uid="{00000000-0005-0000-0000-00008C220000}"/>
    <cellStyle name="20% - Accent5 8 6 2 3 2" xfId="47292" xr:uid="{3CA10832-B27E-40A7-BE6B-E71F216F7B21}"/>
    <cellStyle name="20% - Accent5 8 6 2 4" xfId="31415" xr:uid="{CC361ED6-A53B-404C-BA45-1B0ACE7B9920}"/>
    <cellStyle name="20% - Accent5 8 6 3" xfId="11976" xr:uid="{00000000-0005-0000-0000-00008D220000}"/>
    <cellStyle name="20% - Accent5 8 6 3 2" xfId="35825" xr:uid="{10B212CB-8456-47C7-9682-3A8BACC607C2}"/>
    <cellStyle name="20% - Accent5 8 6 4" xfId="19931" xr:uid="{00000000-0005-0000-0000-00008E220000}"/>
    <cellStyle name="20% - Accent5 8 6 4 2" xfId="43763" xr:uid="{A8F9AEC2-DB34-48FD-B708-8D9960C7A3FC}"/>
    <cellStyle name="20% - Accent5 8 6 5" xfId="27884" xr:uid="{960EA93A-150E-4DFE-9D0D-8DDC9952BFDE}"/>
    <cellStyle name="20% - Accent5 8 7" xfId="5771" xr:uid="{00000000-0005-0000-0000-00008F220000}"/>
    <cellStyle name="20% - Accent5 8 7 2" xfId="13755" xr:uid="{00000000-0005-0000-0000-000090220000}"/>
    <cellStyle name="20% - Accent5 8 7 2 2" xfId="37598" xr:uid="{30738EAD-99C7-4DBB-9298-879F73594F69}"/>
    <cellStyle name="20% - Accent5 8 7 3" xfId="21703" xr:uid="{00000000-0005-0000-0000-000091220000}"/>
    <cellStyle name="20% - Accent5 8 7 3 2" xfId="45535" xr:uid="{FE0947BE-11CC-4A1C-9424-31745C08B914}"/>
    <cellStyle name="20% - Accent5 8 7 4" xfId="29657" xr:uid="{AADA467A-241D-41E7-8395-7659B15473D1}"/>
    <cellStyle name="20% - Accent5 8 8" xfId="9324" xr:uid="{00000000-0005-0000-0000-000092220000}"/>
    <cellStyle name="20% - Accent5 8 8 2" xfId="17282" xr:uid="{00000000-0005-0000-0000-000093220000}"/>
    <cellStyle name="20% - Accent5 8 8 2 2" xfId="41122" xr:uid="{40C9C35C-5E6D-41F1-B71B-B02B9C608886}"/>
    <cellStyle name="20% - Accent5 8 8 3" xfId="25226" xr:uid="{00000000-0005-0000-0000-000094220000}"/>
    <cellStyle name="20% - Accent5 8 8 3 2" xfId="49058" xr:uid="{83AB1AAF-94DB-4C73-AA1C-2A3A842ECBD0}"/>
    <cellStyle name="20% - Accent5 8 8 4" xfId="33181" xr:uid="{4C275948-2577-4281-9B00-FE17879DDD70}"/>
    <cellStyle name="20% - Accent5 8 9" xfId="10220" xr:uid="{00000000-0005-0000-0000-000095220000}"/>
    <cellStyle name="20% - Accent5 8 9 2" xfId="34069" xr:uid="{DB417B7F-4783-49A9-B0E1-0E81F402BC24}"/>
    <cellStyle name="20% - Accent5 8_Exh G" xfId="2541" xr:uid="{00000000-0005-0000-0000-000096220000}"/>
    <cellStyle name="20% - Accent5 9" xfId="276" xr:uid="{00000000-0005-0000-0000-000097220000}"/>
    <cellStyle name="20% - Accent5 9 10" xfId="18179" xr:uid="{00000000-0005-0000-0000-000098220000}"/>
    <cellStyle name="20% - Accent5 9 10 2" xfId="42011" xr:uid="{98FBA05F-B290-4A3B-A798-491955AFDAE3}"/>
    <cellStyle name="20% - Accent5 9 11" xfId="26131" xr:uid="{9AC2321D-1879-4258-B3A5-65BBAAFE7DE8}"/>
    <cellStyle name="20% - Accent5 9 2" xfId="277" xr:uid="{00000000-0005-0000-0000-000099220000}"/>
    <cellStyle name="20% - Accent5 9 2 2" xfId="278" xr:uid="{00000000-0005-0000-0000-00009A220000}"/>
    <cellStyle name="20% - Accent5 9 2 2 2" xfId="1306" xr:uid="{00000000-0005-0000-0000-00009B220000}"/>
    <cellStyle name="20% - Accent5 9 2 2 2 2" xfId="4836" xr:uid="{00000000-0005-0000-0000-00009C220000}"/>
    <cellStyle name="20% - Accent5 9 2 2 2 2 2" xfId="8427" xr:uid="{00000000-0005-0000-0000-00009D220000}"/>
    <cellStyle name="20% - Accent5 9 2 2 2 2 2 2" xfId="16398" xr:uid="{00000000-0005-0000-0000-00009E220000}"/>
    <cellStyle name="20% - Accent5 9 2 2 2 2 2 2 2" xfId="40240" xr:uid="{2307BFFD-D258-4A87-82C5-7E1D293627E9}"/>
    <cellStyle name="20% - Accent5 9 2 2 2 2 2 3" xfId="24344" xr:uid="{00000000-0005-0000-0000-00009F220000}"/>
    <cellStyle name="20% - Accent5 9 2 2 2 2 2 3 2" xfId="48176" xr:uid="{17B0FDDE-6377-4938-9A1E-702111EE094D}"/>
    <cellStyle name="20% - Accent5 9 2 2 2 2 2 4" xfId="32299" xr:uid="{8DB9EB2F-8A89-418F-99C1-A66555B99468}"/>
    <cellStyle name="20% - Accent5 9 2 2 2 2 3" xfId="12860" xr:uid="{00000000-0005-0000-0000-0000A0220000}"/>
    <cellStyle name="20% - Accent5 9 2 2 2 2 3 2" xfId="36709" xr:uid="{2A2C4E47-1D1E-472C-88E0-D21036D565E9}"/>
    <cellStyle name="20% - Accent5 9 2 2 2 2 4" xfId="20815" xr:uid="{00000000-0005-0000-0000-0000A1220000}"/>
    <cellStyle name="20% - Accent5 9 2 2 2 2 4 2" xfId="44647" xr:uid="{7C8BA33E-0C6A-4A6A-8E59-2A713C2B82A8}"/>
    <cellStyle name="20% - Accent5 9 2 2 2 2 5" xfId="28768" xr:uid="{BD858F86-C536-4234-8841-FA3DD0A5994E}"/>
    <cellStyle name="20% - Accent5 9 2 2 2 3" xfId="6668" xr:uid="{00000000-0005-0000-0000-0000A2220000}"/>
    <cellStyle name="20% - Accent5 9 2 2 2 3 2" xfId="14640" xr:uid="{00000000-0005-0000-0000-0000A3220000}"/>
    <cellStyle name="20% - Accent5 9 2 2 2 3 2 2" xfId="38482" xr:uid="{D74CEBBD-423C-4C29-8020-FE7EB55849C1}"/>
    <cellStyle name="20% - Accent5 9 2 2 2 3 3" xfId="22587" xr:uid="{00000000-0005-0000-0000-0000A4220000}"/>
    <cellStyle name="20% - Accent5 9 2 2 2 3 3 2" xfId="46419" xr:uid="{F10A96BB-256C-4903-A85D-F6678C7EA04D}"/>
    <cellStyle name="20% - Accent5 9 2 2 2 3 4" xfId="30541" xr:uid="{2E264A4D-4D90-463B-AAA1-CC428DC962B8}"/>
    <cellStyle name="20% - Accent5 9 2 2 2 4" xfId="11104" xr:uid="{00000000-0005-0000-0000-0000A5220000}"/>
    <cellStyle name="20% - Accent5 9 2 2 2 4 2" xfId="34953" xr:uid="{CB485CCE-6B2F-4AEC-9EDA-CA0B3BD4CDA6}"/>
    <cellStyle name="20% - Accent5 9 2 2 2 5" xfId="19059" xr:uid="{00000000-0005-0000-0000-0000A6220000}"/>
    <cellStyle name="20% - Accent5 9 2 2 2 5 2" xfId="42891" xr:uid="{45967D9A-1045-4F2A-99EB-1C89D704912A}"/>
    <cellStyle name="20% - Accent5 9 2 2 2 6" xfId="27011" xr:uid="{D4429CB0-5CEF-4FA2-BC16-FB1E6ED14673}"/>
    <cellStyle name="20% - Accent5 9 2 2 2_Exh G" xfId="2554" xr:uid="{00000000-0005-0000-0000-0000A7220000}"/>
    <cellStyle name="20% - Accent5 9 2 2 3" xfId="3957" xr:uid="{00000000-0005-0000-0000-0000A8220000}"/>
    <cellStyle name="20% - Accent5 9 2 2 3 2" xfId="7549" xr:uid="{00000000-0005-0000-0000-0000A9220000}"/>
    <cellStyle name="20% - Accent5 9 2 2 3 2 2" xfId="15520" xr:uid="{00000000-0005-0000-0000-0000AA220000}"/>
    <cellStyle name="20% - Accent5 9 2 2 3 2 2 2" xfId="39362" xr:uid="{010A7E68-0684-4875-8107-A32150A0F693}"/>
    <cellStyle name="20% - Accent5 9 2 2 3 2 3" xfId="23466" xr:uid="{00000000-0005-0000-0000-0000AB220000}"/>
    <cellStyle name="20% - Accent5 9 2 2 3 2 3 2" xfId="47298" xr:uid="{30906A37-73CF-495C-8134-07AF56815584}"/>
    <cellStyle name="20% - Accent5 9 2 2 3 2 4" xfId="31421" xr:uid="{53355D2B-86F3-4896-AF3A-686752B8570F}"/>
    <cellStyle name="20% - Accent5 9 2 2 3 3" xfId="11982" xr:uid="{00000000-0005-0000-0000-0000AC220000}"/>
    <cellStyle name="20% - Accent5 9 2 2 3 3 2" xfId="35831" xr:uid="{705C193B-478B-4DB4-82B0-D1C4FA369E25}"/>
    <cellStyle name="20% - Accent5 9 2 2 3 4" xfId="19937" xr:uid="{00000000-0005-0000-0000-0000AD220000}"/>
    <cellStyle name="20% - Accent5 9 2 2 3 4 2" xfId="43769" xr:uid="{08EAED64-70BD-4E95-8A51-2AED633C0705}"/>
    <cellStyle name="20% - Accent5 9 2 2 3 5" xfId="27890" xr:uid="{D392E094-3EBD-49B5-A9B5-A1B46357C290}"/>
    <cellStyle name="20% - Accent5 9 2 2 4" xfId="5777" xr:uid="{00000000-0005-0000-0000-0000AE220000}"/>
    <cellStyle name="20% - Accent5 9 2 2 4 2" xfId="13761" xr:uid="{00000000-0005-0000-0000-0000AF220000}"/>
    <cellStyle name="20% - Accent5 9 2 2 4 2 2" xfId="37604" xr:uid="{7E268909-2333-4A90-955A-E7F73D23775D}"/>
    <cellStyle name="20% - Accent5 9 2 2 4 3" xfId="21709" xr:uid="{00000000-0005-0000-0000-0000B0220000}"/>
    <cellStyle name="20% - Accent5 9 2 2 4 3 2" xfId="45541" xr:uid="{F337D1C5-541E-4198-A14E-5E7A4A1E5D18}"/>
    <cellStyle name="20% - Accent5 9 2 2 4 4" xfId="29663" xr:uid="{DD5AB24A-B0AA-45AC-9218-0370B73C1711}"/>
    <cellStyle name="20% - Accent5 9 2 2 5" xfId="9330" xr:uid="{00000000-0005-0000-0000-0000B1220000}"/>
    <cellStyle name="20% - Accent5 9 2 2 5 2" xfId="17288" xr:uid="{00000000-0005-0000-0000-0000B2220000}"/>
    <cellStyle name="20% - Accent5 9 2 2 5 2 2" xfId="41128" xr:uid="{1B379ADC-E77D-4E0A-884C-705EF75E1202}"/>
    <cellStyle name="20% - Accent5 9 2 2 5 3" xfId="25232" xr:uid="{00000000-0005-0000-0000-0000B3220000}"/>
    <cellStyle name="20% - Accent5 9 2 2 5 3 2" xfId="49064" xr:uid="{77A7538D-94A6-41AB-94DD-DB32D02CAFD8}"/>
    <cellStyle name="20% - Accent5 9 2 2 5 4" xfId="33187" xr:uid="{AE8AB90C-A9A5-47DB-9342-9AD2434D1E92}"/>
    <cellStyle name="20% - Accent5 9 2 2 6" xfId="10226" xr:uid="{00000000-0005-0000-0000-0000B4220000}"/>
    <cellStyle name="20% - Accent5 9 2 2 6 2" xfId="34075" xr:uid="{980C365F-BCDD-4D18-B0F7-C14F7702FD64}"/>
    <cellStyle name="20% - Accent5 9 2 2 7" xfId="18181" xr:uid="{00000000-0005-0000-0000-0000B5220000}"/>
    <cellStyle name="20% - Accent5 9 2 2 7 2" xfId="42013" xr:uid="{B9841ED5-E9DA-4188-AD0C-EA99961F4479}"/>
    <cellStyle name="20% - Accent5 9 2 2 8" xfId="26133" xr:uid="{69224C78-5275-4A8E-BE23-878FF853C8DF}"/>
    <cellStyle name="20% - Accent5 9 2 2_Exh G" xfId="2553" xr:uid="{00000000-0005-0000-0000-0000B6220000}"/>
    <cellStyle name="20% - Accent5 9 2 3" xfId="1305" xr:uid="{00000000-0005-0000-0000-0000B7220000}"/>
    <cellStyle name="20% - Accent5 9 2 3 2" xfId="4835" xr:uid="{00000000-0005-0000-0000-0000B8220000}"/>
    <cellStyle name="20% - Accent5 9 2 3 2 2" xfId="8426" xr:uid="{00000000-0005-0000-0000-0000B9220000}"/>
    <cellStyle name="20% - Accent5 9 2 3 2 2 2" xfId="16397" xr:uid="{00000000-0005-0000-0000-0000BA220000}"/>
    <cellStyle name="20% - Accent5 9 2 3 2 2 2 2" xfId="40239" xr:uid="{16934F37-5A3F-4965-AA09-8AAC48E6721D}"/>
    <cellStyle name="20% - Accent5 9 2 3 2 2 3" xfId="24343" xr:uid="{00000000-0005-0000-0000-0000BB220000}"/>
    <cellStyle name="20% - Accent5 9 2 3 2 2 3 2" xfId="48175" xr:uid="{7FC19EE1-B367-4C30-B00A-BEFD64B65D0D}"/>
    <cellStyle name="20% - Accent5 9 2 3 2 2 4" xfId="32298" xr:uid="{2A984F25-2FBC-4B08-8914-A3B1F973BDA6}"/>
    <cellStyle name="20% - Accent5 9 2 3 2 3" xfId="12859" xr:uid="{00000000-0005-0000-0000-0000BC220000}"/>
    <cellStyle name="20% - Accent5 9 2 3 2 3 2" xfId="36708" xr:uid="{2BFBD82C-0C08-433B-9291-BA2E71FD0ADB}"/>
    <cellStyle name="20% - Accent5 9 2 3 2 4" xfId="20814" xr:uid="{00000000-0005-0000-0000-0000BD220000}"/>
    <cellStyle name="20% - Accent5 9 2 3 2 4 2" xfId="44646" xr:uid="{7A5509F6-9B08-49BA-8940-4AA7024AA427}"/>
    <cellStyle name="20% - Accent5 9 2 3 2 5" xfId="28767" xr:uid="{81D33AD7-9296-4C44-965E-61A366E67890}"/>
    <cellStyle name="20% - Accent5 9 2 3 3" xfId="6667" xr:uid="{00000000-0005-0000-0000-0000BE220000}"/>
    <cellStyle name="20% - Accent5 9 2 3 3 2" xfId="14639" xr:uid="{00000000-0005-0000-0000-0000BF220000}"/>
    <cellStyle name="20% - Accent5 9 2 3 3 2 2" xfId="38481" xr:uid="{C9CFAD95-773A-462E-BB60-E5CE3B7C6740}"/>
    <cellStyle name="20% - Accent5 9 2 3 3 3" xfId="22586" xr:uid="{00000000-0005-0000-0000-0000C0220000}"/>
    <cellStyle name="20% - Accent5 9 2 3 3 3 2" xfId="46418" xr:uid="{0471CF12-B439-4C6F-A927-93D62A510AD5}"/>
    <cellStyle name="20% - Accent5 9 2 3 3 4" xfId="30540" xr:uid="{6E4AC495-11B0-48DD-88C5-BCC7FC9B9C53}"/>
    <cellStyle name="20% - Accent5 9 2 3 4" xfId="11103" xr:uid="{00000000-0005-0000-0000-0000C1220000}"/>
    <cellStyle name="20% - Accent5 9 2 3 4 2" xfId="34952" xr:uid="{2846CC58-4E62-4DBF-923A-70F185983C89}"/>
    <cellStyle name="20% - Accent5 9 2 3 5" xfId="19058" xr:uid="{00000000-0005-0000-0000-0000C2220000}"/>
    <cellStyle name="20% - Accent5 9 2 3 5 2" xfId="42890" xr:uid="{D83B3AAC-C324-46AD-ABDE-FD7FE51E12F2}"/>
    <cellStyle name="20% - Accent5 9 2 3 6" xfId="27010" xr:uid="{BD2DAA01-A682-424B-8754-F39EB92D701A}"/>
    <cellStyle name="20% - Accent5 9 2 3_Exh G" xfId="2555" xr:uid="{00000000-0005-0000-0000-0000C3220000}"/>
    <cellStyle name="20% - Accent5 9 2 4" xfId="3956" xr:uid="{00000000-0005-0000-0000-0000C4220000}"/>
    <cellStyle name="20% - Accent5 9 2 4 2" xfId="7548" xr:uid="{00000000-0005-0000-0000-0000C5220000}"/>
    <cellStyle name="20% - Accent5 9 2 4 2 2" xfId="15519" xr:uid="{00000000-0005-0000-0000-0000C6220000}"/>
    <cellStyle name="20% - Accent5 9 2 4 2 2 2" xfId="39361" xr:uid="{63DD07CF-4615-4731-947B-9838F452AC33}"/>
    <cellStyle name="20% - Accent5 9 2 4 2 3" xfId="23465" xr:uid="{00000000-0005-0000-0000-0000C7220000}"/>
    <cellStyle name="20% - Accent5 9 2 4 2 3 2" xfId="47297" xr:uid="{DF7B2AF0-254B-4A7A-A641-6092238F16AA}"/>
    <cellStyle name="20% - Accent5 9 2 4 2 4" xfId="31420" xr:uid="{907162BD-EC95-429B-927D-154D988D28A9}"/>
    <cellStyle name="20% - Accent5 9 2 4 3" xfId="11981" xr:uid="{00000000-0005-0000-0000-0000C8220000}"/>
    <cellStyle name="20% - Accent5 9 2 4 3 2" xfId="35830" xr:uid="{0AD652A1-EE9E-47DA-A43E-F6B525ED700E}"/>
    <cellStyle name="20% - Accent5 9 2 4 4" xfId="19936" xr:uid="{00000000-0005-0000-0000-0000C9220000}"/>
    <cellStyle name="20% - Accent5 9 2 4 4 2" xfId="43768" xr:uid="{A050FAC5-A535-436B-A209-5A7CBDEB2829}"/>
    <cellStyle name="20% - Accent5 9 2 4 5" xfId="27889" xr:uid="{178A3946-0CD9-41D2-8F0C-1D594F818991}"/>
    <cellStyle name="20% - Accent5 9 2 5" xfId="5776" xr:uid="{00000000-0005-0000-0000-0000CA220000}"/>
    <cellStyle name="20% - Accent5 9 2 5 2" xfId="13760" xr:uid="{00000000-0005-0000-0000-0000CB220000}"/>
    <cellStyle name="20% - Accent5 9 2 5 2 2" xfId="37603" xr:uid="{25A9C7EC-CA85-49B6-8082-2E4E11D48AF8}"/>
    <cellStyle name="20% - Accent5 9 2 5 3" xfId="21708" xr:uid="{00000000-0005-0000-0000-0000CC220000}"/>
    <cellStyle name="20% - Accent5 9 2 5 3 2" xfId="45540" xr:uid="{ADB3C452-529F-42DA-B7EE-C1BA2C088703}"/>
    <cellStyle name="20% - Accent5 9 2 5 4" xfId="29662" xr:uid="{197354D8-2F06-4C61-A809-AF7EC48606EB}"/>
    <cellStyle name="20% - Accent5 9 2 6" xfId="9329" xr:uid="{00000000-0005-0000-0000-0000CD220000}"/>
    <cellStyle name="20% - Accent5 9 2 6 2" xfId="17287" xr:uid="{00000000-0005-0000-0000-0000CE220000}"/>
    <cellStyle name="20% - Accent5 9 2 6 2 2" xfId="41127" xr:uid="{3C19BD57-C468-442D-9568-B23B0D7136EB}"/>
    <cellStyle name="20% - Accent5 9 2 6 3" xfId="25231" xr:uid="{00000000-0005-0000-0000-0000CF220000}"/>
    <cellStyle name="20% - Accent5 9 2 6 3 2" xfId="49063" xr:uid="{25EC6E05-B85C-47A5-8CC4-121BF018242E}"/>
    <cellStyle name="20% - Accent5 9 2 6 4" xfId="33186" xr:uid="{A08EA3CF-D889-4981-AA55-48B2A522C315}"/>
    <cellStyle name="20% - Accent5 9 2 7" xfId="10225" xr:uid="{00000000-0005-0000-0000-0000D0220000}"/>
    <cellStyle name="20% - Accent5 9 2 7 2" xfId="34074" xr:uid="{EF7C2667-9176-4690-A391-CDCF59F5D296}"/>
    <cellStyle name="20% - Accent5 9 2 8" xfId="18180" xr:uid="{00000000-0005-0000-0000-0000D1220000}"/>
    <cellStyle name="20% - Accent5 9 2 8 2" xfId="42012" xr:uid="{D018ABC1-522B-4D65-B0F1-44AE98C23241}"/>
    <cellStyle name="20% - Accent5 9 2 9" xfId="26132" xr:uid="{D5DE4921-76C3-45C0-9489-9E3DF48AB553}"/>
    <cellStyle name="20% - Accent5 9 2_Exh G" xfId="2552" xr:uid="{00000000-0005-0000-0000-0000D2220000}"/>
    <cellStyle name="20% - Accent5 9 3" xfId="279" xr:uid="{00000000-0005-0000-0000-0000D3220000}"/>
    <cellStyle name="20% - Accent5 9 3 2" xfId="1307" xr:uid="{00000000-0005-0000-0000-0000D4220000}"/>
    <cellStyle name="20% - Accent5 9 3 2 2" xfId="4837" xr:uid="{00000000-0005-0000-0000-0000D5220000}"/>
    <cellStyle name="20% - Accent5 9 3 2 2 2" xfId="8428" xr:uid="{00000000-0005-0000-0000-0000D6220000}"/>
    <cellStyle name="20% - Accent5 9 3 2 2 2 2" xfId="16399" xr:uid="{00000000-0005-0000-0000-0000D7220000}"/>
    <cellStyle name="20% - Accent5 9 3 2 2 2 2 2" xfId="40241" xr:uid="{0E68C135-C4A0-4A2A-A30E-92377A712D1C}"/>
    <cellStyle name="20% - Accent5 9 3 2 2 2 3" xfId="24345" xr:uid="{00000000-0005-0000-0000-0000D8220000}"/>
    <cellStyle name="20% - Accent5 9 3 2 2 2 3 2" xfId="48177" xr:uid="{C0C68FEE-747B-4DC6-A7E3-990EA20E5ACB}"/>
    <cellStyle name="20% - Accent5 9 3 2 2 2 4" xfId="32300" xr:uid="{CC81962B-C6C6-4883-8538-C57B4613C362}"/>
    <cellStyle name="20% - Accent5 9 3 2 2 3" xfId="12861" xr:uid="{00000000-0005-0000-0000-0000D9220000}"/>
    <cellStyle name="20% - Accent5 9 3 2 2 3 2" xfId="36710" xr:uid="{26E998CE-F70F-4C8D-A9EA-087AFAC3C347}"/>
    <cellStyle name="20% - Accent5 9 3 2 2 4" xfId="20816" xr:uid="{00000000-0005-0000-0000-0000DA220000}"/>
    <cellStyle name="20% - Accent5 9 3 2 2 4 2" xfId="44648" xr:uid="{9D447A08-0CC8-4279-BF76-A099CF1CEE7F}"/>
    <cellStyle name="20% - Accent5 9 3 2 2 5" xfId="28769" xr:uid="{32DC1524-ED6A-4F8E-960B-F08719D4ACC4}"/>
    <cellStyle name="20% - Accent5 9 3 2 3" xfId="6669" xr:uid="{00000000-0005-0000-0000-0000DB220000}"/>
    <cellStyle name="20% - Accent5 9 3 2 3 2" xfId="14641" xr:uid="{00000000-0005-0000-0000-0000DC220000}"/>
    <cellStyle name="20% - Accent5 9 3 2 3 2 2" xfId="38483" xr:uid="{A95E24A4-BE86-4F0A-A163-A3DCED01656F}"/>
    <cellStyle name="20% - Accent5 9 3 2 3 3" xfId="22588" xr:uid="{00000000-0005-0000-0000-0000DD220000}"/>
    <cellStyle name="20% - Accent5 9 3 2 3 3 2" xfId="46420" xr:uid="{C066E0F6-6C3F-4EFA-AE65-8530A8759320}"/>
    <cellStyle name="20% - Accent5 9 3 2 3 4" xfId="30542" xr:uid="{AFDB811E-A11C-400D-B726-8CDDFC4721FB}"/>
    <cellStyle name="20% - Accent5 9 3 2 4" xfId="11105" xr:uid="{00000000-0005-0000-0000-0000DE220000}"/>
    <cellStyle name="20% - Accent5 9 3 2 4 2" xfId="34954" xr:uid="{76E2C77B-7878-4F6E-82BD-F502C53B930A}"/>
    <cellStyle name="20% - Accent5 9 3 2 5" xfId="19060" xr:uid="{00000000-0005-0000-0000-0000DF220000}"/>
    <cellStyle name="20% - Accent5 9 3 2 5 2" xfId="42892" xr:uid="{A8757FA2-C7EB-433C-A346-2020CA36C661}"/>
    <cellStyle name="20% - Accent5 9 3 2 6" xfId="27012" xr:uid="{DE04C215-5A6C-47D3-B21F-CAF409D21A3E}"/>
    <cellStyle name="20% - Accent5 9 3 2_Exh G" xfId="2557" xr:uid="{00000000-0005-0000-0000-0000E0220000}"/>
    <cellStyle name="20% - Accent5 9 3 3" xfId="3958" xr:uid="{00000000-0005-0000-0000-0000E1220000}"/>
    <cellStyle name="20% - Accent5 9 3 3 2" xfId="7550" xr:uid="{00000000-0005-0000-0000-0000E2220000}"/>
    <cellStyle name="20% - Accent5 9 3 3 2 2" xfId="15521" xr:uid="{00000000-0005-0000-0000-0000E3220000}"/>
    <cellStyle name="20% - Accent5 9 3 3 2 2 2" xfId="39363" xr:uid="{5AF12A76-A8E2-42EB-91ED-014AF53A673A}"/>
    <cellStyle name="20% - Accent5 9 3 3 2 3" xfId="23467" xr:uid="{00000000-0005-0000-0000-0000E4220000}"/>
    <cellStyle name="20% - Accent5 9 3 3 2 3 2" xfId="47299" xr:uid="{28A44C97-AA36-4C32-9B4E-17E2F694EE94}"/>
    <cellStyle name="20% - Accent5 9 3 3 2 4" xfId="31422" xr:uid="{280F9DDC-8EA9-44A0-9B37-104F7AA2D757}"/>
    <cellStyle name="20% - Accent5 9 3 3 3" xfId="11983" xr:uid="{00000000-0005-0000-0000-0000E5220000}"/>
    <cellStyle name="20% - Accent5 9 3 3 3 2" xfId="35832" xr:uid="{38BD2511-2CE6-44F5-B502-0DBE6BB337CD}"/>
    <cellStyle name="20% - Accent5 9 3 3 4" xfId="19938" xr:uid="{00000000-0005-0000-0000-0000E6220000}"/>
    <cellStyle name="20% - Accent5 9 3 3 4 2" xfId="43770" xr:uid="{5B1309FA-7938-4906-B865-E90AF2FA3DF8}"/>
    <cellStyle name="20% - Accent5 9 3 3 5" xfId="27891" xr:uid="{21228421-4C61-4358-A456-620E1DEB77C4}"/>
    <cellStyle name="20% - Accent5 9 3 4" xfId="5778" xr:uid="{00000000-0005-0000-0000-0000E7220000}"/>
    <cellStyle name="20% - Accent5 9 3 4 2" xfId="13762" xr:uid="{00000000-0005-0000-0000-0000E8220000}"/>
    <cellStyle name="20% - Accent5 9 3 4 2 2" xfId="37605" xr:uid="{D000D49A-9774-463B-AE3F-DB711E3FF2A0}"/>
    <cellStyle name="20% - Accent5 9 3 4 3" xfId="21710" xr:uid="{00000000-0005-0000-0000-0000E9220000}"/>
    <cellStyle name="20% - Accent5 9 3 4 3 2" xfId="45542" xr:uid="{0A10D04B-6EAE-463C-BBF0-00C84CE7E801}"/>
    <cellStyle name="20% - Accent5 9 3 4 4" xfId="29664" xr:uid="{44B2376A-6C9F-445F-8A5A-68E3005BEEFB}"/>
    <cellStyle name="20% - Accent5 9 3 5" xfId="9331" xr:uid="{00000000-0005-0000-0000-0000EA220000}"/>
    <cellStyle name="20% - Accent5 9 3 5 2" xfId="17289" xr:uid="{00000000-0005-0000-0000-0000EB220000}"/>
    <cellStyle name="20% - Accent5 9 3 5 2 2" xfId="41129" xr:uid="{DE5D69EF-3A98-4C27-8D33-8C6D8AF897D1}"/>
    <cellStyle name="20% - Accent5 9 3 5 3" xfId="25233" xr:uid="{00000000-0005-0000-0000-0000EC220000}"/>
    <cellStyle name="20% - Accent5 9 3 5 3 2" xfId="49065" xr:uid="{F5E7A6E4-45E8-4B1B-99F4-08DB9A51EBC0}"/>
    <cellStyle name="20% - Accent5 9 3 5 4" xfId="33188" xr:uid="{D04872BA-A0C8-4F0F-8F34-4AE4F132C431}"/>
    <cellStyle name="20% - Accent5 9 3 6" xfId="10227" xr:uid="{00000000-0005-0000-0000-0000ED220000}"/>
    <cellStyle name="20% - Accent5 9 3 6 2" xfId="34076" xr:uid="{99E7509B-349E-43E7-A638-2389BF35A9CE}"/>
    <cellStyle name="20% - Accent5 9 3 7" xfId="18182" xr:uid="{00000000-0005-0000-0000-0000EE220000}"/>
    <cellStyle name="20% - Accent5 9 3 7 2" xfId="42014" xr:uid="{04ACC226-9D6E-4DED-B0E9-C817705214AC}"/>
    <cellStyle name="20% - Accent5 9 3 8" xfId="26134" xr:uid="{4F49805A-A0AD-4F1F-8C5E-668BF7B745A9}"/>
    <cellStyle name="20% - Accent5 9 3_Exh G" xfId="2556" xr:uid="{00000000-0005-0000-0000-0000EF220000}"/>
    <cellStyle name="20% - Accent5 9 4" xfId="921" xr:uid="{00000000-0005-0000-0000-0000F0220000}"/>
    <cellStyle name="20% - Accent5 9 4 2" xfId="1848" xr:uid="{00000000-0005-0000-0000-0000F1220000}"/>
    <cellStyle name="20% - Accent5 9 4 2 2" xfId="5366" xr:uid="{00000000-0005-0000-0000-0000F2220000}"/>
    <cellStyle name="20% - Accent5 9 4 2 2 2" xfId="8957" xr:uid="{00000000-0005-0000-0000-0000F3220000}"/>
    <cellStyle name="20% - Accent5 9 4 2 2 2 2" xfId="16928" xr:uid="{00000000-0005-0000-0000-0000F4220000}"/>
    <cellStyle name="20% - Accent5 9 4 2 2 2 2 2" xfId="40770" xr:uid="{C7478482-B21A-4FB7-82E7-0DE45ED4102E}"/>
    <cellStyle name="20% - Accent5 9 4 2 2 2 3" xfId="24874" xr:uid="{00000000-0005-0000-0000-0000F5220000}"/>
    <cellStyle name="20% - Accent5 9 4 2 2 2 3 2" xfId="48706" xr:uid="{00A71566-A126-4385-AA7B-1C84FA9D279F}"/>
    <cellStyle name="20% - Accent5 9 4 2 2 2 4" xfId="32829" xr:uid="{7F3B076B-71AD-48B0-B774-9402A0B18F0E}"/>
    <cellStyle name="20% - Accent5 9 4 2 2 3" xfId="13390" xr:uid="{00000000-0005-0000-0000-0000F6220000}"/>
    <cellStyle name="20% - Accent5 9 4 2 2 3 2" xfId="37239" xr:uid="{C2CF800B-A5C5-4711-B6C7-513644A73C9F}"/>
    <cellStyle name="20% - Accent5 9 4 2 2 4" xfId="21345" xr:uid="{00000000-0005-0000-0000-0000F7220000}"/>
    <cellStyle name="20% - Accent5 9 4 2 2 4 2" xfId="45177" xr:uid="{7DC0E1F8-E89F-4567-8F15-A33201116581}"/>
    <cellStyle name="20% - Accent5 9 4 2 2 5" xfId="29298" xr:uid="{FD90A527-A0F8-4E26-A461-A151AF586B6A}"/>
    <cellStyle name="20% - Accent5 9 4 2 3" xfId="7198" xr:uid="{00000000-0005-0000-0000-0000F8220000}"/>
    <cellStyle name="20% - Accent5 9 4 2 3 2" xfId="15170" xr:uid="{00000000-0005-0000-0000-0000F9220000}"/>
    <cellStyle name="20% - Accent5 9 4 2 3 2 2" xfId="39012" xr:uid="{68F4FE0B-0177-416E-8E94-9E09BFF78849}"/>
    <cellStyle name="20% - Accent5 9 4 2 3 3" xfId="23117" xr:uid="{00000000-0005-0000-0000-0000FA220000}"/>
    <cellStyle name="20% - Accent5 9 4 2 3 3 2" xfId="46949" xr:uid="{843912C8-E3D5-4715-9C4C-10F2733BBAF7}"/>
    <cellStyle name="20% - Accent5 9 4 2 3 4" xfId="31071" xr:uid="{7218A352-EA21-45A6-BF88-DB614B7A28B9}"/>
    <cellStyle name="20% - Accent5 9 4 2 4" xfId="11634" xr:uid="{00000000-0005-0000-0000-0000FB220000}"/>
    <cellStyle name="20% - Accent5 9 4 2 4 2" xfId="35483" xr:uid="{D4CDF124-9FBD-4F9E-A5D8-B7FEA3CF6353}"/>
    <cellStyle name="20% - Accent5 9 4 2 5" xfId="19589" xr:uid="{00000000-0005-0000-0000-0000FC220000}"/>
    <cellStyle name="20% - Accent5 9 4 2 5 2" xfId="43421" xr:uid="{75732D31-DE50-4854-A627-38E7F34DFC1F}"/>
    <cellStyle name="20% - Accent5 9 4 2 6" xfId="27541" xr:uid="{6508D2AE-9C96-4328-BB15-D796A6B249E5}"/>
    <cellStyle name="20% - Accent5 9 4 2_Exh G" xfId="2559" xr:uid="{00000000-0005-0000-0000-0000FD220000}"/>
    <cellStyle name="20% - Accent5 9 4 3" xfId="4487" xr:uid="{00000000-0005-0000-0000-0000FE220000}"/>
    <cellStyle name="20% - Accent5 9 4 3 2" xfId="8079" xr:uid="{00000000-0005-0000-0000-0000FF220000}"/>
    <cellStyle name="20% - Accent5 9 4 3 2 2" xfId="16050" xr:uid="{00000000-0005-0000-0000-000000230000}"/>
    <cellStyle name="20% - Accent5 9 4 3 2 2 2" xfId="39892" xr:uid="{EB60D08F-87C7-4028-9A53-2B3A34914411}"/>
    <cellStyle name="20% - Accent5 9 4 3 2 3" xfId="23996" xr:uid="{00000000-0005-0000-0000-000001230000}"/>
    <cellStyle name="20% - Accent5 9 4 3 2 3 2" xfId="47828" xr:uid="{3226992E-073D-4FF7-9FB5-C76BF12351F2}"/>
    <cellStyle name="20% - Accent5 9 4 3 2 4" xfId="31951" xr:uid="{D988C668-0EDC-4FD0-9B1E-CF362A780255}"/>
    <cellStyle name="20% - Accent5 9 4 3 3" xfId="12512" xr:uid="{00000000-0005-0000-0000-000002230000}"/>
    <cellStyle name="20% - Accent5 9 4 3 3 2" xfId="36361" xr:uid="{02759ECC-69AA-4520-AE9F-CE5041A1A077}"/>
    <cellStyle name="20% - Accent5 9 4 3 4" xfId="20467" xr:uid="{00000000-0005-0000-0000-000003230000}"/>
    <cellStyle name="20% - Accent5 9 4 3 4 2" xfId="44299" xr:uid="{3D1994B9-3C45-49AA-AC93-DEEB9C4B1765}"/>
    <cellStyle name="20% - Accent5 9 4 3 5" xfId="28420" xr:uid="{61413BD1-78E4-458E-BC92-8BA74F8382C7}"/>
    <cellStyle name="20% - Accent5 9 4 4" xfId="6317" xr:uid="{00000000-0005-0000-0000-000004230000}"/>
    <cellStyle name="20% - Accent5 9 4 4 2" xfId="14292" xr:uid="{00000000-0005-0000-0000-000005230000}"/>
    <cellStyle name="20% - Accent5 9 4 4 2 2" xfId="38134" xr:uid="{D5D1EFAF-3BD1-4395-84B8-DE0CE2692ED1}"/>
    <cellStyle name="20% - Accent5 9 4 4 3" xfId="22239" xr:uid="{00000000-0005-0000-0000-000006230000}"/>
    <cellStyle name="20% - Accent5 9 4 4 3 2" xfId="46071" xr:uid="{8750230A-7D88-4DCF-984F-54D37D72A417}"/>
    <cellStyle name="20% - Accent5 9 4 4 4" xfId="30193" xr:uid="{CF36CE6C-97C5-46C1-A26D-1F54CD78A299}"/>
    <cellStyle name="20% - Accent5 9 4 5" xfId="9860" xr:uid="{00000000-0005-0000-0000-000007230000}"/>
    <cellStyle name="20% - Accent5 9 4 5 2" xfId="17818" xr:uid="{00000000-0005-0000-0000-000008230000}"/>
    <cellStyle name="20% - Accent5 9 4 5 2 2" xfId="41658" xr:uid="{43FC0EA8-302B-4052-B447-42B2C7A91661}"/>
    <cellStyle name="20% - Accent5 9 4 5 3" xfId="25762" xr:uid="{00000000-0005-0000-0000-000009230000}"/>
    <cellStyle name="20% - Accent5 9 4 5 3 2" xfId="49594" xr:uid="{3139FBD3-9A8B-4ED0-ACA9-5AF8C3FB6E65}"/>
    <cellStyle name="20% - Accent5 9 4 5 4" xfId="33717" xr:uid="{254CD19F-9452-4583-BFFA-51D03D6AC8BC}"/>
    <cellStyle name="20% - Accent5 9 4 6" xfId="10756" xr:uid="{00000000-0005-0000-0000-00000A230000}"/>
    <cellStyle name="20% - Accent5 9 4 6 2" xfId="34605" xr:uid="{40A06AE9-E5B6-4FA5-95D8-E84C90180EA0}"/>
    <cellStyle name="20% - Accent5 9 4 7" xfId="18711" xr:uid="{00000000-0005-0000-0000-00000B230000}"/>
    <cellStyle name="20% - Accent5 9 4 7 2" xfId="42543" xr:uid="{120CB8E0-7772-42A2-BFC2-2AC4CB6461E4}"/>
    <cellStyle name="20% - Accent5 9 4 8" xfId="26663" xr:uid="{A087975C-E47D-4880-9E7D-F81CC79AC8A4}"/>
    <cellStyle name="20% - Accent5 9 4_Exh G" xfId="2558" xr:uid="{00000000-0005-0000-0000-00000C230000}"/>
    <cellStyle name="20% - Accent5 9 5" xfId="1304" xr:uid="{00000000-0005-0000-0000-00000D230000}"/>
    <cellStyle name="20% - Accent5 9 5 2" xfId="4834" xr:uid="{00000000-0005-0000-0000-00000E230000}"/>
    <cellStyle name="20% - Accent5 9 5 2 2" xfId="8425" xr:uid="{00000000-0005-0000-0000-00000F230000}"/>
    <cellStyle name="20% - Accent5 9 5 2 2 2" xfId="16396" xr:uid="{00000000-0005-0000-0000-000010230000}"/>
    <cellStyle name="20% - Accent5 9 5 2 2 2 2" xfId="40238" xr:uid="{62360ECD-133E-45F2-97FC-D845B8B39351}"/>
    <cellStyle name="20% - Accent5 9 5 2 2 3" xfId="24342" xr:uid="{00000000-0005-0000-0000-000011230000}"/>
    <cellStyle name="20% - Accent5 9 5 2 2 3 2" xfId="48174" xr:uid="{4241F24B-5D30-4E1F-9F88-0D97CE6D472A}"/>
    <cellStyle name="20% - Accent5 9 5 2 2 4" xfId="32297" xr:uid="{FF3F7220-C1B7-4FD1-9242-8F6D2B93C2D0}"/>
    <cellStyle name="20% - Accent5 9 5 2 3" xfId="12858" xr:uid="{00000000-0005-0000-0000-000012230000}"/>
    <cellStyle name="20% - Accent5 9 5 2 3 2" xfId="36707" xr:uid="{E89BB603-E766-4A47-974A-58BFDCE2EB83}"/>
    <cellStyle name="20% - Accent5 9 5 2 4" xfId="20813" xr:uid="{00000000-0005-0000-0000-000013230000}"/>
    <cellStyle name="20% - Accent5 9 5 2 4 2" xfId="44645" xr:uid="{D7883CA2-B346-423D-8FE3-1B9EAE1BD151}"/>
    <cellStyle name="20% - Accent5 9 5 2 5" xfId="28766" xr:uid="{3086B9D9-723C-4021-A7F0-8606853A97EA}"/>
    <cellStyle name="20% - Accent5 9 5 3" xfId="6666" xr:uid="{00000000-0005-0000-0000-000014230000}"/>
    <cellStyle name="20% - Accent5 9 5 3 2" xfId="14638" xr:uid="{00000000-0005-0000-0000-000015230000}"/>
    <cellStyle name="20% - Accent5 9 5 3 2 2" xfId="38480" xr:uid="{124B769A-60B5-411C-B56D-6D51F42A58A1}"/>
    <cellStyle name="20% - Accent5 9 5 3 3" xfId="22585" xr:uid="{00000000-0005-0000-0000-000016230000}"/>
    <cellStyle name="20% - Accent5 9 5 3 3 2" xfId="46417" xr:uid="{39F0FF75-B046-4612-AA54-FEE3E505EF10}"/>
    <cellStyle name="20% - Accent5 9 5 3 4" xfId="30539" xr:uid="{AB84C3A6-B0BF-406A-B9BC-F40C1915B169}"/>
    <cellStyle name="20% - Accent5 9 5 4" xfId="11102" xr:uid="{00000000-0005-0000-0000-000017230000}"/>
    <cellStyle name="20% - Accent5 9 5 4 2" xfId="34951" xr:uid="{289C6866-1E06-4F2A-BE8F-5BB20800F141}"/>
    <cellStyle name="20% - Accent5 9 5 5" xfId="19057" xr:uid="{00000000-0005-0000-0000-000018230000}"/>
    <cellStyle name="20% - Accent5 9 5 5 2" xfId="42889" xr:uid="{F7B8E422-3EC0-45A4-B0E9-61C5786B5E5A}"/>
    <cellStyle name="20% - Accent5 9 5 6" xfId="27009" xr:uid="{7F8CA333-920D-4C42-8590-5416C6D12C55}"/>
    <cellStyle name="20% - Accent5 9 5_Exh G" xfId="2560" xr:uid="{00000000-0005-0000-0000-000019230000}"/>
    <cellStyle name="20% - Accent5 9 6" xfId="3955" xr:uid="{00000000-0005-0000-0000-00001A230000}"/>
    <cellStyle name="20% - Accent5 9 6 2" xfId="7547" xr:uid="{00000000-0005-0000-0000-00001B230000}"/>
    <cellStyle name="20% - Accent5 9 6 2 2" xfId="15518" xr:uid="{00000000-0005-0000-0000-00001C230000}"/>
    <cellStyle name="20% - Accent5 9 6 2 2 2" xfId="39360" xr:uid="{C9BF4BE6-65BF-4FEA-9ED5-0A54A86AD6A0}"/>
    <cellStyle name="20% - Accent5 9 6 2 3" xfId="23464" xr:uid="{00000000-0005-0000-0000-00001D230000}"/>
    <cellStyle name="20% - Accent5 9 6 2 3 2" xfId="47296" xr:uid="{5BEB78F0-A732-4098-8F7D-7E3CE89181D0}"/>
    <cellStyle name="20% - Accent5 9 6 2 4" xfId="31419" xr:uid="{E5F35E77-E5BD-4CF4-87D2-88353D770DDE}"/>
    <cellStyle name="20% - Accent5 9 6 3" xfId="11980" xr:uid="{00000000-0005-0000-0000-00001E230000}"/>
    <cellStyle name="20% - Accent5 9 6 3 2" xfId="35829" xr:uid="{8585A7B2-C6FB-4EFF-A078-89B11D758C5B}"/>
    <cellStyle name="20% - Accent5 9 6 4" xfId="19935" xr:uid="{00000000-0005-0000-0000-00001F230000}"/>
    <cellStyle name="20% - Accent5 9 6 4 2" xfId="43767" xr:uid="{13057AF1-81C4-413D-8B87-7C843B998DA6}"/>
    <cellStyle name="20% - Accent5 9 6 5" xfId="27888" xr:uid="{831E2F64-C4FB-4504-910B-8085FC13C6F9}"/>
    <cellStyle name="20% - Accent5 9 7" xfId="5775" xr:uid="{00000000-0005-0000-0000-000020230000}"/>
    <cellStyle name="20% - Accent5 9 7 2" xfId="13759" xr:uid="{00000000-0005-0000-0000-000021230000}"/>
    <cellStyle name="20% - Accent5 9 7 2 2" xfId="37602" xr:uid="{E503BC5D-4F80-42CC-8D39-15C11E260514}"/>
    <cellStyle name="20% - Accent5 9 7 3" xfId="21707" xr:uid="{00000000-0005-0000-0000-000022230000}"/>
    <cellStyle name="20% - Accent5 9 7 3 2" xfId="45539" xr:uid="{0590283C-CFF5-4BCF-A6BF-6AFF39C3EAA0}"/>
    <cellStyle name="20% - Accent5 9 7 4" xfId="29661" xr:uid="{4E6CECF1-68F4-4A2C-A2AC-AF97A9AC3827}"/>
    <cellStyle name="20% - Accent5 9 8" xfId="9328" xr:uid="{00000000-0005-0000-0000-000023230000}"/>
    <cellStyle name="20% - Accent5 9 8 2" xfId="17286" xr:uid="{00000000-0005-0000-0000-000024230000}"/>
    <cellStyle name="20% - Accent5 9 8 2 2" xfId="41126" xr:uid="{11CB5479-8DAC-4FA5-BA80-F2761FA04F46}"/>
    <cellStyle name="20% - Accent5 9 8 3" xfId="25230" xr:uid="{00000000-0005-0000-0000-000025230000}"/>
    <cellStyle name="20% - Accent5 9 8 3 2" xfId="49062" xr:uid="{97EA5E93-C548-4AC4-845A-B2A346E2B4B8}"/>
    <cellStyle name="20% - Accent5 9 8 4" xfId="33185" xr:uid="{0DDF44E7-F717-494F-9875-7B3BCDDB99C7}"/>
    <cellStyle name="20% - Accent5 9 9" xfId="10224" xr:uid="{00000000-0005-0000-0000-000026230000}"/>
    <cellStyle name="20% - Accent5 9 9 2" xfId="34073" xr:uid="{CC40BB96-1B2B-4895-8A46-B7BD69BAE238}"/>
    <cellStyle name="20% - Accent5 9_Exh G" xfId="2551" xr:uid="{00000000-0005-0000-0000-000027230000}"/>
    <cellStyle name="20% - Accent6" xfId="49706" builtinId="50" customBuiltin="1"/>
    <cellStyle name="20% - Accent6 10" xfId="280" xr:uid="{00000000-0005-0000-0000-000028230000}"/>
    <cellStyle name="20% - Accent6 10 10" xfId="18183" xr:uid="{00000000-0005-0000-0000-000029230000}"/>
    <cellStyle name="20% - Accent6 10 10 2" xfId="42015" xr:uid="{0915E317-8710-4E97-A460-DB7048DABB30}"/>
    <cellStyle name="20% - Accent6 10 11" xfId="26135" xr:uid="{82873D75-37B7-471B-B3CC-6F7C00C19315}"/>
    <cellStyle name="20% - Accent6 10 2" xfId="281" xr:uid="{00000000-0005-0000-0000-00002A230000}"/>
    <cellStyle name="20% - Accent6 10 2 2" xfId="282" xr:uid="{00000000-0005-0000-0000-00002B230000}"/>
    <cellStyle name="20% - Accent6 10 2 2 2" xfId="1310" xr:uid="{00000000-0005-0000-0000-00002C230000}"/>
    <cellStyle name="20% - Accent6 10 2 2 2 2" xfId="4840" xr:uid="{00000000-0005-0000-0000-00002D230000}"/>
    <cellStyle name="20% - Accent6 10 2 2 2 2 2" xfId="8431" xr:uid="{00000000-0005-0000-0000-00002E230000}"/>
    <cellStyle name="20% - Accent6 10 2 2 2 2 2 2" xfId="16402" xr:uid="{00000000-0005-0000-0000-00002F230000}"/>
    <cellStyle name="20% - Accent6 10 2 2 2 2 2 2 2" xfId="40244" xr:uid="{B64CE5BE-6798-4035-9F1D-7DA614EB9A1B}"/>
    <cellStyle name="20% - Accent6 10 2 2 2 2 2 3" xfId="24348" xr:uid="{00000000-0005-0000-0000-000030230000}"/>
    <cellStyle name="20% - Accent6 10 2 2 2 2 2 3 2" xfId="48180" xr:uid="{A946765E-7C52-437D-B1BF-7077B5B69C67}"/>
    <cellStyle name="20% - Accent6 10 2 2 2 2 2 4" xfId="32303" xr:uid="{A755B1DD-9BF4-4E4D-818E-061D6630CC2C}"/>
    <cellStyle name="20% - Accent6 10 2 2 2 2 3" xfId="12864" xr:uid="{00000000-0005-0000-0000-000031230000}"/>
    <cellStyle name="20% - Accent6 10 2 2 2 2 3 2" xfId="36713" xr:uid="{077CD47D-3159-4FFA-B761-678EE431A979}"/>
    <cellStyle name="20% - Accent6 10 2 2 2 2 4" xfId="20819" xr:uid="{00000000-0005-0000-0000-000032230000}"/>
    <cellStyle name="20% - Accent6 10 2 2 2 2 4 2" xfId="44651" xr:uid="{FCA1AE93-2163-4238-9F7D-FACF4B03E8C8}"/>
    <cellStyle name="20% - Accent6 10 2 2 2 2 5" xfId="28772" xr:uid="{ABC9CB60-1C3F-4502-8274-4EBF4E48DAA8}"/>
    <cellStyle name="20% - Accent6 10 2 2 2 3" xfId="6672" xr:uid="{00000000-0005-0000-0000-000033230000}"/>
    <cellStyle name="20% - Accent6 10 2 2 2 3 2" xfId="14644" xr:uid="{00000000-0005-0000-0000-000034230000}"/>
    <cellStyle name="20% - Accent6 10 2 2 2 3 2 2" xfId="38486" xr:uid="{684306A9-5987-4699-97A0-E458623FF1AA}"/>
    <cellStyle name="20% - Accent6 10 2 2 2 3 3" xfId="22591" xr:uid="{00000000-0005-0000-0000-000035230000}"/>
    <cellStyle name="20% - Accent6 10 2 2 2 3 3 2" xfId="46423" xr:uid="{B7CD0C2B-2CAD-45A2-9F50-B4A29F0E8CD1}"/>
    <cellStyle name="20% - Accent6 10 2 2 2 3 4" xfId="30545" xr:uid="{5886E00A-1ABC-45E7-92AB-F991263FA1A0}"/>
    <cellStyle name="20% - Accent6 10 2 2 2 4" xfId="11108" xr:uid="{00000000-0005-0000-0000-000036230000}"/>
    <cellStyle name="20% - Accent6 10 2 2 2 4 2" xfId="34957" xr:uid="{F5ED78DF-7452-4D9A-9050-C1EE43BBFDCC}"/>
    <cellStyle name="20% - Accent6 10 2 2 2 5" xfId="19063" xr:uid="{00000000-0005-0000-0000-000037230000}"/>
    <cellStyle name="20% - Accent6 10 2 2 2 5 2" xfId="42895" xr:uid="{0A3AFF94-1B6D-422B-BF48-312C085C90FB}"/>
    <cellStyle name="20% - Accent6 10 2 2 2 6" xfId="27015" xr:uid="{972974FD-C496-4F4C-A926-45CCF20FEEF7}"/>
    <cellStyle name="20% - Accent6 10 2 2 2_Exh G" xfId="2564" xr:uid="{00000000-0005-0000-0000-000038230000}"/>
    <cellStyle name="20% - Accent6 10 2 2 3" xfId="3961" xr:uid="{00000000-0005-0000-0000-000039230000}"/>
    <cellStyle name="20% - Accent6 10 2 2 3 2" xfId="7553" xr:uid="{00000000-0005-0000-0000-00003A230000}"/>
    <cellStyle name="20% - Accent6 10 2 2 3 2 2" xfId="15524" xr:uid="{00000000-0005-0000-0000-00003B230000}"/>
    <cellStyle name="20% - Accent6 10 2 2 3 2 2 2" xfId="39366" xr:uid="{CFED0CDD-0B67-4EDA-9419-8A4B88BD2F9C}"/>
    <cellStyle name="20% - Accent6 10 2 2 3 2 3" xfId="23470" xr:uid="{00000000-0005-0000-0000-00003C230000}"/>
    <cellStyle name="20% - Accent6 10 2 2 3 2 3 2" xfId="47302" xr:uid="{49F3F1CC-F442-4213-AD81-6E2AB5699D49}"/>
    <cellStyle name="20% - Accent6 10 2 2 3 2 4" xfId="31425" xr:uid="{96D9EF8C-8367-4984-89F1-3D2EDE15DDB8}"/>
    <cellStyle name="20% - Accent6 10 2 2 3 3" xfId="11986" xr:uid="{00000000-0005-0000-0000-00003D230000}"/>
    <cellStyle name="20% - Accent6 10 2 2 3 3 2" xfId="35835" xr:uid="{9C1513C9-E158-4D38-8647-576797CE7EDA}"/>
    <cellStyle name="20% - Accent6 10 2 2 3 4" xfId="19941" xr:uid="{00000000-0005-0000-0000-00003E230000}"/>
    <cellStyle name="20% - Accent6 10 2 2 3 4 2" xfId="43773" xr:uid="{8C142EAA-DA9D-43A3-92A5-D6BDC12F5845}"/>
    <cellStyle name="20% - Accent6 10 2 2 3 5" xfId="27894" xr:uid="{742FC227-33EE-4FE6-A567-9A9F72CFA79E}"/>
    <cellStyle name="20% - Accent6 10 2 2 4" xfId="5781" xr:uid="{00000000-0005-0000-0000-00003F230000}"/>
    <cellStyle name="20% - Accent6 10 2 2 4 2" xfId="13765" xr:uid="{00000000-0005-0000-0000-000040230000}"/>
    <cellStyle name="20% - Accent6 10 2 2 4 2 2" xfId="37608" xr:uid="{0FB96AD9-52B3-420A-A5BA-826D0D52C8E5}"/>
    <cellStyle name="20% - Accent6 10 2 2 4 3" xfId="21713" xr:uid="{00000000-0005-0000-0000-000041230000}"/>
    <cellStyle name="20% - Accent6 10 2 2 4 3 2" xfId="45545" xr:uid="{0D511A9C-B467-400E-831C-3E1A9996EC35}"/>
    <cellStyle name="20% - Accent6 10 2 2 4 4" xfId="29667" xr:uid="{804577CF-BC7F-43A1-9CBD-C84776C11855}"/>
    <cellStyle name="20% - Accent6 10 2 2 5" xfId="9334" xr:uid="{00000000-0005-0000-0000-000042230000}"/>
    <cellStyle name="20% - Accent6 10 2 2 5 2" xfId="17292" xr:uid="{00000000-0005-0000-0000-000043230000}"/>
    <cellStyle name="20% - Accent6 10 2 2 5 2 2" xfId="41132" xr:uid="{C2F7F253-FDC3-4893-8C04-71686ADAAF53}"/>
    <cellStyle name="20% - Accent6 10 2 2 5 3" xfId="25236" xr:uid="{00000000-0005-0000-0000-000044230000}"/>
    <cellStyle name="20% - Accent6 10 2 2 5 3 2" xfId="49068" xr:uid="{FCB1489F-5CB4-4339-AC10-EDF8C769B29F}"/>
    <cellStyle name="20% - Accent6 10 2 2 5 4" xfId="33191" xr:uid="{61DF236A-EF67-4005-B1DA-DE546988DFA5}"/>
    <cellStyle name="20% - Accent6 10 2 2 6" xfId="10230" xr:uid="{00000000-0005-0000-0000-000045230000}"/>
    <cellStyle name="20% - Accent6 10 2 2 6 2" xfId="34079" xr:uid="{7FE9ECF2-6C7E-42CA-B2E6-0592B6FB1538}"/>
    <cellStyle name="20% - Accent6 10 2 2 7" xfId="18185" xr:uid="{00000000-0005-0000-0000-000046230000}"/>
    <cellStyle name="20% - Accent6 10 2 2 7 2" xfId="42017" xr:uid="{85AEF670-D9CA-485A-8273-86FB322AEBAC}"/>
    <cellStyle name="20% - Accent6 10 2 2 8" xfId="26137" xr:uid="{E0605D09-A31B-4656-8051-E4BD08DF3736}"/>
    <cellStyle name="20% - Accent6 10 2 2_Exh G" xfId="2563" xr:uid="{00000000-0005-0000-0000-000047230000}"/>
    <cellStyle name="20% - Accent6 10 2 3" xfId="1309" xr:uid="{00000000-0005-0000-0000-000048230000}"/>
    <cellStyle name="20% - Accent6 10 2 3 2" xfId="4839" xr:uid="{00000000-0005-0000-0000-000049230000}"/>
    <cellStyle name="20% - Accent6 10 2 3 2 2" xfId="8430" xr:uid="{00000000-0005-0000-0000-00004A230000}"/>
    <cellStyle name="20% - Accent6 10 2 3 2 2 2" xfId="16401" xr:uid="{00000000-0005-0000-0000-00004B230000}"/>
    <cellStyle name="20% - Accent6 10 2 3 2 2 2 2" xfId="40243" xr:uid="{7AB0E97D-FE4F-4BEA-912A-93D0D0043F4F}"/>
    <cellStyle name="20% - Accent6 10 2 3 2 2 3" xfId="24347" xr:uid="{00000000-0005-0000-0000-00004C230000}"/>
    <cellStyle name="20% - Accent6 10 2 3 2 2 3 2" xfId="48179" xr:uid="{EC9D04E9-1067-41B4-8B1E-C806DC2FE2DC}"/>
    <cellStyle name="20% - Accent6 10 2 3 2 2 4" xfId="32302" xr:uid="{15631D7E-D3AA-46F9-B127-F0B4139EB6AE}"/>
    <cellStyle name="20% - Accent6 10 2 3 2 3" xfId="12863" xr:uid="{00000000-0005-0000-0000-00004D230000}"/>
    <cellStyle name="20% - Accent6 10 2 3 2 3 2" xfId="36712" xr:uid="{40B8B933-8525-498E-867D-C6C15DE674BA}"/>
    <cellStyle name="20% - Accent6 10 2 3 2 4" xfId="20818" xr:uid="{00000000-0005-0000-0000-00004E230000}"/>
    <cellStyle name="20% - Accent6 10 2 3 2 4 2" xfId="44650" xr:uid="{464A4F4B-3331-4F0A-957A-D107CC89D6EE}"/>
    <cellStyle name="20% - Accent6 10 2 3 2 5" xfId="28771" xr:uid="{3A8DA7CC-C7D7-42CB-BCFF-7CED0BB13829}"/>
    <cellStyle name="20% - Accent6 10 2 3 3" xfId="6671" xr:uid="{00000000-0005-0000-0000-00004F230000}"/>
    <cellStyle name="20% - Accent6 10 2 3 3 2" xfId="14643" xr:uid="{00000000-0005-0000-0000-000050230000}"/>
    <cellStyle name="20% - Accent6 10 2 3 3 2 2" xfId="38485" xr:uid="{6274EC91-03E5-4576-B040-666EF4511201}"/>
    <cellStyle name="20% - Accent6 10 2 3 3 3" xfId="22590" xr:uid="{00000000-0005-0000-0000-000051230000}"/>
    <cellStyle name="20% - Accent6 10 2 3 3 3 2" xfId="46422" xr:uid="{6A139CFF-6586-4768-A6F0-ECFA49FE0D59}"/>
    <cellStyle name="20% - Accent6 10 2 3 3 4" xfId="30544" xr:uid="{EFC4AFB2-23EC-43B7-B130-94373B384E50}"/>
    <cellStyle name="20% - Accent6 10 2 3 4" xfId="11107" xr:uid="{00000000-0005-0000-0000-000052230000}"/>
    <cellStyle name="20% - Accent6 10 2 3 4 2" xfId="34956" xr:uid="{2F3024A3-15D1-4106-AA8A-EC639C9DD9AF}"/>
    <cellStyle name="20% - Accent6 10 2 3 5" xfId="19062" xr:uid="{00000000-0005-0000-0000-000053230000}"/>
    <cellStyle name="20% - Accent6 10 2 3 5 2" xfId="42894" xr:uid="{8542E6E9-2836-48D9-9145-283D9AF239B5}"/>
    <cellStyle name="20% - Accent6 10 2 3 6" xfId="27014" xr:uid="{BC797465-EBE5-41EF-8BBF-4C7488421C24}"/>
    <cellStyle name="20% - Accent6 10 2 3_Exh G" xfId="2565" xr:uid="{00000000-0005-0000-0000-000054230000}"/>
    <cellStyle name="20% - Accent6 10 2 4" xfId="3960" xr:uid="{00000000-0005-0000-0000-000055230000}"/>
    <cellStyle name="20% - Accent6 10 2 4 2" xfId="7552" xr:uid="{00000000-0005-0000-0000-000056230000}"/>
    <cellStyle name="20% - Accent6 10 2 4 2 2" xfId="15523" xr:uid="{00000000-0005-0000-0000-000057230000}"/>
    <cellStyle name="20% - Accent6 10 2 4 2 2 2" xfId="39365" xr:uid="{DF4F9112-839F-4326-8F71-2407A247B0AB}"/>
    <cellStyle name="20% - Accent6 10 2 4 2 3" xfId="23469" xr:uid="{00000000-0005-0000-0000-000058230000}"/>
    <cellStyle name="20% - Accent6 10 2 4 2 3 2" xfId="47301" xr:uid="{70CF2AF5-681C-4171-9F21-F3FD8AEC249E}"/>
    <cellStyle name="20% - Accent6 10 2 4 2 4" xfId="31424" xr:uid="{4EC0A9B7-7E05-41EB-B4A2-7A6CE24CCB81}"/>
    <cellStyle name="20% - Accent6 10 2 4 3" xfId="11985" xr:uid="{00000000-0005-0000-0000-000059230000}"/>
    <cellStyle name="20% - Accent6 10 2 4 3 2" xfId="35834" xr:uid="{0616C0A3-68BA-4CEE-9C57-2BE9DDD0CD27}"/>
    <cellStyle name="20% - Accent6 10 2 4 4" xfId="19940" xr:uid="{00000000-0005-0000-0000-00005A230000}"/>
    <cellStyle name="20% - Accent6 10 2 4 4 2" xfId="43772" xr:uid="{C357BA99-186E-44E9-AACD-C2DD2504B8B3}"/>
    <cellStyle name="20% - Accent6 10 2 4 5" xfId="27893" xr:uid="{47487C26-058E-4B66-8B42-783E3F29B3AE}"/>
    <cellStyle name="20% - Accent6 10 2 5" xfId="5780" xr:uid="{00000000-0005-0000-0000-00005B230000}"/>
    <cellStyle name="20% - Accent6 10 2 5 2" xfId="13764" xr:uid="{00000000-0005-0000-0000-00005C230000}"/>
    <cellStyle name="20% - Accent6 10 2 5 2 2" xfId="37607" xr:uid="{D5655E10-67F3-47E0-8AFD-8DF69E3E4C7C}"/>
    <cellStyle name="20% - Accent6 10 2 5 3" xfId="21712" xr:uid="{00000000-0005-0000-0000-00005D230000}"/>
    <cellStyle name="20% - Accent6 10 2 5 3 2" xfId="45544" xr:uid="{B822AB94-3997-4257-828C-BBC2BD22778C}"/>
    <cellStyle name="20% - Accent6 10 2 5 4" xfId="29666" xr:uid="{E8C97751-12C7-4470-9891-E98B88F6712F}"/>
    <cellStyle name="20% - Accent6 10 2 6" xfId="9333" xr:uid="{00000000-0005-0000-0000-00005E230000}"/>
    <cellStyle name="20% - Accent6 10 2 6 2" xfId="17291" xr:uid="{00000000-0005-0000-0000-00005F230000}"/>
    <cellStyle name="20% - Accent6 10 2 6 2 2" xfId="41131" xr:uid="{A98738E6-E87E-4888-9054-49129CE2D14A}"/>
    <cellStyle name="20% - Accent6 10 2 6 3" xfId="25235" xr:uid="{00000000-0005-0000-0000-000060230000}"/>
    <cellStyle name="20% - Accent6 10 2 6 3 2" xfId="49067" xr:uid="{319FCE9C-55FF-4EF1-AFFA-BD857272D4CC}"/>
    <cellStyle name="20% - Accent6 10 2 6 4" xfId="33190" xr:uid="{99A54E09-0ED0-447C-8EBD-157DC4D459B4}"/>
    <cellStyle name="20% - Accent6 10 2 7" xfId="10229" xr:uid="{00000000-0005-0000-0000-000061230000}"/>
    <cellStyle name="20% - Accent6 10 2 7 2" xfId="34078" xr:uid="{0CFA27EA-F0B5-4213-896C-B526F425F9A4}"/>
    <cellStyle name="20% - Accent6 10 2 8" xfId="18184" xr:uid="{00000000-0005-0000-0000-000062230000}"/>
    <cellStyle name="20% - Accent6 10 2 8 2" xfId="42016" xr:uid="{8EA350C5-8D93-4844-BD2B-F086D7889E29}"/>
    <cellStyle name="20% - Accent6 10 2 9" xfId="26136" xr:uid="{D08312A6-AE47-47C5-A3C0-6992DACD45D2}"/>
    <cellStyle name="20% - Accent6 10 2_Exh G" xfId="2562" xr:uid="{00000000-0005-0000-0000-000063230000}"/>
    <cellStyle name="20% - Accent6 10 3" xfId="283" xr:uid="{00000000-0005-0000-0000-000064230000}"/>
    <cellStyle name="20% - Accent6 10 3 2" xfId="1311" xr:uid="{00000000-0005-0000-0000-000065230000}"/>
    <cellStyle name="20% - Accent6 10 3 2 2" xfId="4841" xr:uid="{00000000-0005-0000-0000-000066230000}"/>
    <cellStyle name="20% - Accent6 10 3 2 2 2" xfId="8432" xr:uid="{00000000-0005-0000-0000-000067230000}"/>
    <cellStyle name="20% - Accent6 10 3 2 2 2 2" xfId="16403" xr:uid="{00000000-0005-0000-0000-000068230000}"/>
    <cellStyle name="20% - Accent6 10 3 2 2 2 2 2" xfId="40245" xr:uid="{37A7B57C-AB5D-4EF9-BBB4-277889BD3031}"/>
    <cellStyle name="20% - Accent6 10 3 2 2 2 3" xfId="24349" xr:uid="{00000000-0005-0000-0000-000069230000}"/>
    <cellStyle name="20% - Accent6 10 3 2 2 2 3 2" xfId="48181" xr:uid="{3A9314DF-0AA6-4BF5-AC16-E9808AD82853}"/>
    <cellStyle name="20% - Accent6 10 3 2 2 2 4" xfId="32304" xr:uid="{CDE0F255-0864-4E98-BC52-B6C8B241C10D}"/>
    <cellStyle name="20% - Accent6 10 3 2 2 3" xfId="12865" xr:uid="{00000000-0005-0000-0000-00006A230000}"/>
    <cellStyle name="20% - Accent6 10 3 2 2 3 2" xfId="36714" xr:uid="{B3FEF05C-BFAD-4E89-B66D-0CDC9A2A628E}"/>
    <cellStyle name="20% - Accent6 10 3 2 2 4" xfId="20820" xr:uid="{00000000-0005-0000-0000-00006B230000}"/>
    <cellStyle name="20% - Accent6 10 3 2 2 4 2" xfId="44652" xr:uid="{E179FB02-CA1B-4360-A354-4FADA99FB49B}"/>
    <cellStyle name="20% - Accent6 10 3 2 2 5" xfId="28773" xr:uid="{DB32282B-FEDE-4720-815C-47D467894343}"/>
    <cellStyle name="20% - Accent6 10 3 2 3" xfId="6673" xr:uid="{00000000-0005-0000-0000-00006C230000}"/>
    <cellStyle name="20% - Accent6 10 3 2 3 2" xfId="14645" xr:uid="{00000000-0005-0000-0000-00006D230000}"/>
    <cellStyle name="20% - Accent6 10 3 2 3 2 2" xfId="38487" xr:uid="{D464229D-1DC5-4B94-9A02-45DCF04B3000}"/>
    <cellStyle name="20% - Accent6 10 3 2 3 3" xfId="22592" xr:uid="{00000000-0005-0000-0000-00006E230000}"/>
    <cellStyle name="20% - Accent6 10 3 2 3 3 2" xfId="46424" xr:uid="{07886144-ED0F-4F85-9108-7E8DEE02B4C0}"/>
    <cellStyle name="20% - Accent6 10 3 2 3 4" xfId="30546" xr:uid="{F5CC4192-1BEE-4F97-9195-B2D1423A4B8A}"/>
    <cellStyle name="20% - Accent6 10 3 2 4" xfId="11109" xr:uid="{00000000-0005-0000-0000-00006F230000}"/>
    <cellStyle name="20% - Accent6 10 3 2 4 2" xfId="34958" xr:uid="{A188D8F8-A918-4BEA-9C9A-C866CFC01B3F}"/>
    <cellStyle name="20% - Accent6 10 3 2 5" xfId="19064" xr:uid="{00000000-0005-0000-0000-000070230000}"/>
    <cellStyle name="20% - Accent6 10 3 2 5 2" xfId="42896" xr:uid="{DCD1E525-DFA3-4594-93E0-6C4B7E699CB4}"/>
    <cellStyle name="20% - Accent6 10 3 2 6" xfId="27016" xr:uid="{2CB411C1-E134-4902-A9F9-127B3AB50C72}"/>
    <cellStyle name="20% - Accent6 10 3 2_Exh G" xfId="2567" xr:uid="{00000000-0005-0000-0000-000071230000}"/>
    <cellStyle name="20% - Accent6 10 3 3" xfId="3962" xr:uid="{00000000-0005-0000-0000-000072230000}"/>
    <cellStyle name="20% - Accent6 10 3 3 2" xfId="7554" xr:uid="{00000000-0005-0000-0000-000073230000}"/>
    <cellStyle name="20% - Accent6 10 3 3 2 2" xfId="15525" xr:uid="{00000000-0005-0000-0000-000074230000}"/>
    <cellStyle name="20% - Accent6 10 3 3 2 2 2" xfId="39367" xr:uid="{A40E730E-1EDB-4B5B-94D6-3AE158E92D05}"/>
    <cellStyle name="20% - Accent6 10 3 3 2 3" xfId="23471" xr:uid="{00000000-0005-0000-0000-000075230000}"/>
    <cellStyle name="20% - Accent6 10 3 3 2 3 2" xfId="47303" xr:uid="{68B70453-E745-47EC-9D20-9D8104FBB8D8}"/>
    <cellStyle name="20% - Accent6 10 3 3 2 4" xfId="31426" xr:uid="{0A3F745B-1B5D-417B-868C-B8D573BDDEE9}"/>
    <cellStyle name="20% - Accent6 10 3 3 3" xfId="11987" xr:uid="{00000000-0005-0000-0000-000076230000}"/>
    <cellStyle name="20% - Accent6 10 3 3 3 2" xfId="35836" xr:uid="{690D74D4-90F8-443B-8A95-6C2135D01BFE}"/>
    <cellStyle name="20% - Accent6 10 3 3 4" xfId="19942" xr:uid="{00000000-0005-0000-0000-000077230000}"/>
    <cellStyle name="20% - Accent6 10 3 3 4 2" xfId="43774" xr:uid="{D682069B-7FAF-495C-A14A-33D8206DA184}"/>
    <cellStyle name="20% - Accent6 10 3 3 5" xfId="27895" xr:uid="{02C1ABDC-5A9D-4654-88E7-55B04E9F36ED}"/>
    <cellStyle name="20% - Accent6 10 3 4" xfId="5782" xr:uid="{00000000-0005-0000-0000-000078230000}"/>
    <cellStyle name="20% - Accent6 10 3 4 2" xfId="13766" xr:uid="{00000000-0005-0000-0000-000079230000}"/>
    <cellStyle name="20% - Accent6 10 3 4 2 2" xfId="37609" xr:uid="{33729036-1DFE-44D5-A55F-02B5C2AA35AD}"/>
    <cellStyle name="20% - Accent6 10 3 4 3" xfId="21714" xr:uid="{00000000-0005-0000-0000-00007A230000}"/>
    <cellStyle name="20% - Accent6 10 3 4 3 2" xfId="45546" xr:uid="{F1E972C1-D616-494F-B36B-0E9B7FAE0ABC}"/>
    <cellStyle name="20% - Accent6 10 3 4 4" xfId="29668" xr:uid="{0BF66711-2EC1-4BBC-B366-88C28C6FCC65}"/>
    <cellStyle name="20% - Accent6 10 3 5" xfId="9335" xr:uid="{00000000-0005-0000-0000-00007B230000}"/>
    <cellStyle name="20% - Accent6 10 3 5 2" xfId="17293" xr:uid="{00000000-0005-0000-0000-00007C230000}"/>
    <cellStyle name="20% - Accent6 10 3 5 2 2" xfId="41133" xr:uid="{48A06585-DFE1-4D19-98BD-A6066A3020FA}"/>
    <cellStyle name="20% - Accent6 10 3 5 3" xfId="25237" xr:uid="{00000000-0005-0000-0000-00007D230000}"/>
    <cellStyle name="20% - Accent6 10 3 5 3 2" xfId="49069" xr:uid="{7D097631-43BF-49A4-A932-33F261DB856A}"/>
    <cellStyle name="20% - Accent6 10 3 5 4" xfId="33192" xr:uid="{899CB8B6-9E3D-4106-A0D5-18425CCA9803}"/>
    <cellStyle name="20% - Accent6 10 3 6" xfId="10231" xr:uid="{00000000-0005-0000-0000-00007E230000}"/>
    <cellStyle name="20% - Accent6 10 3 6 2" xfId="34080" xr:uid="{E3169D0E-E677-4A8D-897F-591A39BC1D4C}"/>
    <cellStyle name="20% - Accent6 10 3 7" xfId="18186" xr:uid="{00000000-0005-0000-0000-00007F230000}"/>
    <cellStyle name="20% - Accent6 10 3 7 2" xfId="42018" xr:uid="{C3A8941F-272A-40D9-A305-0A52C7CE0BC8}"/>
    <cellStyle name="20% - Accent6 10 3 8" xfId="26138" xr:uid="{7D25D10A-BEEC-4B64-A3A0-68E6852E9A5A}"/>
    <cellStyle name="20% - Accent6 10 3_Exh G" xfId="2566" xr:uid="{00000000-0005-0000-0000-000080230000}"/>
    <cellStyle name="20% - Accent6 10 4" xfId="922" xr:uid="{00000000-0005-0000-0000-000081230000}"/>
    <cellStyle name="20% - Accent6 10 5" xfId="1308" xr:uid="{00000000-0005-0000-0000-000082230000}"/>
    <cellStyle name="20% - Accent6 10 5 2" xfId="4838" xr:uid="{00000000-0005-0000-0000-000083230000}"/>
    <cellStyle name="20% - Accent6 10 5 2 2" xfId="8429" xr:uid="{00000000-0005-0000-0000-000084230000}"/>
    <cellStyle name="20% - Accent6 10 5 2 2 2" xfId="16400" xr:uid="{00000000-0005-0000-0000-000085230000}"/>
    <cellStyle name="20% - Accent6 10 5 2 2 2 2" xfId="40242" xr:uid="{6E1148D3-C14B-4AC2-878D-8B1413B35026}"/>
    <cellStyle name="20% - Accent6 10 5 2 2 3" xfId="24346" xr:uid="{00000000-0005-0000-0000-000086230000}"/>
    <cellStyle name="20% - Accent6 10 5 2 2 3 2" xfId="48178" xr:uid="{4DCDE5F1-8047-40AC-80D7-784EAF7703D3}"/>
    <cellStyle name="20% - Accent6 10 5 2 2 4" xfId="32301" xr:uid="{65F6111A-AAEA-4C54-B704-768741BE264B}"/>
    <cellStyle name="20% - Accent6 10 5 2 3" xfId="12862" xr:uid="{00000000-0005-0000-0000-000087230000}"/>
    <cellStyle name="20% - Accent6 10 5 2 3 2" xfId="36711" xr:uid="{E98236EE-D5C0-4BFA-8F65-B8CDD97D65A4}"/>
    <cellStyle name="20% - Accent6 10 5 2 4" xfId="20817" xr:uid="{00000000-0005-0000-0000-000088230000}"/>
    <cellStyle name="20% - Accent6 10 5 2 4 2" xfId="44649" xr:uid="{54413366-8521-42D3-AB52-CF9E65DD509A}"/>
    <cellStyle name="20% - Accent6 10 5 2 5" xfId="28770" xr:uid="{2F772D13-6F7A-4113-AFA0-C8B85DC89F9F}"/>
    <cellStyle name="20% - Accent6 10 5 3" xfId="6670" xr:uid="{00000000-0005-0000-0000-000089230000}"/>
    <cellStyle name="20% - Accent6 10 5 3 2" xfId="14642" xr:uid="{00000000-0005-0000-0000-00008A230000}"/>
    <cellStyle name="20% - Accent6 10 5 3 2 2" xfId="38484" xr:uid="{044EE1BE-0FCA-4803-A817-CB93B1E9FE46}"/>
    <cellStyle name="20% - Accent6 10 5 3 3" xfId="22589" xr:uid="{00000000-0005-0000-0000-00008B230000}"/>
    <cellStyle name="20% - Accent6 10 5 3 3 2" xfId="46421" xr:uid="{C6DE88F3-1E7F-45D4-BAEF-7C4714A9CF14}"/>
    <cellStyle name="20% - Accent6 10 5 3 4" xfId="30543" xr:uid="{9C0B2EAD-2273-4E2C-917B-63A004D396D7}"/>
    <cellStyle name="20% - Accent6 10 5 4" xfId="11106" xr:uid="{00000000-0005-0000-0000-00008C230000}"/>
    <cellStyle name="20% - Accent6 10 5 4 2" xfId="34955" xr:uid="{4026AE94-3778-40B6-84B9-56B8325F33AC}"/>
    <cellStyle name="20% - Accent6 10 5 5" xfId="19061" xr:uid="{00000000-0005-0000-0000-00008D230000}"/>
    <cellStyle name="20% - Accent6 10 5 5 2" xfId="42893" xr:uid="{8AA0271A-470E-497C-B240-26FB42ED1AFF}"/>
    <cellStyle name="20% - Accent6 10 5 6" xfId="27013" xr:uid="{98E80C14-70F2-4979-A7D5-98904FDA1BC7}"/>
    <cellStyle name="20% - Accent6 10 5_Exh G" xfId="2568" xr:uid="{00000000-0005-0000-0000-00008E230000}"/>
    <cellStyle name="20% - Accent6 10 6" xfId="3959" xr:uid="{00000000-0005-0000-0000-00008F230000}"/>
    <cellStyle name="20% - Accent6 10 6 2" xfId="7551" xr:uid="{00000000-0005-0000-0000-000090230000}"/>
    <cellStyle name="20% - Accent6 10 6 2 2" xfId="15522" xr:uid="{00000000-0005-0000-0000-000091230000}"/>
    <cellStyle name="20% - Accent6 10 6 2 2 2" xfId="39364" xr:uid="{31CC2243-1733-4C44-AF9E-33986793B512}"/>
    <cellStyle name="20% - Accent6 10 6 2 3" xfId="23468" xr:uid="{00000000-0005-0000-0000-000092230000}"/>
    <cellStyle name="20% - Accent6 10 6 2 3 2" xfId="47300" xr:uid="{674D292B-1FD3-4970-97C0-7390DD675868}"/>
    <cellStyle name="20% - Accent6 10 6 2 4" xfId="31423" xr:uid="{1DF085C1-1A86-49A3-A69B-0F3B83A1030C}"/>
    <cellStyle name="20% - Accent6 10 6 3" xfId="11984" xr:uid="{00000000-0005-0000-0000-000093230000}"/>
    <cellStyle name="20% - Accent6 10 6 3 2" xfId="35833" xr:uid="{6248A2DA-439A-4A86-AEC7-535B7A3B8750}"/>
    <cellStyle name="20% - Accent6 10 6 4" xfId="19939" xr:uid="{00000000-0005-0000-0000-000094230000}"/>
    <cellStyle name="20% - Accent6 10 6 4 2" xfId="43771" xr:uid="{1956117D-6784-4F08-B61E-6C87A6AE2BA7}"/>
    <cellStyle name="20% - Accent6 10 6 5" xfId="27892" xr:uid="{3EC76C43-4325-4352-B79D-067079EFF169}"/>
    <cellStyle name="20% - Accent6 10 7" xfId="5779" xr:uid="{00000000-0005-0000-0000-000095230000}"/>
    <cellStyle name="20% - Accent6 10 7 2" xfId="13763" xr:uid="{00000000-0005-0000-0000-000096230000}"/>
    <cellStyle name="20% - Accent6 10 7 2 2" xfId="37606" xr:uid="{B3D2E588-C7D5-417A-BB0F-B854803D3734}"/>
    <cellStyle name="20% - Accent6 10 7 3" xfId="21711" xr:uid="{00000000-0005-0000-0000-000097230000}"/>
    <cellStyle name="20% - Accent6 10 7 3 2" xfId="45543" xr:uid="{541F662F-BBF6-4401-A35A-382C5F8AC348}"/>
    <cellStyle name="20% - Accent6 10 7 4" xfId="29665" xr:uid="{4F2D7DFE-3332-4EA4-B4A7-B779751C1CA1}"/>
    <cellStyle name="20% - Accent6 10 8" xfId="9332" xr:uid="{00000000-0005-0000-0000-000098230000}"/>
    <cellStyle name="20% - Accent6 10 8 2" xfId="17290" xr:uid="{00000000-0005-0000-0000-000099230000}"/>
    <cellStyle name="20% - Accent6 10 8 2 2" xfId="41130" xr:uid="{34AECF19-1BA8-44D7-AF8F-C59C4FFF02C4}"/>
    <cellStyle name="20% - Accent6 10 8 3" xfId="25234" xr:uid="{00000000-0005-0000-0000-00009A230000}"/>
    <cellStyle name="20% - Accent6 10 8 3 2" xfId="49066" xr:uid="{EDE07AA3-84E8-440C-80DE-20A06882A5E9}"/>
    <cellStyle name="20% - Accent6 10 8 4" xfId="33189" xr:uid="{F7EAFA8D-2233-451D-9F50-70233D3B674A}"/>
    <cellStyle name="20% - Accent6 10 9" xfId="10228" xr:uid="{00000000-0005-0000-0000-00009B230000}"/>
    <cellStyle name="20% - Accent6 10 9 2" xfId="34077" xr:uid="{DAA42B10-4CC6-41E6-B168-7C162BB7AE33}"/>
    <cellStyle name="20% - Accent6 10_Exh G" xfId="2561" xr:uid="{00000000-0005-0000-0000-00009C230000}"/>
    <cellStyle name="20% - Accent6 11" xfId="284" xr:uid="{00000000-0005-0000-0000-00009D230000}"/>
    <cellStyle name="20% - Accent6 11 10" xfId="26139" xr:uid="{0989A706-ED46-4887-A451-312322E63DBD}"/>
    <cellStyle name="20% - Accent6 11 2" xfId="285" xr:uid="{00000000-0005-0000-0000-00009E230000}"/>
    <cellStyle name="20% - Accent6 11 2 2" xfId="286" xr:uid="{00000000-0005-0000-0000-00009F230000}"/>
    <cellStyle name="20% - Accent6 11 2 2 2" xfId="1314" xr:uid="{00000000-0005-0000-0000-0000A0230000}"/>
    <cellStyle name="20% - Accent6 11 2 2 2 2" xfId="4844" xr:uid="{00000000-0005-0000-0000-0000A1230000}"/>
    <cellStyle name="20% - Accent6 11 2 2 2 2 2" xfId="8435" xr:uid="{00000000-0005-0000-0000-0000A2230000}"/>
    <cellStyle name="20% - Accent6 11 2 2 2 2 2 2" xfId="16406" xr:uid="{00000000-0005-0000-0000-0000A3230000}"/>
    <cellStyle name="20% - Accent6 11 2 2 2 2 2 2 2" xfId="40248" xr:uid="{EC8709CA-9081-4FEC-A0D8-DA4EF0E4BD5D}"/>
    <cellStyle name="20% - Accent6 11 2 2 2 2 2 3" xfId="24352" xr:uid="{00000000-0005-0000-0000-0000A4230000}"/>
    <cellStyle name="20% - Accent6 11 2 2 2 2 2 3 2" xfId="48184" xr:uid="{5E992D7A-BF77-470D-96EA-1E62279076EF}"/>
    <cellStyle name="20% - Accent6 11 2 2 2 2 2 4" xfId="32307" xr:uid="{2E33F2FF-D971-412C-AB3F-F9A2A6D5F611}"/>
    <cellStyle name="20% - Accent6 11 2 2 2 2 3" xfId="12868" xr:uid="{00000000-0005-0000-0000-0000A5230000}"/>
    <cellStyle name="20% - Accent6 11 2 2 2 2 3 2" xfId="36717" xr:uid="{F46D8099-B591-4609-891A-BBDD1B664E1B}"/>
    <cellStyle name="20% - Accent6 11 2 2 2 2 4" xfId="20823" xr:uid="{00000000-0005-0000-0000-0000A6230000}"/>
    <cellStyle name="20% - Accent6 11 2 2 2 2 4 2" xfId="44655" xr:uid="{107D6B6A-4925-42E0-942B-C9999A5F0863}"/>
    <cellStyle name="20% - Accent6 11 2 2 2 2 5" xfId="28776" xr:uid="{BE486266-B090-490C-99FD-453E9E77C01D}"/>
    <cellStyle name="20% - Accent6 11 2 2 2 3" xfId="6676" xr:uid="{00000000-0005-0000-0000-0000A7230000}"/>
    <cellStyle name="20% - Accent6 11 2 2 2 3 2" xfId="14648" xr:uid="{00000000-0005-0000-0000-0000A8230000}"/>
    <cellStyle name="20% - Accent6 11 2 2 2 3 2 2" xfId="38490" xr:uid="{89B2D091-65AD-461E-9896-A60D5C3DF482}"/>
    <cellStyle name="20% - Accent6 11 2 2 2 3 3" xfId="22595" xr:uid="{00000000-0005-0000-0000-0000A9230000}"/>
    <cellStyle name="20% - Accent6 11 2 2 2 3 3 2" xfId="46427" xr:uid="{DD7FAF16-636B-49A6-8011-28E08F496389}"/>
    <cellStyle name="20% - Accent6 11 2 2 2 3 4" xfId="30549" xr:uid="{B638B63F-49F5-497E-93D3-4BB62CEB756F}"/>
    <cellStyle name="20% - Accent6 11 2 2 2 4" xfId="11112" xr:uid="{00000000-0005-0000-0000-0000AA230000}"/>
    <cellStyle name="20% - Accent6 11 2 2 2 4 2" xfId="34961" xr:uid="{CC3C3031-09CC-4784-8252-946DD6605978}"/>
    <cellStyle name="20% - Accent6 11 2 2 2 5" xfId="19067" xr:uid="{00000000-0005-0000-0000-0000AB230000}"/>
    <cellStyle name="20% - Accent6 11 2 2 2 5 2" xfId="42899" xr:uid="{7411CE61-BB5F-466A-9C72-12AAEB3D458B}"/>
    <cellStyle name="20% - Accent6 11 2 2 2 6" xfId="27019" xr:uid="{ABF8FC62-08D7-451D-9642-B2808AA91AAE}"/>
    <cellStyle name="20% - Accent6 11 2 2 2_Exh G" xfId="2572" xr:uid="{00000000-0005-0000-0000-0000AC230000}"/>
    <cellStyle name="20% - Accent6 11 2 2 3" xfId="3965" xr:uid="{00000000-0005-0000-0000-0000AD230000}"/>
    <cellStyle name="20% - Accent6 11 2 2 3 2" xfId="7557" xr:uid="{00000000-0005-0000-0000-0000AE230000}"/>
    <cellStyle name="20% - Accent6 11 2 2 3 2 2" xfId="15528" xr:uid="{00000000-0005-0000-0000-0000AF230000}"/>
    <cellStyle name="20% - Accent6 11 2 2 3 2 2 2" xfId="39370" xr:uid="{E0A4BD4F-B404-467C-AEB2-E59ABDC82070}"/>
    <cellStyle name="20% - Accent6 11 2 2 3 2 3" xfId="23474" xr:uid="{00000000-0005-0000-0000-0000B0230000}"/>
    <cellStyle name="20% - Accent6 11 2 2 3 2 3 2" xfId="47306" xr:uid="{F6348EE5-3870-4CE8-9910-04B0B4F79F03}"/>
    <cellStyle name="20% - Accent6 11 2 2 3 2 4" xfId="31429" xr:uid="{6C9471D4-A2FC-4CA3-906D-BE16A72FDD78}"/>
    <cellStyle name="20% - Accent6 11 2 2 3 3" xfId="11990" xr:uid="{00000000-0005-0000-0000-0000B1230000}"/>
    <cellStyle name="20% - Accent6 11 2 2 3 3 2" xfId="35839" xr:uid="{448A5F65-B1FA-45A4-BFDD-DC449AAB7AF2}"/>
    <cellStyle name="20% - Accent6 11 2 2 3 4" xfId="19945" xr:uid="{00000000-0005-0000-0000-0000B2230000}"/>
    <cellStyle name="20% - Accent6 11 2 2 3 4 2" xfId="43777" xr:uid="{A026143F-0265-4E3B-BF35-A331FA961E0F}"/>
    <cellStyle name="20% - Accent6 11 2 2 3 5" xfId="27898" xr:uid="{45193EE5-2E26-426B-96DC-759E17150788}"/>
    <cellStyle name="20% - Accent6 11 2 2 4" xfId="5785" xr:uid="{00000000-0005-0000-0000-0000B3230000}"/>
    <cellStyle name="20% - Accent6 11 2 2 4 2" xfId="13769" xr:uid="{00000000-0005-0000-0000-0000B4230000}"/>
    <cellStyle name="20% - Accent6 11 2 2 4 2 2" xfId="37612" xr:uid="{422C4166-FEED-494D-A131-D3273BCE4A3D}"/>
    <cellStyle name="20% - Accent6 11 2 2 4 3" xfId="21717" xr:uid="{00000000-0005-0000-0000-0000B5230000}"/>
    <cellStyle name="20% - Accent6 11 2 2 4 3 2" xfId="45549" xr:uid="{890B0A02-E22E-4A53-9839-B230FBC0E8CC}"/>
    <cellStyle name="20% - Accent6 11 2 2 4 4" xfId="29671" xr:uid="{76286059-5172-43D2-98AE-E7F2F05E86B0}"/>
    <cellStyle name="20% - Accent6 11 2 2 5" xfId="9338" xr:uid="{00000000-0005-0000-0000-0000B6230000}"/>
    <cellStyle name="20% - Accent6 11 2 2 5 2" xfId="17296" xr:uid="{00000000-0005-0000-0000-0000B7230000}"/>
    <cellStyle name="20% - Accent6 11 2 2 5 2 2" xfId="41136" xr:uid="{DBA3CFB2-4D12-4711-9D41-30CC726E6371}"/>
    <cellStyle name="20% - Accent6 11 2 2 5 3" xfId="25240" xr:uid="{00000000-0005-0000-0000-0000B8230000}"/>
    <cellStyle name="20% - Accent6 11 2 2 5 3 2" xfId="49072" xr:uid="{5A765D35-E7D5-424A-B544-5605521CC80F}"/>
    <cellStyle name="20% - Accent6 11 2 2 5 4" xfId="33195" xr:uid="{17D57FE7-D8D4-4FCB-9BAE-1EB12BE9BABA}"/>
    <cellStyle name="20% - Accent6 11 2 2 6" xfId="10234" xr:uid="{00000000-0005-0000-0000-0000B9230000}"/>
    <cellStyle name="20% - Accent6 11 2 2 6 2" xfId="34083" xr:uid="{7FAF01CB-CDA4-4194-8AF8-14B4C98DBB91}"/>
    <cellStyle name="20% - Accent6 11 2 2 7" xfId="18189" xr:uid="{00000000-0005-0000-0000-0000BA230000}"/>
    <cellStyle name="20% - Accent6 11 2 2 7 2" xfId="42021" xr:uid="{7BAE5CF3-1F52-4FC4-8472-21349635DE4C}"/>
    <cellStyle name="20% - Accent6 11 2 2 8" xfId="26141" xr:uid="{6EF2EBF6-ED97-4E5A-9D8A-9E56BBF4BC84}"/>
    <cellStyle name="20% - Accent6 11 2 2_Exh G" xfId="2571" xr:uid="{00000000-0005-0000-0000-0000BB230000}"/>
    <cellStyle name="20% - Accent6 11 2 3" xfId="1313" xr:uid="{00000000-0005-0000-0000-0000BC230000}"/>
    <cellStyle name="20% - Accent6 11 2 3 2" xfId="4843" xr:uid="{00000000-0005-0000-0000-0000BD230000}"/>
    <cellStyle name="20% - Accent6 11 2 3 2 2" xfId="8434" xr:uid="{00000000-0005-0000-0000-0000BE230000}"/>
    <cellStyle name="20% - Accent6 11 2 3 2 2 2" xfId="16405" xr:uid="{00000000-0005-0000-0000-0000BF230000}"/>
    <cellStyle name="20% - Accent6 11 2 3 2 2 2 2" xfId="40247" xr:uid="{D28274E9-6A78-4E07-A3E0-29780A91211B}"/>
    <cellStyle name="20% - Accent6 11 2 3 2 2 3" xfId="24351" xr:uid="{00000000-0005-0000-0000-0000C0230000}"/>
    <cellStyle name="20% - Accent6 11 2 3 2 2 3 2" xfId="48183" xr:uid="{8212EE10-80CC-4B1B-8D5F-B72BA8806747}"/>
    <cellStyle name="20% - Accent6 11 2 3 2 2 4" xfId="32306" xr:uid="{57373FA7-1A47-42E7-97ED-281C7BB3CEF1}"/>
    <cellStyle name="20% - Accent6 11 2 3 2 3" xfId="12867" xr:uid="{00000000-0005-0000-0000-0000C1230000}"/>
    <cellStyle name="20% - Accent6 11 2 3 2 3 2" xfId="36716" xr:uid="{14009359-0BE5-4CBB-A5AB-51022E23D37E}"/>
    <cellStyle name="20% - Accent6 11 2 3 2 4" xfId="20822" xr:uid="{00000000-0005-0000-0000-0000C2230000}"/>
    <cellStyle name="20% - Accent6 11 2 3 2 4 2" xfId="44654" xr:uid="{B4E934C2-D9E0-4CAB-BC22-B66553F1B992}"/>
    <cellStyle name="20% - Accent6 11 2 3 2 5" xfId="28775" xr:uid="{D3A9C455-16DD-4756-A24B-93C99EA49088}"/>
    <cellStyle name="20% - Accent6 11 2 3 3" xfId="6675" xr:uid="{00000000-0005-0000-0000-0000C3230000}"/>
    <cellStyle name="20% - Accent6 11 2 3 3 2" xfId="14647" xr:uid="{00000000-0005-0000-0000-0000C4230000}"/>
    <cellStyle name="20% - Accent6 11 2 3 3 2 2" xfId="38489" xr:uid="{036DFA04-1191-4A99-9D44-44AD16141FD0}"/>
    <cellStyle name="20% - Accent6 11 2 3 3 3" xfId="22594" xr:uid="{00000000-0005-0000-0000-0000C5230000}"/>
    <cellStyle name="20% - Accent6 11 2 3 3 3 2" xfId="46426" xr:uid="{C0A6B8A1-C4FD-4D4D-B2D4-28C819F9E808}"/>
    <cellStyle name="20% - Accent6 11 2 3 3 4" xfId="30548" xr:uid="{4306D045-FDF9-4D31-B6E3-DCEA6B2DCBE9}"/>
    <cellStyle name="20% - Accent6 11 2 3 4" xfId="11111" xr:uid="{00000000-0005-0000-0000-0000C6230000}"/>
    <cellStyle name="20% - Accent6 11 2 3 4 2" xfId="34960" xr:uid="{F0B02716-D091-43C5-9E04-2AB9435CD77A}"/>
    <cellStyle name="20% - Accent6 11 2 3 5" xfId="19066" xr:uid="{00000000-0005-0000-0000-0000C7230000}"/>
    <cellStyle name="20% - Accent6 11 2 3 5 2" xfId="42898" xr:uid="{8D3D68B3-3AC8-4202-9EA8-AAD11355346A}"/>
    <cellStyle name="20% - Accent6 11 2 3 6" xfId="27018" xr:uid="{2483CAA9-883D-474D-93AA-8BACF22364B6}"/>
    <cellStyle name="20% - Accent6 11 2 3_Exh G" xfId="2573" xr:uid="{00000000-0005-0000-0000-0000C8230000}"/>
    <cellStyle name="20% - Accent6 11 2 4" xfId="3964" xr:uid="{00000000-0005-0000-0000-0000C9230000}"/>
    <cellStyle name="20% - Accent6 11 2 4 2" xfId="7556" xr:uid="{00000000-0005-0000-0000-0000CA230000}"/>
    <cellStyle name="20% - Accent6 11 2 4 2 2" xfId="15527" xr:uid="{00000000-0005-0000-0000-0000CB230000}"/>
    <cellStyle name="20% - Accent6 11 2 4 2 2 2" xfId="39369" xr:uid="{5D82AE3F-8057-464F-8F8B-D369CED71DA9}"/>
    <cellStyle name="20% - Accent6 11 2 4 2 3" xfId="23473" xr:uid="{00000000-0005-0000-0000-0000CC230000}"/>
    <cellStyle name="20% - Accent6 11 2 4 2 3 2" xfId="47305" xr:uid="{0821623D-A580-4A66-A57A-03A8C289CCAA}"/>
    <cellStyle name="20% - Accent6 11 2 4 2 4" xfId="31428" xr:uid="{AA084A2F-1A81-477C-A573-810C78098B1F}"/>
    <cellStyle name="20% - Accent6 11 2 4 3" xfId="11989" xr:uid="{00000000-0005-0000-0000-0000CD230000}"/>
    <cellStyle name="20% - Accent6 11 2 4 3 2" xfId="35838" xr:uid="{AC47710F-DD9C-4E23-AA18-1D0FB1A78B75}"/>
    <cellStyle name="20% - Accent6 11 2 4 4" xfId="19944" xr:uid="{00000000-0005-0000-0000-0000CE230000}"/>
    <cellStyle name="20% - Accent6 11 2 4 4 2" xfId="43776" xr:uid="{7FE7CD02-C354-48EA-A82A-2007FEB00AF0}"/>
    <cellStyle name="20% - Accent6 11 2 4 5" xfId="27897" xr:uid="{6FCF9AE1-65A3-4C47-A46E-8044E3BC3E16}"/>
    <cellStyle name="20% - Accent6 11 2 5" xfId="5784" xr:uid="{00000000-0005-0000-0000-0000CF230000}"/>
    <cellStyle name="20% - Accent6 11 2 5 2" xfId="13768" xr:uid="{00000000-0005-0000-0000-0000D0230000}"/>
    <cellStyle name="20% - Accent6 11 2 5 2 2" xfId="37611" xr:uid="{E21B129D-08EB-4163-8FDA-434EC3CBCBA8}"/>
    <cellStyle name="20% - Accent6 11 2 5 3" xfId="21716" xr:uid="{00000000-0005-0000-0000-0000D1230000}"/>
    <cellStyle name="20% - Accent6 11 2 5 3 2" xfId="45548" xr:uid="{E8ED4E51-8C90-40FF-BC83-A069E0C6CF31}"/>
    <cellStyle name="20% - Accent6 11 2 5 4" xfId="29670" xr:uid="{C2CA3204-03D5-4E41-8B9F-9C94A2A721F0}"/>
    <cellStyle name="20% - Accent6 11 2 6" xfId="9337" xr:uid="{00000000-0005-0000-0000-0000D2230000}"/>
    <cellStyle name="20% - Accent6 11 2 6 2" xfId="17295" xr:uid="{00000000-0005-0000-0000-0000D3230000}"/>
    <cellStyle name="20% - Accent6 11 2 6 2 2" xfId="41135" xr:uid="{40916A0C-324F-4D89-BD99-95509FA7E2B1}"/>
    <cellStyle name="20% - Accent6 11 2 6 3" xfId="25239" xr:uid="{00000000-0005-0000-0000-0000D4230000}"/>
    <cellStyle name="20% - Accent6 11 2 6 3 2" xfId="49071" xr:uid="{3EC941A1-B709-41E9-81F3-5101B8BA1D5D}"/>
    <cellStyle name="20% - Accent6 11 2 6 4" xfId="33194" xr:uid="{88A5004C-982A-41C6-BAF6-5B8C086A2CF4}"/>
    <cellStyle name="20% - Accent6 11 2 7" xfId="10233" xr:uid="{00000000-0005-0000-0000-0000D5230000}"/>
    <cellStyle name="20% - Accent6 11 2 7 2" xfId="34082" xr:uid="{26ADB891-4F27-41F8-ABEF-B12473DF60AA}"/>
    <cellStyle name="20% - Accent6 11 2 8" xfId="18188" xr:uid="{00000000-0005-0000-0000-0000D6230000}"/>
    <cellStyle name="20% - Accent6 11 2 8 2" xfId="42020" xr:uid="{5B5E43F7-C075-4870-8CF3-FE444426E8EA}"/>
    <cellStyle name="20% - Accent6 11 2 9" xfId="26140" xr:uid="{F2902DC4-853E-49B7-92CC-2B4AD0987794}"/>
    <cellStyle name="20% - Accent6 11 2_Exh G" xfId="2570" xr:uid="{00000000-0005-0000-0000-0000D7230000}"/>
    <cellStyle name="20% - Accent6 11 3" xfId="287" xr:uid="{00000000-0005-0000-0000-0000D8230000}"/>
    <cellStyle name="20% - Accent6 11 3 2" xfId="1315" xr:uid="{00000000-0005-0000-0000-0000D9230000}"/>
    <cellStyle name="20% - Accent6 11 3 2 2" xfId="4845" xr:uid="{00000000-0005-0000-0000-0000DA230000}"/>
    <cellStyle name="20% - Accent6 11 3 2 2 2" xfId="8436" xr:uid="{00000000-0005-0000-0000-0000DB230000}"/>
    <cellStyle name="20% - Accent6 11 3 2 2 2 2" xfId="16407" xr:uid="{00000000-0005-0000-0000-0000DC230000}"/>
    <cellStyle name="20% - Accent6 11 3 2 2 2 2 2" xfId="40249" xr:uid="{EEA3E15D-B8F0-4FA9-A25B-E03445D2BF2E}"/>
    <cellStyle name="20% - Accent6 11 3 2 2 2 3" xfId="24353" xr:uid="{00000000-0005-0000-0000-0000DD230000}"/>
    <cellStyle name="20% - Accent6 11 3 2 2 2 3 2" xfId="48185" xr:uid="{EEC54D76-5935-4934-A644-BC231CE6A52C}"/>
    <cellStyle name="20% - Accent6 11 3 2 2 2 4" xfId="32308" xr:uid="{6920C98A-50FA-4683-9D60-48A5812D0F24}"/>
    <cellStyle name="20% - Accent6 11 3 2 2 3" xfId="12869" xr:uid="{00000000-0005-0000-0000-0000DE230000}"/>
    <cellStyle name="20% - Accent6 11 3 2 2 3 2" xfId="36718" xr:uid="{125E500D-D2AE-4901-A59A-37F8C2D5FFA7}"/>
    <cellStyle name="20% - Accent6 11 3 2 2 4" xfId="20824" xr:uid="{00000000-0005-0000-0000-0000DF230000}"/>
    <cellStyle name="20% - Accent6 11 3 2 2 4 2" xfId="44656" xr:uid="{6D35AB9F-CFF6-467C-8128-8922D95D6350}"/>
    <cellStyle name="20% - Accent6 11 3 2 2 5" xfId="28777" xr:uid="{65C8FE91-36D8-422B-9280-7894EA8FC7F8}"/>
    <cellStyle name="20% - Accent6 11 3 2 3" xfId="6677" xr:uid="{00000000-0005-0000-0000-0000E0230000}"/>
    <cellStyle name="20% - Accent6 11 3 2 3 2" xfId="14649" xr:uid="{00000000-0005-0000-0000-0000E1230000}"/>
    <cellStyle name="20% - Accent6 11 3 2 3 2 2" xfId="38491" xr:uid="{0B08DC44-CD2A-4A60-A2B8-65A8BB27EB30}"/>
    <cellStyle name="20% - Accent6 11 3 2 3 3" xfId="22596" xr:uid="{00000000-0005-0000-0000-0000E2230000}"/>
    <cellStyle name="20% - Accent6 11 3 2 3 3 2" xfId="46428" xr:uid="{567CA810-FAA2-4E7F-9998-E34EA10D1DBA}"/>
    <cellStyle name="20% - Accent6 11 3 2 3 4" xfId="30550" xr:uid="{3FFB7542-127E-4799-8141-7094037C1B02}"/>
    <cellStyle name="20% - Accent6 11 3 2 4" xfId="11113" xr:uid="{00000000-0005-0000-0000-0000E3230000}"/>
    <cellStyle name="20% - Accent6 11 3 2 4 2" xfId="34962" xr:uid="{F6B6C910-FD72-4006-9903-A6770A390673}"/>
    <cellStyle name="20% - Accent6 11 3 2 5" xfId="19068" xr:uid="{00000000-0005-0000-0000-0000E4230000}"/>
    <cellStyle name="20% - Accent6 11 3 2 5 2" xfId="42900" xr:uid="{B53EF410-85EA-4B98-BCDB-E81480768639}"/>
    <cellStyle name="20% - Accent6 11 3 2 6" xfId="27020" xr:uid="{5FD35411-5400-476E-9ADA-89873F33A074}"/>
    <cellStyle name="20% - Accent6 11 3 2_Exh G" xfId="2575" xr:uid="{00000000-0005-0000-0000-0000E5230000}"/>
    <cellStyle name="20% - Accent6 11 3 3" xfId="3966" xr:uid="{00000000-0005-0000-0000-0000E6230000}"/>
    <cellStyle name="20% - Accent6 11 3 3 2" xfId="7558" xr:uid="{00000000-0005-0000-0000-0000E7230000}"/>
    <cellStyle name="20% - Accent6 11 3 3 2 2" xfId="15529" xr:uid="{00000000-0005-0000-0000-0000E8230000}"/>
    <cellStyle name="20% - Accent6 11 3 3 2 2 2" xfId="39371" xr:uid="{7B9B2268-0299-4860-A409-B548A62319AB}"/>
    <cellStyle name="20% - Accent6 11 3 3 2 3" xfId="23475" xr:uid="{00000000-0005-0000-0000-0000E9230000}"/>
    <cellStyle name="20% - Accent6 11 3 3 2 3 2" xfId="47307" xr:uid="{05DBF7D4-853C-470A-B76C-C298ED1F99E4}"/>
    <cellStyle name="20% - Accent6 11 3 3 2 4" xfId="31430" xr:uid="{A68DB827-BBD9-4FE3-BEC8-0612728D7A2A}"/>
    <cellStyle name="20% - Accent6 11 3 3 3" xfId="11991" xr:uid="{00000000-0005-0000-0000-0000EA230000}"/>
    <cellStyle name="20% - Accent6 11 3 3 3 2" xfId="35840" xr:uid="{3BE07746-0BA4-4715-AD76-D7482C692A17}"/>
    <cellStyle name="20% - Accent6 11 3 3 4" xfId="19946" xr:uid="{00000000-0005-0000-0000-0000EB230000}"/>
    <cellStyle name="20% - Accent6 11 3 3 4 2" xfId="43778" xr:uid="{0ED70531-7F3D-4635-96C5-DE0C79905228}"/>
    <cellStyle name="20% - Accent6 11 3 3 5" xfId="27899" xr:uid="{E6DDBD09-16E9-4312-9B60-6CAD087C6EB1}"/>
    <cellStyle name="20% - Accent6 11 3 4" xfId="5786" xr:uid="{00000000-0005-0000-0000-0000EC230000}"/>
    <cellStyle name="20% - Accent6 11 3 4 2" xfId="13770" xr:uid="{00000000-0005-0000-0000-0000ED230000}"/>
    <cellStyle name="20% - Accent6 11 3 4 2 2" xfId="37613" xr:uid="{06ACFE93-86E3-47A8-9A52-62F87887A8AD}"/>
    <cellStyle name="20% - Accent6 11 3 4 3" xfId="21718" xr:uid="{00000000-0005-0000-0000-0000EE230000}"/>
    <cellStyle name="20% - Accent6 11 3 4 3 2" xfId="45550" xr:uid="{B87D5E1D-BC9D-4B97-8DBB-5559D6595797}"/>
    <cellStyle name="20% - Accent6 11 3 4 4" xfId="29672" xr:uid="{1FCED29C-19A6-4FBB-AC59-3E7114302E6F}"/>
    <cellStyle name="20% - Accent6 11 3 5" xfId="9339" xr:uid="{00000000-0005-0000-0000-0000EF230000}"/>
    <cellStyle name="20% - Accent6 11 3 5 2" xfId="17297" xr:uid="{00000000-0005-0000-0000-0000F0230000}"/>
    <cellStyle name="20% - Accent6 11 3 5 2 2" xfId="41137" xr:uid="{A2130A1F-B204-4F69-A44C-15A4F64FD83F}"/>
    <cellStyle name="20% - Accent6 11 3 5 3" xfId="25241" xr:uid="{00000000-0005-0000-0000-0000F1230000}"/>
    <cellStyle name="20% - Accent6 11 3 5 3 2" xfId="49073" xr:uid="{CDA4E298-CA7B-4680-9C8F-95C1A3584308}"/>
    <cellStyle name="20% - Accent6 11 3 5 4" xfId="33196" xr:uid="{F6D4595E-075A-435E-8271-18BDAA7C5C20}"/>
    <cellStyle name="20% - Accent6 11 3 6" xfId="10235" xr:uid="{00000000-0005-0000-0000-0000F2230000}"/>
    <cellStyle name="20% - Accent6 11 3 6 2" xfId="34084" xr:uid="{A8B574D1-23A1-4184-9983-33605B33788A}"/>
    <cellStyle name="20% - Accent6 11 3 7" xfId="18190" xr:uid="{00000000-0005-0000-0000-0000F3230000}"/>
    <cellStyle name="20% - Accent6 11 3 7 2" xfId="42022" xr:uid="{7B4E3ED0-9F48-4A9C-86BB-DD78698F387F}"/>
    <cellStyle name="20% - Accent6 11 3 8" xfId="26142" xr:uid="{14F5699B-CE3F-4493-A4A9-49ECA2440E9B}"/>
    <cellStyle name="20% - Accent6 11 3_Exh G" xfId="2574" xr:uid="{00000000-0005-0000-0000-0000F4230000}"/>
    <cellStyle name="20% - Accent6 11 4" xfId="1312" xr:uid="{00000000-0005-0000-0000-0000F5230000}"/>
    <cellStyle name="20% - Accent6 11 4 2" xfId="4842" xr:uid="{00000000-0005-0000-0000-0000F6230000}"/>
    <cellStyle name="20% - Accent6 11 4 2 2" xfId="8433" xr:uid="{00000000-0005-0000-0000-0000F7230000}"/>
    <cellStyle name="20% - Accent6 11 4 2 2 2" xfId="16404" xr:uid="{00000000-0005-0000-0000-0000F8230000}"/>
    <cellStyle name="20% - Accent6 11 4 2 2 2 2" xfId="40246" xr:uid="{2B8F1A70-D4B3-4166-951E-751EECC4153C}"/>
    <cellStyle name="20% - Accent6 11 4 2 2 3" xfId="24350" xr:uid="{00000000-0005-0000-0000-0000F9230000}"/>
    <cellStyle name="20% - Accent6 11 4 2 2 3 2" xfId="48182" xr:uid="{706FAB24-9ED1-4093-98C6-1FBAACC42E71}"/>
    <cellStyle name="20% - Accent6 11 4 2 2 4" xfId="32305" xr:uid="{E95B45B8-B91A-43FA-B2D2-3A5BF112827B}"/>
    <cellStyle name="20% - Accent6 11 4 2 3" xfId="12866" xr:uid="{00000000-0005-0000-0000-0000FA230000}"/>
    <cellStyle name="20% - Accent6 11 4 2 3 2" xfId="36715" xr:uid="{CAF7BA9F-2AA1-479A-AE7C-DBCAD9BAA584}"/>
    <cellStyle name="20% - Accent6 11 4 2 4" xfId="20821" xr:uid="{00000000-0005-0000-0000-0000FB230000}"/>
    <cellStyle name="20% - Accent6 11 4 2 4 2" xfId="44653" xr:uid="{3A2F3A77-637A-4FFF-8A01-4C2CEA985D8D}"/>
    <cellStyle name="20% - Accent6 11 4 2 5" xfId="28774" xr:uid="{2CA3F443-C351-4C07-81D4-4B20C797AD8B}"/>
    <cellStyle name="20% - Accent6 11 4 3" xfId="6674" xr:uid="{00000000-0005-0000-0000-0000FC230000}"/>
    <cellStyle name="20% - Accent6 11 4 3 2" xfId="14646" xr:uid="{00000000-0005-0000-0000-0000FD230000}"/>
    <cellStyle name="20% - Accent6 11 4 3 2 2" xfId="38488" xr:uid="{C20B514C-9E7D-4D83-B4F4-81CEF90EEB53}"/>
    <cellStyle name="20% - Accent6 11 4 3 3" xfId="22593" xr:uid="{00000000-0005-0000-0000-0000FE230000}"/>
    <cellStyle name="20% - Accent6 11 4 3 3 2" xfId="46425" xr:uid="{EAB7FD3B-0536-4981-824C-2CFBE5386852}"/>
    <cellStyle name="20% - Accent6 11 4 3 4" xfId="30547" xr:uid="{026CA74C-FAC0-428C-9992-E33EA7EC30A1}"/>
    <cellStyle name="20% - Accent6 11 4 4" xfId="11110" xr:uid="{00000000-0005-0000-0000-0000FF230000}"/>
    <cellStyle name="20% - Accent6 11 4 4 2" xfId="34959" xr:uid="{B7E53629-8422-49CB-9AAD-9978378D23B7}"/>
    <cellStyle name="20% - Accent6 11 4 5" xfId="19065" xr:uid="{00000000-0005-0000-0000-000000240000}"/>
    <cellStyle name="20% - Accent6 11 4 5 2" xfId="42897" xr:uid="{68F99852-F159-468C-A451-47A379A7A7BD}"/>
    <cellStyle name="20% - Accent6 11 4 6" xfId="27017" xr:uid="{F39E79BA-C598-4BD2-9B80-3C915D9866C8}"/>
    <cellStyle name="20% - Accent6 11 4_Exh G" xfId="2576" xr:uid="{00000000-0005-0000-0000-000001240000}"/>
    <cellStyle name="20% - Accent6 11 5" xfId="3963" xr:uid="{00000000-0005-0000-0000-000002240000}"/>
    <cellStyle name="20% - Accent6 11 5 2" xfId="7555" xr:uid="{00000000-0005-0000-0000-000003240000}"/>
    <cellStyle name="20% - Accent6 11 5 2 2" xfId="15526" xr:uid="{00000000-0005-0000-0000-000004240000}"/>
    <cellStyle name="20% - Accent6 11 5 2 2 2" xfId="39368" xr:uid="{48AC5E8E-B7B7-4C09-AD92-7E0F37F45CE0}"/>
    <cellStyle name="20% - Accent6 11 5 2 3" xfId="23472" xr:uid="{00000000-0005-0000-0000-000005240000}"/>
    <cellStyle name="20% - Accent6 11 5 2 3 2" xfId="47304" xr:uid="{4D6A32A8-0751-4B59-A04C-53CD309717C7}"/>
    <cellStyle name="20% - Accent6 11 5 2 4" xfId="31427" xr:uid="{50943648-1FDC-4C07-989D-4BE969BAC6CF}"/>
    <cellStyle name="20% - Accent6 11 5 3" xfId="11988" xr:uid="{00000000-0005-0000-0000-000006240000}"/>
    <cellStyle name="20% - Accent6 11 5 3 2" xfId="35837" xr:uid="{05D7F561-3504-4756-810A-5CF27A9F8DB3}"/>
    <cellStyle name="20% - Accent6 11 5 4" xfId="19943" xr:uid="{00000000-0005-0000-0000-000007240000}"/>
    <cellStyle name="20% - Accent6 11 5 4 2" xfId="43775" xr:uid="{107C10E1-7FE6-4993-B07D-D94C19BD85D7}"/>
    <cellStyle name="20% - Accent6 11 5 5" xfId="27896" xr:uid="{2DDE16EF-DEB2-4D6E-9E18-C72A5E8E04E7}"/>
    <cellStyle name="20% - Accent6 11 6" xfId="5783" xr:uid="{00000000-0005-0000-0000-000008240000}"/>
    <cellStyle name="20% - Accent6 11 6 2" xfId="13767" xr:uid="{00000000-0005-0000-0000-000009240000}"/>
    <cellStyle name="20% - Accent6 11 6 2 2" xfId="37610" xr:uid="{A54DD65F-CCE9-4D3B-99FC-DF065D680D9E}"/>
    <cellStyle name="20% - Accent6 11 6 3" xfId="21715" xr:uid="{00000000-0005-0000-0000-00000A240000}"/>
    <cellStyle name="20% - Accent6 11 6 3 2" xfId="45547" xr:uid="{54E8C2E2-EF27-45A5-8238-572EE793F759}"/>
    <cellStyle name="20% - Accent6 11 6 4" xfId="29669" xr:uid="{C40FC6C2-576D-40AA-9EF0-423A7939576D}"/>
    <cellStyle name="20% - Accent6 11 7" xfId="9336" xr:uid="{00000000-0005-0000-0000-00000B240000}"/>
    <cellStyle name="20% - Accent6 11 7 2" xfId="17294" xr:uid="{00000000-0005-0000-0000-00000C240000}"/>
    <cellStyle name="20% - Accent6 11 7 2 2" xfId="41134" xr:uid="{41D368A5-5B58-40D5-9381-532B0B554AFC}"/>
    <cellStyle name="20% - Accent6 11 7 3" xfId="25238" xr:uid="{00000000-0005-0000-0000-00000D240000}"/>
    <cellStyle name="20% - Accent6 11 7 3 2" xfId="49070" xr:uid="{72A53DB3-92EB-47A0-AB91-BFDBC3B6C55C}"/>
    <cellStyle name="20% - Accent6 11 7 4" xfId="33193" xr:uid="{1D20A7E9-B653-4FD9-8640-B949EB1EFF84}"/>
    <cellStyle name="20% - Accent6 11 8" xfId="10232" xr:uid="{00000000-0005-0000-0000-00000E240000}"/>
    <cellStyle name="20% - Accent6 11 8 2" xfId="34081" xr:uid="{98570424-21E2-405C-B496-81ECCF87B0A7}"/>
    <cellStyle name="20% - Accent6 11 9" xfId="18187" xr:uid="{00000000-0005-0000-0000-00000F240000}"/>
    <cellStyle name="20% - Accent6 11 9 2" xfId="42019" xr:uid="{ADB677FE-8184-4066-96B8-2901B1787DB3}"/>
    <cellStyle name="20% - Accent6 11_Exh G" xfId="2569" xr:uid="{00000000-0005-0000-0000-000010240000}"/>
    <cellStyle name="20% - Accent6 12" xfId="288" xr:uid="{00000000-0005-0000-0000-000011240000}"/>
    <cellStyle name="20% - Accent6 12 10" xfId="26143" xr:uid="{8EC87A3A-1FCF-4146-932F-B895CF42C8E9}"/>
    <cellStyle name="20% - Accent6 12 2" xfId="289" xr:uid="{00000000-0005-0000-0000-000012240000}"/>
    <cellStyle name="20% - Accent6 12 2 2" xfId="290" xr:uid="{00000000-0005-0000-0000-000013240000}"/>
    <cellStyle name="20% - Accent6 12 2 2 2" xfId="1318" xr:uid="{00000000-0005-0000-0000-000014240000}"/>
    <cellStyle name="20% - Accent6 12 2 2 2 2" xfId="4848" xr:uid="{00000000-0005-0000-0000-000015240000}"/>
    <cellStyle name="20% - Accent6 12 2 2 2 2 2" xfId="8439" xr:uid="{00000000-0005-0000-0000-000016240000}"/>
    <cellStyle name="20% - Accent6 12 2 2 2 2 2 2" xfId="16410" xr:uid="{00000000-0005-0000-0000-000017240000}"/>
    <cellStyle name="20% - Accent6 12 2 2 2 2 2 2 2" xfId="40252" xr:uid="{50495562-6257-498B-9D3B-79E960D3C8EF}"/>
    <cellStyle name="20% - Accent6 12 2 2 2 2 2 3" xfId="24356" xr:uid="{00000000-0005-0000-0000-000018240000}"/>
    <cellStyle name="20% - Accent6 12 2 2 2 2 2 3 2" xfId="48188" xr:uid="{B972F7DD-2DC6-4905-BB8F-2B342A9044E7}"/>
    <cellStyle name="20% - Accent6 12 2 2 2 2 2 4" xfId="32311" xr:uid="{12AD059D-D522-4A70-AFD9-D0380615F205}"/>
    <cellStyle name="20% - Accent6 12 2 2 2 2 3" xfId="12872" xr:uid="{00000000-0005-0000-0000-000019240000}"/>
    <cellStyle name="20% - Accent6 12 2 2 2 2 3 2" xfId="36721" xr:uid="{7C5821D5-9A0C-45E2-9263-EBC305B2A0A1}"/>
    <cellStyle name="20% - Accent6 12 2 2 2 2 4" xfId="20827" xr:uid="{00000000-0005-0000-0000-00001A240000}"/>
    <cellStyle name="20% - Accent6 12 2 2 2 2 4 2" xfId="44659" xr:uid="{1EFFC95A-BF1C-4545-8CEC-39073089C0F3}"/>
    <cellStyle name="20% - Accent6 12 2 2 2 2 5" xfId="28780" xr:uid="{9F4B9C9D-BF85-4A24-B5B2-7E6CCADFC5F2}"/>
    <cellStyle name="20% - Accent6 12 2 2 2 3" xfId="6680" xr:uid="{00000000-0005-0000-0000-00001B240000}"/>
    <cellStyle name="20% - Accent6 12 2 2 2 3 2" xfId="14652" xr:uid="{00000000-0005-0000-0000-00001C240000}"/>
    <cellStyle name="20% - Accent6 12 2 2 2 3 2 2" xfId="38494" xr:uid="{2EE1418F-DDA3-4203-AF35-5B74D3960F47}"/>
    <cellStyle name="20% - Accent6 12 2 2 2 3 3" xfId="22599" xr:uid="{00000000-0005-0000-0000-00001D240000}"/>
    <cellStyle name="20% - Accent6 12 2 2 2 3 3 2" xfId="46431" xr:uid="{8693E007-110F-4AF1-94CC-EBBA2EC04460}"/>
    <cellStyle name="20% - Accent6 12 2 2 2 3 4" xfId="30553" xr:uid="{A96AF53C-8781-4EE7-B6A7-F23DBFC2E037}"/>
    <cellStyle name="20% - Accent6 12 2 2 2 4" xfId="11116" xr:uid="{00000000-0005-0000-0000-00001E240000}"/>
    <cellStyle name="20% - Accent6 12 2 2 2 4 2" xfId="34965" xr:uid="{0837299D-EF0D-43B1-A436-BFFB0F2CD870}"/>
    <cellStyle name="20% - Accent6 12 2 2 2 5" xfId="19071" xr:uid="{00000000-0005-0000-0000-00001F240000}"/>
    <cellStyle name="20% - Accent6 12 2 2 2 5 2" xfId="42903" xr:uid="{46FA62D4-C5CD-45C8-BC56-2A9B19EBF18C}"/>
    <cellStyle name="20% - Accent6 12 2 2 2 6" xfId="27023" xr:uid="{0AE0C34C-CE9C-495C-8A64-DCDF3E578CEA}"/>
    <cellStyle name="20% - Accent6 12 2 2 2_Exh G" xfId="2580" xr:uid="{00000000-0005-0000-0000-000020240000}"/>
    <cellStyle name="20% - Accent6 12 2 2 3" xfId="3969" xr:uid="{00000000-0005-0000-0000-000021240000}"/>
    <cellStyle name="20% - Accent6 12 2 2 3 2" xfId="7561" xr:uid="{00000000-0005-0000-0000-000022240000}"/>
    <cellStyle name="20% - Accent6 12 2 2 3 2 2" xfId="15532" xr:uid="{00000000-0005-0000-0000-000023240000}"/>
    <cellStyle name="20% - Accent6 12 2 2 3 2 2 2" xfId="39374" xr:uid="{3D808422-1103-477D-B5CE-F5BCF6EE585C}"/>
    <cellStyle name="20% - Accent6 12 2 2 3 2 3" xfId="23478" xr:uid="{00000000-0005-0000-0000-000024240000}"/>
    <cellStyle name="20% - Accent6 12 2 2 3 2 3 2" xfId="47310" xr:uid="{58D4B570-99C2-427F-B337-297A16FDDB22}"/>
    <cellStyle name="20% - Accent6 12 2 2 3 2 4" xfId="31433" xr:uid="{134BFF77-8EFA-400A-B11E-47277D5579AC}"/>
    <cellStyle name="20% - Accent6 12 2 2 3 3" xfId="11994" xr:uid="{00000000-0005-0000-0000-000025240000}"/>
    <cellStyle name="20% - Accent6 12 2 2 3 3 2" xfId="35843" xr:uid="{329A60C3-C2E7-407B-91B1-89FC5BD4E635}"/>
    <cellStyle name="20% - Accent6 12 2 2 3 4" xfId="19949" xr:uid="{00000000-0005-0000-0000-000026240000}"/>
    <cellStyle name="20% - Accent6 12 2 2 3 4 2" xfId="43781" xr:uid="{B3F8E908-EF49-406F-AFFC-848A012AB4E8}"/>
    <cellStyle name="20% - Accent6 12 2 2 3 5" xfId="27902" xr:uid="{ABA60406-17E5-45B5-8A43-2FF86C5C57B7}"/>
    <cellStyle name="20% - Accent6 12 2 2 4" xfId="5789" xr:uid="{00000000-0005-0000-0000-000027240000}"/>
    <cellStyle name="20% - Accent6 12 2 2 4 2" xfId="13773" xr:uid="{00000000-0005-0000-0000-000028240000}"/>
    <cellStyle name="20% - Accent6 12 2 2 4 2 2" xfId="37616" xr:uid="{C75B88C3-AA5D-4169-B9AF-0C7910DDDFEF}"/>
    <cellStyle name="20% - Accent6 12 2 2 4 3" xfId="21721" xr:uid="{00000000-0005-0000-0000-000029240000}"/>
    <cellStyle name="20% - Accent6 12 2 2 4 3 2" xfId="45553" xr:uid="{19733C38-A06F-4731-95E2-FA4E38D6C23B}"/>
    <cellStyle name="20% - Accent6 12 2 2 4 4" xfId="29675" xr:uid="{6B70B35B-AA1B-4F72-8F34-FA3DFB456656}"/>
    <cellStyle name="20% - Accent6 12 2 2 5" xfId="9342" xr:uid="{00000000-0005-0000-0000-00002A240000}"/>
    <cellStyle name="20% - Accent6 12 2 2 5 2" xfId="17300" xr:uid="{00000000-0005-0000-0000-00002B240000}"/>
    <cellStyle name="20% - Accent6 12 2 2 5 2 2" xfId="41140" xr:uid="{D3582E01-C490-450A-A3CE-52B86E3041CC}"/>
    <cellStyle name="20% - Accent6 12 2 2 5 3" xfId="25244" xr:uid="{00000000-0005-0000-0000-00002C240000}"/>
    <cellStyle name="20% - Accent6 12 2 2 5 3 2" xfId="49076" xr:uid="{78D0CFCC-0B98-45D4-8F81-1C9AC9370071}"/>
    <cellStyle name="20% - Accent6 12 2 2 5 4" xfId="33199" xr:uid="{58978295-D493-4F06-84AB-6C6A17ADDFEA}"/>
    <cellStyle name="20% - Accent6 12 2 2 6" xfId="10238" xr:uid="{00000000-0005-0000-0000-00002D240000}"/>
    <cellStyle name="20% - Accent6 12 2 2 6 2" xfId="34087" xr:uid="{6F9DD69F-8CF5-4BCA-AF02-FE2BAA91F0F1}"/>
    <cellStyle name="20% - Accent6 12 2 2 7" xfId="18193" xr:uid="{00000000-0005-0000-0000-00002E240000}"/>
    <cellStyle name="20% - Accent6 12 2 2 7 2" xfId="42025" xr:uid="{8990B59F-CEFA-4912-AC97-4F0FD1AF356E}"/>
    <cellStyle name="20% - Accent6 12 2 2 8" xfId="26145" xr:uid="{B637B9FE-E3AB-47C5-96E1-3C86782382FB}"/>
    <cellStyle name="20% - Accent6 12 2 2_Exh G" xfId="2579" xr:uid="{00000000-0005-0000-0000-00002F240000}"/>
    <cellStyle name="20% - Accent6 12 2 3" xfId="1317" xr:uid="{00000000-0005-0000-0000-000030240000}"/>
    <cellStyle name="20% - Accent6 12 2 3 2" xfId="4847" xr:uid="{00000000-0005-0000-0000-000031240000}"/>
    <cellStyle name="20% - Accent6 12 2 3 2 2" xfId="8438" xr:uid="{00000000-0005-0000-0000-000032240000}"/>
    <cellStyle name="20% - Accent6 12 2 3 2 2 2" xfId="16409" xr:uid="{00000000-0005-0000-0000-000033240000}"/>
    <cellStyle name="20% - Accent6 12 2 3 2 2 2 2" xfId="40251" xr:uid="{3F9F7EE9-7418-408B-9FDF-10976C7FC4BC}"/>
    <cellStyle name="20% - Accent6 12 2 3 2 2 3" xfId="24355" xr:uid="{00000000-0005-0000-0000-000034240000}"/>
    <cellStyle name="20% - Accent6 12 2 3 2 2 3 2" xfId="48187" xr:uid="{02A91B94-98B6-4DB3-95B0-B554AB9AE2E6}"/>
    <cellStyle name="20% - Accent6 12 2 3 2 2 4" xfId="32310" xr:uid="{2EBC8CEA-7724-4236-A36B-5EB430446718}"/>
    <cellStyle name="20% - Accent6 12 2 3 2 3" xfId="12871" xr:uid="{00000000-0005-0000-0000-000035240000}"/>
    <cellStyle name="20% - Accent6 12 2 3 2 3 2" xfId="36720" xr:uid="{10264039-A20B-4EA6-9DBA-C8F35244F39B}"/>
    <cellStyle name="20% - Accent6 12 2 3 2 4" xfId="20826" xr:uid="{00000000-0005-0000-0000-000036240000}"/>
    <cellStyle name="20% - Accent6 12 2 3 2 4 2" xfId="44658" xr:uid="{C9F1FF3F-24FE-4DD7-9E51-99373096E6AC}"/>
    <cellStyle name="20% - Accent6 12 2 3 2 5" xfId="28779" xr:uid="{63B6D284-6FD6-453F-9A6D-2407F11E1CD5}"/>
    <cellStyle name="20% - Accent6 12 2 3 3" xfId="6679" xr:uid="{00000000-0005-0000-0000-000037240000}"/>
    <cellStyle name="20% - Accent6 12 2 3 3 2" xfId="14651" xr:uid="{00000000-0005-0000-0000-000038240000}"/>
    <cellStyle name="20% - Accent6 12 2 3 3 2 2" xfId="38493" xr:uid="{4F76A80A-004B-4FF0-AD63-03168DFAE1D3}"/>
    <cellStyle name="20% - Accent6 12 2 3 3 3" xfId="22598" xr:uid="{00000000-0005-0000-0000-000039240000}"/>
    <cellStyle name="20% - Accent6 12 2 3 3 3 2" xfId="46430" xr:uid="{8EF525BF-DF81-49E0-A0B1-08F310501172}"/>
    <cellStyle name="20% - Accent6 12 2 3 3 4" xfId="30552" xr:uid="{F02EF114-2EBB-4476-A105-F2628E95FE3D}"/>
    <cellStyle name="20% - Accent6 12 2 3 4" xfId="11115" xr:uid="{00000000-0005-0000-0000-00003A240000}"/>
    <cellStyle name="20% - Accent6 12 2 3 4 2" xfId="34964" xr:uid="{62405DE2-E9BA-436D-9658-B85C0BBD26BF}"/>
    <cellStyle name="20% - Accent6 12 2 3 5" xfId="19070" xr:uid="{00000000-0005-0000-0000-00003B240000}"/>
    <cellStyle name="20% - Accent6 12 2 3 5 2" xfId="42902" xr:uid="{DA9D5451-3E83-4C66-ACA5-D50A1193CF16}"/>
    <cellStyle name="20% - Accent6 12 2 3 6" xfId="27022" xr:uid="{F4FC350F-8444-48FF-BD4E-4814716DFE24}"/>
    <cellStyle name="20% - Accent6 12 2 3_Exh G" xfId="2581" xr:uid="{00000000-0005-0000-0000-00003C240000}"/>
    <cellStyle name="20% - Accent6 12 2 4" xfId="3968" xr:uid="{00000000-0005-0000-0000-00003D240000}"/>
    <cellStyle name="20% - Accent6 12 2 4 2" xfId="7560" xr:uid="{00000000-0005-0000-0000-00003E240000}"/>
    <cellStyle name="20% - Accent6 12 2 4 2 2" xfId="15531" xr:uid="{00000000-0005-0000-0000-00003F240000}"/>
    <cellStyle name="20% - Accent6 12 2 4 2 2 2" xfId="39373" xr:uid="{6941C9AA-FFC9-476B-BF1A-2A78C7C99C18}"/>
    <cellStyle name="20% - Accent6 12 2 4 2 3" xfId="23477" xr:uid="{00000000-0005-0000-0000-000040240000}"/>
    <cellStyle name="20% - Accent6 12 2 4 2 3 2" xfId="47309" xr:uid="{187335CE-50CD-4B9D-8DA3-9E22287D3072}"/>
    <cellStyle name="20% - Accent6 12 2 4 2 4" xfId="31432" xr:uid="{3FB2A466-4610-4864-8E5E-3234B6F79401}"/>
    <cellStyle name="20% - Accent6 12 2 4 3" xfId="11993" xr:uid="{00000000-0005-0000-0000-000041240000}"/>
    <cellStyle name="20% - Accent6 12 2 4 3 2" xfId="35842" xr:uid="{4653E0D9-034D-42CC-9A16-8B829E657F48}"/>
    <cellStyle name="20% - Accent6 12 2 4 4" xfId="19948" xr:uid="{00000000-0005-0000-0000-000042240000}"/>
    <cellStyle name="20% - Accent6 12 2 4 4 2" xfId="43780" xr:uid="{FA48C67A-A0B0-48DF-BE9F-DF314C23CF13}"/>
    <cellStyle name="20% - Accent6 12 2 4 5" xfId="27901" xr:uid="{BF3B15E6-B6FA-42D4-AED3-9293889B2E61}"/>
    <cellStyle name="20% - Accent6 12 2 5" xfId="5788" xr:uid="{00000000-0005-0000-0000-000043240000}"/>
    <cellStyle name="20% - Accent6 12 2 5 2" xfId="13772" xr:uid="{00000000-0005-0000-0000-000044240000}"/>
    <cellStyle name="20% - Accent6 12 2 5 2 2" xfId="37615" xr:uid="{37849CF2-BCD1-4963-951D-FD74400C3155}"/>
    <cellStyle name="20% - Accent6 12 2 5 3" xfId="21720" xr:uid="{00000000-0005-0000-0000-000045240000}"/>
    <cellStyle name="20% - Accent6 12 2 5 3 2" xfId="45552" xr:uid="{1F8A98EF-1DD9-4323-8013-E086AC2A8764}"/>
    <cellStyle name="20% - Accent6 12 2 5 4" xfId="29674" xr:uid="{4B565F72-5D26-45AB-8ADD-BD3D91A7AC45}"/>
    <cellStyle name="20% - Accent6 12 2 6" xfId="9341" xr:uid="{00000000-0005-0000-0000-000046240000}"/>
    <cellStyle name="20% - Accent6 12 2 6 2" xfId="17299" xr:uid="{00000000-0005-0000-0000-000047240000}"/>
    <cellStyle name="20% - Accent6 12 2 6 2 2" xfId="41139" xr:uid="{343FDA53-23A6-4E48-B2D3-C9989B186568}"/>
    <cellStyle name="20% - Accent6 12 2 6 3" xfId="25243" xr:uid="{00000000-0005-0000-0000-000048240000}"/>
    <cellStyle name="20% - Accent6 12 2 6 3 2" xfId="49075" xr:uid="{236E0295-0961-4C00-B0E1-E0BC7D7D1E94}"/>
    <cellStyle name="20% - Accent6 12 2 6 4" xfId="33198" xr:uid="{2D18F12B-0198-4A91-B85A-969149E6E972}"/>
    <cellStyle name="20% - Accent6 12 2 7" xfId="10237" xr:uid="{00000000-0005-0000-0000-000049240000}"/>
    <cellStyle name="20% - Accent6 12 2 7 2" xfId="34086" xr:uid="{6ED8DED6-6E7B-4384-ADD5-6473EE515D07}"/>
    <cellStyle name="20% - Accent6 12 2 8" xfId="18192" xr:uid="{00000000-0005-0000-0000-00004A240000}"/>
    <cellStyle name="20% - Accent6 12 2 8 2" xfId="42024" xr:uid="{6703A4E0-3E9B-4EB3-A0DC-FF38F5E7451D}"/>
    <cellStyle name="20% - Accent6 12 2 9" xfId="26144" xr:uid="{26C27A84-FD7E-4BF5-9FA6-DB5DD20CD6DF}"/>
    <cellStyle name="20% - Accent6 12 2_Exh G" xfId="2578" xr:uid="{00000000-0005-0000-0000-00004B240000}"/>
    <cellStyle name="20% - Accent6 12 3" xfId="291" xr:uid="{00000000-0005-0000-0000-00004C240000}"/>
    <cellStyle name="20% - Accent6 12 3 2" xfId="1319" xr:uid="{00000000-0005-0000-0000-00004D240000}"/>
    <cellStyle name="20% - Accent6 12 3 2 2" xfId="4849" xr:uid="{00000000-0005-0000-0000-00004E240000}"/>
    <cellStyle name="20% - Accent6 12 3 2 2 2" xfId="8440" xr:uid="{00000000-0005-0000-0000-00004F240000}"/>
    <cellStyle name="20% - Accent6 12 3 2 2 2 2" xfId="16411" xr:uid="{00000000-0005-0000-0000-000050240000}"/>
    <cellStyle name="20% - Accent6 12 3 2 2 2 2 2" xfId="40253" xr:uid="{3620597C-E37D-481A-884B-FD0CC32E95C9}"/>
    <cellStyle name="20% - Accent6 12 3 2 2 2 3" xfId="24357" xr:uid="{00000000-0005-0000-0000-000051240000}"/>
    <cellStyle name="20% - Accent6 12 3 2 2 2 3 2" xfId="48189" xr:uid="{CB4E2CDE-4CBB-49FF-ACBD-4DD9D40E3F10}"/>
    <cellStyle name="20% - Accent6 12 3 2 2 2 4" xfId="32312" xr:uid="{72822256-F80B-4B67-82C6-E1369CCA65A9}"/>
    <cellStyle name="20% - Accent6 12 3 2 2 3" xfId="12873" xr:uid="{00000000-0005-0000-0000-000052240000}"/>
    <cellStyle name="20% - Accent6 12 3 2 2 3 2" xfId="36722" xr:uid="{CE380C1C-56CD-4001-BBDF-46FE528DCB62}"/>
    <cellStyle name="20% - Accent6 12 3 2 2 4" xfId="20828" xr:uid="{00000000-0005-0000-0000-000053240000}"/>
    <cellStyle name="20% - Accent6 12 3 2 2 4 2" xfId="44660" xr:uid="{D1B26870-3E08-406B-9F01-30AF5DD10CB9}"/>
    <cellStyle name="20% - Accent6 12 3 2 2 5" xfId="28781" xr:uid="{43E5F2A4-2DD9-4C9B-A126-6BF1C8DB48ED}"/>
    <cellStyle name="20% - Accent6 12 3 2 3" xfId="6681" xr:uid="{00000000-0005-0000-0000-000054240000}"/>
    <cellStyle name="20% - Accent6 12 3 2 3 2" xfId="14653" xr:uid="{00000000-0005-0000-0000-000055240000}"/>
    <cellStyle name="20% - Accent6 12 3 2 3 2 2" xfId="38495" xr:uid="{CAF435A0-A4CD-45A2-8E72-C58E4325521A}"/>
    <cellStyle name="20% - Accent6 12 3 2 3 3" xfId="22600" xr:uid="{00000000-0005-0000-0000-000056240000}"/>
    <cellStyle name="20% - Accent6 12 3 2 3 3 2" xfId="46432" xr:uid="{160BC98B-D49E-43A8-AEA4-C389AB98146C}"/>
    <cellStyle name="20% - Accent6 12 3 2 3 4" xfId="30554" xr:uid="{F9FD2BA8-B33B-4E3C-B310-D1AE7988524D}"/>
    <cellStyle name="20% - Accent6 12 3 2 4" xfId="11117" xr:uid="{00000000-0005-0000-0000-000057240000}"/>
    <cellStyle name="20% - Accent6 12 3 2 4 2" xfId="34966" xr:uid="{BFE97085-C1A4-494C-98B5-9130007D07DF}"/>
    <cellStyle name="20% - Accent6 12 3 2 5" xfId="19072" xr:uid="{00000000-0005-0000-0000-000058240000}"/>
    <cellStyle name="20% - Accent6 12 3 2 5 2" xfId="42904" xr:uid="{0D7E26DB-9BE3-4DFC-B7C4-8B548A87F5C9}"/>
    <cellStyle name="20% - Accent6 12 3 2 6" xfId="27024" xr:uid="{D3EC8E3D-4C55-44A2-9FD8-E1C12F6E5666}"/>
    <cellStyle name="20% - Accent6 12 3 2_Exh G" xfId="2583" xr:uid="{00000000-0005-0000-0000-000059240000}"/>
    <cellStyle name="20% - Accent6 12 3 3" xfId="3970" xr:uid="{00000000-0005-0000-0000-00005A240000}"/>
    <cellStyle name="20% - Accent6 12 3 3 2" xfId="7562" xr:uid="{00000000-0005-0000-0000-00005B240000}"/>
    <cellStyle name="20% - Accent6 12 3 3 2 2" xfId="15533" xr:uid="{00000000-0005-0000-0000-00005C240000}"/>
    <cellStyle name="20% - Accent6 12 3 3 2 2 2" xfId="39375" xr:uid="{1BF5C542-7D1C-41E5-A0DA-A7BA83525AF7}"/>
    <cellStyle name="20% - Accent6 12 3 3 2 3" xfId="23479" xr:uid="{00000000-0005-0000-0000-00005D240000}"/>
    <cellStyle name="20% - Accent6 12 3 3 2 3 2" xfId="47311" xr:uid="{2C67DF63-D853-4F62-ACB4-CF6FE00F0418}"/>
    <cellStyle name="20% - Accent6 12 3 3 2 4" xfId="31434" xr:uid="{73480544-7E42-421D-B986-91FB67A0110D}"/>
    <cellStyle name="20% - Accent6 12 3 3 3" xfId="11995" xr:uid="{00000000-0005-0000-0000-00005E240000}"/>
    <cellStyle name="20% - Accent6 12 3 3 3 2" xfId="35844" xr:uid="{1A223AF8-48F8-47D9-9AE9-F570AE9B8018}"/>
    <cellStyle name="20% - Accent6 12 3 3 4" xfId="19950" xr:uid="{00000000-0005-0000-0000-00005F240000}"/>
    <cellStyle name="20% - Accent6 12 3 3 4 2" xfId="43782" xr:uid="{2B7513BD-F10F-4FE5-86BA-BBC21782E279}"/>
    <cellStyle name="20% - Accent6 12 3 3 5" xfId="27903" xr:uid="{D61B5585-0035-4C2C-97B4-9E8CEB433762}"/>
    <cellStyle name="20% - Accent6 12 3 4" xfId="5790" xr:uid="{00000000-0005-0000-0000-000060240000}"/>
    <cellStyle name="20% - Accent6 12 3 4 2" xfId="13774" xr:uid="{00000000-0005-0000-0000-000061240000}"/>
    <cellStyle name="20% - Accent6 12 3 4 2 2" xfId="37617" xr:uid="{F458C058-AB13-4D9E-BBCD-CF94D770F319}"/>
    <cellStyle name="20% - Accent6 12 3 4 3" xfId="21722" xr:uid="{00000000-0005-0000-0000-000062240000}"/>
    <cellStyle name="20% - Accent6 12 3 4 3 2" xfId="45554" xr:uid="{C86F7A35-7DA6-481A-9227-3B4B5BA838C0}"/>
    <cellStyle name="20% - Accent6 12 3 4 4" xfId="29676" xr:uid="{7ECD867A-77EE-46FA-BF8A-EAE0D574B117}"/>
    <cellStyle name="20% - Accent6 12 3 5" xfId="9343" xr:uid="{00000000-0005-0000-0000-000063240000}"/>
    <cellStyle name="20% - Accent6 12 3 5 2" xfId="17301" xr:uid="{00000000-0005-0000-0000-000064240000}"/>
    <cellStyle name="20% - Accent6 12 3 5 2 2" xfId="41141" xr:uid="{698E9505-59E6-4C4E-81D7-E93DD4C043E9}"/>
    <cellStyle name="20% - Accent6 12 3 5 3" xfId="25245" xr:uid="{00000000-0005-0000-0000-000065240000}"/>
    <cellStyle name="20% - Accent6 12 3 5 3 2" xfId="49077" xr:uid="{D71EC025-3979-4640-9DC4-D1A50E5B4C48}"/>
    <cellStyle name="20% - Accent6 12 3 5 4" xfId="33200" xr:uid="{8059B9DD-BDB7-4CF6-8D61-3116E4FED597}"/>
    <cellStyle name="20% - Accent6 12 3 6" xfId="10239" xr:uid="{00000000-0005-0000-0000-000066240000}"/>
    <cellStyle name="20% - Accent6 12 3 6 2" xfId="34088" xr:uid="{14751C5C-A1F5-4750-BD17-DE7FFEF26E66}"/>
    <cellStyle name="20% - Accent6 12 3 7" xfId="18194" xr:uid="{00000000-0005-0000-0000-000067240000}"/>
    <cellStyle name="20% - Accent6 12 3 7 2" xfId="42026" xr:uid="{2B3FCCCB-8823-414E-BD60-F8CAAD9A9CA6}"/>
    <cellStyle name="20% - Accent6 12 3 8" xfId="26146" xr:uid="{787381E6-87F6-46C6-AED6-8C0C099D28AA}"/>
    <cellStyle name="20% - Accent6 12 3_Exh G" xfId="2582" xr:uid="{00000000-0005-0000-0000-000068240000}"/>
    <cellStyle name="20% - Accent6 12 4" xfId="1316" xr:uid="{00000000-0005-0000-0000-000069240000}"/>
    <cellStyle name="20% - Accent6 12 4 2" xfId="4846" xr:uid="{00000000-0005-0000-0000-00006A240000}"/>
    <cellStyle name="20% - Accent6 12 4 2 2" xfId="8437" xr:uid="{00000000-0005-0000-0000-00006B240000}"/>
    <cellStyle name="20% - Accent6 12 4 2 2 2" xfId="16408" xr:uid="{00000000-0005-0000-0000-00006C240000}"/>
    <cellStyle name="20% - Accent6 12 4 2 2 2 2" xfId="40250" xr:uid="{663651A8-D8E1-4DE9-AAA1-AD068A368832}"/>
    <cellStyle name="20% - Accent6 12 4 2 2 3" xfId="24354" xr:uid="{00000000-0005-0000-0000-00006D240000}"/>
    <cellStyle name="20% - Accent6 12 4 2 2 3 2" xfId="48186" xr:uid="{E8158A24-B5E1-403D-ACFF-B676E592C1B9}"/>
    <cellStyle name="20% - Accent6 12 4 2 2 4" xfId="32309" xr:uid="{1E144CC8-11B3-4135-B383-7B516A798CEB}"/>
    <cellStyle name="20% - Accent6 12 4 2 3" xfId="12870" xr:uid="{00000000-0005-0000-0000-00006E240000}"/>
    <cellStyle name="20% - Accent6 12 4 2 3 2" xfId="36719" xr:uid="{7D553BFF-EE32-4F3A-915E-7AB281D00983}"/>
    <cellStyle name="20% - Accent6 12 4 2 4" xfId="20825" xr:uid="{00000000-0005-0000-0000-00006F240000}"/>
    <cellStyle name="20% - Accent6 12 4 2 4 2" xfId="44657" xr:uid="{57639075-1878-4B36-B734-37268A5EDF89}"/>
    <cellStyle name="20% - Accent6 12 4 2 5" xfId="28778" xr:uid="{EB26C705-17FB-4FEE-9B55-736899A61414}"/>
    <cellStyle name="20% - Accent6 12 4 3" xfId="6678" xr:uid="{00000000-0005-0000-0000-000070240000}"/>
    <cellStyle name="20% - Accent6 12 4 3 2" xfId="14650" xr:uid="{00000000-0005-0000-0000-000071240000}"/>
    <cellStyle name="20% - Accent6 12 4 3 2 2" xfId="38492" xr:uid="{BA6AD2C5-D49A-4D57-935D-E4D745EE70E8}"/>
    <cellStyle name="20% - Accent6 12 4 3 3" xfId="22597" xr:uid="{00000000-0005-0000-0000-000072240000}"/>
    <cellStyle name="20% - Accent6 12 4 3 3 2" xfId="46429" xr:uid="{DB0992B9-A8A1-4F5B-8FF5-078F470444E6}"/>
    <cellStyle name="20% - Accent6 12 4 3 4" xfId="30551" xr:uid="{683E5479-4253-4926-8772-E3FD118EF1D8}"/>
    <cellStyle name="20% - Accent6 12 4 4" xfId="11114" xr:uid="{00000000-0005-0000-0000-000073240000}"/>
    <cellStyle name="20% - Accent6 12 4 4 2" xfId="34963" xr:uid="{6CD39D42-0C21-45C5-B3B8-511887E90F79}"/>
    <cellStyle name="20% - Accent6 12 4 5" xfId="19069" xr:uid="{00000000-0005-0000-0000-000074240000}"/>
    <cellStyle name="20% - Accent6 12 4 5 2" xfId="42901" xr:uid="{20CD884C-B2FD-4D1B-A476-86CAD6492ED1}"/>
    <cellStyle name="20% - Accent6 12 4 6" xfId="27021" xr:uid="{CDEA221C-37D2-4F65-9558-D5C1CAF1F08B}"/>
    <cellStyle name="20% - Accent6 12 4_Exh G" xfId="2584" xr:uid="{00000000-0005-0000-0000-000075240000}"/>
    <cellStyle name="20% - Accent6 12 5" xfId="3967" xr:uid="{00000000-0005-0000-0000-000076240000}"/>
    <cellStyle name="20% - Accent6 12 5 2" xfId="7559" xr:uid="{00000000-0005-0000-0000-000077240000}"/>
    <cellStyle name="20% - Accent6 12 5 2 2" xfId="15530" xr:uid="{00000000-0005-0000-0000-000078240000}"/>
    <cellStyle name="20% - Accent6 12 5 2 2 2" xfId="39372" xr:uid="{D7F41DF7-CF57-4F97-AD03-F7D0156A1CEE}"/>
    <cellStyle name="20% - Accent6 12 5 2 3" xfId="23476" xr:uid="{00000000-0005-0000-0000-000079240000}"/>
    <cellStyle name="20% - Accent6 12 5 2 3 2" xfId="47308" xr:uid="{AF6B6C44-011D-4AD8-9CC0-EFE44BDFF515}"/>
    <cellStyle name="20% - Accent6 12 5 2 4" xfId="31431" xr:uid="{BF8402CD-11EA-475E-94B7-5F5CA9F58D8A}"/>
    <cellStyle name="20% - Accent6 12 5 3" xfId="11992" xr:uid="{00000000-0005-0000-0000-00007A240000}"/>
    <cellStyle name="20% - Accent6 12 5 3 2" xfId="35841" xr:uid="{BDC1BF99-E5E6-4030-A81D-96F1010F5B31}"/>
    <cellStyle name="20% - Accent6 12 5 4" xfId="19947" xr:uid="{00000000-0005-0000-0000-00007B240000}"/>
    <cellStyle name="20% - Accent6 12 5 4 2" xfId="43779" xr:uid="{FBE7A0BD-BABA-45C3-8A12-03E947781030}"/>
    <cellStyle name="20% - Accent6 12 5 5" xfId="27900" xr:uid="{C308FABB-7709-4939-A64D-4E22AEC318C6}"/>
    <cellStyle name="20% - Accent6 12 6" xfId="5787" xr:uid="{00000000-0005-0000-0000-00007C240000}"/>
    <cellStyle name="20% - Accent6 12 6 2" xfId="13771" xr:uid="{00000000-0005-0000-0000-00007D240000}"/>
    <cellStyle name="20% - Accent6 12 6 2 2" xfId="37614" xr:uid="{BAC22811-1644-45D9-A52A-17EA3DCA1055}"/>
    <cellStyle name="20% - Accent6 12 6 3" xfId="21719" xr:uid="{00000000-0005-0000-0000-00007E240000}"/>
    <cellStyle name="20% - Accent6 12 6 3 2" xfId="45551" xr:uid="{4575A05B-C013-4457-A219-E521279ED16C}"/>
    <cellStyle name="20% - Accent6 12 6 4" xfId="29673" xr:uid="{6BEEAAAE-77C6-44D8-A9A1-0BCC9C6BEE68}"/>
    <cellStyle name="20% - Accent6 12 7" xfId="9340" xr:uid="{00000000-0005-0000-0000-00007F240000}"/>
    <cellStyle name="20% - Accent6 12 7 2" xfId="17298" xr:uid="{00000000-0005-0000-0000-000080240000}"/>
    <cellStyle name="20% - Accent6 12 7 2 2" xfId="41138" xr:uid="{AD962693-3F1D-442E-938B-61A973FE6C8E}"/>
    <cellStyle name="20% - Accent6 12 7 3" xfId="25242" xr:uid="{00000000-0005-0000-0000-000081240000}"/>
    <cellStyle name="20% - Accent6 12 7 3 2" xfId="49074" xr:uid="{D0A6B0CE-7736-4634-9B12-D23532876E1A}"/>
    <cellStyle name="20% - Accent6 12 7 4" xfId="33197" xr:uid="{A44FD793-0EBA-4D6F-8C3E-085FC512D1A2}"/>
    <cellStyle name="20% - Accent6 12 8" xfId="10236" xr:uid="{00000000-0005-0000-0000-000082240000}"/>
    <cellStyle name="20% - Accent6 12 8 2" xfId="34085" xr:uid="{C54ECBCA-36FA-4614-847F-A5D30D3D8686}"/>
    <cellStyle name="20% - Accent6 12 9" xfId="18191" xr:uid="{00000000-0005-0000-0000-000083240000}"/>
    <cellStyle name="20% - Accent6 12 9 2" xfId="42023" xr:uid="{6177B55A-97D8-47BB-A769-637FF419AF2A}"/>
    <cellStyle name="20% - Accent6 12_Exh G" xfId="2577" xr:uid="{00000000-0005-0000-0000-000084240000}"/>
    <cellStyle name="20% - Accent6 13" xfId="292" xr:uid="{00000000-0005-0000-0000-000085240000}"/>
    <cellStyle name="20% - Accent6 13 10" xfId="26147" xr:uid="{E284F063-9E28-48E1-9D69-A67E956E9A9D}"/>
    <cellStyle name="20% - Accent6 13 2" xfId="293" xr:uid="{00000000-0005-0000-0000-000086240000}"/>
    <cellStyle name="20% - Accent6 13 2 2" xfId="294" xr:uid="{00000000-0005-0000-0000-000087240000}"/>
    <cellStyle name="20% - Accent6 13 2 2 2" xfId="1322" xr:uid="{00000000-0005-0000-0000-000088240000}"/>
    <cellStyle name="20% - Accent6 13 2 2 2 2" xfId="4852" xr:uid="{00000000-0005-0000-0000-000089240000}"/>
    <cellStyle name="20% - Accent6 13 2 2 2 2 2" xfId="8443" xr:uid="{00000000-0005-0000-0000-00008A240000}"/>
    <cellStyle name="20% - Accent6 13 2 2 2 2 2 2" xfId="16414" xr:uid="{00000000-0005-0000-0000-00008B240000}"/>
    <cellStyle name="20% - Accent6 13 2 2 2 2 2 2 2" xfId="40256" xr:uid="{6B8869CE-9A04-43A3-BF34-A8E1EFA119E0}"/>
    <cellStyle name="20% - Accent6 13 2 2 2 2 2 3" xfId="24360" xr:uid="{00000000-0005-0000-0000-00008C240000}"/>
    <cellStyle name="20% - Accent6 13 2 2 2 2 2 3 2" xfId="48192" xr:uid="{98861071-37B9-4081-BB95-74B76FAA606A}"/>
    <cellStyle name="20% - Accent6 13 2 2 2 2 2 4" xfId="32315" xr:uid="{D22D2B9A-8C3C-4700-BEE5-3A1CE5DF1068}"/>
    <cellStyle name="20% - Accent6 13 2 2 2 2 3" xfId="12876" xr:uid="{00000000-0005-0000-0000-00008D240000}"/>
    <cellStyle name="20% - Accent6 13 2 2 2 2 3 2" xfId="36725" xr:uid="{DFD6D218-41CD-47BC-9457-A2BC8404DC9E}"/>
    <cellStyle name="20% - Accent6 13 2 2 2 2 4" xfId="20831" xr:uid="{00000000-0005-0000-0000-00008E240000}"/>
    <cellStyle name="20% - Accent6 13 2 2 2 2 4 2" xfId="44663" xr:uid="{69750877-3C73-4596-8134-240700802B3E}"/>
    <cellStyle name="20% - Accent6 13 2 2 2 2 5" xfId="28784" xr:uid="{1594D99A-17E6-410C-8D8E-59CB09006124}"/>
    <cellStyle name="20% - Accent6 13 2 2 2 3" xfId="6684" xr:uid="{00000000-0005-0000-0000-00008F240000}"/>
    <cellStyle name="20% - Accent6 13 2 2 2 3 2" xfId="14656" xr:uid="{00000000-0005-0000-0000-000090240000}"/>
    <cellStyle name="20% - Accent6 13 2 2 2 3 2 2" xfId="38498" xr:uid="{EE8278C6-1A50-465D-A758-C0A62AA6BCF8}"/>
    <cellStyle name="20% - Accent6 13 2 2 2 3 3" xfId="22603" xr:uid="{00000000-0005-0000-0000-000091240000}"/>
    <cellStyle name="20% - Accent6 13 2 2 2 3 3 2" xfId="46435" xr:uid="{92F8EEDE-5206-4033-B559-AC1C4145B82F}"/>
    <cellStyle name="20% - Accent6 13 2 2 2 3 4" xfId="30557" xr:uid="{4A439D9F-2B63-420F-B7CA-A6C83F226276}"/>
    <cellStyle name="20% - Accent6 13 2 2 2 4" xfId="11120" xr:uid="{00000000-0005-0000-0000-000092240000}"/>
    <cellStyle name="20% - Accent6 13 2 2 2 4 2" xfId="34969" xr:uid="{E34F5BD0-ADC3-418A-BDC9-6ADE8925F61B}"/>
    <cellStyle name="20% - Accent6 13 2 2 2 5" xfId="19075" xr:uid="{00000000-0005-0000-0000-000093240000}"/>
    <cellStyle name="20% - Accent6 13 2 2 2 5 2" xfId="42907" xr:uid="{9406748A-CEF9-4232-B9AA-F03C7DC98309}"/>
    <cellStyle name="20% - Accent6 13 2 2 2 6" xfId="27027" xr:uid="{A82CACE1-7F14-45B5-80A5-FA7DE56C532A}"/>
    <cellStyle name="20% - Accent6 13 2 2 2_Exh G" xfId="2588" xr:uid="{00000000-0005-0000-0000-000094240000}"/>
    <cellStyle name="20% - Accent6 13 2 2 3" xfId="3973" xr:uid="{00000000-0005-0000-0000-000095240000}"/>
    <cellStyle name="20% - Accent6 13 2 2 3 2" xfId="7565" xr:uid="{00000000-0005-0000-0000-000096240000}"/>
    <cellStyle name="20% - Accent6 13 2 2 3 2 2" xfId="15536" xr:uid="{00000000-0005-0000-0000-000097240000}"/>
    <cellStyle name="20% - Accent6 13 2 2 3 2 2 2" xfId="39378" xr:uid="{B7F10F42-17FB-425B-800F-211476541CAC}"/>
    <cellStyle name="20% - Accent6 13 2 2 3 2 3" xfId="23482" xr:uid="{00000000-0005-0000-0000-000098240000}"/>
    <cellStyle name="20% - Accent6 13 2 2 3 2 3 2" xfId="47314" xr:uid="{6D11E204-0E8B-47F5-AC31-36644324CD88}"/>
    <cellStyle name="20% - Accent6 13 2 2 3 2 4" xfId="31437" xr:uid="{61F953CE-1256-445C-92E5-F3DDD4F16190}"/>
    <cellStyle name="20% - Accent6 13 2 2 3 3" xfId="11998" xr:uid="{00000000-0005-0000-0000-000099240000}"/>
    <cellStyle name="20% - Accent6 13 2 2 3 3 2" xfId="35847" xr:uid="{019848D4-E31F-4EA3-9A4D-BA70B60F54F6}"/>
    <cellStyle name="20% - Accent6 13 2 2 3 4" xfId="19953" xr:uid="{00000000-0005-0000-0000-00009A240000}"/>
    <cellStyle name="20% - Accent6 13 2 2 3 4 2" xfId="43785" xr:uid="{4D52B501-6841-4344-8FC6-A9BCBD6D6F66}"/>
    <cellStyle name="20% - Accent6 13 2 2 3 5" xfId="27906" xr:uid="{4FBF34DF-2647-40F4-89B4-532FA662C1DC}"/>
    <cellStyle name="20% - Accent6 13 2 2 4" xfId="5793" xr:uid="{00000000-0005-0000-0000-00009B240000}"/>
    <cellStyle name="20% - Accent6 13 2 2 4 2" xfId="13777" xr:uid="{00000000-0005-0000-0000-00009C240000}"/>
    <cellStyle name="20% - Accent6 13 2 2 4 2 2" xfId="37620" xr:uid="{202C4FFF-EC22-4B9B-8B8F-4539BC10DA4A}"/>
    <cellStyle name="20% - Accent6 13 2 2 4 3" xfId="21725" xr:uid="{00000000-0005-0000-0000-00009D240000}"/>
    <cellStyle name="20% - Accent6 13 2 2 4 3 2" xfId="45557" xr:uid="{A91B710D-C639-4937-ABC4-168CCC5FB4C4}"/>
    <cellStyle name="20% - Accent6 13 2 2 4 4" xfId="29679" xr:uid="{161318BC-610F-4B7E-9CDE-51A47EC88F98}"/>
    <cellStyle name="20% - Accent6 13 2 2 5" xfId="9346" xr:uid="{00000000-0005-0000-0000-00009E240000}"/>
    <cellStyle name="20% - Accent6 13 2 2 5 2" xfId="17304" xr:uid="{00000000-0005-0000-0000-00009F240000}"/>
    <cellStyle name="20% - Accent6 13 2 2 5 2 2" xfId="41144" xr:uid="{EA758921-7E95-44F8-8C4E-E6561114E75A}"/>
    <cellStyle name="20% - Accent6 13 2 2 5 3" xfId="25248" xr:uid="{00000000-0005-0000-0000-0000A0240000}"/>
    <cellStyle name="20% - Accent6 13 2 2 5 3 2" xfId="49080" xr:uid="{37C7F1E1-E439-4F96-A868-715D46F5AD31}"/>
    <cellStyle name="20% - Accent6 13 2 2 5 4" xfId="33203" xr:uid="{71AD6CEE-469F-4686-A0FE-66D9506C9029}"/>
    <cellStyle name="20% - Accent6 13 2 2 6" xfId="10242" xr:uid="{00000000-0005-0000-0000-0000A1240000}"/>
    <cellStyle name="20% - Accent6 13 2 2 6 2" xfId="34091" xr:uid="{0B79D10D-24E2-4C75-BAE5-6C3DA1584B79}"/>
    <cellStyle name="20% - Accent6 13 2 2 7" xfId="18197" xr:uid="{00000000-0005-0000-0000-0000A2240000}"/>
    <cellStyle name="20% - Accent6 13 2 2 7 2" xfId="42029" xr:uid="{4D5FB7E8-C753-4B68-AA02-D31069BCFD0F}"/>
    <cellStyle name="20% - Accent6 13 2 2 8" xfId="26149" xr:uid="{D00A7E4E-D7A2-4FF0-B82D-5972CE25267F}"/>
    <cellStyle name="20% - Accent6 13 2 2_Exh G" xfId="2587" xr:uid="{00000000-0005-0000-0000-0000A3240000}"/>
    <cellStyle name="20% - Accent6 13 2 3" xfId="1321" xr:uid="{00000000-0005-0000-0000-0000A4240000}"/>
    <cellStyle name="20% - Accent6 13 2 3 2" xfId="4851" xr:uid="{00000000-0005-0000-0000-0000A5240000}"/>
    <cellStyle name="20% - Accent6 13 2 3 2 2" xfId="8442" xr:uid="{00000000-0005-0000-0000-0000A6240000}"/>
    <cellStyle name="20% - Accent6 13 2 3 2 2 2" xfId="16413" xr:uid="{00000000-0005-0000-0000-0000A7240000}"/>
    <cellStyle name="20% - Accent6 13 2 3 2 2 2 2" xfId="40255" xr:uid="{828D0F61-7A66-4812-B62A-C865E3984324}"/>
    <cellStyle name="20% - Accent6 13 2 3 2 2 3" xfId="24359" xr:uid="{00000000-0005-0000-0000-0000A8240000}"/>
    <cellStyle name="20% - Accent6 13 2 3 2 2 3 2" xfId="48191" xr:uid="{FEC39210-9BB3-48B4-91C1-668C07C251DB}"/>
    <cellStyle name="20% - Accent6 13 2 3 2 2 4" xfId="32314" xr:uid="{F058BEAB-55BE-49D2-975E-9566F110C0FB}"/>
    <cellStyle name="20% - Accent6 13 2 3 2 3" xfId="12875" xr:uid="{00000000-0005-0000-0000-0000A9240000}"/>
    <cellStyle name="20% - Accent6 13 2 3 2 3 2" xfId="36724" xr:uid="{29BE2245-639B-4881-9E1D-36DD6939270A}"/>
    <cellStyle name="20% - Accent6 13 2 3 2 4" xfId="20830" xr:uid="{00000000-0005-0000-0000-0000AA240000}"/>
    <cellStyle name="20% - Accent6 13 2 3 2 4 2" xfId="44662" xr:uid="{E81A2FB2-E835-478E-9F99-8BB41FDD6A82}"/>
    <cellStyle name="20% - Accent6 13 2 3 2 5" xfId="28783" xr:uid="{CF3B0B04-6460-4766-BFFE-21314F984607}"/>
    <cellStyle name="20% - Accent6 13 2 3 3" xfId="6683" xr:uid="{00000000-0005-0000-0000-0000AB240000}"/>
    <cellStyle name="20% - Accent6 13 2 3 3 2" xfId="14655" xr:uid="{00000000-0005-0000-0000-0000AC240000}"/>
    <cellStyle name="20% - Accent6 13 2 3 3 2 2" xfId="38497" xr:uid="{B10A399C-3888-4DB8-95C8-5BE2D143318A}"/>
    <cellStyle name="20% - Accent6 13 2 3 3 3" xfId="22602" xr:uid="{00000000-0005-0000-0000-0000AD240000}"/>
    <cellStyle name="20% - Accent6 13 2 3 3 3 2" xfId="46434" xr:uid="{03690EC3-FF5F-441D-AB4F-787C663CAB47}"/>
    <cellStyle name="20% - Accent6 13 2 3 3 4" xfId="30556" xr:uid="{DF73CF77-B33C-4FA0-92CE-D03AC8139163}"/>
    <cellStyle name="20% - Accent6 13 2 3 4" xfId="11119" xr:uid="{00000000-0005-0000-0000-0000AE240000}"/>
    <cellStyle name="20% - Accent6 13 2 3 4 2" xfId="34968" xr:uid="{2182AED5-004F-47D4-A11C-37370D40BFAB}"/>
    <cellStyle name="20% - Accent6 13 2 3 5" xfId="19074" xr:uid="{00000000-0005-0000-0000-0000AF240000}"/>
    <cellStyle name="20% - Accent6 13 2 3 5 2" xfId="42906" xr:uid="{900DC0DE-E65A-4852-9C7A-067DE54E1E3E}"/>
    <cellStyle name="20% - Accent6 13 2 3 6" xfId="27026" xr:uid="{38730742-5006-4DC7-BF3F-793743B7785D}"/>
    <cellStyle name="20% - Accent6 13 2 3_Exh G" xfId="2589" xr:uid="{00000000-0005-0000-0000-0000B0240000}"/>
    <cellStyle name="20% - Accent6 13 2 4" xfId="3972" xr:uid="{00000000-0005-0000-0000-0000B1240000}"/>
    <cellStyle name="20% - Accent6 13 2 4 2" xfId="7564" xr:uid="{00000000-0005-0000-0000-0000B2240000}"/>
    <cellStyle name="20% - Accent6 13 2 4 2 2" xfId="15535" xr:uid="{00000000-0005-0000-0000-0000B3240000}"/>
    <cellStyle name="20% - Accent6 13 2 4 2 2 2" xfId="39377" xr:uid="{21B199A1-87A9-4870-B058-88D49531F9B3}"/>
    <cellStyle name="20% - Accent6 13 2 4 2 3" xfId="23481" xr:uid="{00000000-0005-0000-0000-0000B4240000}"/>
    <cellStyle name="20% - Accent6 13 2 4 2 3 2" xfId="47313" xr:uid="{A3F257FE-DF9F-4A6C-8D39-1A6E179161CD}"/>
    <cellStyle name="20% - Accent6 13 2 4 2 4" xfId="31436" xr:uid="{D2386EFD-67FA-466B-95B9-0CF7C691CCF2}"/>
    <cellStyle name="20% - Accent6 13 2 4 3" xfId="11997" xr:uid="{00000000-0005-0000-0000-0000B5240000}"/>
    <cellStyle name="20% - Accent6 13 2 4 3 2" xfId="35846" xr:uid="{9BAC0A18-B3E2-44CB-8AA4-064CBB39586B}"/>
    <cellStyle name="20% - Accent6 13 2 4 4" xfId="19952" xr:uid="{00000000-0005-0000-0000-0000B6240000}"/>
    <cellStyle name="20% - Accent6 13 2 4 4 2" xfId="43784" xr:uid="{41806270-AD1C-4C1B-A435-51BBA8E1E6C8}"/>
    <cellStyle name="20% - Accent6 13 2 4 5" xfId="27905" xr:uid="{2DD61CA0-396E-4DAB-A650-6A937B891ACD}"/>
    <cellStyle name="20% - Accent6 13 2 5" xfId="5792" xr:uid="{00000000-0005-0000-0000-0000B7240000}"/>
    <cellStyle name="20% - Accent6 13 2 5 2" xfId="13776" xr:uid="{00000000-0005-0000-0000-0000B8240000}"/>
    <cellStyle name="20% - Accent6 13 2 5 2 2" xfId="37619" xr:uid="{DE2BB7B0-A309-4C99-9674-812181FFE705}"/>
    <cellStyle name="20% - Accent6 13 2 5 3" xfId="21724" xr:uid="{00000000-0005-0000-0000-0000B9240000}"/>
    <cellStyle name="20% - Accent6 13 2 5 3 2" xfId="45556" xr:uid="{207E64C7-EC15-4865-82B2-6A77EA784A25}"/>
    <cellStyle name="20% - Accent6 13 2 5 4" xfId="29678" xr:uid="{45331C80-36F5-4F13-B874-9DDF87EFFEC2}"/>
    <cellStyle name="20% - Accent6 13 2 6" xfId="9345" xr:uid="{00000000-0005-0000-0000-0000BA240000}"/>
    <cellStyle name="20% - Accent6 13 2 6 2" xfId="17303" xr:uid="{00000000-0005-0000-0000-0000BB240000}"/>
    <cellStyle name="20% - Accent6 13 2 6 2 2" xfId="41143" xr:uid="{FF32E576-8CE0-4848-AA38-3BA89CFCA5D6}"/>
    <cellStyle name="20% - Accent6 13 2 6 3" xfId="25247" xr:uid="{00000000-0005-0000-0000-0000BC240000}"/>
    <cellStyle name="20% - Accent6 13 2 6 3 2" xfId="49079" xr:uid="{CA8DCABC-3D9B-4D0D-9D33-FCFB70DA8DCE}"/>
    <cellStyle name="20% - Accent6 13 2 6 4" xfId="33202" xr:uid="{9A1E9A6C-CE88-4135-B276-D6831CA91E10}"/>
    <cellStyle name="20% - Accent6 13 2 7" xfId="10241" xr:uid="{00000000-0005-0000-0000-0000BD240000}"/>
    <cellStyle name="20% - Accent6 13 2 7 2" xfId="34090" xr:uid="{7FDBB7A0-F19F-4710-9761-A7E1E512FC64}"/>
    <cellStyle name="20% - Accent6 13 2 8" xfId="18196" xr:uid="{00000000-0005-0000-0000-0000BE240000}"/>
    <cellStyle name="20% - Accent6 13 2 8 2" xfId="42028" xr:uid="{55F9BBD1-5BDA-4F30-BDC3-35E1309EAA5D}"/>
    <cellStyle name="20% - Accent6 13 2 9" xfId="26148" xr:uid="{67275329-8064-4039-805D-F182C16342BE}"/>
    <cellStyle name="20% - Accent6 13 2_Exh G" xfId="2586" xr:uid="{00000000-0005-0000-0000-0000BF240000}"/>
    <cellStyle name="20% - Accent6 13 3" xfId="295" xr:uid="{00000000-0005-0000-0000-0000C0240000}"/>
    <cellStyle name="20% - Accent6 13 3 2" xfId="1323" xr:uid="{00000000-0005-0000-0000-0000C1240000}"/>
    <cellStyle name="20% - Accent6 13 3 2 2" xfId="4853" xr:uid="{00000000-0005-0000-0000-0000C2240000}"/>
    <cellStyle name="20% - Accent6 13 3 2 2 2" xfId="8444" xr:uid="{00000000-0005-0000-0000-0000C3240000}"/>
    <cellStyle name="20% - Accent6 13 3 2 2 2 2" xfId="16415" xr:uid="{00000000-0005-0000-0000-0000C4240000}"/>
    <cellStyle name="20% - Accent6 13 3 2 2 2 2 2" xfId="40257" xr:uid="{6469CBC4-73B0-4C03-964B-62702A52B842}"/>
    <cellStyle name="20% - Accent6 13 3 2 2 2 3" xfId="24361" xr:uid="{00000000-0005-0000-0000-0000C5240000}"/>
    <cellStyle name="20% - Accent6 13 3 2 2 2 3 2" xfId="48193" xr:uid="{36C170E6-7AC1-4575-A734-249FC743F702}"/>
    <cellStyle name="20% - Accent6 13 3 2 2 2 4" xfId="32316" xr:uid="{CCC17C12-2C74-442D-ADAE-3FB1440EFE17}"/>
    <cellStyle name="20% - Accent6 13 3 2 2 3" xfId="12877" xr:uid="{00000000-0005-0000-0000-0000C6240000}"/>
    <cellStyle name="20% - Accent6 13 3 2 2 3 2" xfId="36726" xr:uid="{6E9DA230-8BAD-415D-B3C3-53D94ECB2221}"/>
    <cellStyle name="20% - Accent6 13 3 2 2 4" xfId="20832" xr:uid="{00000000-0005-0000-0000-0000C7240000}"/>
    <cellStyle name="20% - Accent6 13 3 2 2 4 2" xfId="44664" xr:uid="{2A5B729C-C9AE-4EFF-8BD5-E8242A4AE91D}"/>
    <cellStyle name="20% - Accent6 13 3 2 2 5" xfId="28785" xr:uid="{24F29100-A5C8-47B8-8BB7-066895CB6008}"/>
    <cellStyle name="20% - Accent6 13 3 2 3" xfId="6685" xr:uid="{00000000-0005-0000-0000-0000C8240000}"/>
    <cellStyle name="20% - Accent6 13 3 2 3 2" xfId="14657" xr:uid="{00000000-0005-0000-0000-0000C9240000}"/>
    <cellStyle name="20% - Accent6 13 3 2 3 2 2" xfId="38499" xr:uid="{0CF112B1-E120-444F-8961-DB08D938B471}"/>
    <cellStyle name="20% - Accent6 13 3 2 3 3" xfId="22604" xr:uid="{00000000-0005-0000-0000-0000CA240000}"/>
    <cellStyle name="20% - Accent6 13 3 2 3 3 2" xfId="46436" xr:uid="{93E90A76-7F48-490C-97B7-8E5989E4BA9F}"/>
    <cellStyle name="20% - Accent6 13 3 2 3 4" xfId="30558" xr:uid="{DD131F14-6E44-4084-9EC3-DF1C1DE4C15A}"/>
    <cellStyle name="20% - Accent6 13 3 2 4" xfId="11121" xr:uid="{00000000-0005-0000-0000-0000CB240000}"/>
    <cellStyle name="20% - Accent6 13 3 2 4 2" xfId="34970" xr:uid="{756D888A-9B25-47C3-B023-F9DBC250C8A0}"/>
    <cellStyle name="20% - Accent6 13 3 2 5" xfId="19076" xr:uid="{00000000-0005-0000-0000-0000CC240000}"/>
    <cellStyle name="20% - Accent6 13 3 2 5 2" xfId="42908" xr:uid="{40DA9E4E-8E16-4EAD-A44E-784E964BB62A}"/>
    <cellStyle name="20% - Accent6 13 3 2 6" xfId="27028" xr:uid="{27B1D224-BAD8-44F7-9A5C-72D0C41F7B9F}"/>
    <cellStyle name="20% - Accent6 13 3 2_Exh G" xfId="2591" xr:uid="{00000000-0005-0000-0000-0000CD240000}"/>
    <cellStyle name="20% - Accent6 13 3 3" xfId="3974" xr:uid="{00000000-0005-0000-0000-0000CE240000}"/>
    <cellStyle name="20% - Accent6 13 3 3 2" xfId="7566" xr:uid="{00000000-0005-0000-0000-0000CF240000}"/>
    <cellStyle name="20% - Accent6 13 3 3 2 2" xfId="15537" xr:uid="{00000000-0005-0000-0000-0000D0240000}"/>
    <cellStyle name="20% - Accent6 13 3 3 2 2 2" xfId="39379" xr:uid="{0666F10E-88DB-41B1-B9D2-B56108A1910E}"/>
    <cellStyle name="20% - Accent6 13 3 3 2 3" xfId="23483" xr:uid="{00000000-0005-0000-0000-0000D1240000}"/>
    <cellStyle name="20% - Accent6 13 3 3 2 3 2" xfId="47315" xr:uid="{BDFA5533-83BD-455A-B58F-EB6B642F1FD4}"/>
    <cellStyle name="20% - Accent6 13 3 3 2 4" xfId="31438" xr:uid="{20FA7BAA-CB49-4728-ACC3-D8C66AC04A7F}"/>
    <cellStyle name="20% - Accent6 13 3 3 3" xfId="11999" xr:uid="{00000000-0005-0000-0000-0000D2240000}"/>
    <cellStyle name="20% - Accent6 13 3 3 3 2" xfId="35848" xr:uid="{6054712C-7D9A-4DE8-ACCB-3544D3968E34}"/>
    <cellStyle name="20% - Accent6 13 3 3 4" xfId="19954" xr:uid="{00000000-0005-0000-0000-0000D3240000}"/>
    <cellStyle name="20% - Accent6 13 3 3 4 2" xfId="43786" xr:uid="{092E1F7F-3C2C-40BD-83DA-FC708826B0CA}"/>
    <cellStyle name="20% - Accent6 13 3 3 5" xfId="27907" xr:uid="{88C09DEC-3106-4E9A-BFA9-8E22383824CC}"/>
    <cellStyle name="20% - Accent6 13 3 4" xfId="5794" xr:uid="{00000000-0005-0000-0000-0000D4240000}"/>
    <cellStyle name="20% - Accent6 13 3 4 2" xfId="13778" xr:uid="{00000000-0005-0000-0000-0000D5240000}"/>
    <cellStyle name="20% - Accent6 13 3 4 2 2" xfId="37621" xr:uid="{D22664DB-4CC3-4689-B2E8-A8424C3478B8}"/>
    <cellStyle name="20% - Accent6 13 3 4 3" xfId="21726" xr:uid="{00000000-0005-0000-0000-0000D6240000}"/>
    <cellStyle name="20% - Accent6 13 3 4 3 2" xfId="45558" xr:uid="{A544FCDC-FB05-43B0-B8BA-74B024892E35}"/>
    <cellStyle name="20% - Accent6 13 3 4 4" xfId="29680" xr:uid="{8F0B6C4D-D894-4C2A-8BEB-ECAA4DACEE4D}"/>
    <cellStyle name="20% - Accent6 13 3 5" xfId="9347" xr:uid="{00000000-0005-0000-0000-0000D7240000}"/>
    <cellStyle name="20% - Accent6 13 3 5 2" xfId="17305" xr:uid="{00000000-0005-0000-0000-0000D8240000}"/>
    <cellStyle name="20% - Accent6 13 3 5 2 2" xfId="41145" xr:uid="{6891D507-62A9-4E9C-84C0-9AF209FA0B3A}"/>
    <cellStyle name="20% - Accent6 13 3 5 3" xfId="25249" xr:uid="{00000000-0005-0000-0000-0000D9240000}"/>
    <cellStyle name="20% - Accent6 13 3 5 3 2" xfId="49081" xr:uid="{EA0C00CC-EE71-40F8-89D0-392D3CF081FF}"/>
    <cellStyle name="20% - Accent6 13 3 5 4" xfId="33204" xr:uid="{C9A6FB0A-8016-4BE9-81F1-693928D231DA}"/>
    <cellStyle name="20% - Accent6 13 3 6" xfId="10243" xr:uid="{00000000-0005-0000-0000-0000DA240000}"/>
    <cellStyle name="20% - Accent6 13 3 6 2" xfId="34092" xr:uid="{D511B8AD-7B62-4061-A5ED-2DE69B9A1BAE}"/>
    <cellStyle name="20% - Accent6 13 3 7" xfId="18198" xr:uid="{00000000-0005-0000-0000-0000DB240000}"/>
    <cellStyle name="20% - Accent6 13 3 7 2" xfId="42030" xr:uid="{5E40985E-B3B5-4315-B0F6-C798DDF16205}"/>
    <cellStyle name="20% - Accent6 13 3 8" xfId="26150" xr:uid="{E31DF8FB-3234-49D6-8546-2AA3B5DE92B8}"/>
    <cellStyle name="20% - Accent6 13 3_Exh G" xfId="2590" xr:uid="{00000000-0005-0000-0000-0000DC240000}"/>
    <cellStyle name="20% - Accent6 13 4" xfId="1320" xr:uid="{00000000-0005-0000-0000-0000DD240000}"/>
    <cellStyle name="20% - Accent6 13 4 2" xfId="4850" xr:uid="{00000000-0005-0000-0000-0000DE240000}"/>
    <cellStyle name="20% - Accent6 13 4 2 2" xfId="8441" xr:uid="{00000000-0005-0000-0000-0000DF240000}"/>
    <cellStyle name="20% - Accent6 13 4 2 2 2" xfId="16412" xr:uid="{00000000-0005-0000-0000-0000E0240000}"/>
    <cellStyle name="20% - Accent6 13 4 2 2 2 2" xfId="40254" xr:uid="{A9C908EC-537D-431C-A480-D7BFEA9A1303}"/>
    <cellStyle name="20% - Accent6 13 4 2 2 3" xfId="24358" xr:uid="{00000000-0005-0000-0000-0000E1240000}"/>
    <cellStyle name="20% - Accent6 13 4 2 2 3 2" xfId="48190" xr:uid="{779BE740-A72D-4F43-B4B3-F8052E0A6E01}"/>
    <cellStyle name="20% - Accent6 13 4 2 2 4" xfId="32313" xr:uid="{0DCB3BBC-7027-46D0-ACEC-56C6687E8CF2}"/>
    <cellStyle name="20% - Accent6 13 4 2 3" xfId="12874" xr:uid="{00000000-0005-0000-0000-0000E2240000}"/>
    <cellStyle name="20% - Accent6 13 4 2 3 2" xfId="36723" xr:uid="{E2381AB3-4BBC-482B-AB8F-5EC2347D06AA}"/>
    <cellStyle name="20% - Accent6 13 4 2 4" xfId="20829" xr:uid="{00000000-0005-0000-0000-0000E3240000}"/>
    <cellStyle name="20% - Accent6 13 4 2 4 2" xfId="44661" xr:uid="{87D5E12A-FC6E-4AD8-AE35-F4376622D58C}"/>
    <cellStyle name="20% - Accent6 13 4 2 5" xfId="28782" xr:uid="{77C1A8AB-77F9-4EA3-83F4-4EEF6AF616B2}"/>
    <cellStyle name="20% - Accent6 13 4 3" xfId="6682" xr:uid="{00000000-0005-0000-0000-0000E4240000}"/>
    <cellStyle name="20% - Accent6 13 4 3 2" xfId="14654" xr:uid="{00000000-0005-0000-0000-0000E5240000}"/>
    <cellStyle name="20% - Accent6 13 4 3 2 2" xfId="38496" xr:uid="{740C1741-C57B-46C8-B57C-90BC69083298}"/>
    <cellStyle name="20% - Accent6 13 4 3 3" xfId="22601" xr:uid="{00000000-0005-0000-0000-0000E6240000}"/>
    <cellStyle name="20% - Accent6 13 4 3 3 2" xfId="46433" xr:uid="{9AEE7D37-A02F-467F-B400-10E3A08612D0}"/>
    <cellStyle name="20% - Accent6 13 4 3 4" xfId="30555" xr:uid="{4DF3C12A-7166-4FAE-9F6D-30FC7D3C9FDB}"/>
    <cellStyle name="20% - Accent6 13 4 4" xfId="11118" xr:uid="{00000000-0005-0000-0000-0000E7240000}"/>
    <cellStyle name="20% - Accent6 13 4 4 2" xfId="34967" xr:uid="{376A4E6F-A930-412A-AD1C-0550233F175B}"/>
    <cellStyle name="20% - Accent6 13 4 5" xfId="19073" xr:uid="{00000000-0005-0000-0000-0000E8240000}"/>
    <cellStyle name="20% - Accent6 13 4 5 2" xfId="42905" xr:uid="{A377A245-D1F7-41EA-BC99-103BD8031DA2}"/>
    <cellStyle name="20% - Accent6 13 4 6" xfId="27025" xr:uid="{37C999C9-603C-4772-A806-4CCD942B1477}"/>
    <cellStyle name="20% - Accent6 13 4_Exh G" xfId="2592" xr:uid="{00000000-0005-0000-0000-0000E9240000}"/>
    <cellStyle name="20% - Accent6 13 5" xfId="3971" xr:uid="{00000000-0005-0000-0000-0000EA240000}"/>
    <cellStyle name="20% - Accent6 13 5 2" xfId="7563" xr:uid="{00000000-0005-0000-0000-0000EB240000}"/>
    <cellStyle name="20% - Accent6 13 5 2 2" xfId="15534" xr:uid="{00000000-0005-0000-0000-0000EC240000}"/>
    <cellStyle name="20% - Accent6 13 5 2 2 2" xfId="39376" xr:uid="{B1BF67EC-AA74-4909-B8BB-C0A697CE2051}"/>
    <cellStyle name="20% - Accent6 13 5 2 3" xfId="23480" xr:uid="{00000000-0005-0000-0000-0000ED240000}"/>
    <cellStyle name="20% - Accent6 13 5 2 3 2" xfId="47312" xr:uid="{97E3D74F-EC3D-4187-A659-43C864F39125}"/>
    <cellStyle name="20% - Accent6 13 5 2 4" xfId="31435" xr:uid="{CA3371A1-3D77-4DA0-911E-20FBAC442D94}"/>
    <cellStyle name="20% - Accent6 13 5 3" xfId="11996" xr:uid="{00000000-0005-0000-0000-0000EE240000}"/>
    <cellStyle name="20% - Accent6 13 5 3 2" xfId="35845" xr:uid="{CC0CECFC-F2F0-42BF-A0BA-86011A1A17B9}"/>
    <cellStyle name="20% - Accent6 13 5 4" xfId="19951" xr:uid="{00000000-0005-0000-0000-0000EF240000}"/>
    <cellStyle name="20% - Accent6 13 5 4 2" xfId="43783" xr:uid="{D07CDB82-3FEB-4114-8EBB-92934B78AE98}"/>
    <cellStyle name="20% - Accent6 13 5 5" xfId="27904" xr:uid="{E50E9A39-76B3-44C9-9E6F-3B78978B66A3}"/>
    <cellStyle name="20% - Accent6 13 6" xfId="5791" xr:uid="{00000000-0005-0000-0000-0000F0240000}"/>
    <cellStyle name="20% - Accent6 13 6 2" xfId="13775" xr:uid="{00000000-0005-0000-0000-0000F1240000}"/>
    <cellStyle name="20% - Accent6 13 6 2 2" xfId="37618" xr:uid="{B5C60940-670C-4C4A-BFA2-47F803205C5A}"/>
    <cellStyle name="20% - Accent6 13 6 3" xfId="21723" xr:uid="{00000000-0005-0000-0000-0000F2240000}"/>
    <cellStyle name="20% - Accent6 13 6 3 2" xfId="45555" xr:uid="{E79ADB7D-F64F-4092-B66B-70CA2F53D354}"/>
    <cellStyle name="20% - Accent6 13 6 4" xfId="29677" xr:uid="{7F11F064-F632-4D8D-B01D-B0D8D29FA60A}"/>
    <cellStyle name="20% - Accent6 13 7" xfId="9344" xr:uid="{00000000-0005-0000-0000-0000F3240000}"/>
    <cellStyle name="20% - Accent6 13 7 2" xfId="17302" xr:uid="{00000000-0005-0000-0000-0000F4240000}"/>
    <cellStyle name="20% - Accent6 13 7 2 2" xfId="41142" xr:uid="{DD85A1ED-91C7-4AA9-A92E-8490D75714D0}"/>
    <cellStyle name="20% - Accent6 13 7 3" xfId="25246" xr:uid="{00000000-0005-0000-0000-0000F5240000}"/>
    <cellStyle name="20% - Accent6 13 7 3 2" xfId="49078" xr:uid="{145D206E-A455-4840-9C6B-B8493EA9DC04}"/>
    <cellStyle name="20% - Accent6 13 7 4" xfId="33201" xr:uid="{085A0004-4FF5-4786-8D86-92DD36D7CCAF}"/>
    <cellStyle name="20% - Accent6 13 8" xfId="10240" xr:uid="{00000000-0005-0000-0000-0000F6240000}"/>
    <cellStyle name="20% - Accent6 13 8 2" xfId="34089" xr:uid="{D63B029A-A644-48A1-92AF-85EED10F4DB3}"/>
    <cellStyle name="20% - Accent6 13 9" xfId="18195" xr:uid="{00000000-0005-0000-0000-0000F7240000}"/>
    <cellStyle name="20% - Accent6 13 9 2" xfId="42027" xr:uid="{C6F9DE20-EFF0-414D-A62A-5DBB3E7BFD82}"/>
    <cellStyle name="20% - Accent6 13_Exh G" xfId="2585" xr:uid="{00000000-0005-0000-0000-0000F8240000}"/>
    <cellStyle name="20% - Accent6 14" xfId="296" xr:uid="{00000000-0005-0000-0000-0000F9240000}"/>
    <cellStyle name="20% - Accent6 14 2" xfId="297" xr:uid="{00000000-0005-0000-0000-0000FA240000}"/>
    <cellStyle name="20% - Accent6 14 2 2" xfId="1325" xr:uid="{00000000-0005-0000-0000-0000FB240000}"/>
    <cellStyle name="20% - Accent6 14 2 2 2" xfId="4855" xr:uid="{00000000-0005-0000-0000-0000FC240000}"/>
    <cellStyle name="20% - Accent6 14 2 2 2 2" xfId="8446" xr:uid="{00000000-0005-0000-0000-0000FD240000}"/>
    <cellStyle name="20% - Accent6 14 2 2 2 2 2" xfId="16417" xr:uid="{00000000-0005-0000-0000-0000FE240000}"/>
    <cellStyle name="20% - Accent6 14 2 2 2 2 2 2" xfId="40259" xr:uid="{194B40E2-6A0C-4559-A3D4-AA012CCF81C7}"/>
    <cellStyle name="20% - Accent6 14 2 2 2 2 3" xfId="24363" xr:uid="{00000000-0005-0000-0000-0000FF240000}"/>
    <cellStyle name="20% - Accent6 14 2 2 2 2 3 2" xfId="48195" xr:uid="{AB2929B6-3A09-4C09-ACA7-75328B928141}"/>
    <cellStyle name="20% - Accent6 14 2 2 2 2 4" xfId="32318" xr:uid="{DF35F9A5-1785-4B45-99BD-B0540300C63D}"/>
    <cellStyle name="20% - Accent6 14 2 2 2 3" xfId="12879" xr:uid="{00000000-0005-0000-0000-000000250000}"/>
    <cellStyle name="20% - Accent6 14 2 2 2 3 2" xfId="36728" xr:uid="{B88EF2EE-7F1C-4B2C-892A-4E03A676A71A}"/>
    <cellStyle name="20% - Accent6 14 2 2 2 4" xfId="20834" xr:uid="{00000000-0005-0000-0000-000001250000}"/>
    <cellStyle name="20% - Accent6 14 2 2 2 4 2" xfId="44666" xr:uid="{5008FF11-B5E8-4076-B193-59DD57281529}"/>
    <cellStyle name="20% - Accent6 14 2 2 2 5" xfId="28787" xr:uid="{92348E42-C552-4E4C-AC71-09720BEE4A9A}"/>
    <cellStyle name="20% - Accent6 14 2 2 3" xfId="6687" xr:uid="{00000000-0005-0000-0000-000002250000}"/>
    <cellStyle name="20% - Accent6 14 2 2 3 2" xfId="14659" xr:uid="{00000000-0005-0000-0000-000003250000}"/>
    <cellStyle name="20% - Accent6 14 2 2 3 2 2" xfId="38501" xr:uid="{F72C9C16-FD74-45E3-AA89-6D7F99946157}"/>
    <cellStyle name="20% - Accent6 14 2 2 3 3" xfId="22606" xr:uid="{00000000-0005-0000-0000-000004250000}"/>
    <cellStyle name="20% - Accent6 14 2 2 3 3 2" xfId="46438" xr:uid="{4E0206A6-A824-4812-BE82-EBA31AD85833}"/>
    <cellStyle name="20% - Accent6 14 2 2 3 4" xfId="30560" xr:uid="{C8E24924-507C-4525-BAE4-EB2EE8ECC72B}"/>
    <cellStyle name="20% - Accent6 14 2 2 4" xfId="11123" xr:uid="{00000000-0005-0000-0000-000005250000}"/>
    <cellStyle name="20% - Accent6 14 2 2 4 2" xfId="34972" xr:uid="{9EAF2CD3-1FC5-4D17-9E34-64C4438B046D}"/>
    <cellStyle name="20% - Accent6 14 2 2 5" xfId="19078" xr:uid="{00000000-0005-0000-0000-000006250000}"/>
    <cellStyle name="20% - Accent6 14 2 2 5 2" xfId="42910" xr:uid="{3FF53811-E83C-4BA8-A925-FB6C9F27D07C}"/>
    <cellStyle name="20% - Accent6 14 2 2 6" xfId="27030" xr:uid="{5C498C93-8A7A-4139-8999-A9BC3199CE9E}"/>
    <cellStyle name="20% - Accent6 14 2 2_Exh G" xfId="2595" xr:uid="{00000000-0005-0000-0000-000007250000}"/>
    <cellStyle name="20% - Accent6 14 2 3" xfId="3976" xr:uid="{00000000-0005-0000-0000-000008250000}"/>
    <cellStyle name="20% - Accent6 14 2 3 2" xfId="7568" xr:uid="{00000000-0005-0000-0000-000009250000}"/>
    <cellStyle name="20% - Accent6 14 2 3 2 2" xfId="15539" xr:uid="{00000000-0005-0000-0000-00000A250000}"/>
    <cellStyle name="20% - Accent6 14 2 3 2 2 2" xfId="39381" xr:uid="{1D62EE2D-E434-4BAD-A6CA-C28125D9EDE1}"/>
    <cellStyle name="20% - Accent6 14 2 3 2 3" xfId="23485" xr:uid="{00000000-0005-0000-0000-00000B250000}"/>
    <cellStyle name="20% - Accent6 14 2 3 2 3 2" xfId="47317" xr:uid="{B3357663-98E9-4209-A213-5B810CAEA8DF}"/>
    <cellStyle name="20% - Accent6 14 2 3 2 4" xfId="31440" xr:uid="{8F82D966-F9F6-43AC-BAB8-9AB60C6D7BFC}"/>
    <cellStyle name="20% - Accent6 14 2 3 3" xfId="12001" xr:uid="{00000000-0005-0000-0000-00000C250000}"/>
    <cellStyle name="20% - Accent6 14 2 3 3 2" xfId="35850" xr:uid="{E2BF1FF9-4B6D-421C-B4A0-D180B225DC5D}"/>
    <cellStyle name="20% - Accent6 14 2 3 4" xfId="19956" xr:uid="{00000000-0005-0000-0000-00000D250000}"/>
    <cellStyle name="20% - Accent6 14 2 3 4 2" xfId="43788" xr:uid="{86DC419E-499D-4ED5-A612-698EB7F30348}"/>
    <cellStyle name="20% - Accent6 14 2 3 5" xfId="27909" xr:uid="{B8EDD8B8-40E0-4794-9B46-2B08F121BA38}"/>
    <cellStyle name="20% - Accent6 14 2 4" xfId="5796" xr:uid="{00000000-0005-0000-0000-00000E250000}"/>
    <cellStyle name="20% - Accent6 14 2 4 2" xfId="13780" xr:uid="{00000000-0005-0000-0000-00000F250000}"/>
    <cellStyle name="20% - Accent6 14 2 4 2 2" xfId="37623" xr:uid="{26CC31F9-B376-4291-9697-408CC58CCD5E}"/>
    <cellStyle name="20% - Accent6 14 2 4 3" xfId="21728" xr:uid="{00000000-0005-0000-0000-000010250000}"/>
    <cellStyle name="20% - Accent6 14 2 4 3 2" xfId="45560" xr:uid="{68A74D20-55C0-4072-BD38-BC711BEB22B6}"/>
    <cellStyle name="20% - Accent6 14 2 4 4" xfId="29682" xr:uid="{3F89E94A-E5AD-41A0-A47C-398AFA26A81C}"/>
    <cellStyle name="20% - Accent6 14 2 5" xfId="9349" xr:uid="{00000000-0005-0000-0000-000011250000}"/>
    <cellStyle name="20% - Accent6 14 2 5 2" xfId="17307" xr:uid="{00000000-0005-0000-0000-000012250000}"/>
    <cellStyle name="20% - Accent6 14 2 5 2 2" xfId="41147" xr:uid="{AFCECB88-D774-4AFD-8F20-D1A10C571618}"/>
    <cellStyle name="20% - Accent6 14 2 5 3" xfId="25251" xr:uid="{00000000-0005-0000-0000-000013250000}"/>
    <cellStyle name="20% - Accent6 14 2 5 3 2" xfId="49083" xr:uid="{C95497A4-057E-4D4C-9FD4-124CF7568903}"/>
    <cellStyle name="20% - Accent6 14 2 5 4" xfId="33206" xr:uid="{F0E11E04-8459-4452-B964-FB3809105DD7}"/>
    <cellStyle name="20% - Accent6 14 2 6" xfId="10245" xr:uid="{00000000-0005-0000-0000-000014250000}"/>
    <cellStyle name="20% - Accent6 14 2 6 2" xfId="34094" xr:uid="{9F0F60FA-6F40-4E3A-A75D-F7DAFEB74F2F}"/>
    <cellStyle name="20% - Accent6 14 2 7" xfId="18200" xr:uid="{00000000-0005-0000-0000-000015250000}"/>
    <cellStyle name="20% - Accent6 14 2 7 2" xfId="42032" xr:uid="{6B0490AE-0B5C-4DE4-B0C4-8471037E1D66}"/>
    <cellStyle name="20% - Accent6 14 2 8" xfId="26152" xr:uid="{CCAC9DAE-5FCC-477C-B1C0-E480308A32E1}"/>
    <cellStyle name="20% - Accent6 14 2_Exh G" xfId="2594" xr:uid="{00000000-0005-0000-0000-000016250000}"/>
    <cellStyle name="20% - Accent6 14 3" xfId="1324" xr:uid="{00000000-0005-0000-0000-000017250000}"/>
    <cellStyle name="20% - Accent6 14 3 2" xfId="4854" xr:uid="{00000000-0005-0000-0000-000018250000}"/>
    <cellStyle name="20% - Accent6 14 3 2 2" xfId="8445" xr:uid="{00000000-0005-0000-0000-000019250000}"/>
    <cellStyle name="20% - Accent6 14 3 2 2 2" xfId="16416" xr:uid="{00000000-0005-0000-0000-00001A250000}"/>
    <cellStyle name="20% - Accent6 14 3 2 2 2 2" xfId="40258" xr:uid="{271B1D71-DF11-4C52-9618-B8FB60D19B90}"/>
    <cellStyle name="20% - Accent6 14 3 2 2 3" xfId="24362" xr:uid="{00000000-0005-0000-0000-00001B250000}"/>
    <cellStyle name="20% - Accent6 14 3 2 2 3 2" xfId="48194" xr:uid="{77E235C2-7272-4AA1-A159-374C1BFC1AF5}"/>
    <cellStyle name="20% - Accent6 14 3 2 2 4" xfId="32317" xr:uid="{0D335358-E2E5-4722-B8CF-0FEFF4875E2F}"/>
    <cellStyle name="20% - Accent6 14 3 2 3" xfId="12878" xr:uid="{00000000-0005-0000-0000-00001C250000}"/>
    <cellStyle name="20% - Accent6 14 3 2 3 2" xfId="36727" xr:uid="{C1CDD420-DD30-441A-9950-620028514B3A}"/>
    <cellStyle name="20% - Accent6 14 3 2 4" xfId="20833" xr:uid="{00000000-0005-0000-0000-00001D250000}"/>
    <cellStyle name="20% - Accent6 14 3 2 4 2" xfId="44665" xr:uid="{C651FB71-DC18-4A2C-BC86-630AFD55F994}"/>
    <cellStyle name="20% - Accent6 14 3 2 5" xfId="28786" xr:uid="{B710C2FE-ACE5-478C-8A32-27FE7809D76F}"/>
    <cellStyle name="20% - Accent6 14 3 3" xfId="6686" xr:uid="{00000000-0005-0000-0000-00001E250000}"/>
    <cellStyle name="20% - Accent6 14 3 3 2" xfId="14658" xr:uid="{00000000-0005-0000-0000-00001F250000}"/>
    <cellStyle name="20% - Accent6 14 3 3 2 2" xfId="38500" xr:uid="{83A2666A-32F4-4E3E-AACA-BA59572E9BC6}"/>
    <cellStyle name="20% - Accent6 14 3 3 3" xfId="22605" xr:uid="{00000000-0005-0000-0000-000020250000}"/>
    <cellStyle name="20% - Accent6 14 3 3 3 2" xfId="46437" xr:uid="{34EA9C2E-F90A-4D2C-8436-6DAEE3E2111E}"/>
    <cellStyle name="20% - Accent6 14 3 3 4" xfId="30559" xr:uid="{6734DA53-C048-43C4-A197-DFF93A17ACFC}"/>
    <cellStyle name="20% - Accent6 14 3 4" xfId="11122" xr:uid="{00000000-0005-0000-0000-000021250000}"/>
    <cellStyle name="20% - Accent6 14 3 4 2" xfId="34971" xr:uid="{E7000BF3-4507-42C3-BF19-CEB893505E54}"/>
    <cellStyle name="20% - Accent6 14 3 5" xfId="19077" xr:uid="{00000000-0005-0000-0000-000022250000}"/>
    <cellStyle name="20% - Accent6 14 3 5 2" xfId="42909" xr:uid="{427675FA-05EA-4568-9D15-239B472F5440}"/>
    <cellStyle name="20% - Accent6 14 3 6" xfId="27029" xr:uid="{C770EAE8-3EC3-42C3-839F-F0C9918EC65E}"/>
    <cellStyle name="20% - Accent6 14 3_Exh G" xfId="2596" xr:uid="{00000000-0005-0000-0000-000023250000}"/>
    <cellStyle name="20% - Accent6 14 4" xfId="3975" xr:uid="{00000000-0005-0000-0000-000024250000}"/>
    <cellStyle name="20% - Accent6 14 4 2" xfId="7567" xr:uid="{00000000-0005-0000-0000-000025250000}"/>
    <cellStyle name="20% - Accent6 14 4 2 2" xfId="15538" xr:uid="{00000000-0005-0000-0000-000026250000}"/>
    <cellStyle name="20% - Accent6 14 4 2 2 2" xfId="39380" xr:uid="{EB78722F-24E2-4DC8-BDDD-E578D1E71BFB}"/>
    <cellStyle name="20% - Accent6 14 4 2 3" xfId="23484" xr:uid="{00000000-0005-0000-0000-000027250000}"/>
    <cellStyle name="20% - Accent6 14 4 2 3 2" xfId="47316" xr:uid="{5A079713-C4EB-472A-8DDC-9237F88AC0D7}"/>
    <cellStyle name="20% - Accent6 14 4 2 4" xfId="31439" xr:uid="{FED90BD2-F814-4FE4-8CC0-53179CF29956}"/>
    <cellStyle name="20% - Accent6 14 4 3" xfId="12000" xr:uid="{00000000-0005-0000-0000-000028250000}"/>
    <cellStyle name="20% - Accent6 14 4 3 2" xfId="35849" xr:uid="{E26F070C-CC75-427E-B47A-A9FE1F325C9A}"/>
    <cellStyle name="20% - Accent6 14 4 4" xfId="19955" xr:uid="{00000000-0005-0000-0000-000029250000}"/>
    <cellStyle name="20% - Accent6 14 4 4 2" xfId="43787" xr:uid="{716B8A48-768B-4447-8D41-13B15C3834BA}"/>
    <cellStyle name="20% - Accent6 14 4 5" xfId="27908" xr:uid="{6516C924-894F-4616-B913-149ABDA60297}"/>
    <cellStyle name="20% - Accent6 14 5" xfId="5795" xr:uid="{00000000-0005-0000-0000-00002A250000}"/>
    <cellStyle name="20% - Accent6 14 5 2" xfId="13779" xr:uid="{00000000-0005-0000-0000-00002B250000}"/>
    <cellStyle name="20% - Accent6 14 5 2 2" xfId="37622" xr:uid="{85A03C4A-34D8-4D8F-8F97-64EF190B308F}"/>
    <cellStyle name="20% - Accent6 14 5 3" xfId="21727" xr:uid="{00000000-0005-0000-0000-00002C250000}"/>
    <cellStyle name="20% - Accent6 14 5 3 2" xfId="45559" xr:uid="{4057E7F4-5844-429A-8185-260B845ADB7F}"/>
    <cellStyle name="20% - Accent6 14 5 4" xfId="29681" xr:uid="{9EDF1F3C-BAE5-43F1-932A-34EE1EE0ACE9}"/>
    <cellStyle name="20% - Accent6 14 6" xfId="9348" xr:uid="{00000000-0005-0000-0000-00002D250000}"/>
    <cellStyle name="20% - Accent6 14 6 2" xfId="17306" xr:uid="{00000000-0005-0000-0000-00002E250000}"/>
    <cellStyle name="20% - Accent6 14 6 2 2" xfId="41146" xr:uid="{E2FF4FAE-CD2E-4222-AA0F-14F4603F169C}"/>
    <cellStyle name="20% - Accent6 14 6 3" xfId="25250" xr:uid="{00000000-0005-0000-0000-00002F250000}"/>
    <cellStyle name="20% - Accent6 14 6 3 2" xfId="49082" xr:uid="{1A09607B-C3A0-4BAC-9F8B-712F5D7C618C}"/>
    <cellStyle name="20% - Accent6 14 6 4" xfId="33205" xr:uid="{7F5A6AC2-EB5A-4A09-B5D5-56134F36BF55}"/>
    <cellStyle name="20% - Accent6 14 7" xfId="10244" xr:uid="{00000000-0005-0000-0000-000030250000}"/>
    <cellStyle name="20% - Accent6 14 7 2" xfId="34093" xr:uid="{5626FB08-9B17-476A-B616-CF0735692538}"/>
    <cellStyle name="20% - Accent6 14 8" xfId="18199" xr:uid="{00000000-0005-0000-0000-000031250000}"/>
    <cellStyle name="20% - Accent6 14 8 2" xfId="42031" xr:uid="{AC840B37-5B58-4F53-92D2-CD2D0045B019}"/>
    <cellStyle name="20% - Accent6 14 9" xfId="26151" xr:uid="{A80046E1-632E-4032-BDC1-F73DE9A1B7A9}"/>
    <cellStyle name="20% - Accent6 14_Exh G" xfId="2593" xr:uid="{00000000-0005-0000-0000-000032250000}"/>
    <cellStyle name="20% - Accent6 15" xfId="298" xr:uid="{00000000-0005-0000-0000-000033250000}"/>
    <cellStyle name="20% - Accent6 15 2" xfId="1326" xr:uid="{00000000-0005-0000-0000-000034250000}"/>
    <cellStyle name="20% - Accent6 15 2 2" xfId="4856" xr:uid="{00000000-0005-0000-0000-000035250000}"/>
    <cellStyle name="20% - Accent6 15 2 2 2" xfId="8447" xr:uid="{00000000-0005-0000-0000-000036250000}"/>
    <cellStyle name="20% - Accent6 15 2 2 2 2" xfId="16418" xr:uid="{00000000-0005-0000-0000-000037250000}"/>
    <cellStyle name="20% - Accent6 15 2 2 2 2 2" xfId="40260" xr:uid="{CB76C078-1182-4D51-AD6A-BB5DB1F864BB}"/>
    <cellStyle name="20% - Accent6 15 2 2 2 3" xfId="24364" xr:uid="{00000000-0005-0000-0000-000038250000}"/>
    <cellStyle name="20% - Accent6 15 2 2 2 3 2" xfId="48196" xr:uid="{367049EB-A0A5-42B9-B8D5-F319304F2CC7}"/>
    <cellStyle name="20% - Accent6 15 2 2 2 4" xfId="32319" xr:uid="{5A4489DE-0882-44A6-ACF8-3E21509303D5}"/>
    <cellStyle name="20% - Accent6 15 2 2 3" xfId="12880" xr:uid="{00000000-0005-0000-0000-000039250000}"/>
    <cellStyle name="20% - Accent6 15 2 2 3 2" xfId="36729" xr:uid="{040F0848-2670-46BE-B871-F38C9EAAD0BC}"/>
    <cellStyle name="20% - Accent6 15 2 2 4" xfId="20835" xr:uid="{00000000-0005-0000-0000-00003A250000}"/>
    <cellStyle name="20% - Accent6 15 2 2 4 2" xfId="44667" xr:uid="{3BC1E23E-F682-470D-B4DF-C9D0BE3FF929}"/>
    <cellStyle name="20% - Accent6 15 2 2 5" xfId="28788" xr:uid="{D2496B34-9143-4331-A866-366C7A038B3A}"/>
    <cellStyle name="20% - Accent6 15 2 3" xfId="6688" xr:uid="{00000000-0005-0000-0000-00003B250000}"/>
    <cellStyle name="20% - Accent6 15 2 3 2" xfId="14660" xr:uid="{00000000-0005-0000-0000-00003C250000}"/>
    <cellStyle name="20% - Accent6 15 2 3 2 2" xfId="38502" xr:uid="{E25CAABC-A315-4298-96AF-B6D9DFBA06CF}"/>
    <cellStyle name="20% - Accent6 15 2 3 3" xfId="22607" xr:uid="{00000000-0005-0000-0000-00003D250000}"/>
    <cellStyle name="20% - Accent6 15 2 3 3 2" xfId="46439" xr:uid="{41122982-A367-4ADB-BDC2-FF64101726B3}"/>
    <cellStyle name="20% - Accent6 15 2 3 4" xfId="30561" xr:uid="{D44DE637-D158-446C-9725-657ADDC819E4}"/>
    <cellStyle name="20% - Accent6 15 2 4" xfId="11124" xr:uid="{00000000-0005-0000-0000-00003E250000}"/>
    <cellStyle name="20% - Accent6 15 2 4 2" xfId="34973" xr:uid="{6A074EC6-16E8-4D67-A97E-DA67D6B76FB3}"/>
    <cellStyle name="20% - Accent6 15 2 5" xfId="19079" xr:uid="{00000000-0005-0000-0000-00003F250000}"/>
    <cellStyle name="20% - Accent6 15 2 5 2" xfId="42911" xr:uid="{FAD793EF-5A22-45B0-BC1E-3C19BC1B3C7A}"/>
    <cellStyle name="20% - Accent6 15 2 6" xfId="27031" xr:uid="{3A238590-277D-4E5E-B8B7-91736B2AEC8F}"/>
    <cellStyle name="20% - Accent6 15 2_Exh G" xfId="2598" xr:uid="{00000000-0005-0000-0000-000040250000}"/>
    <cellStyle name="20% - Accent6 15 3" xfId="3977" xr:uid="{00000000-0005-0000-0000-000041250000}"/>
    <cellStyle name="20% - Accent6 15 3 2" xfId="7569" xr:uid="{00000000-0005-0000-0000-000042250000}"/>
    <cellStyle name="20% - Accent6 15 3 2 2" xfId="15540" xr:uid="{00000000-0005-0000-0000-000043250000}"/>
    <cellStyle name="20% - Accent6 15 3 2 2 2" xfId="39382" xr:uid="{CF91D11C-C524-4198-A93B-7F4880F0B0FF}"/>
    <cellStyle name="20% - Accent6 15 3 2 3" xfId="23486" xr:uid="{00000000-0005-0000-0000-000044250000}"/>
    <cellStyle name="20% - Accent6 15 3 2 3 2" xfId="47318" xr:uid="{6A8ECF23-DA77-44AC-B3FA-6FA63550C2A5}"/>
    <cellStyle name="20% - Accent6 15 3 2 4" xfId="31441" xr:uid="{92743003-002E-4C0C-9D4E-5CE6370A28ED}"/>
    <cellStyle name="20% - Accent6 15 3 3" xfId="12002" xr:uid="{00000000-0005-0000-0000-000045250000}"/>
    <cellStyle name="20% - Accent6 15 3 3 2" xfId="35851" xr:uid="{EFD0246A-FA60-4315-A125-27EBE7AA040B}"/>
    <cellStyle name="20% - Accent6 15 3 4" xfId="19957" xr:uid="{00000000-0005-0000-0000-000046250000}"/>
    <cellStyle name="20% - Accent6 15 3 4 2" xfId="43789" xr:uid="{624A182D-5C57-4E8B-8185-8B21E2E799BF}"/>
    <cellStyle name="20% - Accent6 15 3 5" xfId="27910" xr:uid="{77DD2913-3ED3-44D4-8B3E-62643178BA3B}"/>
    <cellStyle name="20% - Accent6 15 4" xfId="5797" xr:uid="{00000000-0005-0000-0000-000047250000}"/>
    <cellStyle name="20% - Accent6 15 4 2" xfId="13781" xr:uid="{00000000-0005-0000-0000-000048250000}"/>
    <cellStyle name="20% - Accent6 15 4 2 2" xfId="37624" xr:uid="{3E2B1109-7C48-4C63-9776-009311FF524C}"/>
    <cellStyle name="20% - Accent6 15 4 3" xfId="21729" xr:uid="{00000000-0005-0000-0000-000049250000}"/>
    <cellStyle name="20% - Accent6 15 4 3 2" xfId="45561" xr:uid="{8C1A5A8E-1057-419E-9386-9DB27DF789F9}"/>
    <cellStyle name="20% - Accent6 15 4 4" xfId="29683" xr:uid="{855F7879-BE49-486D-93A0-C0A0AE34D054}"/>
    <cellStyle name="20% - Accent6 15 5" xfId="9350" xr:uid="{00000000-0005-0000-0000-00004A250000}"/>
    <cellStyle name="20% - Accent6 15 5 2" xfId="17308" xr:uid="{00000000-0005-0000-0000-00004B250000}"/>
    <cellStyle name="20% - Accent6 15 5 2 2" xfId="41148" xr:uid="{EBD121B1-7C84-49F7-BEC7-6FBDC8333F6F}"/>
    <cellStyle name="20% - Accent6 15 5 3" xfId="25252" xr:uid="{00000000-0005-0000-0000-00004C250000}"/>
    <cellStyle name="20% - Accent6 15 5 3 2" xfId="49084" xr:uid="{E295B145-2AEB-4AF1-AF72-D756978F6147}"/>
    <cellStyle name="20% - Accent6 15 5 4" xfId="33207" xr:uid="{9181A842-CD12-44F8-9743-4BC55C7D7521}"/>
    <cellStyle name="20% - Accent6 15 6" xfId="10246" xr:uid="{00000000-0005-0000-0000-00004D250000}"/>
    <cellStyle name="20% - Accent6 15 6 2" xfId="34095" xr:uid="{23346AC6-FBA4-4DB8-B934-84268A3143AE}"/>
    <cellStyle name="20% - Accent6 15 7" xfId="18201" xr:uid="{00000000-0005-0000-0000-00004E250000}"/>
    <cellStyle name="20% - Accent6 15 7 2" xfId="42033" xr:uid="{BB1D1037-1227-45CB-A2AD-B5B55F3541D2}"/>
    <cellStyle name="20% - Accent6 15 8" xfId="26153" xr:uid="{7056481A-2988-4896-974C-CCD80ED76A88}"/>
    <cellStyle name="20% - Accent6 15_Exh G" xfId="2597" xr:uid="{00000000-0005-0000-0000-00004F250000}"/>
    <cellStyle name="20% - Accent6 16" xfId="848" xr:uid="{00000000-0005-0000-0000-000050250000}"/>
    <cellStyle name="20% - Accent6 16 2" xfId="1787" xr:uid="{00000000-0005-0000-0000-000051250000}"/>
    <cellStyle name="20% - Accent6 16 2 2" xfId="5308" xr:uid="{00000000-0005-0000-0000-000052250000}"/>
    <cellStyle name="20% - Accent6 16 2 2 2" xfId="8899" xr:uid="{00000000-0005-0000-0000-000053250000}"/>
    <cellStyle name="20% - Accent6 16 2 2 2 2" xfId="16870" xr:uid="{00000000-0005-0000-0000-000054250000}"/>
    <cellStyle name="20% - Accent6 16 2 2 2 2 2" xfId="40712" xr:uid="{2FCCF3B0-1C7E-40F4-BF68-D22B2EF2A705}"/>
    <cellStyle name="20% - Accent6 16 2 2 2 3" xfId="24816" xr:uid="{00000000-0005-0000-0000-000055250000}"/>
    <cellStyle name="20% - Accent6 16 2 2 2 3 2" xfId="48648" xr:uid="{61700AEB-6FE6-4D4A-90DF-5F142E3BC2B5}"/>
    <cellStyle name="20% - Accent6 16 2 2 2 4" xfId="32771" xr:uid="{7B4A4A19-B41C-4184-AAF4-E03847086130}"/>
    <cellStyle name="20% - Accent6 16 2 2 3" xfId="13332" xr:uid="{00000000-0005-0000-0000-000056250000}"/>
    <cellStyle name="20% - Accent6 16 2 2 3 2" xfId="37181" xr:uid="{A485F431-9470-48BA-B652-33193DC917DA}"/>
    <cellStyle name="20% - Accent6 16 2 2 4" xfId="21287" xr:uid="{00000000-0005-0000-0000-000057250000}"/>
    <cellStyle name="20% - Accent6 16 2 2 4 2" xfId="45119" xr:uid="{2F1FE499-BD7E-450D-98C8-E01181799845}"/>
    <cellStyle name="20% - Accent6 16 2 2 5" xfId="29240" xr:uid="{93DD8DED-F5D4-4474-8102-D47F7355A168}"/>
    <cellStyle name="20% - Accent6 16 2 3" xfId="7140" xr:uid="{00000000-0005-0000-0000-000058250000}"/>
    <cellStyle name="20% - Accent6 16 2 3 2" xfId="15112" xr:uid="{00000000-0005-0000-0000-000059250000}"/>
    <cellStyle name="20% - Accent6 16 2 3 2 2" xfId="38954" xr:uid="{A03B0843-E633-4128-BA11-16DA031AA8DB}"/>
    <cellStyle name="20% - Accent6 16 2 3 3" xfId="23059" xr:uid="{00000000-0005-0000-0000-00005A250000}"/>
    <cellStyle name="20% - Accent6 16 2 3 3 2" xfId="46891" xr:uid="{1216AC68-F4C2-4A9F-AB13-AA315278E159}"/>
    <cellStyle name="20% - Accent6 16 2 3 4" xfId="31013" xr:uid="{5B3E32D1-ED72-4E76-9851-8D4740249DC1}"/>
    <cellStyle name="20% - Accent6 16 2 4" xfId="11576" xr:uid="{00000000-0005-0000-0000-00005B250000}"/>
    <cellStyle name="20% - Accent6 16 2 4 2" xfId="35425" xr:uid="{CE517619-BC7D-44FC-906C-550370A8AC9F}"/>
    <cellStyle name="20% - Accent6 16 2 5" xfId="19531" xr:uid="{00000000-0005-0000-0000-00005C250000}"/>
    <cellStyle name="20% - Accent6 16 2 5 2" xfId="43363" xr:uid="{578E7856-8488-4CCB-AE09-096428E156E1}"/>
    <cellStyle name="20% - Accent6 16 2 6" xfId="27483" xr:uid="{D5170B9B-13FA-44C4-9E69-C042EDE835B4}"/>
    <cellStyle name="20% - Accent6 16 2_Exh G" xfId="2600" xr:uid="{00000000-0005-0000-0000-00005D250000}"/>
    <cellStyle name="20% - Accent6 16 3" xfId="4429" xr:uid="{00000000-0005-0000-0000-00005E250000}"/>
    <cellStyle name="20% - Accent6 16 3 2" xfId="8021" xr:uid="{00000000-0005-0000-0000-00005F250000}"/>
    <cellStyle name="20% - Accent6 16 3 2 2" xfId="15992" xr:uid="{00000000-0005-0000-0000-000060250000}"/>
    <cellStyle name="20% - Accent6 16 3 2 2 2" xfId="39834" xr:uid="{F94D1207-F4B9-4843-8EB6-1A98D3291665}"/>
    <cellStyle name="20% - Accent6 16 3 2 3" xfId="23938" xr:uid="{00000000-0005-0000-0000-000061250000}"/>
    <cellStyle name="20% - Accent6 16 3 2 3 2" xfId="47770" xr:uid="{5C7B7EE7-C888-4440-93CE-4B05A7C74978}"/>
    <cellStyle name="20% - Accent6 16 3 2 4" xfId="31893" xr:uid="{FF22A7AD-F06D-40DD-A34F-9B3747427116}"/>
    <cellStyle name="20% - Accent6 16 3 3" xfId="12454" xr:uid="{00000000-0005-0000-0000-000062250000}"/>
    <cellStyle name="20% - Accent6 16 3 3 2" xfId="36303" xr:uid="{E6873556-BF3B-4FE8-84B6-9FD353C32F83}"/>
    <cellStyle name="20% - Accent6 16 3 4" xfId="20409" xr:uid="{00000000-0005-0000-0000-000063250000}"/>
    <cellStyle name="20% - Accent6 16 3 4 2" xfId="44241" xr:uid="{E53EF90B-81B1-4DA7-A69B-2E76A8C03BC2}"/>
    <cellStyle name="20% - Accent6 16 3 5" xfId="28362" xr:uid="{6613E05A-BA13-498D-94A9-25D52355BCFD}"/>
    <cellStyle name="20% - Accent6 16 4" xfId="6259" xr:uid="{00000000-0005-0000-0000-000064250000}"/>
    <cellStyle name="20% - Accent6 16 4 2" xfId="14234" xr:uid="{00000000-0005-0000-0000-000065250000}"/>
    <cellStyle name="20% - Accent6 16 4 2 2" xfId="38076" xr:uid="{9BA91D8B-A177-42B4-BB76-BA7C7A1922E0}"/>
    <cellStyle name="20% - Accent6 16 4 3" xfId="22181" xr:uid="{00000000-0005-0000-0000-000066250000}"/>
    <cellStyle name="20% - Accent6 16 4 3 2" xfId="46013" xr:uid="{C98EFAA8-69DF-4D81-A1C7-8C540778DD21}"/>
    <cellStyle name="20% - Accent6 16 4 4" xfId="30135" xr:uid="{EA6990EF-88E1-45FD-BF63-E2CF74EF784C}"/>
    <cellStyle name="20% - Accent6 16 5" xfId="9802" xr:uid="{00000000-0005-0000-0000-000067250000}"/>
    <cellStyle name="20% - Accent6 16 5 2" xfId="17760" xr:uid="{00000000-0005-0000-0000-000068250000}"/>
    <cellStyle name="20% - Accent6 16 5 2 2" xfId="41600" xr:uid="{1CFC6FE6-CCB1-445A-B18D-3F999462418E}"/>
    <cellStyle name="20% - Accent6 16 5 3" xfId="25704" xr:uid="{00000000-0005-0000-0000-000069250000}"/>
    <cellStyle name="20% - Accent6 16 5 3 2" xfId="49536" xr:uid="{8BABC6EE-B706-48AC-BE3B-DCD84837E0F0}"/>
    <cellStyle name="20% - Accent6 16 5 4" xfId="33659" xr:uid="{3BC4378F-1576-42B1-8157-43040B811240}"/>
    <cellStyle name="20% - Accent6 16 6" xfId="10698" xr:uid="{00000000-0005-0000-0000-00006A250000}"/>
    <cellStyle name="20% - Accent6 16 6 2" xfId="34547" xr:uid="{E832D1CE-AE07-4299-9FA0-8EA110B8C242}"/>
    <cellStyle name="20% - Accent6 16 7" xfId="18653" xr:uid="{00000000-0005-0000-0000-00006B250000}"/>
    <cellStyle name="20% - Accent6 16 7 2" xfId="42485" xr:uid="{77B855E3-4C01-4A07-9843-279BE4ED6128}"/>
    <cellStyle name="20% - Accent6 16 8" xfId="26605" xr:uid="{C58FD1C0-66C1-4270-BB78-3CA41F9E79D4}"/>
    <cellStyle name="20% - Accent6 16_Exh G" xfId="2599" xr:uid="{00000000-0005-0000-0000-00006C250000}"/>
    <cellStyle name="20% - Accent6 17" xfId="49804" xr:uid="{85126466-3381-4F1E-AC4E-42C398EDD258}"/>
    <cellStyle name="20% - Accent6 2" xfId="299" xr:uid="{00000000-0005-0000-0000-00006D250000}"/>
    <cellStyle name="20% - Accent6 2 10" xfId="18202" xr:uid="{00000000-0005-0000-0000-00006E250000}"/>
    <cellStyle name="20% - Accent6 2 10 2" xfId="42034" xr:uid="{88AB7210-3CBE-439F-8CFE-6DAE83F69357}"/>
    <cellStyle name="20% - Accent6 2 11" xfId="26154" xr:uid="{FD7DB16B-D1DC-456A-BCDC-E56B2AD202D5}"/>
    <cellStyle name="20% - Accent6 2 12" xfId="49789" xr:uid="{4BD6B06A-5F58-4177-B94C-C69E7A627DC8}"/>
    <cellStyle name="20% - Accent6 2 13" xfId="49817" xr:uid="{9D491E89-21BC-4054-A9C0-6D1A5616E8EE}"/>
    <cellStyle name="20% - Accent6 2 2" xfId="300" xr:uid="{00000000-0005-0000-0000-00006F250000}"/>
    <cellStyle name="20% - Accent6 2 2 10" xfId="26155" xr:uid="{712B2D0B-5CDF-40B5-A9A8-236DB7E23AD2}"/>
    <cellStyle name="20% - Accent6 2 2 2" xfId="301" xr:uid="{00000000-0005-0000-0000-000070250000}"/>
    <cellStyle name="20% - Accent6 2 2 2 2" xfId="1329" xr:uid="{00000000-0005-0000-0000-000071250000}"/>
    <cellStyle name="20% - Accent6 2 2 2 2 2" xfId="4859" xr:uid="{00000000-0005-0000-0000-000072250000}"/>
    <cellStyle name="20% - Accent6 2 2 2 2 2 2" xfId="8450" xr:uid="{00000000-0005-0000-0000-000073250000}"/>
    <cellStyle name="20% - Accent6 2 2 2 2 2 2 2" xfId="16421" xr:uid="{00000000-0005-0000-0000-000074250000}"/>
    <cellStyle name="20% - Accent6 2 2 2 2 2 2 2 2" xfId="40263" xr:uid="{D3A032AC-BBAA-4A65-A64B-31AB947AE311}"/>
    <cellStyle name="20% - Accent6 2 2 2 2 2 2 3" xfId="24367" xr:uid="{00000000-0005-0000-0000-000075250000}"/>
    <cellStyle name="20% - Accent6 2 2 2 2 2 2 3 2" xfId="48199" xr:uid="{AF03C7F7-F1EB-4B23-8A42-2409335E3367}"/>
    <cellStyle name="20% - Accent6 2 2 2 2 2 2 4" xfId="32322" xr:uid="{EA1064BF-E43B-401C-9F26-40D1763156BE}"/>
    <cellStyle name="20% - Accent6 2 2 2 2 2 3" xfId="12883" xr:uid="{00000000-0005-0000-0000-000076250000}"/>
    <cellStyle name="20% - Accent6 2 2 2 2 2 3 2" xfId="36732" xr:uid="{1D476D1A-9718-41FC-847C-D53034016968}"/>
    <cellStyle name="20% - Accent6 2 2 2 2 2 4" xfId="20838" xr:uid="{00000000-0005-0000-0000-000077250000}"/>
    <cellStyle name="20% - Accent6 2 2 2 2 2 4 2" xfId="44670" xr:uid="{59EEEA86-65C4-472C-9C1F-17140F3406F8}"/>
    <cellStyle name="20% - Accent6 2 2 2 2 2 5" xfId="28791" xr:uid="{C806AB0A-CED9-4DA0-8B58-21BA0BBC1354}"/>
    <cellStyle name="20% - Accent6 2 2 2 2 3" xfId="6691" xr:uid="{00000000-0005-0000-0000-000078250000}"/>
    <cellStyle name="20% - Accent6 2 2 2 2 3 2" xfId="14663" xr:uid="{00000000-0005-0000-0000-000079250000}"/>
    <cellStyle name="20% - Accent6 2 2 2 2 3 2 2" xfId="38505" xr:uid="{07CFD78A-DE24-4106-BA66-996D2505E846}"/>
    <cellStyle name="20% - Accent6 2 2 2 2 3 3" xfId="22610" xr:uid="{00000000-0005-0000-0000-00007A250000}"/>
    <cellStyle name="20% - Accent6 2 2 2 2 3 3 2" xfId="46442" xr:uid="{846A08C5-CF69-4F24-B7BD-7B8AA5E60051}"/>
    <cellStyle name="20% - Accent6 2 2 2 2 3 4" xfId="30564" xr:uid="{349BE905-8C98-4C64-86D6-B770CCC1A52B}"/>
    <cellStyle name="20% - Accent6 2 2 2 2 4" xfId="11127" xr:uid="{00000000-0005-0000-0000-00007B250000}"/>
    <cellStyle name="20% - Accent6 2 2 2 2 4 2" xfId="34976" xr:uid="{4FED45A6-9DA6-4F60-8D6E-1C09C41FAB31}"/>
    <cellStyle name="20% - Accent6 2 2 2 2 5" xfId="19082" xr:uid="{00000000-0005-0000-0000-00007C250000}"/>
    <cellStyle name="20% - Accent6 2 2 2 2 5 2" xfId="42914" xr:uid="{25D8421A-73AE-457C-8BFD-945D4541E2B7}"/>
    <cellStyle name="20% - Accent6 2 2 2 2 6" xfId="27034" xr:uid="{F3C2EE04-48CC-491D-B219-D163AE396E26}"/>
    <cellStyle name="20% - Accent6 2 2 2 2_Exh G" xfId="2604" xr:uid="{00000000-0005-0000-0000-00007D250000}"/>
    <cellStyle name="20% - Accent6 2 2 2 3" xfId="3980" xr:uid="{00000000-0005-0000-0000-00007E250000}"/>
    <cellStyle name="20% - Accent6 2 2 2 3 2" xfId="7572" xr:uid="{00000000-0005-0000-0000-00007F250000}"/>
    <cellStyle name="20% - Accent6 2 2 2 3 2 2" xfId="15543" xr:uid="{00000000-0005-0000-0000-000080250000}"/>
    <cellStyle name="20% - Accent6 2 2 2 3 2 2 2" xfId="39385" xr:uid="{D77BAD58-3712-44DA-B43D-749EAAA22C4E}"/>
    <cellStyle name="20% - Accent6 2 2 2 3 2 3" xfId="23489" xr:uid="{00000000-0005-0000-0000-000081250000}"/>
    <cellStyle name="20% - Accent6 2 2 2 3 2 3 2" xfId="47321" xr:uid="{008E99A4-3BB2-4925-BB8C-13D0735D45D6}"/>
    <cellStyle name="20% - Accent6 2 2 2 3 2 4" xfId="31444" xr:uid="{3120E569-5DA0-41FF-9D6B-39D02AEBE407}"/>
    <cellStyle name="20% - Accent6 2 2 2 3 3" xfId="12005" xr:uid="{00000000-0005-0000-0000-000082250000}"/>
    <cellStyle name="20% - Accent6 2 2 2 3 3 2" xfId="35854" xr:uid="{AB404675-8C06-49FD-8A59-8698E4871841}"/>
    <cellStyle name="20% - Accent6 2 2 2 3 4" xfId="19960" xr:uid="{00000000-0005-0000-0000-000083250000}"/>
    <cellStyle name="20% - Accent6 2 2 2 3 4 2" xfId="43792" xr:uid="{E54A9B9B-0576-4630-A271-0CD44BEFC3A1}"/>
    <cellStyle name="20% - Accent6 2 2 2 3 5" xfId="27913" xr:uid="{1DA03FF6-6883-4CA9-B6FF-1AC7E4AC2D19}"/>
    <cellStyle name="20% - Accent6 2 2 2 4" xfId="5800" xr:uid="{00000000-0005-0000-0000-000084250000}"/>
    <cellStyle name="20% - Accent6 2 2 2 4 2" xfId="13784" xr:uid="{00000000-0005-0000-0000-000085250000}"/>
    <cellStyle name="20% - Accent6 2 2 2 4 2 2" xfId="37627" xr:uid="{89F6FD3B-3743-4D95-B2CD-690304C7B01A}"/>
    <cellStyle name="20% - Accent6 2 2 2 4 3" xfId="21732" xr:uid="{00000000-0005-0000-0000-000086250000}"/>
    <cellStyle name="20% - Accent6 2 2 2 4 3 2" xfId="45564" xr:uid="{1F41D225-C477-4EBA-839A-5F995CAA7EAD}"/>
    <cellStyle name="20% - Accent6 2 2 2 4 4" xfId="29686" xr:uid="{1552727D-0338-4581-9C22-50066639068E}"/>
    <cellStyle name="20% - Accent6 2 2 2 5" xfId="9353" xr:uid="{00000000-0005-0000-0000-000087250000}"/>
    <cellStyle name="20% - Accent6 2 2 2 5 2" xfId="17311" xr:uid="{00000000-0005-0000-0000-000088250000}"/>
    <cellStyle name="20% - Accent6 2 2 2 5 2 2" xfId="41151" xr:uid="{5146EF8E-4770-4483-BC1E-59329484E38B}"/>
    <cellStyle name="20% - Accent6 2 2 2 5 3" xfId="25255" xr:uid="{00000000-0005-0000-0000-000089250000}"/>
    <cellStyle name="20% - Accent6 2 2 2 5 3 2" xfId="49087" xr:uid="{ADC69348-EF9D-4A70-9D0E-1A0F9A0B98DE}"/>
    <cellStyle name="20% - Accent6 2 2 2 5 4" xfId="33210" xr:uid="{2F981532-F42F-4D5F-B73E-8EDF4E3613BA}"/>
    <cellStyle name="20% - Accent6 2 2 2 6" xfId="10249" xr:uid="{00000000-0005-0000-0000-00008A250000}"/>
    <cellStyle name="20% - Accent6 2 2 2 6 2" xfId="34098" xr:uid="{AB595A84-C964-46AB-83DB-CE87DC8E3E5A}"/>
    <cellStyle name="20% - Accent6 2 2 2 7" xfId="18204" xr:uid="{00000000-0005-0000-0000-00008B250000}"/>
    <cellStyle name="20% - Accent6 2 2 2 7 2" xfId="42036" xr:uid="{650BB830-9179-42E0-A717-F6103AD98907}"/>
    <cellStyle name="20% - Accent6 2 2 2 8" xfId="26156" xr:uid="{F855E4DF-ADEF-4138-879B-C94C31DD07A5}"/>
    <cellStyle name="20% - Accent6 2 2 2_Exh G" xfId="2603" xr:uid="{00000000-0005-0000-0000-00008C250000}"/>
    <cellStyle name="20% - Accent6 2 2 3" xfId="924" xr:uid="{00000000-0005-0000-0000-00008D250000}"/>
    <cellStyle name="20% - Accent6 2 2 3 2" xfId="1850" xr:uid="{00000000-0005-0000-0000-00008E250000}"/>
    <cellStyle name="20% - Accent6 2 2 3 2 2" xfId="5368" xr:uid="{00000000-0005-0000-0000-00008F250000}"/>
    <cellStyle name="20% - Accent6 2 2 3 2 2 2" xfId="8959" xr:uid="{00000000-0005-0000-0000-000090250000}"/>
    <cellStyle name="20% - Accent6 2 2 3 2 2 2 2" xfId="16930" xr:uid="{00000000-0005-0000-0000-000091250000}"/>
    <cellStyle name="20% - Accent6 2 2 3 2 2 2 2 2" xfId="40772" xr:uid="{8A2DAEEC-D385-4772-9EDD-5DAF85717B23}"/>
    <cellStyle name="20% - Accent6 2 2 3 2 2 2 3" xfId="24876" xr:uid="{00000000-0005-0000-0000-000092250000}"/>
    <cellStyle name="20% - Accent6 2 2 3 2 2 2 3 2" xfId="48708" xr:uid="{4123A204-1F4A-4CD8-A494-B2B724CB08AB}"/>
    <cellStyle name="20% - Accent6 2 2 3 2 2 2 4" xfId="32831" xr:uid="{A9A01F10-1591-4399-BD9F-DA933926FF67}"/>
    <cellStyle name="20% - Accent6 2 2 3 2 2 3" xfId="13392" xr:uid="{00000000-0005-0000-0000-000093250000}"/>
    <cellStyle name="20% - Accent6 2 2 3 2 2 3 2" xfId="37241" xr:uid="{92A3B868-31E7-4E6A-A6B4-7C461C4C9E18}"/>
    <cellStyle name="20% - Accent6 2 2 3 2 2 4" xfId="21347" xr:uid="{00000000-0005-0000-0000-000094250000}"/>
    <cellStyle name="20% - Accent6 2 2 3 2 2 4 2" xfId="45179" xr:uid="{8DB54591-EF9B-4D37-A755-78E52319BB26}"/>
    <cellStyle name="20% - Accent6 2 2 3 2 2 5" xfId="29300" xr:uid="{F1B0BC4E-9441-43E6-A498-9A1354C4B9A0}"/>
    <cellStyle name="20% - Accent6 2 2 3 2 3" xfId="7200" xr:uid="{00000000-0005-0000-0000-000095250000}"/>
    <cellStyle name="20% - Accent6 2 2 3 2 3 2" xfId="15172" xr:uid="{00000000-0005-0000-0000-000096250000}"/>
    <cellStyle name="20% - Accent6 2 2 3 2 3 2 2" xfId="39014" xr:uid="{9F860B1A-32C6-44D7-A343-635234494CEA}"/>
    <cellStyle name="20% - Accent6 2 2 3 2 3 3" xfId="23119" xr:uid="{00000000-0005-0000-0000-000097250000}"/>
    <cellStyle name="20% - Accent6 2 2 3 2 3 3 2" xfId="46951" xr:uid="{80D3CD6B-BE98-4988-AFF0-05ABF0AE4724}"/>
    <cellStyle name="20% - Accent6 2 2 3 2 3 4" xfId="31073" xr:uid="{35134C57-1628-4F5E-B5EF-1EA75EB8F459}"/>
    <cellStyle name="20% - Accent6 2 2 3 2 4" xfId="11636" xr:uid="{00000000-0005-0000-0000-000098250000}"/>
    <cellStyle name="20% - Accent6 2 2 3 2 4 2" xfId="35485" xr:uid="{31A4733B-5E2E-4AEB-8B8B-DE00C1620601}"/>
    <cellStyle name="20% - Accent6 2 2 3 2 5" xfId="19591" xr:uid="{00000000-0005-0000-0000-000099250000}"/>
    <cellStyle name="20% - Accent6 2 2 3 2 5 2" xfId="43423" xr:uid="{2CD2DA56-BF6A-4B51-8855-F1959402DA6D}"/>
    <cellStyle name="20% - Accent6 2 2 3 2 6" xfId="27543" xr:uid="{F51D7D9F-78A0-46A8-BC62-B103E86F132F}"/>
    <cellStyle name="20% - Accent6 2 2 3 2_Exh G" xfId="2606" xr:uid="{00000000-0005-0000-0000-00009A250000}"/>
    <cellStyle name="20% - Accent6 2 2 3 3" xfId="4489" xr:uid="{00000000-0005-0000-0000-00009B250000}"/>
    <cellStyle name="20% - Accent6 2 2 3 3 2" xfId="8081" xr:uid="{00000000-0005-0000-0000-00009C250000}"/>
    <cellStyle name="20% - Accent6 2 2 3 3 2 2" xfId="16052" xr:uid="{00000000-0005-0000-0000-00009D250000}"/>
    <cellStyle name="20% - Accent6 2 2 3 3 2 2 2" xfId="39894" xr:uid="{315AF3AD-165E-4A69-ABF9-1977B6EC7830}"/>
    <cellStyle name="20% - Accent6 2 2 3 3 2 3" xfId="23998" xr:uid="{00000000-0005-0000-0000-00009E250000}"/>
    <cellStyle name="20% - Accent6 2 2 3 3 2 3 2" xfId="47830" xr:uid="{C17AB013-C3E5-4320-BDAB-7B978DCFEFB4}"/>
    <cellStyle name="20% - Accent6 2 2 3 3 2 4" xfId="31953" xr:uid="{5DF98A03-C66C-4E65-AEE3-1FCE97D23B83}"/>
    <cellStyle name="20% - Accent6 2 2 3 3 3" xfId="12514" xr:uid="{00000000-0005-0000-0000-00009F250000}"/>
    <cellStyle name="20% - Accent6 2 2 3 3 3 2" xfId="36363" xr:uid="{4DF4BA9A-7076-430E-94CA-1C257729A2E1}"/>
    <cellStyle name="20% - Accent6 2 2 3 3 4" xfId="20469" xr:uid="{00000000-0005-0000-0000-0000A0250000}"/>
    <cellStyle name="20% - Accent6 2 2 3 3 4 2" xfId="44301" xr:uid="{EA43C822-F8B8-4A78-BC75-3FCC0BB87DC4}"/>
    <cellStyle name="20% - Accent6 2 2 3 3 5" xfId="28422" xr:uid="{D1E0C173-6874-4493-BAA0-D1F63682265C}"/>
    <cellStyle name="20% - Accent6 2 2 3 4" xfId="6319" xr:uid="{00000000-0005-0000-0000-0000A1250000}"/>
    <cellStyle name="20% - Accent6 2 2 3 4 2" xfId="14294" xr:uid="{00000000-0005-0000-0000-0000A2250000}"/>
    <cellStyle name="20% - Accent6 2 2 3 4 2 2" xfId="38136" xr:uid="{F5BB2B51-5759-4EE3-832C-16DF5A18DC86}"/>
    <cellStyle name="20% - Accent6 2 2 3 4 3" xfId="22241" xr:uid="{00000000-0005-0000-0000-0000A3250000}"/>
    <cellStyle name="20% - Accent6 2 2 3 4 3 2" xfId="46073" xr:uid="{41218804-1FF8-49F9-9DCE-E7E6EC74CF48}"/>
    <cellStyle name="20% - Accent6 2 2 3 4 4" xfId="30195" xr:uid="{16F7FECD-7E98-4E7A-884C-CCB712B837CF}"/>
    <cellStyle name="20% - Accent6 2 2 3 5" xfId="9862" xr:uid="{00000000-0005-0000-0000-0000A4250000}"/>
    <cellStyle name="20% - Accent6 2 2 3 5 2" xfId="17820" xr:uid="{00000000-0005-0000-0000-0000A5250000}"/>
    <cellStyle name="20% - Accent6 2 2 3 5 2 2" xfId="41660" xr:uid="{0E55DF5A-7075-42E5-A18D-34478EF7E696}"/>
    <cellStyle name="20% - Accent6 2 2 3 5 3" xfId="25764" xr:uid="{00000000-0005-0000-0000-0000A6250000}"/>
    <cellStyle name="20% - Accent6 2 2 3 5 3 2" xfId="49596" xr:uid="{B4C1E8D1-561B-4CAD-87BA-C793AB095C46}"/>
    <cellStyle name="20% - Accent6 2 2 3 5 4" xfId="33719" xr:uid="{EC834222-50D1-4ABA-972B-98B3590325AE}"/>
    <cellStyle name="20% - Accent6 2 2 3 6" xfId="10758" xr:uid="{00000000-0005-0000-0000-0000A7250000}"/>
    <cellStyle name="20% - Accent6 2 2 3 6 2" xfId="34607" xr:uid="{59BBE83D-54C2-4757-AB29-0F2E782685DF}"/>
    <cellStyle name="20% - Accent6 2 2 3 7" xfId="18713" xr:uid="{00000000-0005-0000-0000-0000A8250000}"/>
    <cellStyle name="20% - Accent6 2 2 3 7 2" xfId="42545" xr:uid="{0A3EAD04-07E8-4CDA-9EB7-64CF918BE3D3}"/>
    <cellStyle name="20% - Accent6 2 2 3 8" xfId="26665" xr:uid="{7FC0BDFC-4766-4D47-B33B-EE8D3312AC38}"/>
    <cellStyle name="20% - Accent6 2 2 3_Exh G" xfId="2605" xr:uid="{00000000-0005-0000-0000-0000A9250000}"/>
    <cellStyle name="20% - Accent6 2 2 4" xfId="1328" xr:uid="{00000000-0005-0000-0000-0000AA250000}"/>
    <cellStyle name="20% - Accent6 2 2 4 2" xfId="4858" xr:uid="{00000000-0005-0000-0000-0000AB250000}"/>
    <cellStyle name="20% - Accent6 2 2 4 2 2" xfId="8449" xr:uid="{00000000-0005-0000-0000-0000AC250000}"/>
    <cellStyle name="20% - Accent6 2 2 4 2 2 2" xfId="16420" xr:uid="{00000000-0005-0000-0000-0000AD250000}"/>
    <cellStyle name="20% - Accent6 2 2 4 2 2 2 2" xfId="40262" xr:uid="{6042B66B-ECA4-40D3-AE01-06DEB48DB14E}"/>
    <cellStyle name="20% - Accent6 2 2 4 2 2 3" xfId="24366" xr:uid="{00000000-0005-0000-0000-0000AE250000}"/>
    <cellStyle name="20% - Accent6 2 2 4 2 2 3 2" xfId="48198" xr:uid="{AEB05809-202D-4453-897D-581AAB6F87C4}"/>
    <cellStyle name="20% - Accent6 2 2 4 2 2 4" xfId="32321" xr:uid="{478B0C53-93A5-4593-AA32-1F020EEF30B2}"/>
    <cellStyle name="20% - Accent6 2 2 4 2 3" xfId="12882" xr:uid="{00000000-0005-0000-0000-0000AF250000}"/>
    <cellStyle name="20% - Accent6 2 2 4 2 3 2" xfId="36731" xr:uid="{74F7B06A-FF57-4445-9513-2D737752E0E0}"/>
    <cellStyle name="20% - Accent6 2 2 4 2 4" xfId="20837" xr:uid="{00000000-0005-0000-0000-0000B0250000}"/>
    <cellStyle name="20% - Accent6 2 2 4 2 4 2" xfId="44669" xr:uid="{9CAD4287-A829-4DFE-9701-A1C375A67692}"/>
    <cellStyle name="20% - Accent6 2 2 4 2 5" xfId="28790" xr:uid="{E5016399-5AE1-42FA-890A-E06E4C9053C7}"/>
    <cellStyle name="20% - Accent6 2 2 4 3" xfId="6690" xr:uid="{00000000-0005-0000-0000-0000B1250000}"/>
    <cellStyle name="20% - Accent6 2 2 4 3 2" xfId="14662" xr:uid="{00000000-0005-0000-0000-0000B2250000}"/>
    <cellStyle name="20% - Accent6 2 2 4 3 2 2" xfId="38504" xr:uid="{9A8ECA6B-2C31-47AA-A380-A2BB30DCF3A0}"/>
    <cellStyle name="20% - Accent6 2 2 4 3 3" xfId="22609" xr:uid="{00000000-0005-0000-0000-0000B3250000}"/>
    <cellStyle name="20% - Accent6 2 2 4 3 3 2" xfId="46441" xr:uid="{6487C6E0-2A42-4B66-A408-8104C7A7EC6B}"/>
    <cellStyle name="20% - Accent6 2 2 4 3 4" xfId="30563" xr:uid="{37986DF3-1955-40D0-87E0-A31804DADE60}"/>
    <cellStyle name="20% - Accent6 2 2 4 4" xfId="11126" xr:uid="{00000000-0005-0000-0000-0000B4250000}"/>
    <cellStyle name="20% - Accent6 2 2 4 4 2" xfId="34975" xr:uid="{F5B090FB-E548-47BF-9DBB-274755926211}"/>
    <cellStyle name="20% - Accent6 2 2 4 5" xfId="19081" xr:uid="{00000000-0005-0000-0000-0000B5250000}"/>
    <cellStyle name="20% - Accent6 2 2 4 5 2" xfId="42913" xr:uid="{C862A9EB-95C8-4258-B219-1519B6A20360}"/>
    <cellStyle name="20% - Accent6 2 2 4 6" xfId="27033" xr:uid="{DC53BCDD-53EF-4E1B-909C-77391AEBF301}"/>
    <cellStyle name="20% - Accent6 2 2 4_Exh G" xfId="2607" xr:uid="{00000000-0005-0000-0000-0000B6250000}"/>
    <cellStyle name="20% - Accent6 2 2 5" xfId="3979" xr:uid="{00000000-0005-0000-0000-0000B7250000}"/>
    <cellStyle name="20% - Accent6 2 2 5 2" xfId="7571" xr:uid="{00000000-0005-0000-0000-0000B8250000}"/>
    <cellStyle name="20% - Accent6 2 2 5 2 2" xfId="15542" xr:uid="{00000000-0005-0000-0000-0000B9250000}"/>
    <cellStyle name="20% - Accent6 2 2 5 2 2 2" xfId="39384" xr:uid="{0ED1363D-C84D-4A12-AF5F-66FB249BD62C}"/>
    <cellStyle name="20% - Accent6 2 2 5 2 3" xfId="23488" xr:uid="{00000000-0005-0000-0000-0000BA250000}"/>
    <cellStyle name="20% - Accent6 2 2 5 2 3 2" xfId="47320" xr:uid="{39662192-832E-4746-9036-9078D4F51288}"/>
    <cellStyle name="20% - Accent6 2 2 5 2 4" xfId="31443" xr:uid="{EEC501C4-F969-4E88-AF48-9F8C21CE761B}"/>
    <cellStyle name="20% - Accent6 2 2 5 3" xfId="12004" xr:uid="{00000000-0005-0000-0000-0000BB250000}"/>
    <cellStyle name="20% - Accent6 2 2 5 3 2" xfId="35853" xr:uid="{D7E26E92-A10D-448A-9939-E3E601EF6878}"/>
    <cellStyle name="20% - Accent6 2 2 5 4" xfId="19959" xr:uid="{00000000-0005-0000-0000-0000BC250000}"/>
    <cellStyle name="20% - Accent6 2 2 5 4 2" xfId="43791" xr:uid="{1FD772D3-BA15-4A89-9E75-1DA8AF5F5FD2}"/>
    <cellStyle name="20% - Accent6 2 2 5 5" xfId="27912" xr:uid="{629C3426-FDF7-4C0A-ACCF-447A9E441B3A}"/>
    <cellStyle name="20% - Accent6 2 2 6" xfId="5799" xr:uid="{00000000-0005-0000-0000-0000BD250000}"/>
    <cellStyle name="20% - Accent6 2 2 6 2" xfId="13783" xr:uid="{00000000-0005-0000-0000-0000BE250000}"/>
    <cellStyle name="20% - Accent6 2 2 6 2 2" xfId="37626" xr:uid="{31146D4B-F759-4ABE-8231-A43F0FAD427C}"/>
    <cellStyle name="20% - Accent6 2 2 6 3" xfId="21731" xr:uid="{00000000-0005-0000-0000-0000BF250000}"/>
    <cellStyle name="20% - Accent6 2 2 6 3 2" xfId="45563" xr:uid="{AEBF87F1-8F67-4AEE-B290-6838348A56C9}"/>
    <cellStyle name="20% - Accent6 2 2 6 4" xfId="29685" xr:uid="{83FBA453-A0E3-4EFF-8963-5A3418F2AADD}"/>
    <cellStyle name="20% - Accent6 2 2 7" xfId="9352" xr:uid="{00000000-0005-0000-0000-0000C0250000}"/>
    <cellStyle name="20% - Accent6 2 2 7 2" xfId="17310" xr:uid="{00000000-0005-0000-0000-0000C1250000}"/>
    <cellStyle name="20% - Accent6 2 2 7 2 2" xfId="41150" xr:uid="{3CBF3FF1-D77E-4C28-A0BA-E4D80EBE3ADD}"/>
    <cellStyle name="20% - Accent6 2 2 7 3" xfId="25254" xr:uid="{00000000-0005-0000-0000-0000C2250000}"/>
    <cellStyle name="20% - Accent6 2 2 7 3 2" xfId="49086" xr:uid="{054BD942-DDDB-4049-8AAC-E0A56E113E63}"/>
    <cellStyle name="20% - Accent6 2 2 7 4" xfId="33209" xr:uid="{3C8AE1CB-069E-479A-BB33-37E6E9E9420B}"/>
    <cellStyle name="20% - Accent6 2 2 8" xfId="10248" xr:uid="{00000000-0005-0000-0000-0000C3250000}"/>
    <cellStyle name="20% - Accent6 2 2 8 2" xfId="34097" xr:uid="{25C99BAD-F93D-4355-BEC5-7334DCF16592}"/>
    <cellStyle name="20% - Accent6 2 2 9" xfId="18203" xr:uid="{00000000-0005-0000-0000-0000C4250000}"/>
    <cellStyle name="20% - Accent6 2 2 9 2" xfId="42035" xr:uid="{1FD57CD2-8CA1-4606-91E4-54D39CFB02B9}"/>
    <cellStyle name="20% - Accent6 2 2_Exh G" xfId="2602" xr:uid="{00000000-0005-0000-0000-0000C5250000}"/>
    <cellStyle name="20% - Accent6 2 3" xfId="302" xr:uid="{00000000-0005-0000-0000-0000C6250000}"/>
    <cellStyle name="20% - Accent6 2 3 2" xfId="1330" xr:uid="{00000000-0005-0000-0000-0000C7250000}"/>
    <cellStyle name="20% - Accent6 2 3 2 2" xfId="4860" xr:uid="{00000000-0005-0000-0000-0000C8250000}"/>
    <cellStyle name="20% - Accent6 2 3 2 2 2" xfId="8451" xr:uid="{00000000-0005-0000-0000-0000C9250000}"/>
    <cellStyle name="20% - Accent6 2 3 2 2 2 2" xfId="16422" xr:uid="{00000000-0005-0000-0000-0000CA250000}"/>
    <cellStyle name="20% - Accent6 2 3 2 2 2 2 2" xfId="40264" xr:uid="{CC7ECA1A-139D-442B-B5D9-A892379BBD8C}"/>
    <cellStyle name="20% - Accent6 2 3 2 2 2 3" xfId="24368" xr:uid="{00000000-0005-0000-0000-0000CB250000}"/>
    <cellStyle name="20% - Accent6 2 3 2 2 2 3 2" xfId="48200" xr:uid="{29F5D66C-858E-4BC8-9252-929DF99414EF}"/>
    <cellStyle name="20% - Accent6 2 3 2 2 2 4" xfId="32323" xr:uid="{7A0F7D2A-DE0F-46DA-A878-61C8E6AF9D80}"/>
    <cellStyle name="20% - Accent6 2 3 2 2 3" xfId="12884" xr:uid="{00000000-0005-0000-0000-0000CC250000}"/>
    <cellStyle name="20% - Accent6 2 3 2 2 3 2" xfId="36733" xr:uid="{8D6B781D-22D3-44C0-953A-9C64E2997301}"/>
    <cellStyle name="20% - Accent6 2 3 2 2 4" xfId="20839" xr:uid="{00000000-0005-0000-0000-0000CD250000}"/>
    <cellStyle name="20% - Accent6 2 3 2 2 4 2" xfId="44671" xr:uid="{F675F332-6F9B-4A5D-AF97-1691D68930E7}"/>
    <cellStyle name="20% - Accent6 2 3 2 2 5" xfId="28792" xr:uid="{B45849F3-8366-467C-84B6-B96E70730F77}"/>
    <cellStyle name="20% - Accent6 2 3 2 3" xfId="6692" xr:uid="{00000000-0005-0000-0000-0000CE250000}"/>
    <cellStyle name="20% - Accent6 2 3 2 3 2" xfId="14664" xr:uid="{00000000-0005-0000-0000-0000CF250000}"/>
    <cellStyle name="20% - Accent6 2 3 2 3 2 2" xfId="38506" xr:uid="{EF37325A-28B9-480A-94EC-96B4BED66C9F}"/>
    <cellStyle name="20% - Accent6 2 3 2 3 3" xfId="22611" xr:uid="{00000000-0005-0000-0000-0000D0250000}"/>
    <cellStyle name="20% - Accent6 2 3 2 3 3 2" xfId="46443" xr:uid="{0B1BC78F-2CB9-46F6-8289-D5EEE0C8B8A0}"/>
    <cellStyle name="20% - Accent6 2 3 2 3 4" xfId="30565" xr:uid="{05E0333C-9D2E-4FA5-BA70-E96566164D78}"/>
    <cellStyle name="20% - Accent6 2 3 2 4" xfId="11128" xr:uid="{00000000-0005-0000-0000-0000D1250000}"/>
    <cellStyle name="20% - Accent6 2 3 2 4 2" xfId="34977" xr:uid="{A468D191-893A-4852-A4DC-9BF64B25B9A3}"/>
    <cellStyle name="20% - Accent6 2 3 2 5" xfId="19083" xr:uid="{00000000-0005-0000-0000-0000D2250000}"/>
    <cellStyle name="20% - Accent6 2 3 2 5 2" xfId="42915" xr:uid="{D73EF53F-8671-451D-A63E-272F37C951E5}"/>
    <cellStyle name="20% - Accent6 2 3 2 6" xfId="27035" xr:uid="{4E4D6B93-1196-4C35-830F-C371E517901B}"/>
    <cellStyle name="20% - Accent6 2 3 2_Exh G" xfId="2609" xr:uid="{00000000-0005-0000-0000-0000D3250000}"/>
    <cellStyle name="20% - Accent6 2 3 3" xfId="3981" xr:uid="{00000000-0005-0000-0000-0000D4250000}"/>
    <cellStyle name="20% - Accent6 2 3 3 2" xfId="7573" xr:uid="{00000000-0005-0000-0000-0000D5250000}"/>
    <cellStyle name="20% - Accent6 2 3 3 2 2" xfId="15544" xr:uid="{00000000-0005-0000-0000-0000D6250000}"/>
    <cellStyle name="20% - Accent6 2 3 3 2 2 2" xfId="39386" xr:uid="{875A2C0C-591E-40FD-988F-252DF8221109}"/>
    <cellStyle name="20% - Accent6 2 3 3 2 3" xfId="23490" xr:uid="{00000000-0005-0000-0000-0000D7250000}"/>
    <cellStyle name="20% - Accent6 2 3 3 2 3 2" xfId="47322" xr:uid="{50D5267D-21A2-4EF6-95C8-E7FB1B347565}"/>
    <cellStyle name="20% - Accent6 2 3 3 2 4" xfId="31445" xr:uid="{AB7FFE52-584F-493C-8AD9-AFB3DA77735E}"/>
    <cellStyle name="20% - Accent6 2 3 3 3" xfId="12006" xr:uid="{00000000-0005-0000-0000-0000D8250000}"/>
    <cellStyle name="20% - Accent6 2 3 3 3 2" xfId="35855" xr:uid="{023C08F7-6211-4993-B6D6-35A150D8710D}"/>
    <cellStyle name="20% - Accent6 2 3 3 4" xfId="19961" xr:uid="{00000000-0005-0000-0000-0000D9250000}"/>
    <cellStyle name="20% - Accent6 2 3 3 4 2" xfId="43793" xr:uid="{51BBD129-3CFD-4BB9-9979-8B06A006EB1A}"/>
    <cellStyle name="20% - Accent6 2 3 3 5" xfId="27914" xr:uid="{36A814D3-66B3-407C-9711-9BFE19EA10CA}"/>
    <cellStyle name="20% - Accent6 2 3 4" xfId="5801" xr:uid="{00000000-0005-0000-0000-0000DA250000}"/>
    <cellStyle name="20% - Accent6 2 3 4 2" xfId="13785" xr:uid="{00000000-0005-0000-0000-0000DB250000}"/>
    <cellStyle name="20% - Accent6 2 3 4 2 2" xfId="37628" xr:uid="{3CEF6CA2-4262-4189-92A2-DBA74560E6DF}"/>
    <cellStyle name="20% - Accent6 2 3 4 3" xfId="21733" xr:uid="{00000000-0005-0000-0000-0000DC250000}"/>
    <cellStyle name="20% - Accent6 2 3 4 3 2" xfId="45565" xr:uid="{EAB7FF2B-4753-4568-A11B-8FD575BD0E4D}"/>
    <cellStyle name="20% - Accent6 2 3 4 4" xfId="29687" xr:uid="{A8EB842F-6FCE-4425-AFAE-42603AA34075}"/>
    <cellStyle name="20% - Accent6 2 3 5" xfId="9354" xr:uid="{00000000-0005-0000-0000-0000DD250000}"/>
    <cellStyle name="20% - Accent6 2 3 5 2" xfId="17312" xr:uid="{00000000-0005-0000-0000-0000DE250000}"/>
    <cellStyle name="20% - Accent6 2 3 5 2 2" xfId="41152" xr:uid="{7BF6405C-F614-4179-BD3C-B4BCAFC8F4F6}"/>
    <cellStyle name="20% - Accent6 2 3 5 3" xfId="25256" xr:uid="{00000000-0005-0000-0000-0000DF250000}"/>
    <cellStyle name="20% - Accent6 2 3 5 3 2" xfId="49088" xr:uid="{A855290D-53B2-4CBD-890C-7527D69C0413}"/>
    <cellStyle name="20% - Accent6 2 3 5 4" xfId="33211" xr:uid="{46836CBC-2F25-4DDC-AC66-E3A4A0DB3F44}"/>
    <cellStyle name="20% - Accent6 2 3 6" xfId="10250" xr:uid="{00000000-0005-0000-0000-0000E0250000}"/>
    <cellStyle name="20% - Accent6 2 3 6 2" xfId="34099" xr:uid="{805296EC-58B5-4420-AE12-9406ED5E6415}"/>
    <cellStyle name="20% - Accent6 2 3 7" xfId="18205" xr:uid="{00000000-0005-0000-0000-0000E1250000}"/>
    <cellStyle name="20% - Accent6 2 3 7 2" xfId="42037" xr:uid="{5C46EF4B-8102-4B02-ABC0-EE754E737E42}"/>
    <cellStyle name="20% - Accent6 2 3 8" xfId="26157" xr:uid="{57A3F509-CBC3-4E11-B34F-E135D523FB40}"/>
    <cellStyle name="20% - Accent6 2 3_Exh G" xfId="2608" xr:uid="{00000000-0005-0000-0000-0000E2250000}"/>
    <cellStyle name="20% - Accent6 2 4" xfId="923" xr:uid="{00000000-0005-0000-0000-0000E3250000}"/>
    <cellStyle name="20% - Accent6 2 4 2" xfId="1849" xr:uid="{00000000-0005-0000-0000-0000E4250000}"/>
    <cellStyle name="20% - Accent6 2 4 2 2" xfId="5367" xr:uid="{00000000-0005-0000-0000-0000E5250000}"/>
    <cellStyle name="20% - Accent6 2 4 2 2 2" xfId="8958" xr:uid="{00000000-0005-0000-0000-0000E6250000}"/>
    <cellStyle name="20% - Accent6 2 4 2 2 2 2" xfId="16929" xr:uid="{00000000-0005-0000-0000-0000E7250000}"/>
    <cellStyle name="20% - Accent6 2 4 2 2 2 2 2" xfId="40771" xr:uid="{DFBFAD4A-FAC7-4632-A87F-618532370B5E}"/>
    <cellStyle name="20% - Accent6 2 4 2 2 2 3" xfId="24875" xr:uid="{00000000-0005-0000-0000-0000E8250000}"/>
    <cellStyle name="20% - Accent6 2 4 2 2 2 3 2" xfId="48707" xr:uid="{BA0A6AD4-8EA1-4368-B74A-3345B6EDFD5A}"/>
    <cellStyle name="20% - Accent6 2 4 2 2 2 4" xfId="32830" xr:uid="{653AD84C-D88F-4E79-A140-305C830C824C}"/>
    <cellStyle name="20% - Accent6 2 4 2 2 3" xfId="13391" xr:uid="{00000000-0005-0000-0000-0000E9250000}"/>
    <cellStyle name="20% - Accent6 2 4 2 2 3 2" xfId="37240" xr:uid="{5E9799EA-7405-45AD-A537-0D30B29FACB6}"/>
    <cellStyle name="20% - Accent6 2 4 2 2 4" xfId="21346" xr:uid="{00000000-0005-0000-0000-0000EA250000}"/>
    <cellStyle name="20% - Accent6 2 4 2 2 4 2" xfId="45178" xr:uid="{16467DBA-C26C-4AF1-92F9-AFDE6ABEFDF1}"/>
    <cellStyle name="20% - Accent6 2 4 2 2 5" xfId="29299" xr:uid="{2EEF6F4B-D6D2-4EDE-8EDD-BC3E35A1C558}"/>
    <cellStyle name="20% - Accent6 2 4 2 3" xfId="7199" xr:uid="{00000000-0005-0000-0000-0000EB250000}"/>
    <cellStyle name="20% - Accent6 2 4 2 3 2" xfId="15171" xr:uid="{00000000-0005-0000-0000-0000EC250000}"/>
    <cellStyle name="20% - Accent6 2 4 2 3 2 2" xfId="39013" xr:uid="{8F5E8335-3265-49DE-A07A-7F05B75CD282}"/>
    <cellStyle name="20% - Accent6 2 4 2 3 3" xfId="23118" xr:uid="{00000000-0005-0000-0000-0000ED250000}"/>
    <cellStyle name="20% - Accent6 2 4 2 3 3 2" xfId="46950" xr:uid="{F67F656D-1F0D-40C9-89D2-EA6E1B90F300}"/>
    <cellStyle name="20% - Accent6 2 4 2 3 4" xfId="31072" xr:uid="{79069432-6B48-40C5-9C5E-7C0E2B914E5B}"/>
    <cellStyle name="20% - Accent6 2 4 2 4" xfId="11635" xr:uid="{00000000-0005-0000-0000-0000EE250000}"/>
    <cellStyle name="20% - Accent6 2 4 2 4 2" xfId="35484" xr:uid="{B38B5DED-04F5-42DF-969E-D1E52D1563FB}"/>
    <cellStyle name="20% - Accent6 2 4 2 5" xfId="19590" xr:uid="{00000000-0005-0000-0000-0000EF250000}"/>
    <cellStyle name="20% - Accent6 2 4 2 5 2" xfId="43422" xr:uid="{8C342A70-0B0B-4A42-8E9E-17664051D7FF}"/>
    <cellStyle name="20% - Accent6 2 4 2 6" xfId="27542" xr:uid="{620A4BC9-A887-43F2-BD21-B57B49E6B731}"/>
    <cellStyle name="20% - Accent6 2 4 2_Exh G" xfId="2611" xr:uid="{00000000-0005-0000-0000-0000F0250000}"/>
    <cellStyle name="20% - Accent6 2 4 3" xfId="4488" xr:uid="{00000000-0005-0000-0000-0000F1250000}"/>
    <cellStyle name="20% - Accent6 2 4 3 2" xfId="8080" xr:uid="{00000000-0005-0000-0000-0000F2250000}"/>
    <cellStyle name="20% - Accent6 2 4 3 2 2" xfId="16051" xr:uid="{00000000-0005-0000-0000-0000F3250000}"/>
    <cellStyle name="20% - Accent6 2 4 3 2 2 2" xfId="39893" xr:uid="{36004509-0D09-48C4-9073-B18D47FFC69F}"/>
    <cellStyle name="20% - Accent6 2 4 3 2 3" xfId="23997" xr:uid="{00000000-0005-0000-0000-0000F4250000}"/>
    <cellStyle name="20% - Accent6 2 4 3 2 3 2" xfId="47829" xr:uid="{07F37FA4-333D-488C-849B-F5BD38184A84}"/>
    <cellStyle name="20% - Accent6 2 4 3 2 4" xfId="31952" xr:uid="{EF4FFB34-CB27-4020-BD35-A0397398839A}"/>
    <cellStyle name="20% - Accent6 2 4 3 3" xfId="12513" xr:uid="{00000000-0005-0000-0000-0000F5250000}"/>
    <cellStyle name="20% - Accent6 2 4 3 3 2" xfId="36362" xr:uid="{EC40E272-FC08-4DCE-804E-82CA44B04F1C}"/>
    <cellStyle name="20% - Accent6 2 4 3 4" xfId="20468" xr:uid="{00000000-0005-0000-0000-0000F6250000}"/>
    <cellStyle name="20% - Accent6 2 4 3 4 2" xfId="44300" xr:uid="{7069607C-AA59-422E-BF9C-7537AEC4691A}"/>
    <cellStyle name="20% - Accent6 2 4 3 5" xfId="28421" xr:uid="{7271B10A-94D2-409E-9DB6-FBAC530F3458}"/>
    <cellStyle name="20% - Accent6 2 4 4" xfId="6318" xr:uid="{00000000-0005-0000-0000-0000F7250000}"/>
    <cellStyle name="20% - Accent6 2 4 4 2" xfId="14293" xr:uid="{00000000-0005-0000-0000-0000F8250000}"/>
    <cellStyle name="20% - Accent6 2 4 4 2 2" xfId="38135" xr:uid="{AFE231A0-4F6B-4900-BFF5-077F969FEFB0}"/>
    <cellStyle name="20% - Accent6 2 4 4 3" xfId="22240" xr:uid="{00000000-0005-0000-0000-0000F9250000}"/>
    <cellStyle name="20% - Accent6 2 4 4 3 2" xfId="46072" xr:uid="{EDC0C0D8-4E31-4D52-A788-74FB2EFBB5A7}"/>
    <cellStyle name="20% - Accent6 2 4 4 4" xfId="30194" xr:uid="{72284FD3-0A4B-4D2C-9F5B-2E760A01823A}"/>
    <cellStyle name="20% - Accent6 2 4 5" xfId="9861" xr:uid="{00000000-0005-0000-0000-0000FA250000}"/>
    <cellStyle name="20% - Accent6 2 4 5 2" xfId="17819" xr:uid="{00000000-0005-0000-0000-0000FB250000}"/>
    <cellStyle name="20% - Accent6 2 4 5 2 2" xfId="41659" xr:uid="{2B4C4D7E-0794-4DE6-B2D2-4B8BA05E1BF1}"/>
    <cellStyle name="20% - Accent6 2 4 5 3" xfId="25763" xr:uid="{00000000-0005-0000-0000-0000FC250000}"/>
    <cellStyle name="20% - Accent6 2 4 5 3 2" xfId="49595" xr:uid="{83E667ED-E437-4B55-AF3E-1C5F98FD5D90}"/>
    <cellStyle name="20% - Accent6 2 4 5 4" xfId="33718" xr:uid="{56341274-AF86-4529-9B88-D3675A79F77F}"/>
    <cellStyle name="20% - Accent6 2 4 6" xfId="10757" xr:uid="{00000000-0005-0000-0000-0000FD250000}"/>
    <cellStyle name="20% - Accent6 2 4 6 2" xfId="34606" xr:uid="{FFD06C94-A3B7-4EDB-9C1C-531C37ED319D}"/>
    <cellStyle name="20% - Accent6 2 4 7" xfId="18712" xr:uid="{00000000-0005-0000-0000-0000FE250000}"/>
    <cellStyle name="20% - Accent6 2 4 7 2" xfId="42544" xr:uid="{5331D966-B1BC-4C2F-833E-66D3DD25DE68}"/>
    <cellStyle name="20% - Accent6 2 4 8" xfId="26664" xr:uid="{EA8891B1-B03A-4CDA-909D-C157DEA75CAA}"/>
    <cellStyle name="20% - Accent6 2 4_Exh G" xfId="2610" xr:uid="{00000000-0005-0000-0000-0000FF250000}"/>
    <cellStyle name="20% - Accent6 2 5" xfId="1327" xr:uid="{00000000-0005-0000-0000-000000260000}"/>
    <cellStyle name="20% - Accent6 2 5 2" xfId="4857" xr:uid="{00000000-0005-0000-0000-000001260000}"/>
    <cellStyle name="20% - Accent6 2 5 2 2" xfId="8448" xr:uid="{00000000-0005-0000-0000-000002260000}"/>
    <cellStyle name="20% - Accent6 2 5 2 2 2" xfId="16419" xr:uid="{00000000-0005-0000-0000-000003260000}"/>
    <cellStyle name="20% - Accent6 2 5 2 2 2 2" xfId="40261" xr:uid="{0DEB08DC-0B8B-4596-8C67-AF361541FAC1}"/>
    <cellStyle name="20% - Accent6 2 5 2 2 3" xfId="24365" xr:uid="{00000000-0005-0000-0000-000004260000}"/>
    <cellStyle name="20% - Accent6 2 5 2 2 3 2" xfId="48197" xr:uid="{1535D373-A561-44F5-A5C4-4BA7C5F97AF5}"/>
    <cellStyle name="20% - Accent6 2 5 2 2 4" xfId="32320" xr:uid="{562CFA11-0A4E-452F-BF38-E311721F389B}"/>
    <cellStyle name="20% - Accent6 2 5 2 3" xfId="12881" xr:uid="{00000000-0005-0000-0000-000005260000}"/>
    <cellStyle name="20% - Accent6 2 5 2 3 2" xfId="36730" xr:uid="{A5C09CE2-2C49-40CE-BD2C-7A79D7B8B3DB}"/>
    <cellStyle name="20% - Accent6 2 5 2 4" xfId="20836" xr:uid="{00000000-0005-0000-0000-000006260000}"/>
    <cellStyle name="20% - Accent6 2 5 2 4 2" xfId="44668" xr:uid="{0008EB86-2ACB-4449-841B-93EE5EF9B48E}"/>
    <cellStyle name="20% - Accent6 2 5 2 5" xfId="28789" xr:uid="{478063AA-1FC4-464C-B1EA-153E57A18AE5}"/>
    <cellStyle name="20% - Accent6 2 5 3" xfId="6689" xr:uid="{00000000-0005-0000-0000-000007260000}"/>
    <cellStyle name="20% - Accent6 2 5 3 2" xfId="14661" xr:uid="{00000000-0005-0000-0000-000008260000}"/>
    <cellStyle name="20% - Accent6 2 5 3 2 2" xfId="38503" xr:uid="{6D087F34-D1E3-458B-82F7-64A9C8769E40}"/>
    <cellStyle name="20% - Accent6 2 5 3 3" xfId="22608" xr:uid="{00000000-0005-0000-0000-000009260000}"/>
    <cellStyle name="20% - Accent6 2 5 3 3 2" xfId="46440" xr:uid="{B65BC57F-1455-4470-8364-60D72AED6DE5}"/>
    <cellStyle name="20% - Accent6 2 5 3 4" xfId="30562" xr:uid="{04FC965E-BE22-4FA8-A82F-1486645A4E32}"/>
    <cellStyle name="20% - Accent6 2 5 4" xfId="11125" xr:uid="{00000000-0005-0000-0000-00000A260000}"/>
    <cellStyle name="20% - Accent6 2 5 4 2" xfId="34974" xr:uid="{82E4591E-6353-425C-BBE9-D5EB8C4A9DC2}"/>
    <cellStyle name="20% - Accent6 2 5 5" xfId="19080" xr:uid="{00000000-0005-0000-0000-00000B260000}"/>
    <cellStyle name="20% - Accent6 2 5 5 2" xfId="42912" xr:uid="{1032F908-EDFB-48D9-B5CE-BDEDB930D713}"/>
    <cellStyle name="20% - Accent6 2 5 6" xfId="27032" xr:uid="{C72E2358-4477-4A48-B8C1-039A2384D0D2}"/>
    <cellStyle name="20% - Accent6 2 5_Exh G" xfId="2612" xr:uid="{00000000-0005-0000-0000-00000C260000}"/>
    <cellStyle name="20% - Accent6 2 6" xfId="3978" xr:uid="{00000000-0005-0000-0000-00000D260000}"/>
    <cellStyle name="20% - Accent6 2 6 2" xfId="7570" xr:uid="{00000000-0005-0000-0000-00000E260000}"/>
    <cellStyle name="20% - Accent6 2 6 2 2" xfId="15541" xr:uid="{00000000-0005-0000-0000-00000F260000}"/>
    <cellStyle name="20% - Accent6 2 6 2 2 2" xfId="39383" xr:uid="{68C9351B-77C9-4C9B-8DBF-0D00EF9C4F33}"/>
    <cellStyle name="20% - Accent6 2 6 2 3" xfId="23487" xr:uid="{00000000-0005-0000-0000-000010260000}"/>
    <cellStyle name="20% - Accent6 2 6 2 3 2" xfId="47319" xr:uid="{66D422FE-ABAB-4454-A179-AACEBD90EF89}"/>
    <cellStyle name="20% - Accent6 2 6 2 4" xfId="31442" xr:uid="{E46EB396-358E-4762-8D86-0F95E0CC1557}"/>
    <cellStyle name="20% - Accent6 2 6 3" xfId="12003" xr:uid="{00000000-0005-0000-0000-000011260000}"/>
    <cellStyle name="20% - Accent6 2 6 3 2" xfId="35852" xr:uid="{0B1F5B5F-4B86-487D-B6A3-9441CB136105}"/>
    <cellStyle name="20% - Accent6 2 6 4" xfId="19958" xr:uid="{00000000-0005-0000-0000-000012260000}"/>
    <cellStyle name="20% - Accent6 2 6 4 2" xfId="43790" xr:uid="{C369956B-C98E-4640-B18B-CF887D0AA68F}"/>
    <cellStyle name="20% - Accent6 2 6 5" xfId="27911" xr:uid="{9487DD5C-5366-4C02-9B81-BDB7AFB25AAB}"/>
    <cellStyle name="20% - Accent6 2 7" xfId="5798" xr:uid="{00000000-0005-0000-0000-000013260000}"/>
    <cellStyle name="20% - Accent6 2 7 2" xfId="13782" xr:uid="{00000000-0005-0000-0000-000014260000}"/>
    <cellStyle name="20% - Accent6 2 7 2 2" xfId="37625" xr:uid="{547FBD55-83A3-4F09-868B-2BAF0E63E74A}"/>
    <cellStyle name="20% - Accent6 2 7 3" xfId="21730" xr:uid="{00000000-0005-0000-0000-000015260000}"/>
    <cellStyle name="20% - Accent6 2 7 3 2" xfId="45562" xr:uid="{58319FCE-163E-4318-B53C-7ACDE2D729FF}"/>
    <cellStyle name="20% - Accent6 2 7 4" xfId="29684" xr:uid="{49239626-EF3A-4585-99D2-D6A08D99F106}"/>
    <cellStyle name="20% - Accent6 2 8" xfId="9351" xr:uid="{00000000-0005-0000-0000-000016260000}"/>
    <cellStyle name="20% - Accent6 2 8 2" xfId="17309" xr:uid="{00000000-0005-0000-0000-000017260000}"/>
    <cellStyle name="20% - Accent6 2 8 2 2" xfId="41149" xr:uid="{E57946CE-1A2B-4355-8B93-DE4EBCD2C49C}"/>
    <cellStyle name="20% - Accent6 2 8 3" xfId="25253" xr:uid="{00000000-0005-0000-0000-000018260000}"/>
    <cellStyle name="20% - Accent6 2 8 3 2" xfId="49085" xr:uid="{2F7925F3-A1E4-4BF1-90B2-FF469840FDFB}"/>
    <cellStyle name="20% - Accent6 2 8 4" xfId="33208" xr:uid="{D7287D9F-446F-45B6-B59F-045B8AA88DED}"/>
    <cellStyle name="20% - Accent6 2 9" xfId="10247" xr:uid="{00000000-0005-0000-0000-000019260000}"/>
    <cellStyle name="20% - Accent6 2 9 2" xfId="34096" xr:uid="{4E17488D-1B19-4107-AC8E-F4809E0ADFD3}"/>
    <cellStyle name="20% - Accent6 2_Exh G" xfId="2601" xr:uid="{00000000-0005-0000-0000-00001A260000}"/>
    <cellStyle name="20% - Accent6 3" xfId="303" xr:uid="{00000000-0005-0000-0000-00001B260000}"/>
    <cellStyle name="20% - Accent6 3 10" xfId="18206" xr:uid="{00000000-0005-0000-0000-00001C260000}"/>
    <cellStyle name="20% - Accent6 3 10 2" xfId="42038" xr:uid="{342BB74B-F1D0-47FF-AFE7-65642B33FD51}"/>
    <cellStyle name="20% - Accent6 3 11" xfId="26158" xr:uid="{B190DA66-B8C9-4A85-BFDA-7D469244C142}"/>
    <cellStyle name="20% - Accent6 3 12" xfId="49775" xr:uid="{3E199D84-80C6-4646-B96A-FADB6B9E1079}"/>
    <cellStyle name="20% - Accent6 3 13" xfId="49829" xr:uid="{033E4528-90A1-41C8-879F-D9CC4D2C2978}"/>
    <cellStyle name="20% - Accent6 3 2" xfId="304" xr:uid="{00000000-0005-0000-0000-00001D260000}"/>
    <cellStyle name="20% - Accent6 3 2 10" xfId="26159" xr:uid="{707733EB-832F-4001-9392-DBB4C0665BD7}"/>
    <cellStyle name="20% - Accent6 3 2 2" xfId="305" xr:uid="{00000000-0005-0000-0000-00001E260000}"/>
    <cellStyle name="20% - Accent6 3 2 2 2" xfId="1333" xr:uid="{00000000-0005-0000-0000-00001F260000}"/>
    <cellStyle name="20% - Accent6 3 2 2 2 2" xfId="4863" xr:uid="{00000000-0005-0000-0000-000020260000}"/>
    <cellStyle name="20% - Accent6 3 2 2 2 2 2" xfId="8454" xr:uid="{00000000-0005-0000-0000-000021260000}"/>
    <cellStyle name="20% - Accent6 3 2 2 2 2 2 2" xfId="16425" xr:uid="{00000000-0005-0000-0000-000022260000}"/>
    <cellStyle name="20% - Accent6 3 2 2 2 2 2 2 2" xfId="40267" xr:uid="{102A3404-A03D-4C3A-8740-A9213DF0E171}"/>
    <cellStyle name="20% - Accent6 3 2 2 2 2 2 3" xfId="24371" xr:uid="{00000000-0005-0000-0000-000023260000}"/>
    <cellStyle name="20% - Accent6 3 2 2 2 2 2 3 2" xfId="48203" xr:uid="{7A8D1A09-0C43-4974-97EE-80894009E409}"/>
    <cellStyle name="20% - Accent6 3 2 2 2 2 2 4" xfId="32326" xr:uid="{9CE76D7C-F6AF-4ED2-BC9F-C05767687438}"/>
    <cellStyle name="20% - Accent6 3 2 2 2 2 3" xfId="12887" xr:uid="{00000000-0005-0000-0000-000024260000}"/>
    <cellStyle name="20% - Accent6 3 2 2 2 2 3 2" xfId="36736" xr:uid="{FA6C37EF-B338-430D-9D3A-9FCB541CEEE0}"/>
    <cellStyle name="20% - Accent6 3 2 2 2 2 4" xfId="20842" xr:uid="{00000000-0005-0000-0000-000025260000}"/>
    <cellStyle name="20% - Accent6 3 2 2 2 2 4 2" xfId="44674" xr:uid="{50795D06-57D2-4338-A4EF-9CD142AE092A}"/>
    <cellStyle name="20% - Accent6 3 2 2 2 2 5" xfId="28795" xr:uid="{01DCE371-2D26-4F00-8CF7-8EF05D2682B6}"/>
    <cellStyle name="20% - Accent6 3 2 2 2 3" xfId="6695" xr:uid="{00000000-0005-0000-0000-000026260000}"/>
    <cellStyle name="20% - Accent6 3 2 2 2 3 2" xfId="14667" xr:uid="{00000000-0005-0000-0000-000027260000}"/>
    <cellStyle name="20% - Accent6 3 2 2 2 3 2 2" xfId="38509" xr:uid="{A51CDA0A-9E0A-4FF2-B765-2E9A378918B9}"/>
    <cellStyle name="20% - Accent6 3 2 2 2 3 3" xfId="22614" xr:uid="{00000000-0005-0000-0000-000028260000}"/>
    <cellStyle name="20% - Accent6 3 2 2 2 3 3 2" xfId="46446" xr:uid="{1C37F1E2-31D3-4257-A1C2-5385D47AAB3A}"/>
    <cellStyle name="20% - Accent6 3 2 2 2 3 4" xfId="30568" xr:uid="{7B67D4CD-4F82-4B70-8408-9AB703E51F74}"/>
    <cellStyle name="20% - Accent6 3 2 2 2 4" xfId="11131" xr:uid="{00000000-0005-0000-0000-000029260000}"/>
    <cellStyle name="20% - Accent6 3 2 2 2 4 2" xfId="34980" xr:uid="{84A56959-75CF-4599-ADAE-D8E67310A419}"/>
    <cellStyle name="20% - Accent6 3 2 2 2 5" xfId="19086" xr:uid="{00000000-0005-0000-0000-00002A260000}"/>
    <cellStyle name="20% - Accent6 3 2 2 2 5 2" xfId="42918" xr:uid="{BDF524A3-E765-485C-9712-10A31B6AEB4C}"/>
    <cellStyle name="20% - Accent6 3 2 2 2 6" xfId="27038" xr:uid="{DD2FB4E7-971E-4513-8090-0DC0B8360775}"/>
    <cellStyle name="20% - Accent6 3 2 2 2_Exh G" xfId="2616" xr:uid="{00000000-0005-0000-0000-00002B260000}"/>
    <cellStyle name="20% - Accent6 3 2 2 3" xfId="3984" xr:uid="{00000000-0005-0000-0000-00002C260000}"/>
    <cellStyle name="20% - Accent6 3 2 2 3 2" xfId="7576" xr:uid="{00000000-0005-0000-0000-00002D260000}"/>
    <cellStyle name="20% - Accent6 3 2 2 3 2 2" xfId="15547" xr:uid="{00000000-0005-0000-0000-00002E260000}"/>
    <cellStyle name="20% - Accent6 3 2 2 3 2 2 2" xfId="39389" xr:uid="{9AD303D7-DDD9-4C9C-AC77-06C3858E1811}"/>
    <cellStyle name="20% - Accent6 3 2 2 3 2 3" xfId="23493" xr:uid="{00000000-0005-0000-0000-00002F260000}"/>
    <cellStyle name="20% - Accent6 3 2 2 3 2 3 2" xfId="47325" xr:uid="{44F1A491-7B2E-4A9E-8FED-1683AC8172E8}"/>
    <cellStyle name="20% - Accent6 3 2 2 3 2 4" xfId="31448" xr:uid="{1D50C2D9-DA51-4F3A-B21C-75FF216186AE}"/>
    <cellStyle name="20% - Accent6 3 2 2 3 3" xfId="12009" xr:uid="{00000000-0005-0000-0000-000030260000}"/>
    <cellStyle name="20% - Accent6 3 2 2 3 3 2" xfId="35858" xr:uid="{D5990CEE-AC60-4377-A6EF-76DB59AA9D2F}"/>
    <cellStyle name="20% - Accent6 3 2 2 3 4" xfId="19964" xr:uid="{00000000-0005-0000-0000-000031260000}"/>
    <cellStyle name="20% - Accent6 3 2 2 3 4 2" xfId="43796" xr:uid="{F1ED4D42-9A88-4189-A401-D2614FF5DBBB}"/>
    <cellStyle name="20% - Accent6 3 2 2 3 5" xfId="27917" xr:uid="{60746B9B-B4B9-44C0-84D4-16D4232A2521}"/>
    <cellStyle name="20% - Accent6 3 2 2 4" xfId="5804" xr:uid="{00000000-0005-0000-0000-000032260000}"/>
    <cellStyle name="20% - Accent6 3 2 2 4 2" xfId="13788" xr:uid="{00000000-0005-0000-0000-000033260000}"/>
    <cellStyle name="20% - Accent6 3 2 2 4 2 2" xfId="37631" xr:uid="{FCCDC733-D8F6-48D3-9DEE-3CDFA74DDFF5}"/>
    <cellStyle name="20% - Accent6 3 2 2 4 3" xfId="21736" xr:uid="{00000000-0005-0000-0000-000034260000}"/>
    <cellStyle name="20% - Accent6 3 2 2 4 3 2" xfId="45568" xr:uid="{1DF77D21-B680-4D6C-ADBD-84CFACAA52CE}"/>
    <cellStyle name="20% - Accent6 3 2 2 4 4" xfId="29690" xr:uid="{A070D748-852F-4198-9DA9-47D198601E1C}"/>
    <cellStyle name="20% - Accent6 3 2 2 5" xfId="9357" xr:uid="{00000000-0005-0000-0000-000035260000}"/>
    <cellStyle name="20% - Accent6 3 2 2 5 2" xfId="17315" xr:uid="{00000000-0005-0000-0000-000036260000}"/>
    <cellStyle name="20% - Accent6 3 2 2 5 2 2" xfId="41155" xr:uid="{659CA0CE-3567-4606-90AE-D05647A1B2CF}"/>
    <cellStyle name="20% - Accent6 3 2 2 5 3" xfId="25259" xr:uid="{00000000-0005-0000-0000-000037260000}"/>
    <cellStyle name="20% - Accent6 3 2 2 5 3 2" xfId="49091" xr:uid="{E239985F-E04B-450C-98F3-C37040EC221F}"/>
    <cellStyle name="20% - Accent6 3 2 2 5 4" xfId="33214" xr:uid="{4CF4E590-4489-4172-B33E-8F6CC0CA3227}"/>
    <cellStyle name="20% - Accent6 3 2 2 6" xfId="10253" xr:uid="{00000000-0005-0000-0000-000038260000}"/>
    <cellStyle name="20% - Accent6 3 2 2 6 2" xfId="34102" xr:uid="{55C45C7E-76A4-40B7-B86D-89879A9D39E1}"/>
    <cellStyle name="20% - Accent6 3 2 2 7" xfId="18208" xr:uid="{00000000-0005-0000-0000-000039260000}"/>
    <cellStyle name="20% - Accent6 3 2 2 7 2" xfId="42040" xr:uid="{092F0D63-59F3-4E7D-86F3-68AD5EE93105}"/>
    <cellStyle name="20% - Accent6 3 2 2 8" xfId="26160" xr:uid="{099A2829-C0E3-4679-AB46-59F7251C8595}"/>
    <cellStyle name="20% - Accent6 3 2 2_Exh G" xfId="2615" xr:uid="{00000000-0005-0000-0000-00003A260000}"/>
    <cellStyle name="20% - Accent6 3 2 3" xfId="926" xr:uid="{00000000-0005-0000-0000-00003B260000}"/>
    <cellStyle name="20% - Accent6 3 2 3 2" xfId="1852" xr:uid="{00000000-0005-0000-0000-00003C260000}"/>
    <cellStyle name="20% - Accent6 3 2 3 2 2" xfId="5370" xr:uid="{00000000-0005-0000-0000-00003D260000}"/>
    <cellStyle name="20% - Accent6 3 2 3 2 2 2" xfId="8961" xr:uid="{00000000-0005-0000-0000-00003E260000}"/>
    <cellStyle name="20% - Accent6 3 2 3 2 2 2 2" xfId="16932" xr:uid="{00000000-0005-0000-0000-00003F260000}"/>
    <cellStyle name="20% - Accent6 3 2 3 2 2 2 2 2" xfId="40774" xr:uid="{7FB0A2E8-4FB8-4243-BC4C-D70811990A41}"/>
    <cellStyle name="20% - Accent6 3 2 3 2 2 2 3" xfId="24878" xr:uid="{00000000-0005-0000-0000-000040260000}"/>
    <cellStyle name="20% - Accent6 3 2 3 2 2 2 3 2" xfId="48710" xr:uid="{3DBF0364-8F4F-4994-8D13-82F68FDBD864}"/>
    <cellStyle name="20% - Accent6 3 2 3 2 2 2 4" xfId="32833" xr:uid="{608121C1-EDC9-4680-B570-3C1D937BEB9D}"/>
    <cellStyle name="20% - Accent6 3 2 3 2 2 3" xfId="13394" xr:uid="{00000000-0005-0000-0000-000041260000}"/>
    <cellStyle name="20% - Accent6 3 2 3 2 2 3 2" xfId="37243" xr:uid="{00733E2E-A8E4-4B16-AD1B-D98777AB7DDA}"/>
    <cellStyle name="20% - Accent6 3 2 3 2 2 4" xfId="21349" xr:uid="{00000000-0005-0000-0000-000042260000}"/>
    <cellStyle name="20% - Accent6 3 2 3 2 2 4 2" xfId="45181" xr:uid="{53977EB5-EF87-4A69-AF9E-CE86AF2AC4FD}"/>
    <cellStyle name="20% - Accent6 3 2 3 2 2 5" xfId="29302" xr:uid="{EE1E4B56-D68E-4F04-B549-6ED5632DF4B6}"/>
    <cellStyle name="20% - Accent6 3 2 3 2 3" xfId="7202" xr:uid="{00000000-0005-0000-0000-000043260000}"/>
    <cellStyle name="20% - Accent6 3 2 3 2 3 2" xfId="15174" xr:uid="{00000000-0005-0000-0000-000044260000}"/>
    <cellStyle name="20% - Accent6 3 2 3 2 3 2 2" xfId="39016" xr:uid="{CB42EBB1-7AE8-46DE-A92A-8F331B049AEF}"/>
    <cellStyle name="20% - Accent6 3 2 3 2 3 3" xfId="23121" xr:uid="{00000000-0005-0000-0000-000045260000}"/>
    <cellStyle name="20% - Accent6 3 2 3 2 3 3 2" xfId="46953" xr:uid="{D37CF22E-62A0-474A-8C46-3B1DC172B8F5}"/>
    <cellStyle name="20% - Accent6 3 2 3 2 3 4" xfId="31075" xr:uid="{6B9703B5-1BF1-4FBA-B78F-403F4AC25C7A}"/>
    <cellStyle name="20% - Accent6 3 2 3 2 4" xfId="11638" xr:uid="{00000000-0005-0000-0000-000046260000}"/>
    <cellStyle name="20% - Accent6 3 2 3 2 4 2" xfId="35487" xr:uid="{9E618518-776E-44DE-BB49-F51F3913F912}"/>
    <cellStyle name="20% - Accent6 3 2 3 2 5" xfId="19593" xr:uid="{00000000-0005-0000-0000-000047260000}"/>
    <cellStyle name="20% - Accent6 3 2 3 2 5 2" xfId="43425" xr:uid="{8C8141FC-12DF-4F4D-A059-2566DE97E453}"/>
    <cellStyle name="20% - Accent6 3 2 3 2 6" xfId="27545" xr:uid="{A4A32088-0458-48C4-9284-EA70FB13345B}"/>
    <cellStyle name="20% - Accent6 3 2 3 2_Exh G" xfId="2618" xr:uid="{00000000-0005-0000-0000-000048260000}"/>
    <cellStyle name="20% - Accent6 3 2 3 3" xfId="4491" xr:uid="{00000000-0005-0000-0000-000049260000}"/>
    <cellStyle name="20% - Accent6 3 2 3 3 2" xfId="8083" xr:uid="{00000000-0005-0000-0000-00004A260000}"/>
    <cellStyle name="20% - Accent6 3 2 3 3 2 2" xfId="16054" xr:uid="{00000000-0005-0000-0000-00004B260000}"/>
    <cellStyle name="20% - Accent6 3 2 3 3 2 2 2" xfId="39896" xr:uid="{F109AE1D-A042-4EF6-922A-381B8DE13A6D}"/>
    <cellStyle name="20% - Accent6 3 2 3 3 2 3" xfId="24000" xr:uid="{00000000-0005-0000-0000-00004C260000}"/>
    <cellStyle name="20% - Accent6 3 2 3 3 2 3 2" xfId="47832" xr:uid="{817F7F6B-F160-4930-931E-238FB11322B0}"/>
    <cellStyle name="20% - Accent6 3 2 3 3 2 4" xfId="31955" xr:uid="{C1F3A62E-E854-41CE-9C6B-FEF8B1F79969}"/>
    <cellStyle name="20% - Accent6 3 2 3 3 3" xfId="12516" xr:uid="{00000000-0005-0000-0000-00004D260000}"/>
    <cellStyle name="20% - Accent6 3 2 3 3 3 2" xfId="36365" xr:uid="{AD235AE1-A2B0-43A8-AD78-93D6BAFD4EB1}"/>
    <cellStyle name="20% - Accent6 3 2 3 3 4" xfId="20471" xr:uid="{00000000-0005-0000-0000-00004E260000}"/>
    <cellStyle name="20% - Accent6 3 2 3 3 4 2" xfId="44303" xr:uid="{AFD182E5-EF9E-4E65-A269-9371F30DE7A9}"/>
    <cellStyle name="20% - Accent6 3 2 3 3 5" xfId="28424" xr:uid="{89BB2E41-257E-42B7-872F-D56D77D3123F}"/>
    <cellStyle name="20% - Accent6 3 2 3 4" xfId="6321" xr:uid="{00000000-0005-0000-0000-00004F260000}"/>
    <cellStyle name="20% - Accent6 3 2 3 4 2" xfId="14296" xr:uid="{00000000-0005-0000-0000-000050260000}"/>
    <cellStyle name="20% - Accent6 3 2 3 4 2 2" xfId="38138" xr:uid="{22440CA2-5C8A-47C2-ACAB-FAE8785FEB00}"/>
    <cellStyle name="20% - Accent6 3 2 3 4 3" xfId="22243" xr:uid="{00000000-0005-0000-0000-000051260000}"/>
    <cellStyle name="20% - Accent6 3 2 3 4 3 2" xfId="46075" xr:uid="{6D6A3734-4A51-40DF-9E49-16C3D2817480}"/>
    <cellStyle name="20% - Accent6 3 2 3 4 4" xfId="30197" xr:uid="{5BFDE946-FE81-4DA6-BBD3-597943405456}"/>
    <cellStyle name="20% - Accent6 3 2 3 5" xfId="9864" xr:uid="{00000000-0005-0000-0000-000052260000}"/>
    <cellStyle name="20% - Accent6 3 2 3 5 2" xfId="17822" xr:uid="{00000000-0005-0000-0000-000053260000}"/>
    <cellStyle name="20% - Accent6 3 2 3 5 2 2" xfId="41662" xr:uid="{EAEE90A0-D978-4872-BDE7-5E67D88EF8FB}"/>
    <cellStyle name="20% - Accent6 3 2 3 5 3" xfId="25766" xr:uid="{00000000-0005-0000-0000-000054260000}"/>
    <cellStyle name="20% - Accent6 3 2 3 5 3 2" xfId="49598" xr:uid="{24DDF3CA-B7FA-4B58-B827-9C27855A2D97}"/>
    <cellStyle name="20% - Accent6 3 2 3 5 4" xfId="33721" xr:uid="{F50310DB-115B-42FD-B110-D370AEADB3D2}"/>
    <cellStyle name="20% - Accent6 3 2 3 6" xfId="10760" xr:uid="{00000000-0005-0000-0000-000055260000}"/>
    <cellStyle name="20% - Accent6 3 2 3 6 2" xfId="34609" xr:uid="{CBD7DE79-DA26-41ED-8A41-4263B4CA638A}"/>
    <cellStyle name="20% - Accent6 3 2 3 7" xfId="18715" xr:uid="{00000000-0005-0000-0000-000056260000}"/>
    <cellStyle name="20% - Accent6 3 2 3 7 2" xfId="42547" xr:uid="{E379BD13-3686-4BA6-B1E6-BC870D7C01C9}"/>
    <cellStyle name="20% - Accent6 3 2 3 8" xfId="26667" xr:uid="{E1CD3991-2F18-42AB-A71E-B36B69E7F39D}"/>
    <cellStyle name="20% - Accent6 3 2 3_Exh G" xfId="2617" xr:uid="{00000000-0005-0000-0000-000057260000}"/>
    <cellStyle name="20% - Accent6 3 2 4" xfId="1332" xr:uid="{00000000-0005-0000-0000-000058260000}"/>
    <cellStyle name="20% - Accent6 3 2 4 2" xfId="4862" xr:uid="{00000000-0005-0000-0000-000059260000}"/>
    <cellStyle name="20% - Accent6 3 2 4 2 2" xfId="8453" xr:uid="{00000000-0005-0000-0000-00005A260000}"/>
    <cellStyle name="20% - Accent6 3 2 4 2 2 2" xfId="16424" xr:uid="{00000000-0005-0000-0000-00005B260000}"/>
    <cellStyle name="20% - Accent6 3 2 4 2 2 2 2" xfId="40266" xr:uid="{EFEF96F1-9424-4C96-889E-42389B2CC3FF}"/>
    <cellStyle name="20% - Accent6 3 2 4 2 2 3" xfId="24370" xr:uid="{00000000-0005-0000-0000-00005C260000}"/>
    <cellStyle name="20% - Accent6 3 2 4 2 2 3 2" xfId="48202" xr:uid="{DE85E602-68B5-4EB9-A5F1-44A11E05342C}"/>
    <cellStyle name="20% - Accent6 3 2 4 2 2 4" xfId="32325" xr:uid="{8E47BD8A-C343-413C-97AE-2C2BD8AD1573}"/>
    <cellStyle name="20% - Accent6 3 2 4 2 3" xfId="12886" xr:uid="{00000000-0005-0000-0000-00005D260000}"/>
    <cellStyle name="20% - Accent6 3 2 4 2 3 2" xfId="36735" xr:uid="{D02D558F-FBD5-4601-A9FF-0C526D7848D7}"/>
    <cellStyle name="20% - Accent6 3 2 4 2 4" xfId="20841" xr:uid="{00000000-0005-0000-0000-00005E260000}"/>
    <cellStyle name="20% - Accent6 3 2 4 2 4 2" xfId="44673" xr:uid="{3395A293-07E4-4DE2-9CAF-0A5DC841D5B0}"/>
    <cellStyle name="20% - Accent6 3 2 4 2 5" xfId="28794" xr:uid="{4853A5DE-0D9C-444E-9456-C5556313419F}"/>
    <cellStyle name="20% - Accent6 3 2 4 3" xfId="6694" xr:uid="{00000000-0005-0000-0000-00005F260000}"/>
    <cellStyle name="20% - Accent6 3 2 4 3 2" xfId="14666" xr:uid="{00000000-0005-0000-0000-000060260000}"/>
    <cellStyle name="20% - Accent6 3 2 4 3 2 2" xfId="38508" xr:uid="{CB22D347-BF15-4D36-93DB-E8B3E80CDD93}"/>
    <cellStyle name="20% - Accent6 3 2 4 3 3" xfId="22613" xr:uid="{00000000-0005-0000-0000-000061260000}"/>
    <cellStyle name="20% - Accent6 3 2 4 3 3 2" xfId="46445" xr:uid="{1489B656-CF81-4A29-A19E-F1202E6EF5B1}"/>
    <cellStyle name="20% - Accent6 3 2 4 3 4" xfId="30567" xr:uid="{84CBC938-1A07-4FE2-814B-0524938169D0}"/>
    <cellStyle name="20% - Accent6 3 2 4 4" xfId="11130" xr:uid="{00000000-0005-0000-0000-000062260000}"/>
    <cellStyle name="20% - Accent6 3 2 4 4 2" xfId="34979" xr:uid="{F866B17A-6ECC-4139-8A30-B6810006456E}"/>
    <cellStyle name="20% - Accent6 3 2 4 5" xfId="19085" xr:uid="{00000000-0005-0000-0000-000063260000}"/>
    <cellStyle name="20% - Accent6 3 2 4 5 2" xfId="42917" xr:uid="{DCB256A8-9498-4E0E-901F-8DE0D5224908}"/>
    <cellStyle name="20% - Accent6 3 2 4 6" xfId="27037" xr:uid="{233E5E7F-5CE2-4314-A372-5073EFE8D5DB}"/>
    <cellStyle name="20% - Accent6 3 2 4_Exh G" xfId="2619" xr:uid="{00000000-0005-0000-0000-000064260000}"/>
    <cellStyle name="20% - Accent6 3 2 5" xfId="3983" xr:uid="{00000000-0005-0000-0000-000065260000}"/>
    <cellStyle name="20% - Accent6 3 2 5 2" xfId="7575" xr:uid="{00000000-0005-0000-0000-000066260000}"/>
    <cellStyle name="20% - Accent6 3 2 5 2 2" xfId="15546" xr:uid="{00000000-0005-0000-0000-000067260000}"/>
    <cellStyle name="20% - Accent6 3 2 5 2 2 2" xfId="39388" xr:uid="{A1C0E83C-9AB2-442D-BE47-5469AA2DA7B0}"/>
    <cellStyle name="20% - Accent6 3 2 5 2 3" xfId="23492" xr:uid="{00000000-0005-0000-0000-000068260000}"/>
    <cellStyle name="20% - Accent6 3 2 5 2 3 2" xfId="47324" xr:uid="{429FF5B0-C7DE-4773-AE46-0506848CDC0B}"/>
    <cellStyle name="20% - Accent6 3 2 5 2 4" xfId="31447" xr:uid="{B26A6C17-84A5-4715-94A0-9BB590B072F2}"/>
    <cellStyle name="20% - Accent6 3 2 5 3" xfId="12008" xr:uid="{00000000-0005-0000-0000-000069260000}"/>
    <cellStyle name="20% - Accent6 3 2 5 3 2" xfId="35857" xr:uid="{40A13DC4-1CD9-44D6-A1A8-40328664E403}"/>
    <cellStyle name="20% - Accent6 3 2 5 4" xfId="19963" xr:uid="{00000000-0005-0000-0000-00006A260000}"/>
    <cellStyle name="20% - Accent6 3 2 5 4 2" xfId="43795" xr:uid="{7B0375F1-4369-499B-8E4B-C36EBE8F083F}"/>
    <cellStyle name="20% - Accent6 3 2 5 5" xfId="27916" xr:uid="{7988611F-6128-4922-BB97-7BBB247EDDBB}"/>
    <cellStyle name="20% - Accent6 3 2 6" xfId="5803" xr:uid="{00000000-0005-0000-0000-00006B260000}"/>
    <cellStyle name="20% - Accent6 3 2 6 2" xfId="13787" xr:uid="{00000000-0005-0000-0000-00006C260000}"/>
    <cellStyle name="20% - Accent6 3 2 6 2 2" xfId="37630" xr:uid="{8CD19076-CC72-476B-BC9E-B74FABF9A367}"/>
    <cellStyle name="20% - Accent6 3 2 6 3" xfId="21735" xr:uid="{00000000-0005-0000-0000-00006D260000}"/>
    <cellStyle name="20% - Accent6 3 2 6 3 2" xfId="45567" xr:uid="{A58D3307-862E-42FE-B99C-5DC3789C2735}"/>
    <cellStyle name="20% - Accent6 3 2 6 4" xfId="29689" xr:uid="{367AE60A-DF36-462C-8C32-A89BC7192B98}"/>
    <cellStyle name="20% - Accent6 3 2 7" xfId="9356" xr:uid="{00000000-0005-0000-0000-00006E260000}"/>
    <cellStyle name="20% - Accent6 3 2 7 2" xfId="17314" xr:uid="{00000000-0005-0000-0000-00006F260000}"/>
    <cellStyle name="20% - Accent6 3 2 7 2 2" xfId="41154" xr:uid="{235D70A0-2790-4618-8C5D-74C97B7D5988}"/>
    <cellStyle name="20% - Accent6 3 2 7 3" xfId="25258" xr:uid="{00000000-0005-0000-0000-000070260000}"/>
    <cellStyle name="20% - Accent6 3 2 7 3 2" xfId="49090" xr:uid="{CE724C6A-9975-4372-90CB-C93993D3D142}"/>
    <cellStyle name="20% - Accent6 3 2 7 4" xfId="33213" xr:uid="{D9D8F8B3-4DD3-483A-9B37-D15370F898E1}"/>
    <cellStyle name="20% - Accent6 3 2 8" xfId="10252" xr:uid="{00000000-0005-0000-0000-000071260000}"/>
    <cellStyle name="20% - Accent6 3 2 8 2" xfId="34101" xr:uid="{27110C8B-90C9-4FE3-AEA5-47776F37712B}"/>
    <cellStyle name="20% - Accent6 3 2 9" xfId="18207" xr:uid="{00000000-0005-0000-0000-000072260000}"/>
    <cellStyle name="20% - Accent6 3 2 9 2" xfId="42039" xr:uid="{96CB6ED7-6CA3-42A1-AB22-A62C5FC93FC2}"/>
    <cellStyle name="20% - Accent6 3 2_Exh G" xfId="2614" xr:uid="{00000000-0005-0000-0000-000073260000}"/>
    <cellStyle name="20% - Accent6 3 3" xfId="306" xr:uid="{00000000-0005-0000-0000-000074260000}"/>
    <cellStyle name="20% - Accent6 3 3 2" xfId="1334" xr:uid="{00000000-0005-0000-0000-000075260000}"/>
    <cellStyle name="20% - Accent6 3 3 2 2" xfId="4864" xr:uid="{00000000-0005-0000-0000-000076260000}"/>
    <cellStyle name="20% - Accent6 3 3 2 2 2" xfId="8455" xr:uid="{00000000-0005-0000-0000-000077260000}"/>
    <cellStyle name="20% - Accent6 3 3 2 2 2 2" xfId="16426" xr:uid="{00000000-0005-0000-0000-000078260000}"/>
    <cellStyle name="20% - Accent6 3 3 2 2 2 2 2" xfId="40268" xr:uid="{4ECC91E6-61EA-4BC0-AB00-B2AFFD92956F}"/>
    <cellStyle name="20% - Accent6 3 3 2 2 2 3" xfId="24372" xr:uid="{00000000-0005-0000-0000-000079260000}"/>
    <cellStyle name="20% - Accent6 3 3 2 2 2 3 2" xfId="48204" xr:uid="{EEDF0FD4-A6EB-4131-AEA2-C857CEC426A4}"/>
    <cellStyle name="20% - Accent6 3 3 2 2 2 4" xfId="32327" xr:uid="{B0EA88DB-B9DB-43E7-A407-BDD91C787999}"/>
    <cellStyle name="20% - Accent6 3 3 2 2 3" xfId="12888" xr:uid="{00000000-0005-0000-0000-00007A260000}"/>
    <cellStyle name="20% - Accent6 3 3 2 2 3 2" xfId="36737" xr:uid="{5A4E77FD-A287-4B7F-869E-587148883532}"/>
    <cellStyle name="20% - Accent6 3 3 2 2 4" xfId="20843" xr:uid="{00000000-0005-0000-0000-00007B260000}"/>
    <cellStyle name="20% - Accent6 3 3 2 2 4 2" xfId="44675" xr:uid="{E379A7E0-4DDE-45CF-A88F-1E19241CEADE}"/>
    <cellStyle name="20% - Accent6 3 3 2 2 5" xfId="28796" xr:uid="{96213D61-B378-4149-B5DB-EF00908C1D3D}"/>
    <cellStyle name="20% - Accent6 3 3 2 3" xfId="6696" xr:uid="{00000000-0005-0000-0000-00007C260000}"/>
    <cellStyle name="20% - Accent6 3 3 2 3 2" xfId="14668" xr:uid="{00000000-0005-0000-0000-00007D260000}"/>
    <cellStyle name="20% - Accent6 3 3 2 3 2 2" xfId="38510" xr:uid="{9B3B04DE-8E7C-42D2-9506-F44FC2295AAD}"/>
    <cellStyle name="20% - Accent6 3 3 2 3 3" xfId="22615" xr:uid="{00000000-0005-0000-0000-00007E260000}"/>
    <cellStyle name="20% - Accent6 3 3 2 3 3 2" xfId="46447" xr:uid="{B831E885-5194-4A9F-9443-D9AC09BF396E}"/>
    <cellStyle name="20% - Accent6 3 3 2 3 4" xfId="30569" xr:uid="{33FAC6D1-0DB5-447D-8FC6-18BA36D6E4DE}"/>
    <cellStyle name="20% - Accent6 3 3 2 4" xfId="11132" xr:uid="{00000000-0005-0000-0000-00007F260000}"/>
    <cellStyle name="20% - Accent6 3 3 2 4 2" xfId="34981" xr:uid="{3FE10853-1235-4972-BA4C-2DAA0E434758}"/>
    <cellStyle name="20% - Accent6 3 3 2 5" xfId="19087" xr:uid="{00000000-0005-0000-0000-000080260000}"/>
    <cellStyle name="20% - Accent6 3 3 2 5 2" xfId="42919" xr:uid="{FA7E9ABE-183C-4B24-BFC0-20A6034CA28F}"/>
    <cellStyle name="20% - Accent6 3 3 2 6" xfId="27039" xr:uid="{BEF52299-1A28-433E-B5C4-7699C3093679}"/>
    <cellStyle name="20% - Accent6 3 3 2_Exh G" xfId="2621" xr:uid="{00000000-0005-0000-0000-000081260000}"/>
    <cellStyle name="20% - Accent6 3 3 3" xfId="3985" xr:uid="{00000000-0005-0000-0000-000082260000}"/>
    <cellStyle name="20% - Accent6 3 3 3 2" xfId="7577" xr:uid="{00000000-0005-0000-0000-000083260000}"/>
    <cellStyle name="20% - Accent6 3 3 3 2 2" xfId="15548" xr:uid="{00000000-0005-0000-0000-000084260000}"/>
    <cellStyle name="20% - Accent6 3 3 3 2 2 2" xfId="39390" xr:uid="{93A1DEFE-9DDC-4CA7-9A85-76E2C4190BBE}"/>
    <cellStyle name="20% - Accent6 3 3 3 2 3" xfId="23494" xr:uid="{00000000-0005-0000-0000-000085260000}"/>
    <cellStyle name="20% - Accent6 3 3 3 2 3 2" xfId="47326" xr:uid="{3895ED08-E4FD-488F-8737-2F77AFEBD576}"/>
    <cellStyle name="20% - Accent6 3 3 3 2 4" xfId="31449" xr:uid="{A716A602-7CF3-4CCD-B39E-AB0A622F740D}"/>
    <cellStyle name="20% - Accent6 3 3 3 3" xfId="12010" xr:uid="{00000000-0005-0000-0000-000086260000}"/>
    <cellStyle name="20% - Accent6 3 3 3 3 2" xfId="35859" xr:uid="{04B0417E-D1E9-4C10-B02D-33FB29CCFA53}"/>
    <cellStyle name="20% - Accent6 3 3 3 4" xfId="19965" xr:uid="{00000000-0005-0000-0000-000087260000}"/>
    <cellStyle name="20% - Accent6 3 3 3 4 2" xfId="43797" xr:uid="{4A441B09-1FB8-4BBD-95DE-EB355FFE8178}"/>
    <cellStyle name="20% - Accent6 3 3 3 5" xfId="27918" xr:uid="{B88E7E5C-DAF7-4B4B-9C8B-6AC3D7A5C96C}"/>
    <cellStyle name="20% - Accent6 3 3 4" xfId="5805" xr:uid="{00000000-0005-0000-0000-000088260000}"/>
    <cellStyle name="20% - Accent6 3 3 4 2" xfId="13789" xr:uid="{00000000-0005-0000-0000-000089260000}"/>
    <cellStyle name="20% - Accent6 3 3 4 2 2" xfId="37632" xr:uid="{31F1A8FC-86AC-4182-A161-666334E7FE81}"/>
    <cellStyle name="20% - Accent6 3 3 4 3" xfId="21737" xr:uid="{00000000-0005-0000-0000-00008A260000}"/>
    <cellStyle name="20% - Accent6 3 3 4 3 2" xfId="45569" xr:uid="{DD2A7CAF-26B8-4F75-84D9-564F63ABB6A2}"/>
    <cellStyle name="20% - Accent6 3 3 4 4" xfId="29691" xr:uid="{C9DCB5D5-6156-417D-85C3-D81B0745A755}"/>
    <cellStyle name="20% - Accent6 3 3 5" xfId="9358" xr:uid="{00000000-0005-0000-0000-00008B260000}"/>
    <cellStyle name="20% - Accent6 3 3 5 2" xfId="17316" xr:uid="{00000000-0005-0000-0000-00008C260000}"/>
    <cellStyle name="20% - Accent6 3 3 5 2 2" xfId="41156" xr:uid="{D8660163-C85D-4001-A459-8BD9D5181AB8}"/>
    <cellStyle name="20% - Accent6 3 3 5 3" xfId="25260" xr:uid="{00000000-0005-0000-0000-00008D260000}"/>
    <cellStyle name="20% - Accent6 3 3 5 3 2" xfId="49092" xr:uid="{1BA40192-4440-4404-80BA-2255CD23DC10}"/>
    <cellStyle name="20% - Accent6 3 3 5 4" xfId="33215" xr:uid="{F492C4FF-E37C-4001-BAED-FCA1D8C2A138}"/>
    <cellStyle name="20% - Accent6 3 3 6" xfId="10254" xr:uid="{00000000-0005-0000-0000-00008E260000}"/>
    <cellStyle name="20% - Accent6 3 3 6 2" xfId="34103" xr:uid="{5842E4CC-B783-40C1-9F44-83605D527EAE}"/>
    <cellStyle name="20% - Accent6 3 3 7" xfId="18209" xr:uid="{00000000-0005-0000-0000-00008F260000}"/>
    <cellStyle name="20% - Accent6 3 3 7 2" xfId="42041" xr:uid="{05A1F43C-AB6E-432D-ACFB-383DC4F08934}"/>
    <cellStyle name="20% - Accent6 3 3 8" xfId="26161" xr:uid="{01E8014F-5CF1-456C-99C5-328B443DA7B5}"/>
    <cellStyle name="20% - Accent6 3 3_Exh G" xfId="2620" xr:uid="{00000000-0005-0000-0000-000090260000}"/>
    <cellStyle name="20% - Accent6 3 4" xfId="925" xr:uid="{00000000-0005-0000-0000-000091260000}"/>
    <cellStyle name="20% - Accent6 3 4 2" xfId="1851" xr:uid="{00000000-0005-0000-0000-000092260000}"/>
    <cellStyle name="20% - Accent6 3 4 2 2" xfId="5369" xr:uid="{00000000-0005-0000-0000-000093260000}"/>
    <cellStyle name="20% - Accent6 3 4 2 2 2" xfId="8960" xr:uid="{00000000-0005-0000-0000-000094260000}"/>
    <cellStyle name="20% - Accent6 3 4 2 2 2 2" xfId="16931" xr:uid="{00000000-0005-0000-0000-000095260000}"/>
    <cellStyle name="20% - Accent6 3 4 2 2 2 2 2" xfId="40773" xr:uid="{147C3189-B710-4843-B69B-5038987A4D93}"/>
    <cellStyle name="20% - Accent6 3 4 2 2 2 3" xfId="24877" xr:uid="{00000000-0005-0000-0000-000096260000}"/>
    <cellStyle name="20% - Accent6 3 4 2 2 2 3 2" xfId="48709" xr:uid="{7FE3B4A9-4F2B-4281-BAE9-88CB5D005DD0}"/>
    <cellStyle name="20% - Accent6 3 4 2 2 2 4" xfId="32832" xr:uid="{FBECC882-3514-4F83-AD6B-199CB5485969}"/>
    <cellStyle name="20% - Accent6 3 4 2 2 3" xfId="13393" xr:uid="{00000000-0005-0000-0000-000097260000}"/>
    <cellStyle name="20% - Accent6 3 4 2 2 3 2" xfId="37242" xr:uid="{5ADE6528-4CDA-464E-A9AB-613B9486243F}"/>
    <cellStyle name="20% - Accent6 3 4 2 2 4" xfId="21348" xr:uid="{00000000-0005-0000-0000-000098260000}"/>
    <cellStyle name="20% - Accent6 3 4 2 2 4 2" xfId="45180" xr:uid="{46DA9CDE-CA83-4DFC-8C47-357DF7B5A27F}"/>
    <cellStyle name="20% - Accent6 3 4 2 2 5" xfId="29301" xr:uid="{81023CE7-05C9-4069-B8C3-669F114B5316}"/>
    <cellStyle name="20% - Accent6 3 4 2 3" xfId="7201" xr:uid="{00000000-0005-0000-0000-000099260000}"/>
    <cellStyle name="20% - Accent6 3 4 2 3 2" xfId="15173" xr:uid="{00000000-0005-0000-0000-00009A260000}"/>
    <cellStyle name="20% - Accent6 3 4 2 3 2 2" xfId="39015" xr:uid="{AA240CC4-B994-491C-AE30-4E9B24B95475}"/>
    <cellStyle name="20% - Accent6 3 4 2 3 3" xfId="23120" xr:uid="{00000000-0005-0000-0000-00009B260000}"/>
    <cellStyle name="20% - Accent6 3 4 2 3 3 2" xfId="46952" xr:uid="{422181C4-F04A-4910-975C-C940E4FC1447}"/>
    <cellStyle name="20% - Accent6 3 4 2 3 4" xfId="31074" xr:uid="{35A45E75-1013-4348-9AFE-FE86BF844DB7}"/>
    <cellStyle name="20% - Accent6 3 4 2 4" xfId="11637" xr:uid="{00000000-0005-0000-0000-00009C260000}"/>
    <cellStyle name="20% - Accent6 3 4 2 4 2" xfId="35486" xr:uid="{E16774FD-9FA6-4DCD-ABDA-2BF556A5303E}"/>
    <cellStyle name="20% - Accent6 3 4 2 5" xfId="19592" xr:uid="{00000000-0005-0000-0000-00009D260000}"/>
    <cellStyle name="20% - Accent6 3 4 2 5 2" xfId="43424" xr:uid="{492CC872-6C58-4165-9DBD-34B0BA3FC717}"/>
    <cellStyle name="20% - Accent6 3 4 2 6" xfId="27544" xr:uid="{9CBB8AE2-CFB9-47D9-B216-D2ABFE012743}"/>
    <cellStyle name="20% - Accent6 3 4 2_Exh G" xfId="2623" xr:uid="{00000000-0005-0000-0000-00009E260000}"/>
    <cellStyle name="20% - Accent6 3 4 3" xfId="4490" xr:uid="{00000000-0005-0000-0000-00009F260000}"/>
    <cellStyle name="20% - Accent6 3 4 3 2" xfId="8082" xr:uid="{00000000-0005-0000-0000-0000A0260000}"/>
    <cellStyle name="20% - Accent6 3 4 3 2 2" xfId="16053" xr:uid="{00000000-0005-0000-0000-0000A1260000}"/>
    <cellStyle name="20% - Accent6 3 4 3 2 2 2" xfId="39895" xr:uid="{68869CD5-EEA0-46F4-8B03-D9C38E927BE8}"/>
    <cellStyle name="20% - Accent6 3 4 3 2 3" xfId="23999" xr:uid="{00000000-0005-0000-0000-0000A2260000}"/>
    <cellStyle name="20% - Accent6 3 4 3 2 3 2" xfId="47831" xr:uid="{1F0D956A-8D30-4F7F-B3EB-9C0F0CE68DDE}"/>
    <cellStyle name="20% - Accent6 3 4 3 2 4" xfId="31954" xr:uid="{C67412B0-EB65-41AB-BA2F-CD8DB260E151}"/>
    <cellStyle name="20% - Accent6 3 4 3 3" xfId="12515" xr:uid="{00000000-0005-0000-0000-0000A3260000}"/>
    <cellStyle name="20% - Accent6 3 4 3 3 2" xfId="36364" xr:uid="{AA3411E5-4DF4-4722-BBB4-AC25DE22E1D6}"/>
    <cellStyle name="20% - Accent6 3 4 3 4" xfId="20470" xr:uid="{00000000-0005-0000-0000-0000A4260000}"/>
    <cellStyle name="20% - Accent6 3 4 3 4 2" xfId="44302" xr:uid="{490FB7C1-705D-40DF-AAE9-88594034EBB5}"/>
    <cellStyle name="20% - Accent6 3 4 3 5" xfId="28423" xr:uid="{14587C4C-2AFC-422A-8EE6-CE0C38D0C12F}"/>
    <cellStyle name="20% - Accent6 3 4 4" xfId="6320" xr:uid="{00000000-0005-0000-0000-0000A5260000}"/>
    <cellStyle name="20% - Accent6 3 4 4 2" xfId="14295" xr:uid="{00000000-0005-0000-0000-0000A6260000}"/>
    <cellStyle name="20% - Accent6 3 4 4 2 2" xfId="38137" xr:uid="{F1BA97B0-79B3-48CE-AFCB-267E9F0A799E}"/>
    <cellStyle name="20% - Accent6 3 4 4 3" xfId="22242" xr:uid="{00000000-0005-0000-0000-0000A7260000}"/>
    <cellStyle name="20% - Accent6 3 4 4 3 2" xfId="46074" xr:uid="{820677BA-68F3-4FE7-9D57-B63E7EC37565}"/>
    <cellStyle name="20% - Accent6 3 4 4 4" xfId="30196" xr:uid="{1DC249BB-3066-4DA3-9557-B5E5D6950CB8}"/>
    <cellStyle name="20% - Accent6 3 4 5" xfId="9863" xr:uid="{00000000-0005-0000-0000-0000A8260000}"/>
    <cellStyle name="20% - Accent6 3 4 5 2" xfId="17821" xr:uid="{00000000-0005-0000-0000-0000A9260000}"/>
    <cellStyle name="20% - Accent6 3 4 5 2 2" xfId="41661" xr:uid="{184804EC-C21E-42D2-BA48-3552F5A3E21D}"/>
    <cellStyle name="20% - Accent6 3 4 5 3" xfId="25765" xr:uid="{00000000-0005-0000-0000-0000AA260000}"/>
    <cellStyle name="20% - Accent6 3 4 5 3 2" xfId="49597" xr:uid="{D8132098-37EB-4F12-9028-F2BA8438CC51}"/>
    <cellStyle name="20% - Accent6 3 4 5 4" xfId="33720" xr:uid="{E48FEA69-956D-47FA-8647-61CF3F03DD12}"/>
    <cellStyle name="20% - Accent6 3 4 6" xfId="10759" xr:uid="{00000000-0005-0000-0000-0000AB260000}"/>
    <cellStyle name="20% - Accent6 3 4 6 2" xfId="34608" xr:uid="{2D4F352B-57C3-4022-87C2-076F6907463D}"/>
    <cellStyle name="20% - Accent6 3 4 7" xfId="18714" xr:uid="{00000000-0005-0000-0000-0000AC260000}"/>
    <cellStyle name="20% - Accent6 3 4 7 2" xfId="42546" xr:uid="{5EF17BD2-9F25-46F9-8C2B-FA827AEA3F19}"/>
    <cellStyle name="20% - Accent6 3 4 8" xfId="26666" xr:uid="{BECD37B0-57A3-4837-868C-ED68E8EA7550}"/>
    <cellStyle name="20% - Accent6 3 4_Exh G" xfId="2622" xr:uid="{00000000-0005-0000-0000-0000AD260000}"/>
    <cellStyle name="20% - Accent6 3 5" xfId="1331" xr:uid="{00000000-0005-0000-0000-0000AE260000}"/>
    <cellStyle name="20% - Accent6 3 5 2" xfId="4861" xr:uid="{00000000-0005-0000-0000-0000AF260000}"/>
    <cellStyle name="20% - Accent6 3 5 2 2" xfId="8452" xr:uid="{00000000-0005-0000-0000-0000B0260000}"/>
    <cellStyle name="20% - Accent6 3 5 2 2 2" xfId="16423" xr:uid="{00000000-0005-0000-0000-0000B1260000}"/>
    <cellStyle name="20% - Accent6 3 5 2 2 2 2" xfId="40265" xr:uid="{D0EA0D72-C25E-48DB-B139-42317FC71FEC}"/>
    <cellStyle name="20% - Accent6 3 5 2 2 3" xfId="24369" xr:uid="{00000000-0005-0000-0000-0000B2260000}"/>
    <cellStyle name="20% - Accent6 3 5 2 2 3 2" xfId="48201" xr:uid="{50DFEEA7-DDDC-4BC5-B00E-9322C3A65D3D}"/>
    <cellStyle name="20% - Accent6 3 5 2 2 4" xfId="32324" xr:uid="{8125F6C5-6C03-40DC-8092-8BEADA7E551B}"/>
    <cellStyle name="20% - Accent6 3 5 2 3" xfId="12885" xr:uid="{00000000-0005-0000-0000-0000B3260000}"/>
    <cellStyle name="20% - Accent6 3 5 2 3 2" xfId="36734" xr:uid="{DFD61B95-67F5-4AB0-AF3C-A33F39DDB1BB}"/>
    <cellStyle name="20% - Accent6 3 5 2 4" xfId="20840" xr:uid="{00000000-0005-0000-0000-0000B4260000}"/>
    <cellStyle name="20% - Accent6 3 5 2 4 2" xfId="44672" xr:uid="{F2BE6438-BB31-462B-AB27-EACC72A12BC9}"/>
    <cellStyle name="20% - Accent6 3 5 2 5" xfId="28793" xr:uid="{22249153-031A-4D73-8B1B-E74FA79C596D}"/>
    <cellStyle name="20% - Accent6 3 5 3" xfId="6693" xr:uid="{00000000-0005-0000-0000-0000B5260000}"/>
    <cellStyle name="20% - Accent6 3 5 3 2" xfId="14665" xr:uid="{00000000-0005-0000-0000-0000B6260000}"/>
    <cellStyle name="20% - Accent6 3 5 3 2 2" xfId="38507" xr:uid="{E1E91C58-6BF1-41BA-A619-EEF8E7D34F7A}"/>
    <cellStyle name="20% - Accent6 3 5 3 3" xfId="22612" xr:uid="{00000000-0005-0000-0000-0000B7260000}"/>
    <cellStyle name="20% - Accent6 3 5 3 3 2" xfId="46444" xr:uid="{039D39A5-343D-42D4-A922-5516E87CE361}"/>
    <cellStyle name="20% - Accent6 3 5 3 4" xfId="30566" xr:uid="{F5791AD0-A1A6-47C1-92D8-642795BD8DAE}"/>
    <cellStyle name="20% - Accent6 3 5 4" xfId="11129" xr:uid="{00000000-0005-0000-0000-0000B8260000}"/>
    <cellStyle name="20% - Accent6 3 5 4 2" xfId="34978" xr:uid="{61EF7EA2-27F2-4E93-9DB3-18B7027D43AD}"/>
    <cellStyle name="20% - Accent6 3 5 5" xfId="19084" xr:uid="{00000000-0005-0000-0000-0000B9260000}"/>
    <cellStyle name="20% - Accent6 3 5 5 2" xfId="42916" xr:uid="{5438C821-B166-4B4E-8B6C-0428BA89F043}"/>
    <cellStyle name="20% - Accent6 3 5 6" xfId="27036" xr:uid="{3B219654-DE1B-4BA7-8577-B111D19EEB63}"/>
    <cellStyle name="20% - Accent6 3 5_Exh G" xfId="2624" xr:uid="{00000000-0005-0000-0000-0000BA260000}"/>
    <cellStyle name="20% - Accent6 3 6" xfId="3982" xr:uid="{00000000-0005-0000-0000-0000BB260000}"/>
    <cellStyle name="20% - Accent6 3 6 2" xfId="7574" xr:uid="{00000000-0005-0000-0000-0000BC260000}"/>
    <cellStyle name="20% - Accent6 3 6 2 2" xfId="15545" xr:uid="{00000000-0005-0000-0000-0000BD260000}"/>
    <cellStyle name="20% - Accent6 3 6 2 2 2" xfId="39387" xr:uid="{EB26D9BF-4220-48F3-8AC0-F15A838BCC1A}"/>
    <cellStyle name="20% - Accent6 3 6 2 3" xfId="23491" xr:uid="{00000000-0005-0000-0000-0000BE260000}"/>
    <cellStyle name="20% - Accent6 3 6 2 3 2" xfId="47323" xr:uid="{F65ED784-A5C0-4914-8C91-1108A84AF0D8}"/>
    <cellStyle name="20% - Accent6 3 6 2 4" xfId="31446" xr:uid="{AA46B9ED-4488-424B-A8CF-422F05366265}"/>
    <cellStyle name="20% - Accent6 3 6 3" xfId="12007" xr:uid="{00000000-0005-0000-0000-0000BF260000}"/>
    <cellStyle name="20% - Accent6 3 6 3 2" xfId="35856" xr:uid="{0E7951F1-1FE2-4C7E-81E5-A32204FC5AEA}"/>
    <cellStyle name="20% - Accent6 3 6 4" xfId="19962" xr:uid="{00000000-0005-0000-0000-0000C0260000}"/>
    <cellStyle name="20% - Accent6 3 6 4 2" xfId="43794" xr:uid="{BA9FDF04-6F4D-477C-943F-D6C8BB365926}"/>
    <cellStyle name="20% - Accent6 3 6 5" xfId="27915" xr:uid="{E8732A44-1584-4198-9C8B-F0E926AA07B2}"/>
    <cellStyle name="20% - Accent6 3 7" xfId="5802" xr:uid="{00000000-0005-0000-0000-0000C1260000}"/>
    <cellStyle name="20% - Accent6 3 7 2" xfId="13786" xr:uid="{00000000-0005-0000-0000-0000C2260000}"/>
    <cellStyle name="20% - Accent6 3 7 2 2" xfId="37629" xr:uid="{A2BF1544-2EF4-49A6-ADAD-8A12A76A556F}"/>
    <cellStyle name="20% - Accent6 3 7 3" xfId="21734" xr:uid="{00000000-0005-0000-0000-0000C3260000}"/>
    <cellStyle name="20% - Accent6 3 7 3 2" xfId="45566" xr:uid="{5D7A05AF-234C-464A-82AB-07FA5BB6A9C9}"/>
    <cellStyle name="20% - Accent6 3 7 4" xfId="29688" xr:uid="{1E3CBDDE-6349-4055-A643-CB649183B75A}"/>
    <cellStyle name="20% - Accent6 3 8" xfId="9355" xr:uid="{00000000-0005-0000-0000-0000C4260000}"/>
    <cellStyle name="20% - Accent6 3 8 2" xfId="17313" xr:uid="{00000000-0005-0000-0000-0000C5260000}"/>
    <cellStyle name="20% - Accent6 3 8 2 2" xfId="41153" xr:uid="{7B1C3268-F0E9-4CC6-8744-F05A36B6D6CC}"/>
    <cellStyle name="20% - Accent6 3 8 3" xfId="25257" xr:uid="{00000000-0005-0000-0000-0000C6260000}"/>
    <cellStyle name="20% - Accent6 3 8 3 2" xfId="49089" xr:uid="{795CAEE8-BE30-4301-868C-FC0FA87BFBC0}"/>
    <cellStyle name="20% - Accent6 3 8 4" xfId="33212" xr:uid="{37BD5971-6437-435D-9504-73641573C194}"/>
    <cellStyle name="20% - Accent6 3 9" xfId="10251" xr:uid="{00000000-0005-0000-0000-0000C7260000}"/>
    <cellStyle name="20% - Accent6 3 9 2" xfId="34100" xr:uid="{212D275B-4B7B-4F06-8BDE-F14652C53A21}"/>
    <cellStyle name="20% - Accent6 3_Exh G" xfId="2613" xr:uid="{00000000-0005-0000-0000-0000C8260000}"/>
    <cellStyle name="20% - Accent6 4" xfId="307" xr:uid="{00000000-0005-0000-0000-0000C9260000}"/>
    <cellStyle name="20% - Accent6 4 10" xfId="18210" xr:uid="{00000000-0005-0000-0000-0000CA260000}"/>
    <cellStyle name="20% - Accent6 4 10 2" xfId="42042" xr:uid="{2317A849-6C94-42F1-9DA7-D6D73766CEF2}"/>
    <cellStyle name="20% - Accent6 4 11" xfId="26162" xr:uid="{B66E8098-7D33-4C75-B0A8-CECCCBA382C5}"/>
    <cellStyle name="20% - Accent6 4 2" xfId="308" xr:uid="{00000000-0005-0000-0000-0000CB260000}"/>
    <cellStyle name="20% - Accent6 4 2 10" xfId="26163" xr:uid="{927FCE53-8FC7-424C-A750-F4953432D9D4}"/>
    <cellStyle name="20% - Accent6 4 2 2" xfId="309" xr:uid="{00000000-0005-0000-0000-0000CC260000}"/>
    <cellStyle name="20% - Accent6 4 2 2 2" xfId="1337" xr:uid="{00000000-0005-0000-0000-0000CD260000}"/>
    <cellStyle name="20% - Accent6 4 2 2 2 2" xfId="4867" xr:uid="{00000000-0005-0000-0000-0000CE260000}"/>
    <cellStyle name="20% - Accent6 4 2 2 2 2 2" xfId="8458" xr:uid="{00000000-0005-0000-0000-0000CF260000}"/>
    <cellStyle name="20% - Accent6 4 2 2 2 2 2 2" xfId="16429" xr:uid="{00000000-0005-0000-0000-0000D0260000}"/>
    <cellStyle name="20% - Accent6 4 2 2 2 2 2 2 2" xfId="40271" xr:uid="{4D92F457-2B18-49FA-B16F-DA69059407B0}"/>
    <cellStyle name="20% - Accent6 4 2 2 2 2 2 3" xfId="24375" xr:uid="{00000000-0005-0000-0000-0000D1260000}"/>
    <cellStyle name="20% - Accent6 4 2 2 2 2 2 3 2" xfId="48207" xr:uid="{0D93E50B-ACE6-4643-A206-EF165CB2E185}"/>
    <cellStyle name="20% - Accent6 4 2 2 2 2 2 4" xfId="32330" xr:uid="{6CA901C9-3195-4171-8BF6-E2FF964597B2}"/>
    <cellStyle name="20% - Accent6 4 2 2 2 2 3" xfId="12891" xr:uid="{00000000-0005-0000-0000-0000D2260000}"/>
    <cellStyle name="20% - Accent6 4 2 2 2 2 3 2" xfId="36740" xr:uid="{6EFA2429-8238-43A0-8942-114212BF3066}"/>
    <cellStyle name="20% - Accent6 4 2 2 2 2 4" xfId="20846" xr:uid="{00000000-0005-0000-0000-0000D3260000}"/>
    <cellStyle name="20% - Accent6 4 2 2 2 2 4 2" xfId="44678" xr:uid="{F22BACD7-EBAC-4D8D-BC9A-F17262FF6D72}"/>
    <cellStyle name="20% - Accent6 4 2 2 2 2 5" xfId="28799" xr:uid="{BF66D882-3FAE-40C6-B3D9-EEC5436AF185}"/>
    <cellStyle name="20% - Accent6 4 2 2 2 3" xfId="6699" xr:uid="{00000000-0005-0000-0000-0000D4260000}"/>
    <cellStyle name="20% - Accent6 4 2 2 2 3 2" xfId="14671" xr:uid="{00000000-0005-0000-0000-0000D5260000}"/>
    <cellStyle name="20% - Accent6 4 2 2 2 3 2 2" xfId="38513" xr:uid="{6E35A839-EC6F-4BCF-9910-719AA8D54765}"/>
    <cellStyle name="20% - Accent6 4 2 2 2 3 3" xfId="22618" xr:uid="{00000000-0005-0000-0000-0000D6260000}"/>
    <cellStyle name="20% - Accent6 4 2 2 2 3 3 2" xfId="46450" xr:uid="{152B4A62-CB49-46D8-BB42-35E7B7E8812A}"/>
    <cellStyle name="20% - Accent6 4 2 2 2 3 4" xfId="30572" xr:uid="{1F033AC7-B0ED-4620-A8BA-A381A09DAF11}"/>
    <cellStyle name="20% - Accent6 4 2 2 2 4" xfId="11135" xr:uid="{00000000-0005-0000-0000-0000D7260000}"/>
    <cellStyle name="20% - Accent6 4 2 2 2 4 2" xfId="34984" xr:uid="{19E4CEBF-A328-4C1C-8145-78F9BE3B793F}"/>
    <cellStyle name="20% - Accent6 4 2 2 2 5" xfId="19090" xr:uid="{00000000-0005-0000-0000-0000D8260000}"/>
    <cellStyle name="20% - Accent6 4 2 2 2 5 2" xfId="42922" xr:uid="{B4A13CEF-85D3-445E-8B5D-B38A71C8F114}"/>
    <cellStyle name="20% - Accent6 4 2 2 2 6" xfId="27042" xr:uid="{6AB400A5-5F76-4791-88A0-4038462948D8}"/>
    <cellStyle name="20% - Accent6 4 2 2 2_Exh G" xfId="2628" xr:uid="{00000000-0005-0000-0000-0000D9260000}"/>
    <cellStyle name="20% - Accent6 4 2 2 3" xfId="3988" xr:uid="{00000000-0005-0000-0000-0000DA260000}"/>
    <cellStyle name="20% - Accent6 4 2 2 3 2" xfId="7580" xr:uid="{00000000-0005-0000-0000-0000DB260000}"/>
    <cellStyle name="20% - Accent6 4 2 2 3 2 2" xfId="15551" xr:uid="{00000000-0005-0000-0000-0000DC260000}"/>
    <cellStyle name="20% - Accent6 4 2 2 3 2 2 2" xfId="39393" xr:uid="{7E8CF063-95BC-4378-9ADB-52BBF9D844EA}"/>
    <cellStyle name="20% - Accent6 4 2 2 3 2 3" xfId="23497" xr:uid="{00000000-0005-0000-0000-0000DD260000}"/>
    <cellStyle name="20% - Accent6 4 2 2 3 2 3 2" xfId="47329" xr:uid="{2FAF4354-A5E1-4CE3-A985-5FE4991474AA}"/>
    <cellStyle name="20% - Accent6 4 2 2 3 2 4" xfId="31452" xr:uid="{E994F16B-3F06-4BB7-941E-B07C17F31C08}"/>
    <cellStyle name="20% - Accent6 4 2 2 3 3" xfId="12013" xr:uid="{00000000-0005-0000-0000-0000DE260000}"/>
    <cellStyle name="20% - Accent6 4 2 2 3 3 2" xfId="35862" xr:uid="{622D9DC7-BEA3-4630-ACFD-03BD76FF2812}"/>
    <cellStyle name="20% - Accent6 4 2 2 3 4" xfId="19968" xr:uid="{00000000-0005-0000-0000-0000DF260000}"/>
    <cellStyle name="20% - Accent6 4 2 2 3 4 2" xfId="43800" xr:uid="{B34D8BEB-A270-4B6E-812B-86B59EE4A9DD}"/>
    <cellStyle name="20% - Accent6 4 2 2 3 5" xfId="27921" xr:uid="{3C976E11-ABAC-4F3E-BBB4-6E29470462B2}"/>
    <cellStyle name="20% - Accent6 4 2 2 4" xfId="5808" xr:uid="{00000000-0005-0000-0000-0000E0260000}"/>
    <cellStyle name="20% - Accent6 4 2 2 4 2" xfId="13792" xr:uid="{00000000-0005-0000-0000-0000E1260000}"/>
    <cellStyle name="20% - Accent6 4 2 2 4 2 2" xfId="37635" xr:uid="{2B5E39E1-0B4A-4EA0-BB15-11DC1A7BF9AB}"/>
    <cellStyle name="20% - Accent6 4 2 2 4 3" xfId="21740" xr:uid="{00000000-0005-0000-0000-0000E2260000}"/>
    <cellStyle name="20% - Accent6 4 2 2 4 3 2" xfId="45572" xr:uid="{EE0654E9-FF64-4B12-BB55-CE46CC2573B9}"/>
    <cellStyle name="20% - Accent6 4 2 2 4 4" xfId="29694" xr:uid="{D5B09AE8-EDA8-4862-94CA-BD583C46056A}"/>
    <cellStyle name="20% - Accent6 4 2 2 5" xfId="9361" xr:uid="{00000000-0005-0000-0000-0000E3260000}"/>
    <cellStyle name="20% - Accent6 4 2 2 5 2" xfId="17319" xr:uid="{00000000-0005-0000-0000-0000E4260000}"/>
    <cellStyle name="20% - Accent6 4 2 2 5 2 2" xfId="41159" xr:uid="{B5EDA2E3-422F-48E0-B390-7D0B20945CEB}"/>
    <cellStyle name="20% - Accent6 4 2 2 5 3" xfId="25263" xr:uid="{00000000-0005-0000-0000-0000E5260000}"/>
    <cellStyle name="20% - Accent6 4 2 2 5 3 2" xfId="49095" xr:uid="{C7860374-B666-4AC7-9AB8-93AAE774158E}"/>
    <cellStyle name="20% - Accent6 4 2 2 5 4" xfId="33218" xr:uid="{84548628-06B5-482C-9C3D-B25DDA1D541B}"/>
    <cellStyle name="20% - Accent6 4 2 2 6" xfId="10257" xr:uid="{00000000-0005-0000-0000-0000E6260000}"/>
    <cellStyle name="20% - Accent6 4 2 2 6 2" xfId="34106" xr:uid="{4533A941-2E48-47AD-83CA-4E71A0F49A0D}"/>
    <cellStyle name="20% - Accent6 4 2 2 7" xfId="18212" xr:uid="{00000000-0005-0000-0000-0000E7260000}"/>
    <cellStyle name="20% - Accent6 4 2 2 7 2" xfId="42044" xr:uid="{350E41DD-29D3-4F63-BE80-A7CC99A81BF1}"/>
    <cellStyle name="20% - Accent6 4 2 2 8" xfId="26164" xr:uid="{072E2734-414D-4509-B8C3-F6C7FD5D7998}"/>
    <cellStyle name="20% - Accent6 4 2 2_Exh G" xfId="2627" xr:uid="{00000000-0005-0000-0000-0000E8260000}"/>
    <cellStyle name="20% - Accent6 4 2 3" xfId="928" xr:uid="{00000000-0005-0000-0000-0000E9260000}"/>
    <cellStyle name="20% - Accent6 4 2 3 2" xfId="1854" xr:uid="{00000000-0005-0000-0000-0000EA260000}"/>
    <cellStyle name="20% - Accent6 4 2 3 2 2" xfId="5372" xr:uid="{00000000-0005-0000-0000-0000EB260000}"/>
    <cellStyle name="20% - Accent6 4 2 3 2 2 2" xfId="8963" xr:uid="{00000000-0005-0000-0000-0000EC260000}"/>
    <cellStyle name="20% - Accent6 4 2 3 2 2 2 2" xfId="16934" xr:uid="{00000000-0005-0000-0000-0000ED260000}"/>
    <cellStyle name="20% - Accent6 4 2 3 2 2 2 2 2" xfId="40776" xr:uid="{0623AA97-3735-49B6-AAF4-F12E146DC6C1}"/>
    <cellStyle name="20% - Accent6 4 2 3 2 2 2 3" xfId="24880" xr:uid="{00000000-0005-0000-0000-0000EE260000}"/>
    <cellStyle name="20% - Accent6 4 2 3 2 2 2 3 2" xfId="48712" xr:uid="{10402B64-D149-44AC-915B-1BF36EABDA65}"/>
    <cellStyle name="20% - Accent6 4 2 3 2 2 2 4" xfId="32835" xr:uid="{7016C931-064A-4D13-8507-691EA67BB56F}"/>
    <cellStyle name="20% - Accent6 4 2 3 2 2 3" xfId="13396" xr:uid="{00000000-0005-0000-0000-0000EF260000}"/>
    <cellStyle name="20% - Accent6 4 2 3 2 2 3 2" xfId="37245" xr:uid="{51959950-A50C-42AF-9D55-DEFA1E0D3E84}"/>
    <cellStyle name="20% - Accent6 4 2 3 2 2 4" xfId="21351" xr:uid="{00000000-0005-0000-0000-0000F0260000}"/>
    <cellStyle name="20% - Accent6 4 2 3 2 2 4 2" xfId="45183" xr:uid="{48D3132B-833F-45B9-8874-E7ACD5CB49C8}"/>
    <cellStyle name="20% - Accent6 4 2 3 2 2 5" xfId="29304" xr:uid="{D7D24A97-B041-40D0-B880-CD23AE305B50}"/>
    <cellStyle name="20% - Accent6 4 2 3 2 3" xfId="7204" xr:uid="{00000000-0005-0000-0000-0000F1260000}"/>
    <cellStyle name="20% - Accent6 4 2 3 2 3 2" xfId="15176" xr:uid="{00000000-0005-0000-0000-0000F2260000}"/>
    <cellStyle name="20% - Accent6 4 2 3 2 3 2 2" xfId="39018" xr:uid="{56BDF4F2-EAF7-4DB4-AE06-C1B6F3D17CE0}"/>
    <cellStyle name="20% - Accent6 4 2 3 2 3 3" xfId="23123" xr:uid="{00000000-0005-0000-0000-0000F3260000}"/>
    <cellStyle name="20% - Accent6 4 2 3 2 3 3 2" xfId="46955" xr:uid="{1A0B409F-9052-4E3F-B650-79DE03A8A504}"/>
    <cellStyle name="20% - Accent6 4 2 3 2 3 4" xfId="31077" xr:uid="{CADC8A61-B70F-4730-B7BC-9D6E0532419E}"/>
    <cellStyle name="20% - Accent6 4 2 3 2 4" xfId="11640" xr:uid="{00000000-0005-0000-0000-0000F4260000}"/>
    <cellStyle name="20% - Accent6 4 2 3 2 4 2" xfId="35489" xr:uid="{D10F3D61-8B06-4E59-AFFA-E2A160CC5659}"/>
    <cellStyle name="20% - Accent6 4 2 3 2 5" xfId="19595" xr:uid="{00000000-0005-0000-0000-0000F5260000}"/>
    <cellStyle name="20% - Accent6 4 2 3 2 5 2" xfId="43427" xr:uid="{624A9E48-EF27-4BAC-8238-1EB9BB851905}"/>
    <cellStyle name="20% - Accent6 4 2 3 2 6" xfId="27547" xr:uid="{F75E1C0E-BD1B-4F95-925A-3361867DE07A}"/>
    <cellStyle name="20% - Accent6 4 2 3 2_Exh G" xfId="2630" xr:uid="{00000000-0005-0000-0000-0000F6260000}"/>
    <cellStyle name="20% - Accent6 4 2 3 3" xfId="4493" xr:uid="{00000000-0005-0000-0000-0000F7260000}"/>
    <cellStyle name="20% - Accent6 4 2 3 3 2" xfId="8085" xr:uid="{00000000-0005-0000-0000-0000F8260000}"/>
    <cellStyle name="20% - Accent6 4 2 3 3 2 2" xfId="16056" xr:uid="{00000000-0005-0000-0000-0000F9260000}"/>
    <cellStyle name="20% - Accent6 4 2 3 3 2 2 2" xfId="39898" xr:uid="{147F98E5-D331-44F3-8DBF-52EE7F260A0A}"/>
    <cellStyle name="20% - Accent6 4 2 3 3 2 3" xfId="24002" xr:uid="{00000000-0005-0000-0000-0000FA260000}"/>
    <cellStyle name="20% - Accent6 4 2 3 3 2 3 2" xfId="47834" xr:uid="{E94E7695-0A8C-492C-B0A1-582838DA21E2}"/>
    <cellStyle name="20% - Accent6 4 2 3 3 2 4" xfId="31957" xr:uid="{F57BCD23-0711-4568-B7FC-D182FD11B951}"/>
    <cellStyle name="20% - Accent6 4 2 3 3 3" xfId="12518" xr:uid="{00000000-0005-0000-0000-0000FB260000}"/>
    <cellStyle name="20% - Accent6 4 2 3 3 3 2" xfId="36367" xr:uid="{8EC3D946-FE0B-4FF8-A99F-9B03573B0BEC}"/>
    <cellStyle name="20% - Accent6 4 2 3 3 4" xfId="20473" xr:uid="{00000000-0005-0000-0000-0000FC260000}"/>
    <cellStyle name="20% - Accent6 4 2 3 3 4 2" xfId="44305" xr:uid="{6A319A93-D3F7-4AC7-A673-B46304A43390}"/>
    <cellStyle name="20% - Accent6 4 2 3 3 5" xfId="28426" xr:uid="{5E5B45C6-4BD9-4B8C-BCFA-7927EA4DADFA}"/>
    <cellStyle name="20% - Accent6 4 2 3 4" xfId="6323" xr:uid="{00000000-0005-0000-0000-0000FD260000}"/>
    <cellStyle name="20% - Accent6 4 2 3 4 2" xfId="14298" xr:uid="{00000000-0005-0000-0000-0000FE260000}"/>
    <cellStyle name="20% - Accent6 4 2 3 4 2 2" xfId="38140" xr:uid="{31E55E14-9869-4EBF-825B-7F5AD88BB2AB}"/>
    <cellStyle name="20% - Accent6 4 2 3 4 3" xfId="22245" xr:uid="{00000000-0005-0000-0000-0000FF260000}"/>
    <cellStyle name="20% - Accent6 4 2 3 4 3 2" xfId="46077" xr:uid="{6B0392EC-EF52-4677-B3D7-FE79B6A59599}"/>
    <cellStyle name="20% - Accent6 4 2 3 4 4" xfId="30199" xr:uid="{512DC5B7-AFA7-4E49-81D3-A90CB0640D3A}"/>
    <cellStyle name="20% - Accent6 4 2 3 5" xfId="9866" xr:uid="{00000000-0005-0000-0000-000000270000}"/>
    <cellStyle name="20% - Accent6 4 2 3 5 2" xfId="17824" xr:uid="{00000000-0005-0000-0000-000001270000}"/>
    <cellStyle name="20% - Accent6 4 2 3 5 2 2" xfId="41664" xr:uid="{BB30F8A6-746F-49EE-80DE-71F7464FE01F}"/>
    <cellStyle name="20% - Accent6 4 2 3 5 3" xfId="25768" xr:uid="{00000000-0005-0000-0000-000002270000}"/>
    <cellStyle name="20% - Accent6 4 2 3 5 3 2" xfId="49600" xr:uid="{A8C6A10C-E119-4B8B-AD6A-7254169FDFFE}"/>
    <cellStyle name="20% - Accent6 4 2 3 5 4" xfId="33723" xr:uid="{2ADCB213-7A41-4617-A806-E45B65B1AB3C}"/>
    <cellStyle name="20% - Accent6 4 2 3 6" xfId="10762" xr:uid="{00000000-0005-0000-0000-000003270000}"/>
    <cellStyle name="20% - Accent6 4 2 3 6 2" xfId="34611" xr:uid="{AFD81B92-6311-4B9F-B639-9BA6FB0605C2}"/>
    <cellStyle name="20% - Accent6 4 2 3 7" xfId="18717" xr:uid="{00000000-0005-0000-0000-000004270000}"/>
    <cellStyle name="20% - Accent6 4 2 3 7 2" xfId="42549" xr:uid="{E39B8F54-CA6B-4440-A99C-AE3210D2BACF}"/>
    <cellStyle name="20% - Accent6 4 2 3 8" xfId="26669" xr:uid="{B873E2E9-EAB3-4A9D-A863-9EB0DBAD27F3}"/>
    <cellStyle name="20% - Accent6 4 2 3_Exh G" xfId="2629" xr:uid="{00000000-0005-0000-0000-000005270000}"/>
    <cellStyle name="20% - Accent6 4 2 4" xfId="1336" xr:uid="{00000000-0005-0000-0000-000006270000}"/>
    <cellStyle name="20% - Accent6 4 2 4 2" xfId="4866" xr:uid="{00000000-0005-0000-0000-000007270000}"/>
    <cellStyle name="20% - Accent6 4 2 4 2 2" xfId="8457" xr:uid="{00000000-0005-0000-0000-000008270000}"/>
    <cellStyle name="20% - Accent6 4 2 4 2 2 2" xfId="16428" xr:uid="{00000000-0005-0000-0000-000009270000}"/>
    <cellStyle name="20% - Accent6 4 2 4 2 2 2 2" xfId="40270" xr:uid="{B18175E4-B39D-4CE3-B4AB-01B09F4E1691}"/>
    <cellStyle name="20% - Accent6 4 2 4 2 2 3" xfId="24374" xr:uid="{00000000-0005-0000-0000-00000A270000}"/>
    <cellStyle name="20% - Accent6 4 2 4 2 2 3 2" xfId="48206" xr:uid="{DF5F0423-3549-439E-96B3-FA5A1243F353}"/>
    <cellStyle name="20% - Accent6 4 2 4 2 2 4" xfId="32329" xr:uid="{7BFCB6F5-198F-4108-A7A0-E92D0985A2A8}"/>
    <cellStyle name="20% - Accent6 4 2 4 2 3" xfId="12890" xr:uid="{00000000-0005-0000-0000-00000B270000}"/>
    <cellStyle name="20% - Accent6 4 2 4 2 3 2" xfId="36739" xr:uid="{832FA348-6C50-4158-8D55-3F791D92E69E}"/>
    <cellStyle name="20% - Accent6 4 2 4 2 4" xfId="20845" xr:uid="{00000000-0005-0000-0000-00000C270000}"/>
    <cellStyle name="20% - Accent6 4 2 4 2 4 2" xfId="44677" xr:uid="{5ED84EAB-F4C3-4585-B326-D53E5A273C32}"/>
    <cellStyle name="20% - Accent6 4 2 4 2 5" xfId="28798" xr:uid="{FCEBFDCF-6C73-4175-9D72-9463D321E7CF}"/>
    <cellStyle name="20% - Accent6 4 2 4 3" xfId="6698" xr:uid="{00000000-0005-0000-0000-00000D270000}"/>
    <cellStyle name="20% - Accent6 4 2 4 3 2" xfId="14670" xr:uid="{00000000-0005-0000-0000-00000E270000}"/>
    <cellStyle name="20% - Accent6 4 2 4 3 2 2" xfId="38512" xr:uid="{17272E02-7F06-4738-8902-589BFBDF8693}"/>
    <cellStyle name="20% - Accent6 4 2 4 3 3" xfId="22617" xr:uid="{00000000-0005-0000-0000-00000F270000}"/>
    <cellStyle name="20% - Accent6 4 2 4 3 3 2" xfId="46449" xr:uid="{471F73D9-2341-49D8-A8E5-C8CEA44AE015}"/>
    <cellStyle name="20% - Accent6 4 2 4 3 4" xfId="30571" xr:uid="{1B601A02-B6D3-4A29-8621-AFE37329CD56}"/>
    <cellStyle name="20% - Accent6 4 2 4 4" xfId="11134" xr:uid="{00000000-0005-0000-0000-000010270000}"/>
    <cellStyle name="20% - Accent6 4 2 4 4 2" xfId="34983" xr:uid="{04A76D33-DEF3-4772-8D6C-83A91C56898D}"/>
    <cellStyle name="20% - Accent6 4 2 4 5" xfId="19089" xr:uid="{00000000-0005-0000-0000-000011270000}"/>
    <cellStyle name="20% - Accent6 4 2 4 5 2" xfId="42921" xr:uid="{3FA2BD4D-80FA-4889-935C-A6A13A653B03}"/>
    <cellStyle name="20% - Accent6 4 2 4 6" xfId="27041" xr:uid="{D55D4457-99D0-4532-B718-CE608E86E276}"/>
    <cellStyle name="20% - Accent6 4 2 4_Exh G" xfId="2631" xr:uid="{00000000-0005-0000-0000-000012270000}"/>
    <cellStyle name="20% - Accent6 4 2 5" xfId="3987" xr:uid="{00000000-0005-0000-0000-000013270000}"/>
    <cellStyle name="20% - Accent6 4 2 5 2" xfId="7579" xr:uid="{00000000-0005-0000-0000-000014270000}"/>
    <cellStyle name="20% - Accent6 4 2 5 2 2" xfId="15550" xr:uid="{00000000-0005-0000-0000-000015270000}"/>
    <cellStyle name="20% - Accent6 4 2 5 2 2 2" xfId="39392" xr:uid="{092E7E14-1816-4809-9D25-C35AC4F675F1}"/>
    <cellStyle name="20% - Accent6 4 2 5 2 3" xfId="23496" xr:uid="{00000000-0005-0000-0000-000016270000}"/>
    <cellStyle name="20% - Accent6 4 2 5 2 3 2" xfId="47328" xr:uid="{83356719-A4AC-49C7-8BC2-4E6A5203F68A}"/>
    <cellStyle name="20% - Accent6 4 2 5 2 4" xfId="31451" xr:uid="{94C168E9-F806-4E62-989C-174FAC2D63CA}"/>
    <cellStyle name="20% - Accent6 4 2 5 3" xfId="12012" xr:uid="{00000000-0005-0000-0000-000017270000}"/>
    <cellStyle name="20% - Accent6 4 2 5 3 2" xfId="35861" xr:uid="{FE19FC9B-A267-4E9F-A470-73FC10B6F6B9}"/>
    <cellStyle name="20% - Accent6 4 2 5 4" xfId="19967" xr:uid="{00000000-0005-0000-0000-000018270000}"/>
    <cellStyle name="20% - Accent6 4 2 5 4 2" xfId="43799" xr:uid="{9A1C184C-1204-4657-9A46-EBC01D5F3BBF}"/>
    <cellStyle name="20% - Accent6 4 2 5 5" xfId="27920" xr:uid="{CA829984-53C8-43BC-9049-FC13F029A2A4}"/>
    <cellStyle name="20% - Accent6 4 2 6" xfId="5807" xr:uid="{00000000-0005-0000-0000-000019270000}"/>
    <cellStyle name="20% - Accent6 4 2 6 2" xfId="13791" xr:uid="{00000000-0005-0000-0000-00001A270000}"/>
    <cellStyle name="20% - Accent6 4 2 6 2 2" xfId="37634" xr:uid="{A4116637-1EF0-4CD0-BBBC-DF129B0210B2}"/>
    <cellStyle name="20% - Accent6 4 2 6 3" xfId="21739" xr:uid="{00000000-0005-0000-0000-00001B270000}"/>
    <cellStyle name="20% - Accent6 4 2 6 3 2" xfId="45571" xr:uid="{4E7C1163-4368-4A53-9446-F91271746B1D}"/>
    <cellStyle name="20% - Accent6 4 2 6 4" xfId="29693" xr:uid="{34658617-F370-4349-BF7C-DD8251B378B1}"/>
    <cellStyle name="20% - Accent6 4 2 7" xfId="9360" xr:uid="{00000000-0005-0000-0000-00001C270000}"/>
    <cellStyle name="20% - Accent6 4 2 7 2" xfId="17318" xr:uid="{00000000-0005-0000-0000-00001D270000}"/>
    <cellStyle name="20% - Accent6 4 2 7 2 2" xfId="41158" xr:uid="{22BC5943-03DE-413E-AF4A-C3307C7411E1}"/>
    <cellStyle name="20% - Accent6 4 2 7 3" xfId="25262" xr:uid="{00000000-0005-0000-0000-00001E270000}"/>
    <cellStyle name="20% - Accent6 4 2 7 3 2" xfId="49094" xr:uid="{155524A9-8379-492D-84FC-6206B52A7462}"/>
    <cellStyle name="20% - Accent6 4 2 7 4" xfId="33217" xr:uid="{695F4B92-F116-457A-90D7-9012B16FA827}"/>
    <cellStyle name="20% - Accent6 4 2 8" xfId="10256" xr:uid="{00000000-0005-0000-0000-00001F270000}"/>
    <cellStyle name="20% - Accent6 4 2 8 2" xfId="34105" xr:uid="{8CAB928C-AA7D-4E92-AFB0-CB1CFA3EB1BC}"/>
    <cellStyle name="20% - Accent6 4 2 9" xfId="18211" xr:uid="{00000000-0005-0000-0000-000020270000}"/>
    <cellStyle name="20% - Accent6 4 2 9 2" xfId="42043" xr:uid="{23BC4B52-9F78-4120-B73B-AA542CCD9D93}"/>
    <cellStyle name="20% - Accent6 4 2_Exh G" xfId="2626" xr:uid="{00000000-0005-0000-0000-000021270000}"/>
    <cellStyle name="20% - Accent6 4 3" xfId="310" xr:uid="{00000000-0005-0000-0000-000022270000}"/>
    <cellStyle name="20% - Accent6 4 3 2" xfId="1338" xr:uid="{00000000-0005-0000-0000-000023270000}"/>
    <cellStyle name="20% - Accent6 4 3 2 2" xfId="4868" xr:uid="{00000000-0005-0000-0000-000024270000}"/>
    <cellStyle name="20% - Accent6 4 3 2 2 2" xfId="8459" xr:uid="{00000000-0005-0000-0000-000025270000}"/>
    <cellStyle name="20% - Accent6 4 3 2 2 2 2" xfId="16430" xr:uid="{00000000-0005-0000-0000-000026270000}"/>
    <cellStyle name="20% - Accent6 4 3 2 2 2 2 2" xfId="40272" xr:uid="{D2B8B920-027C-4C1A-A19B-D9B9FD161154}"/>
    <cellStyle name="20% - Accent6 4 3 2 2 2 3" xfId="24376" xr:uid="{00000000-0005-0000-0000-000027270000}"/>
    <cellStyle name="20% - Accent6 4 3 2 2 2 3 2" xfId="48208" xr:uid="{7FB552AC-0DFE-494C-8C50-FE4FF285318E}"/>
    <cellStyle name="20% - Accent6 4 3 2 2 2 4" xfId="32331" xr:uid="{19C509CD-00AA-432A-9F64-1A51475CF357}"/>
    <cellStyle name="20% - Accent6 4 3 2 2 3" xfId="12892" xr:uid="{00000000-0005-0000-0000-000028270000}"/>
    <cellStyle name="20% - Accent6 4 3 2 2 3 2" xfId="36741" xr:uid="{2F0E18E3-1995-4391-8889-D46636F5E874}"/>
    <cellStyle name="20% - Accent6 4 3 2 2 4" xfId="20847" xr:uid="{00000000-0005-0000-0000-000029270000}"/>
    <cellStyle name="20% - Accent6 4 3 2 2 4 2" xfId="44679" xr:uid="{3A05AFB8-1C7B-4DA0-939D-AA4AA6301698}"/>
    <cellStyle name="20% - Accent6 4 3 2 2 5" xfId="28800" xr:uid="{005D7FDF-D31B-4502-886D-22CE4472CC4F}"/>
    <cellStyle name="20% - Accent6 4 3 2 3" xfId="6700" xr:uid="{00000000-0005-0000-0000-00002A270000}"/>
    <cellStyle name="20% - Accent6 4 3 2 3 2" xfId="14672" xr:uid="{00000000-0005-0000-0000-00002B270000}"/>
    <cellStyle name="20% - Accent6 4 3 2 3 2 2" xfId="38514" xr:uid="{32161D59-84BD-45A1-B449-71F12F9F2C9B}"/>
    <cellStyle name="20% - Accent6 4 3 2 3 3" xfId="22619" xr:uid="{00000000-0005-0000-0000-00002C270000}"/>
    <cellStyle name="20% - Accent6 4 3 2 3 3 2" xfId="46451" xr:uid="{C91D0D47-70E6-45E0-8FDE-52C2EB67A3D1}"/>
    <cellStyle name="20% - Accent6 4 3 2 3 4" xfId="30573" xr:uid="{E6F4EA7B-5806-41CE-83BF-C549A0CB7141}"/>
    <cellStyle name="20% - Accent6 4 3 2 4" xfId="11136" xr:uid="{00000000-0005-0000-0000-00002D270000}"/>
    <cellStyle name="20% - Accent6 4 3 2 4 2" xfId="34985" xr:uid="{9ADC050F-E3DF-46E1-AFC8-3F9B8339630D}"/>
    <cellStyle name="20% - Accent6 4 3 2 5" xfId="19091" xr:uid="{00000000-0005-0000-0000-00002E270000}"/>
    <cellStyle name="20% - Accent6 4 3 2 5 2" xfId="42923" xr:uid="{59CA22BA-722E-46E9-8783-6573820B921B}"/>
    <cellStyle name="20% - Accent6 4 3 2 6" xfId="27043" xr:uid="{7B6DEE39-D6F9-44EC-B940-7A7813EE2BA3}"/>
    <cellStyle name="20% - Accent6 4 3 2_Exh G" xfId="2633" xr:uid="{00000000-0005-0000-0000-00002F270000}"/>
    <cellStyle name="20% - Accent6 4 3 3" xfId="3989" xr:uid="{00000000-0005-0000-0000-000030270000}"/>
    <cellStyle name="20% - Accent6 4 3 3 2" xfId="7581" xr:uid="{00000000-0005-0000-0000-000031270000}"/>
    <cellStyle name="20% - Accent6 4 3 3 2 2" xfId="15552" xr:uid="{00000000-0005-0000-0000-000032270000}"/>
    <cellStyle name="20% - Accent6 4 3 3 2 2 2" xfId="39394" xr:uid="{86634859-8AA2-4AB2-835F-EB5CFC51838A}"/>
    <cellStyle name="20% - Accent6 4 3 3 2 3" xfId="23498" xr:uid="{00000000-0005-0000-0000-000033270000}"/>
    <cellStyle name="20% - Accent6 4 3 3 2 3 2" xfId="47330" xr:uid="{BE09018F-889F-4F1B-9449-EE3A415E349D}"/>
    <cellStyle name="20% - Accent6 4 3 3 2 4" xfId="31453" xr:uid="{3F807DDF-064F-4CDD-87BB-C13D93B91BD0}"/>
    <cellStyle name="20% - Accent6 4 3 3 3" xfId="12014" xr:uid="{00000000-0005-0000-0000-000034270000}"/>
    <cellStyle name="20% - Accent6 4 3 3 3 2" xfId="35863" xr:uid="{8C6D7F5E-F7D3-40E6-A97E-274AF4305570}"/>
    <cellStyle name="20% - Accent6 4 3 3 4" xfId="19969" xr:uid="{00000000-0005-0000-0000-000035270000}"/>
    <cellStyle name="20% - Accent6 4 3 3 4 2" xfId="43801" xr:uid="{EE2083F3-EEBB-4FA1-ADF9-DF7CFD9B4B8E}"/>
    <cellStyle name="20% - Accent6 4 3 3 5" xfId="27922" xr:uid="{52EF059C-099D-4854-BD14-CC16999B87C6}"/>
    <cellStyle name="20% - Accent6 4 3 4" xfId="5809" xr:uid="{00000000-0005-0000-0000-000036270000}"/>
    <cellStyle name="20% - Accent6 4 3 4 2" xfId="13793" xr:uid="{00000000-0005-0000-0000-000037270000}"/>
    <cellStyle name="20% - Accent6 4 3 4 2 2" xfId="37636" xr:uid="{C922678A-3895-4F08-8AC3-43DE33D59734}"/>
    <cellStyle name="20% - Accent6 4 3 4 3" xfId="21741" xr:uid="{00000000-0005-0000-0000-000038270000}"/>
    <cellStyle name="20% - Accent6 4 3 4 3 2" xfId="45573" xr:uid="{2C7A5233-0EB1-4C10-98A4-83D44392B34C}"/>
    <cellStyle name="20% - Accent6 4 3 4 4" xfId="29695" xr:uid="{FB3A5BFE-F287-4D9B-8D6D-DC78F5BF602F}"/>
    <cellStyle name="20% - Accent6 4 3 5" xfId="9362" xr:uid="{00000000-0005-0000-0000-000039270000}"/>
    <cellStyle name="20% - Accent6 4 3 5 2" xfId="17320" xr:uid="{00000000-0005-0000-0000-00003A270000}"/>
    <cellStyle name="20% - Accent6 4 3 5 2 2" xfId="41160" xr:uid="{7F9B16CE-2304-4549-8223-57C2C03CC86F}"/>
    <cellStyle name="20% - Accent6 4 3 5 3" xfId="25264" xr:uid="{00000000-0005-0000-0000-00003B270000}"/>
    <cellStyle name="20% - Accent6 4 3 5 3 2" xfId="49096" xr:uid="{A0684C8E-82DD-462E-AE8E-0B93545E0483}"/>
    <cellStyle name="20% - Accent6 4 3 5 4" xfId="33219" xr:uid="{B25BE749-4F34-40B7-9F2D-6B36469EEDFE}"/>
    <cellStyle name="20% - Accent6 4 3 6" xfId="10258" xr:uid="{00000000-0005-0000-0000-00003C270000}"/>
    <cellStyle name="20% - Accent6 4 3 6 2" xfId="34107" xr:uid="{3F747C79-E6BA-4C81-A21F-FEED06740774}"/>
    <cellStyle name="20% - Accent6 4 3 7" xfId="18213" xr:uid="{00000000-0005-0000-0000-00003D270000}"/>
    <cellStyle name="20% - Accent6 4 3 7 2" xfId="42045" xr:uid="{089B277F-CD19-44CF-B63E-B807EBB4FB7B}"/>
    <cellStyle name="20% - Accent6 4 3 8" xfId="26165" xr:uid="{AD5A51B6-3B72-41E1-9736-FC0E5CBB2DB2}"/>
    <cellStyle name="20% - Accent6 4 3_Exh G" xfId="2632" xr:uid="{00000000-0005-0000-0000-00003E270000}"/>
    <cellStyle name="20% - Accent6 4 4" xfId="927" xr:uid="{00000000-0005-0000-0000-00003F270000}"/>
    <cellStyle name="20% - Accent6 4 4 2" xfId="1853" xr:uid="{00000000-0005-0000-0000-000040270000}"/>
    <cellStyle name="20% - Accent6 4 4 2 2" xfId="5371" xr:uid="{00000000-0005-0000-0000-000041270000}"/>
    <cellStyle name="20% - Accent6 4 4 2 2 2" xfId="8962" xr:uid="{00000000-0005-0000-0000-000042270000}"/>
    <cellStyle name="20% - Accent6 4 4 2 2 2 2" xfId="16933" xr:uid="{00000000-0005-0000-0000-000043270000}"/>
    <cellStyle name="20% - Accent6 4 4 2 2 2 2 2" xfId="40775" xr:uid="{C16CB276-BB7D-4F56-AF25-846F4014DEDD}"/>
    <cellStyle name="20% - Accent6 4 4 2 2 2 3" xfId="24879" xr:uid="{00000000-0005-0000-0000-000044270000}"/>
    <cellStyle name="20% - Accent6 4 4 2 2 2 3 2" xfId="48711" xr:uid="{26C25661-0D64-4656-AB3C-7BBD8F22D751}"/>
    <cellStyle name="20% - Accent6 4 4 2 2 2 4" xfId="32834" xr:uid="{5E97E32D-2469-4DC4-A4A0-ED3AAE88956E}"/>
    <cellStyle name="20% - Accent6 4 4 2 2 3" xfId="13395" xr:uid="{00000000-0005-0000-0000-000045270000}"/>
    <cellStyle name="20% - Accent6 4 4 2 2 3 2" xfId="37244" xr:uid="{3F6D5BE5-3F87-4A83-93DD-776AEFE49DD6}"/>
    <cellStyle name="20% - Accent6 4 4 2 2 4" xfId="21350" xr:uid="{00000000-0005-0000-0000-000046270000}"/>
    <cellStyle name="20% - Accent6 4 4 2 2 4 2" xfId="45182" xr:uid="{68430874-F58B-44BE-891A-46BE0E02B279}"/>
    <cellStyle name="20% - Accent6 4 4 2 2 5" xfId="29303" xr:uid="{34C77FA8-B028-46B9-8E31-B8A6164AC74A}"/>
    <cellStyle name="20% - Accent6 4 4 2 3" xfId="7203" xr:uid="{00000000-0005-0000-0000-000047270000}"/>
    <cellStyle name="20% - Accent6 4 4 2 3 2" xfId="15175" xr:uid="{00000000-0005-0000-0000-000048270000}"/>
    <cellStyle name="20% - Accent6 4 4 2 3 2 2" xfId="39017" xr:uid="{56B6BD94-F2DE-499A-B326-8350DAF1AA60}"/>
    <cellStyle name="20% - Accent6 4 4 2 3 3" xfId="23122" xr:uid="{00000000-0005-0000-0000-000049270000}"/>
    <cellStyle name="20% - Accent6 4 4 2 3 3 2" xfId="46954" xr:uid="{73C28852-F281-4A65-97FF-4DE47FCE0DD8}"/>
    <cellStyle name="20% - Accent6 4 4 2 3 4" xfId="31076" xr:uid="{0962C441-E621-4B04-998A-8EC2250F4666}"/>
    <cellStyle name="20% - Accent6 4 4 2 4" xfId="11639" xr:uid="{00000000-0005-0000-0000-00004A270000}"/>
    <cellStyle name="20% - Accent6 4 4 2 4 2" xfId="35488" xr:uid="{76770159-2EAA-448D-A7A7-8ABEBC662C8A}"/>
    <cellStyle name="20% - Accent6 4 4 2 5" xfId="19594" xr:uid="{00000000-0005-0000-0000-00004B270000}"/>
    <cellStyle name="20% - Accent6 4 4 2 5 2" xfId="43426" xr:uid="{4D71CE56-0DBB-4645-8024-7BC17F94DF6D}"/>
    <cellStyle name="20% - Accent6 4 4 2 6" xfId="27546" xr:uid="{D73564A0-B529-4028-A5C8-A39EF6FB0B3D}"/>
    <cellStyle name="20% - Accent6 4 4 2_Exh G" xfId="2635" xr:uid="{00000000-0005-0000-0000-00004C270000}"/>
    <cellStyle name="20% - Accent6 4 4 3" xfId="4492" xr:uid="{00000000-0005-0000-0000-00004D270000}"/>
    <cellStyle name="20% - Accent6 4 4 3 2" xfId="8084" xr:uid="{00000000-0005-0000-0000-00004E270000}"/>
    <cellStyle name="20% - Accent6 4 4 3 2 2" xfId="16055" xr:uid="{00000000-0005-0000-0000-00004F270000}"/>
    <cellStyle name="20% - Accent6 4 4 3 2 2 2" xfId="39897" xr:uid="{20B2386A-523F-4D54-B884-03932C50551A}"/>
    <cellStyle name="20% - Accent6 4 4 3 2 3" xfId="24001" xr:uid="{00000000-0005-0000-0000-000050270000}"/>
    <cellStyle name="20% - Accent6 4 4 3 2 3 2" xfId="47833" xr:uid="{5522409C-5A7F-42E2-A4E8-DC769666AD41}"/>
    <cellStyle name="20% - Accent6 4 4 3 2 4" xfId="31956" xr:uid="{2994292D-9D1B-47D9-87DA-73697E5A0DAF}"/>
    <cellStyle name="20% - Accent6 4 4 3 3" xfId="12517" xr:uid="{00000000-0005-0000-0000-000051270000}"/>
    <cellStyle name="20% - Accent6 4 4 3 3 2" xfId="36366" xr:uid="{E24B6EAF-8C5D-46E6-A3B5-8F68AA1CD76E}"/>
    <cellStyle name="20% - Accent6 4 4 3 4" xfId="20472" xr:uid="{00000000-0005-0000-0000-000052270000}"/>
    <cellStyle name="20% - Accent6 4 4 3 4 2" xfId="44304" xr:uid="{33C49B94-4A14-4265-AD18-304EB2FB1ABF}"/>
    <cellStyle name="20% - Accent6 4 4 3 5" xfId="28425" xr:uid="{14AC0537-22F8-4754-AB29-D8C9B3205BC5}"/>
    <cellStyle name="20% - Accent6 4 4 4" xfId="6322" xr:uid="{00000000-0005-0000-0000-000053270000}"/>
    <cellStyle name="20% - Accent6 4 4 4 2" xfId="14297" xr:uid="{00000000-0005-0000-0000-000054270000}"/>
    <cellStyle name="20% - Accent6 4 4 4 2 2" xfId="38139" xr:uid="{4CF88D24-1004-4B00-AA40-9EB5565A541B}"/>
    <cellStyle name="20% - Accent6 4 4 4 3" xfId="22244" xr:uid="{00000000-0005-0000-0000-000055270000}"/>
    <cellStyle name="20% - Accent6 4 4 4 3 2" xfId="46076" xr:uid="{9E02598F-CABC-49C7-AA94-AA0B17AE7D0A}"/>
    <cellStyle name="20% - Accent6 4 4 4 4" xfId="30198" xr:uid="{AA25D48E-2162-48AE-BD28-678C8AE23F9B}"/>
    <cellStyle name="20% - Accent6 4 4 5" xfId="9865" xr:uid="{00000000-0005-0000-0000-000056270000}"/>
    <cellStyle name="20% - Accent6 4 4 5 2" xfId="17823" xr:uid="{00000000-0005-0000-0000-000057270000}"/>
    <cellStyle name="20% - Accent6 4 4 5 2 2" xfId="41663" xr:uid="{5E3298D4-F6F7-4BC6-9EF2-FEC3CB942F6A}"/>
    <cellStyle name="20% - Accent6 4 4 5 3" xfId="25767" xr:uid="{00000000-0005-0000-0000-000058270000}"/>
    <cellStyle name="20% - Accent6 4 4 5 3 2" xfId="49599" xr:uid="{AA62A13B-87E6-46F3-99C4-4AEC983FE3D3}"/>
    <cellStyle name="20% - Accent6 4 4 5 4" xfId="33722" xr:uid="{D40D96BC-DCFD-48A6-90F4-AFB044BA8CA1}"/>
    <cellStyle name="20% - Accent6 4 4 6" xfId="10761" xr:uid="{00000000-0005-0000-0000-000059270000}"/>
    <cellStyle name="20% - Accent6 4 4 6 2" xfId="34610" xr:uid="{A8B542F7-73E9-49B0-BC0D-3AB8DB4BEC18}"/>
    <cellStyle name="20% - Accent6 4 4 7" xfId="18716" xr:uid="{00000000-0005-0000-0000-00005A270000}"/>
    <cellStyle name="20% - Accent6 4 4 7 2" xfId="42548" xr:uid="{742BA9A7-4D84-495E-97A1-0714489CC55F}"/>
    <cellStyle name="20% - Accent6 4 4 8" xfId="26668" xr:uid="{E2A3560E-2D2C-4FCE-9743-23521AD91C12}"/>
    <cellStyle name="20% - Accent6 4 4_Exh G" xfId="2634" xr:uid="{00000000-0005-0000-0000-00005B270000}"/>
    <cellStyle name="20% - Accent6 4 5" xfId="1335" xr:uid="{00000000-0005-0000-0000-00005C270000}"/>
    <cellStyle name="20% - Accent6 4 5 2" xfId="4865" xr:uid="{00000000-0005-0000-0000-00005D270000}"/>
    <cellStyle name="20% - Accent6 4 5 2 2" xfId="8456" xr:uid="{00000000-0005-0000-0000-00005E270000}"/>
    <cellStyle name="20% - Accent6 4 5 2 2 2" xfId="16427" xr:uid="{00000000-0005-0000-0000-00005F270000}"/>
    <cellStyle name="20% - Accent6 4 5 2 2 2 2" xfId="40269" xr:uid="{DC91809D-9ADE-4673-B53B-B6332CCF1AF0}"/>
    <cellStyle name="20% - Accent6 4 5 2 2 3" xfId="24373" xr:uid="{00000000-0005-0000-0000-000060270000}"/>
    <cellStyle name="20% - Accent6 4 5 2 2 3 2" xfId="48205" xr:uid="{61C017F0-CA33-4E8F-B51C-44B0BC727FB2}"/>
    <cellStyle name="20% - Accent6 4 5 2 2 4" xfId="32328" xr:uid="{9F453E7D-E290-4A46-AB51-B7E8E81DC89B}"/>
    <cellStyle name="20% - Accent6 4 5 2 3" xfId="12889" xr:uid="{00000000-0005-0000-0000-000061270000}"/>
    <cellStyle name="20% - Accent6 4 5 2 3 2" xfId="36738" xr:uid="{59D53AC3-EEBD-40A4-BDEA-40739C8B2603}"/>
    <cellStyle name="20% - Accent6 4 5 2 4" xfId="20844" xr:uid="{00000000-0005-0000-0000-000062270000}"/>
    <cellStyle name="20% - Accent6 4 5 2 4 2" xfId="44676" xr:uid="{EA8FC015-90D6-492F-A567-71B99CF127C9}"/>
    <cellStyle name="20% - Accent6 4 5 2 5" xfId="28797" xr:uid="{5F0EF2A3-221C-4885-B089-0ADECE76E7C2}"/>
    <cellStyle name="20% - Accent6 4 5 3" xfId="6697" xr:uid="{00000000-0005-0000-0000-000063270000}"/>
    <cellStyle name="20% - Accent6 4 5 3 2" xfId="14669" xr:uid="{00000000-0005-0000-0000-000064270000}"/>
    <cellStyle name="20% - Accent6 4 5 3 2 2" xfId="38511" xr:uid="{9A4A97E1-599A-4E5D-BA9D-76B4038B0E19}"/>
    <cellStyle name="20% - Accent6 4 5 3 3" xfId="22616" xr:uid="{00000000-0005-0000-0000-000065270000}"/>
    <cellStyle name="20% - Accent6 4 5 3 3 2" xfId="46448" xr:uid="{B58DA4BC-86C3-4B35-81ED-6396571FEC6E}"/>
    <cellStyle name="20% - Accent6 4 5 3 4" xfId="30570" xr:uid="{BF55018D-87E0-4737-888C-AEB3532218E8}"/>
    <cellStyle name="20% - Accent6 4 5 4" xfId="11133" xr:uid="{00000000-0005-0000-0000-000066270000}"/>
    <cellStyle name="20% - Accent6 4 5 4 2" xfId="34982" xr:uid="{9B37F657-567E-483A-BE19-E37E724E8558}"/>
    <cellStyle name="20% - Accent6 4 5 5" xfId="19088" xr:uid="{00000000-0005-0000-0000-000067270000}"/>
    <cellStyle name="20% - Accent6 4 5 5 2" xfId="42920" xr:uid="{C101B907-283E-49EE-916A-FE6A5DF487BB}"/>
    <cellStyle name="20% - Accent6 4 5 6" xfId="27040" xr:uid="{B958C380-33E6-4E13-B8EC-76F58E454DB3}"/>
    <cellStyle name="20% - Accent6 4 5_Exh G" xfId="2636" xr:uid="{00000000-0005-0000-0000-000068270000}"/>
    <cellStyle name="20% - Accent6 4 6" xfId="3986" xr:uid="{00000000-0005-0000-0000-000069270000}"/>
    <cellStyle name="20% - Accent6 4 6 2" xfId="7578" xr:uid="{00000000-0005-0000-0000-00006A270000}"/>
    <cellStyle name="20% - Accent6 4 6 2 2" xfId="15549" xr:uid="{00000000-0005-0000-0000-00006B270000}"/>
    <cellStyle name="20% - Accent6 4 6 2 2 2" xfId="39391" xr:uid="{E60C6493-E7EC-4E2B-91B6-90FD2B5CDC8F}"/>
    <cellStyle name="20% - Accent6 4 6 2 3" xfId="23495" xr:uid="{00000000-0005-0000-0000-00006C270000}"/>
    <cellStyle name="20% - Accent6 4 6 2 3 2" xfId="47327" xr:uid="{6FDEE559-1ED8-4DBE-BDD2-DB7054A0F0A9}"/>
    <cellStyle name="20% - Accent6 4 6 2 4" xfId="31450" xr:uid="{D8B61FE4-9D86-44BC-8774-6DEF534601F1}"/>
    <cellStyle name="20% - Accent6 4 6 3" xfId="12011" xr:uid="{00000000-0005-0000-0000-00006D270000}"/>
    <cellStyle name="20% - Accent6 4 6 3 2" xfId="35860" xr:uid="{DC500B29-9334-4935-B5F8-859D33DFB57E}"/>
    <cellStyle name="20% - Accent6 4 6 4" xfId="19966" xr:uid="{00000000-0005-0000-0000-00006E270000}"/>
    <cellStyle name="20% - Accent6 4 6 4 2" xfId="43798" xr:uid="{627E04C9-E708-461C-8D6F-7D1925EDB094}"/>
    <cellStyle name="20% - Accent6 4 6 5" xfId="27919" xr:uid="{E5BB70C6-5FEF-400A-9FB5-202278276E86}"/>
    <cellStyle name="20% - Accent6 4 7" xfId="5806" xr:uid="{00000000-0005-0000-0000-00006F270000}"/>
    <cellStyle name="20% - Accent6 4 7 2" xfId="13790" xr:uid="{00000000-0005-0000-0000-000070270000}"/>
    <cellStyle name="20% - Accent6 4 7 2 2" xfId="37633" xr:uid="{40D079CC-2647-4BC3-B62F-A25B056C473E}"/>
    <cellStyle name="20% - Accent6 4 7 3" xfId="21738" xr:uid="{00000000-0005-0000-0000-000071270000}"/>
    <cellStyle name="20% - Accent6 4 7 3 2" xfId="45570" xr:uid="{C99D6790-EF4B-442A-B2D6-AAF8CC13EE8E}"/>
    <cellStyle name="20% - Accent6 4 7 4" xfId="29692" xr:uid="{966DE44A-C2D3-443D-8D87-DA92F9BE93FD}"/>
    <cellStyle name="20% - Accent6 4 8" xfId="9359" xr:uid="{00000000-0005-0000-0000-000072270000}"/>
    <cellStyle name="20% - Accent6 4 8 2" xfId="17317" xr:uid="{00000000-0005-0000-0000-000073270000}"/>
    <cellStyle name="20% - Accent6 4 8 2 2" xfId="41157" xr:uid="{DD0E5D80-6AC9-434B-A7D2-3A3C995D0E78}"/>
    <cellStyle name="20% - Accent6 4 8 3" xfId="25261" xr:uid="{00000000-0005-0000-0000-000074270000}"/>
    <cellStyle name="20% - Accent6 4 8 3 2" xfId="49093" xr:uid="{1243BEB0-42F0-499C-B18E-C80A31224524}"/>
    <cellStyle name="20% - Accent6 4 8 4" xfId="33216" xr:uid="{97E77353-BDFC-46E3-A8B6-D786E32215EF}"/>
    <cellStyle name="20% - Accent6 4 9" xfId="10255" xr:uid="{00000000-0005-0000-0000-000075270000}"/>
    <cellStyle name="20% - Accent6 4 9 2" xfId="34104" xr:uid="{FAD02884-EFD7-4761-8A43-8572CCB61182}"/>
    <cellStyle name="20% - Accent6 4_Exh G" xfId="2625" xr:uid="{00000000-0005-0000-0000-000076270000}"/>
    <cellStyle name="20% - Accent6 5" xfId="311" xr:uid="{00000000-0005-0000-0000-000077270000}"/>
    <cellStyle name="20% - Accent6 5 10" xfId="18214" xr:uid="{00000000-0005-0000-0000-000078270000}"/>
    <cellStyle name="20% - Accent6 5 10 2" xfId="42046" xr:uid="{8BA88D24-95CB-43ED-BBC6-AA167AB1F528}"/>
    <cellStyle name="20% - Accent6 5 11" xfId="26166" xr:uid="{748BC7F8-C2C4-4261-84C6-75D8E0836DEA}"/>
    <cellStyle name="20% - Accent6 5 2" xfId="312" xr:uid="{00000000-0005-0000-0000-000079270000}"/>
    <cellStyle name="20% - Accent6 5 2 2" xfId="313" xr:uid="{00000000-0005-0000-0000-00007A270000}"/>
    <cellStyle name="20% - Accent6 5 2 2 2" xfId="1341" xr:uid="{00000000-0005-0000-0000-00007B270000}"/>
    <cellStyle name="20% - Accent6 5 2 2 2 2" xfId="4871" xr:uid="{00000000-0005-0000-0000-00007C270000}"/>
    <cellStyle name="20% - Accent6 5 2 2 2 2 2" xfId="8462" xr:uid="{00000000-0005-0000-0000-00007D270000}"/>
    <cellStyle name="20% - Accent6 5 2 2 2 2 2 2" xfId="16433" xr:uid="{00000000-0005-0000-0000-00007E270000}"/>
    <cellStyle name="20% - Accent6 5 2 2 2 2 2 2 2" xfId="40275" xr:uid="{F7B0D9F4-E7CC-401C-AC15-5EAE703E649C}"/>
    <cellStyle name="20% - Accent6 5 2 2 2 2 2 3" xfId="24379" xr:uid="{00000000-0005-0000-0000-00007F270000}"/>
    <cellStyle name="20% - Accent6 5 2 2 2 2 2 3 2" xfId="48211" xr:uid="{6C1DF20C-C801-4E9A-9760-05FD730D1948}"/>
    <cellStyle name="20% - Accent6 5 2 2 2 2 2 4" xfId="32334" xr:uid="{3DB50104-7C57-4A81-8B1F-EB7EAE675966}"/>
    <cellStyle name="20% - Accent6 5 2 2 2 2 3" xfId="12895" xr:uid="{00000000-0005-0000-0000-000080270000}"/>
    <cellStyle name="20% - Accent6 5 2 2 2 2 3 2" xfId="36744" xr:uid="{C9D7EAA4-A190-45B9-B344-E795AAFFC66E}"/>
    <cellStyle name="20% - Accent6 5 2 2 2 2 4" xfId="20850" xr:uid="{00000000-0005-0000-0000-000081270000}"/>
    <cellStyle name="20% - Accent6 5 2 2 2 2 4 2" xfId="44682" xr:uid="{70944304-9BF9-45AE-A095-EA0159B34C97}"/>
    <cellStyle name="20% - Accent6 5 2 2 2 2 5" xfId="28803" xr:uid="{831B64C0-E88E-4567-ABB4-347BB942B9FC}"/>
    <cellStyle name="20% - Accent6 5 2 2 2 3" xfId="6703" xr:uid="{00000000-0005-0000-0000-000082270000}"/>
    <cellStyle name="20% - Accent6 5 2 2 2 3 2" xfId="14675" xr:uid="{00000000-0005-0000-0000-000083270000}"/>
    <cellStyle name="20% - Accent6 5 2 2 2 3 2 2" xfId="38517" xr:uid="{1A8F557C-B993-4EA4-B106-F8C9C78A1CB6}"/>
    <cellStyle name="20% - Accent6 5 2 2 2 3 3" xfId="22622" xr:uid="{00000000-0005-0000-0000-000084270000}"/>
    <cellStyle name="20% - Accent6 5 2 2 2 3 3 2" xfId="46454" xr:uid="{7B5CD218-ED7C-4418-BF3B-E09CC5AA6F30}"/>
    <cellStyle name="20% - Accent6 5 2 2 2 3 4" xfId="30576" xr:uid="{F9710551-7322-4DD0-9960-F1893D713943}"/>
    <cellStyle name="20% - Accent6 5 2 2 2 4" xfId="11139" xr:uid="{00000000-0005-0000-0000-000085270000}"/>
    <cellStyle name="20% - Accent6 5 2 2 2 4 2" xfId="34988" xr:uid="{04D6894D-134D-4489-8016-3C787D996527}"/>
    <cellStyle name="20% - Accent6 5 2 2 2 5" xfId="19094" xr:uid="{00000000-0005-0000-0000-000086270000}"/>
    <cellStyle name="20% - Accent6 5 2 2 2 5 2" xfId="42926" xr:uid="{3B31ED15-F5E6-4731-8820-E104858DFA41}"/>
    <cellStyle name="20% - Accent6 5 2 2 2 6" xfId="27046" xr:uid="{C4F8DF60-0941-4D96-8A0A-B10B97D3699D}"/>
    <cellStyle name="20% - Accent6 5 2 2 2_Exh G" xfId="2640" xr:uid="{00000000-0005-0000-0000-000087270000}"/>
    <cellStyle name="20% - Accent6 5 2 2 3" xfId="3992" xr:uid="{00000000-0005-0000-0000-000088270000}"/>
    <cellStyle name="20% - Accent6 5 2 2 3 2" xfId="7584" xr:uid="{00000000-0005-0000-0000-000089270000}"/>
    <cellStyle name="20% - Accent6 5 2 2 3 2 2" xfId="15555" xr:uid="{00000000-0005-0000-0000-00008A270000}"/>
    <cellStyle name="20% - Accent6 5 2 2 3 2 2 2" xfId="39397" xr:uid="{F6BF529C-92D9-49B3-9441-D335BD8E0E2A}"/>
    <cellStyle name="20% - Accent6 5 2 2 3 2 3" xfId="23501" xr:uid="{00000000-0005-0000-0000-00008B270000}"/>
    <cellStyle name="20% - Accent6 5 2 2 3 2 3 2" xfId="47333" xr:uid="{5AACDE3C-4424-4710-AD2D-72E96FAF4EC3}"/>
    <cellStyle name="20% - Accent6 5 2 2 3 2 4" xfId="31456" xr:uid="{8A33DF85-639C-43A7-9A3C-58A8B998BF7D}"/>
    <cellStyle name="20% - Accent6 5 2 2 3 3" xfId="12017" xr:uid="{00000000-0005-0000-0000-00008C270000}"/>
    <cellStyle name="20% - Accent6 5 2 2 3 3 2" xfId="35866" xr:uid="{1F4F328E-4188-42FB-B233-6A3856F59DF1}"/>
    <cellStyle name="20% - Accent6 5 2 2 3 4" xfId="19972" xr:uid="{00000000-0005-0000-0000-00008D270000}"/>
    <cellStyle name="20% - Accent6 5 2 2 3 4 2" xfId="43804" xr:uid="{1C045123-01CB-4EF4-AA4D-89E84E4D7A55}"/>
    <cellStyle name="20% - Accent6 5 2 2 3 5" xfId="27925" xr:uid="{27675190-721E-418C-A955-AC961AFF3234}"/>
    <cellStyle name="20% - Accent6 5 2 2 4" xfId="5812" xr:uid="{00000000-0005-0000-0000-00008E270000}"/>
    <cellStyle name="20% - Accent6 5 2 2 4 2" xfId="13796" xr:uid="{00000000-0005-0000-0000-00008F270000}"/>
    <cellStyle name="20% - Accent6 5 2 2 4 2 2" xfId="37639" xr:uid="{FF64C2A4-B46A-44E2-BA35-BC0D851EF8E7}"/>
    <cellStyle name="20% - Accent6 5 2 2 4 3" xfId="21744" xr:uid="{00000000-0005-0000-0000-000090270000}"/>
    <cellStyle name="20% - Accent6 5 2 2 4 3 2" xfId="45576" xr:uid="{318D6771-9E73-46B6-958A-353E9A6AFB3B}"/>
    <cellStyle name="20% - Accent6 5 2 2 4 4" xfId="29698" xr:uid="{3C20A089-B486-4117-A9A8-F253C0CE89D2}"/>
    <cellStyle name="20% - Accent6 5 2 2 5" xfId="9365" xr:uid="{00000000-0005-0000-0000-000091270000}"/>
    <cellStyle name="20% - Accent6 5 2 2 5 2" xfId="17323" xr:uid="{00000000-0005-0000-0000-000092270000}"/>
    <cellStyle name="20% - Accent6 5 2 2 5 2 2" xfId="41163" xr:uid="{D78E7145-34CB-4C99-A890-9BA8111186CF}"/>
    <cellStyle name="20% - Accent6 5 2 2 5 3" xfId="25267" xr:uid="{00000000-0005-0000-0000-000093270000}"/>
    <cellStyle name="20% - Accent6 5 2 2 5 3 2" xfId="49099" xr:uid="{76D66351-5CF3-46EF-A59F-0A7D338D7DBA}"/>
    <cellStyle name="20% - Accent6 5 2 2 5 4" xfId="33222" xr:uid="{2ABDDD73-35FB-4029-B530-B9BAC0D2D449}"/>
    <cellStyle name="20% - Accent6 5 2 2 6" xfId="10261" xr:uid="{00000000-0005-0000-0000-000094270000}"/>
    <cellStyle name="20% - Accent6 5 2 2 6 2" xfId="34110" xr:uid="{4B00F442-D860-4400-A9EA-D94C3D484253}"/>
    <cellStyle name="20% - Accent6 5 2 2 7" xfId="18216" xr:uid="{00000000-0005-0000-0000-000095270000}"/>
    <cellStyle name="20% - Accent6 5 2 2 7 2" xfId="42048" xr:uid="{99E36808-3FEC-4756-BAF1-8A5BD4FFE4A3}"/>
    <cellStyle name="20% - Accent6 5 2 2 8" xfId="26168" xr:uid="{E36AAE17-1C05-492E-908B-F342A850002B}"/>
    <cellStyle name="20% - Accent6 5 2 2_Exh G" xfId="2639" xr:uid="{00000000-0005-0000-0000-000096270000}"/>
    <cellStyle name="20% - Accent6 5 2 3" xfId="1340" xr:uid="{00000000-0005-0000-0000-000097270000}"/>
    <cellStyle name="20% - Accent6 5 2 3 2" xfId="4870" xr:uid="{00000000-0005-0000-0000-000098270000}"/>
    <cellStyle name="20% - Accent6 5 2 3 2 2" xfId="8461" xr:uid="{00000000-0005-0000-0000-000099270000}"/>
    <cellStyle name="20% - Accent6 5 2 3 2 2 2" xfId="16432" xr:uid="{00000000-0005-0000-0000-00009A270000}"/>
    <cellStyle name="20% - Accent6 5 2 3 2 2 2 2" xfId="40274" xr:uid="{EFBCD369-9839-4E0D-97B1-5A2D96E28827}"/>
    <cellStyle name="20% - Accent6 5 2 3 2 2 3" xfId="24378" xr:uid="{00000000-0005-0000-0000-00009B270000}"/>
    <cellStyle name="20% - Accent6 5 2 3 2 2 3 2" xfId="48210" xr:uid="{A6CECA6B-BFF4-40DF-A64D-3D8AA29244C4}"/>
    <cellStyle name="20% - Accent6 5 2 3 2 2 4" xfId="32333" xr:uid="{CFA0127F-5790-4F2A-A152-96277208E9C4}"/>
    <cellStyle name="20% - Accent6 5 2 3 2 3" xfId="12894" xr:uid="{00000000-0005-0000-0000-00009C270000}"/>
    <cellStyle name="20% - Accent6 5 2 3 2 3 2" xfId="36743" xr:uid="{DBF1F00C-A6A7-4BB1-A1C4-FB928E7BAFA1}"/>
    <cellStyle name="20% - Accent6 5 2 3 2 4" xfId="20849" xr:uid="{00000000-0005-0000-0000-00009D270000}"/>
    <cellStyle name="20% - Accent6 5 2 3 2 4 2" xfId="44681" xr:uid="{70451EA1-ADC5-49BC-9959-7A7BE2727369}"/>
    <cellStyle name="20% - Accent6 5 2 3 2 5" xfId="28802" xr:uid="{F538BFB4-D550-43F7-85F5-FB3C122B1BDD}"/>
    <cellStyle name="20% - Accent6 5 2 3 3" xfId="6702" xr:uid="{00000000-0005-0000-0000-00009E270000}"/>
    <cellStyle name="20% - Accent6 5 2 3 3 2" xfId="14674" xr:uid="{00000000-0005-0000-0000-00009F270000}"/>
    <cellStyle name="20% - Accent6 5 2 3 3 2 2" xfId="38516" xr:uid="{2A3B07E3-DF55-4579-959D-9A843678826D}"/>
    <cellStyle name="20% - Accent6 5 2 3 3 3" xfId="22621" xr:uid="{00000000-0005-0000-0000-0000A0270000}"/>
    <cellStyle name="20% - Accent6 5 2 3 3 3 2" xfId="46453" xr:uid="{86091590-0C19-4E31-B7BE-EDD830B15EBC}"/>
    <cellStyle name="20% - Accent6 5 2 3 3 4" xfId="30575" xr:uid="{AAA58931-93D0-4240-AE09-7E860442367B}"/>
    <cellStyle name="20% - Accent6 5 2 3 4" xfId="11138" xr:uid="{00000000-0005-0000-0000-0000A1270000}"/>
    <cellStyle name="20% - Accent6 5 2 3 4 2" xfId="34987" xr:uid="{E3975711-889C-4243-9A92-9013F53698D7}"/>
    <cellStyle name="20% - Accent6 5 2 3 5" xfId="19093" xr:uid="{00000000-0005-0000-0000-0000A2270000}"/>
    <cellStyle name="20% - Accent6 5 2 3 5 2" xfId="42925" xr:uid="{DEC78A7C-37FF-445B-9BB9-9C468FBC92F1}"/>
    <cellStyle name="20% - Accent6 5 2 3 6" xfId="27045" xr:uid="{2730D3B5-7041-495E-8441-43D1545A5231}"/>
    <cellStyle name="20% - Accent6 5 2 3_Exh G" xfId="2641" xr:uid="{00000000-0005-0000-0000-0000A3270000}"/>
    <cellStyle name="20% - Accent6 5 2 4" xfId="3991" xr:uid="{00000000-0005-0000-0000-0000A4270000}"/>
    <cellStyle name="20% - Accent6 5 2 4 2" xfId="7583" xr:uid="{00000000-0005-0000-0000-0000A5270000}"/>
    <cellStyle name="20% - Accent6 5 2 4 2 2" xfId="15554" xr:uid="{00000000-0005-0000-0000-0000A6270000}"/>
    <cellStyle name="20% - Accent6 5 2 4 2 2 2" xfId="39396" xr:uid="{860EBF57-18C4-4B93-9970-B9425C2EC679}"/>
    <cellStyle name="20% - Accent6 5 2 4 2 3" xfId="23500" xr:uid="{00000000-0005-0000-0000-0000A7270000}"/>
    <cellStyle name="20% - Accent6 5 2 4 2 3 2" xfId="47332" xr:uid="{96A3A01F-D60B-4243-A1FC-28C2DA5F95E2}"/>
    <cellStyle name="20% - Accent6 5 2 4 2 4" xfId="31455" xr:uid="{AAB30309-AA29-497F-B1C8-790AF616F00D}"/>
    <cellStyle name="20% - Accent6 5 2 4 3" xfId="12016" xr:uid="{00000000-0005-0000-0000-0000A8270000}"/>
    <cellStyle name="20% - Accent6 5 2 4 3 2" xfId="35865" xr:uid="{FF03572D-3E04-41CB-A3DE-26664C1A0153}"/>
    <cellStyle name="20% - Accent6 5 2 4 4" xfId="19971" xr:uid="{00000000-0005-0000-0000-0000A9270000}"/>
    <cellStyle name="20% - Accent6 5 2 4 4 2" xfId="43803" xr:uid="{2D949B42-9FD5-4294-8707-643A0A5DBE53}"/>
    <cellStyle name="20% - Accent6 5 2 4 5" xfId="27924" xr:uid="{D3EF0C83-C558-4A6C-AE62-1DFC47F70CB7}"/>
    <cellStyle name="20% - Accent6 5 2 5" xfId="5811" xr:uid="{00000000-0005-0000-0000-0000AA270000}"/>
    <cellStyle name="20% - Accent6 5 2 5 2" xfId="13795" xr:uid="{00000000-0005-0000-0000-0000AB270000}"/>
    <cellStyle name="20% - Accent6 5 2 5 2 2" xfId="37638" xr:uid="{D37228A7-EB71-4307-B2C5-610D225B60DF}"/>
    <cellStyle name="20% - Accent6 5 2 5 3" xfId="21743" xr:uid="{00000000-0005-0000-0000-0000AC270000}"/>
    <cellStyle name="20% - Accent6 5 2 5 3 2" xfId="45575" xr:uid="{DD11C980-9BB0-490A-8323-978FE8B05DB9}"/>
    <cellStyle name="20% - Accent6 5 2 5 4" xfId="29697" xr:uid="{F1F7E313-A784-41F8-A27A-FC2F20B383CB}"/>
    <cellStyle name="20% - Accent6 5 2 6" xfId="9364" xr:uid="{00000000-0005-0000-0000-0000AD270000}"/>
    <cellStyle name="20% - Accent6 5 2 6 2" xfId="17322" xr:uid="{00000000-0005-0000-0000-0000AE270000}"/>
    <cellStyle name="20% - Accent6 5 2 6 2 2" xfId="41162" xr:uid="{847F3E2D-6D57-438C-98F4-AAE275A365D9}"/>
    <cellStyle name="20% - Accent6 5 2 6 3" xfId="25266" xr:uid="{00000000-0005-0000-0000-0000AF270000}"/>
    <cellStyle name="20% - Accent6 5 2 6 3 2" xfId="49098" xr:uid="{852F8D68-ED85-47B8-AD97-2B66C7BFDEBF}"/>
    <cellStyle name="20% - Accent6 5 2 6 4" xfId="33221" xr:uid="{0FDE28A3-6C80-43A4-964E-9081281314BF}"/>
    <cellStyle name="20% - Accent6 5 2 7" xfId="10260" xr:uid="{00000000-0005-0000-0000-0000B0270000}"/>
    <cellStyle name="20% - Accent6 5 2 7 2" xfId="34109" xr:uid="{1AA24EFB-3234-4189-84DE-1DEBA59C8A27}"/>
    <cellStyle name="20% - Accent6 5 2 8" xfId="18215" xr:uid="{00000000-0005-0000-0000-0000B1270000}"/>
    <cellStyle name="20% - Accent6 5 2 8 2" xfId="42047" xr:uid="{7ABC4B3E-B8BC-4BA8-9E83-8218A4B11940}"/>
    <cellStyle name="20% - Accent6 5 2 9" xfId="26167" xr:uid="{C54AE14B-BB59-4EC5-BF21-3634770856CC}"/>
    <cellStyle name="20% - Accent6 5 2_Exh G" xfId="2638" xr:uid="{00000000-0005-0000-0000-0000B2270000}"/>
    <cellStyle name="20% - Accent6 5 3" xfId="314" xr:uid="{00000000-0005-0000-0000-0000B3270000}"/>
    <cellStyle name="20% - Accent6 5 3 2" xfId="1342" xr:uid="{00000000-0005-0000-0000-0000B4270000}"/>
    <cellStyle name="20% - Accent6 5 3 2 2" xfId="4872" xr:uid="{00000000-0005-0000-0000-0000B5270000}"/>
    <cellStyle name="20% - Accent6 5 3 2 2 2" xfId="8463" xr:uid="{00000000-0005-0000-0000-0000B6270000}"/>
    <cellStyle name="20% - Accent6 5 3 2 2 2 2" xfId="16434" xr:uid="{00000000-0005-0000-0000-0000B7270000}"/>
    <cellStyle name="20% - Accent6 5 3 2 2 2 2 2" xfId="40276" xr:uid="{985587A7-D01F-44BE-AE56-7BFE4C580A68}"/>
    <cellStyle name="20% - Accent6 5 3 2 2 2 3" xfId="24380" xr:uid="{00000000-0005-0000-0000-0000B8270000}"/>
    <cellStyle name="20% - Accent6 5 3 2 2 2 3 2" xfId="48212" xr:uid="{636AA1E8-AA3F-4638-AA31-AEB27E4F074A}"/>
    <cellStyle name="20% - Accent6 5 3 2 2 2 4" xfId="32335" xr:uid="{F5D8BDF7-2F07-4F14-83DF-D9079DC85495}"/>
    <cellStyle name="20% - Accent6 5 3 2 2 3" xfId="12896" xr:uid="{00000000-0005-0000-0000-0000B9270000}"/>
    <cellStyle name="20% - Accent6 5 3 2 2 3 2" xfId="36745" xr:uid="{CBCAAA21-20AB-4492-8F05-801B001F97E4}"/>
    <cellStyle name="20% - Accent6 5 3 2 2 4" xfId="20851" xr:uid="{00000000-0005-0000-0000-0000BA270000}"/>
    <cellStyle name="20% - Accent6 5 3 2 2 4 2" xfId="44683" xr:uid="{977E31D2-6BE6-4354-B5B5-9BC36FB300ED}"/>
    <cellStyle name="20% - Accent6 5 3 2 2 5" xfId="28804" xr:uid="{84671D82-CBAA-4F0F-A345-EF5F16B501A1}"/>
    <cellStyle name="20% - Accent6 5 3 2 3" xfId="6704" xr:uid="{00000000-0005-0000-0000-0000BB270000}"/>
    <cellStyle name="20% - Accent6 5 3 2 3 2" xfId="14676" xr:uid="{00000000-0005-0000-0000-0000BC270000}"/>
    <cellStyle name="20% - Accent6 5 3 2 3 2 2" xfId="38518" xr:uid="{A955DEB0-0AA5-4FEB-B337-B42A9CEDC7DE}"/>
    <cellStyle name="20% - Accent6 5 3 2 3 3" xfId="22623" xr:uid="{00000000-0005-0000-0000-0000BD270000}"/>
    <cellStyle name="20% - Accent6 5 3 2 3 3 2" xfId="46455" xr:uid="{A2C00AA9-6F62-4928-8597-D06518584882}"/>
    <cellStyle name="20% - Accent6 5 3 2 3 4" xfId="30577" xr:uid="{BEBA8C5A-7BFA-43E7-A393-DCA3D6715295}"/>
    <cellStyle name="20% - Accent6 5 3 2 4" xfId="11140" xr:uid="{00000000-0005-0000-0000-0000BE270000}"/>
    <cellStyle name="20% - Accent6 5 3 2 4 2" xfId="34989" xr:uid="{DD3C0B4D-3E0D-4479-A836-7ACB5C4CA8CA}"/>
    <cellStyle name="20% - Accent6 5 3 2 5" xfId="19095" xr:uid="{00000000-0005-0000-0000-0000BF270000}"/>
    <cellStyle name="20% - Accent6 5 3 2 5 2" xfId="42927" xr:uid="{2D5B3BC8-8F0D-4F99-B50A-37A8FEC23E02}"/>
    <cellStyle name="20% - Accent6 5 3 2 6" xfId="27047" xr:uid="{4728FE90-0204-49B7-837D-27E317769BF4}"/>
    <cellStyle name="20% - Accent6 5 3 2_Exh G" xfId="2643" xr:uid="{00000000-0005-0000-0000-0000C0270000}"/>
    <cellStyle name="20% - Accent6 5 3 3" xfId="3993" xr:uid="{00000000-0005-0000-0000-0000C1270000}"/>
    <cellStyle name="20% - Accent6 5 3 3 2" xfId="7585" xr:uid="{00000000-0005-0000-0000-0000C2270000}"/>
    <cellStyle name="20% - Accent6 5 3 3 2 2" xfId="15556" xr:uid="{00000000-0005-0000-0000-0000C3270000}"/>
    <cellStyle name="20% - Accent6 5 3 3 2 2 2" xfId="39398" xr:uid="{2C926924-1746-47FE-9D65-BC5E27EA87DF}"/>
    <cellStyle name="20% - Accent6 5 3 3 2 3" xfId="23502" xr:uid="{00000000-0005-0000-0000-0000C4270000}"/>
    <cellStyle name="20% - Accent6 5 3 3 2 3 2" xfId="47334" xr:uid="{D9C12B0A-5346-414D-8B16-9576335B7A2D}"/>
    <cellStyle name="20% - Accent6 5 3 3 2 4" xfId="31457" xr:uid="{D30BBB68-A4BA-4241-BB78-139CBA9A9D5E}"/>
    <cellStyle name="20% - Accent6 5 3 3 3" xfId="12018" xr:uid="{00000000-0005-0000-0000-0000C5270000}"/>
    <cellStyle name="20% - Accent6 5 3 3 3 2" xfId="35867" xr:uid="{56480A94-EC47-4A36-90F2-950AD66EF5D7}"/>
    <cellStyle name="20% - Accent6 5 3 3 4" xfId="19973" xr:uid="{00000000-0005-0000-0000-0000C6270000}"/>
    <cellStyle name="20% - Accent6 5 3 3 4 2" xfId="43805" xr:uid="{312BE6B3-146A-4E6F-9188-9FA74243F00F}"/>
    <cellStyle name="20% - Accent6 5 3 3 5" xfId="27926" xr:uid="{19A5E9EB-F048-47C3-A598-7C4D26A5CA5C}"/>
    <cellStyle name="20% - Accent6 5 3 4" xfId="5813" xr:uid="{00000000-0005-0000-0000-0000C7270000}"/>
    <cellStyle name="20% - Accent6 5 3 4 2" xfId="13797" xr:uid="{00000000-0005-0000-0000-0000C8270000}"/>
    <cellStyle name="20% - Accent6 5 3 4 2 2" xfId="37640" xr:uid="{94635122-CA17-40E9-9730-DA858385F416}"/>
    <cellStyle name="20% - Accent6 5 3 4 3" xfId="21745" xr:uid="{00000000-0005-0000-0000-0000C9270000}"/>
    <cellStyle name="20% - Accent6 5 3 4 3 2" xfId="45577" xr:uid="{BBA01D46-25DD-4A0E-B83A-EE4DEDCFBE96}"/>
    <cellStyle name="20% - Accent6 5 3 4 4" xfId="29699" xr:uid="{8E1FD1DF-259F-45C5-8D1E-F9511AD9BED7}"/>
    <cellStyle name="20% - Accent6 5 3 5" xfId="9366" xr:uid="{00000000-0005-0000-0000-0000CA270000}"/>
    <cellStyle name="20% - Accent6 5 3 5 2" xfId="17324" xr:uid="{00000000-0005-0000-0000-0000CB270000}"/>
    <cellStyle name="20% - Accent6 5 3 5 2 2" xfId="41164" xr:uid="{180692A9-0CC0-49D7-89D6-04B6DD74127E}"/>
    <cellStyle name="20% - Accent6 5 3 5 3" xfId="25268" xr:uid="{00000000-0005-0000-0000-0000CC270000}"/>
    <cellStyle name="20% - Accent6 5 3 5 3 2" xfId="49100" xr:uid="{545E9473-A887-486E-8043-AACEFC02527B}"/>
    <cellStyle name="20% - Accent6 5 3 5 4" xfId="33223" xr:uid="{04BB6217-2D39-431E-8E7C-7127967CD034}"/>
    <cellStyle name="20% - Accent6 5 3 6" xfId="10262" xr:uid="{00000000-0005-0000-0000-0000CD270000}"/>
    <cellStyle name="20% - Accent6 5 3 6 2" xfId="34111" xr:uid="{27F94650-3C1F-43CC-B18B-8D648E2AF25C}"/>
    <cellStyle name="20% - Accent6 5 3 7" xfId="18217" xr:uid="{00000000-0005-0000-0000-0000CE270000}"/>
    <cellStyle name="20% - Accent6 5 3 7 2" xfId="42049" xr:uid="{A41AAF94-7633-4711-A61D-070E74676F6E}"/>
    <cellStyle name="20% - Accent6 5 3 8" xfId="26169" xr:uid="{CDD9E96D-FEBC-41AF-A047-A590099EBF87}"/>
    <cellStyle name="20% - Accent6 5 3_Exh G" xfId="2642" xr:uid="{00000000-0005-0000-0000-0000CF270000}"/>
    <cellStyle name="20% - Accent6 5 4" xfId="929" xr:uid="{00000000-0005-0000-0000-0000D0270000}"/>
    <cellStyle name="20% - Accent6 5 5" xfId="1339" xr:uid="{00000000-0005-0000-0000-0000D1270000}"/>
    <cellStyle name="20% - Accent6 5 5 2" xfId="4869" xr:uid="{00000000-0005-0000-0000-0000D2270000}"/>
    <cellStyle name="20% - Accent6 5 5 2 2" xfId="8460" xr:uid="{00000000-0005-0000-0000-0000D3270000}"/>
    <cellStyle name="20% - Accent6 5 5 2 2 2" xfId="16431" xr:uid="{00000000-0005-0000-0000-0000D4270000}"/>
    <cellStyle name="20% - Accent6 5 5 2 2 2 2" xfId="40273" xr:uid="{7F773458-7FC8-4A07-8B40-82DCB3219EAE}"/>
    <cellStyle name="20% - Accent6 5 5 2 2 3" xfId="24377" xr:uid="{00000000-0005-0000-0000-0000D5270000}"/>
    <cellStyle name="20% - Accent6 5 5 2 2 3 2" xfId="48209" xr:uid="{21E0AAC4-F23D-4E8D-8F1E-A408DF979A69}"/>
    <cellStyle name="20% - Accent6 5 5 2 2 4" xfId="32332" xr:uid="{22D6A13F-51BA-4404-B00A-591B97B79417}"/>
    <cellStyle name="20% - Accent6 5 5 2 3" xfId="12893" xr:uid="{00000000-0005-0000-0000-0000D6270000}"/>
    <cellStyle name="20% - Accent6 5 5 2 3 2" xfId="36742" xr:uid="{9B1F7F63-DBD6-49BC-9A0C-22F712022BE3}"/>
    <cellStyle name="20% - Accent6 5 5 2 4" xfId="20848" xr:uid="{00000000-0005-0000-0000-0000D7270000}"/>
    <cellStyle name="20% - Accent6 5 5 2 4 2" xfId="44680" xr:uid="{54D249C1-0694-4A10-A403-4AF3FFB11649}"/>
    <cellStyle name="20% - Accent6 5 5 2 5" xfId="28801" xr:uid="{EA94E49C-4577-4274-94B4-035B499E12BB}"/>
    <cellStyle name="20% - Accent6 5 5 3" xfId="6701" xr:uid="{00000000-0005-0000-0000-0000D8270000}"/>
    <cellStyle name="20% - Accent6 5 5 3 2" xfId="14673" xr:uid="{00000000-0005-0000-0000-0000D9270000}"/>
    <cellStyle name="20% - Accent6 5 5 3 2 2" xfId="38515" xr:uid="{1C56E8CE-D59D-4FA7-95AE-5BCAF3E6C3D6}"/>
    <cellStyle name="20% - Accent6 5 5 3 3" xfId="22620" xr:uid="{00000000-0005-0000-0000-0000DA270000}"/>
    <cellStyle name="20% - Accent6 5 5 3 3 2" xfId="46452" xr:uid="{212A770A-6E61-4F8A-A4E2-95FDEC5611CD}"/>
    <cellStyle name="20% - Accent6 5 5 3 4" xfId="30574" xr:uid="{152BC3E1-B7B8-4F24-A8BD-EE44C05A747A}"/>
    <cellStyle name="20% - Accent6 5 5 4" xfId="11137" xr:uid="{00000000-0005-0000-0000-0000DB270000}"/>
    <cellStyle name="20% - Accent6 5 5 4 2" xfId="34986" xr:uid="{CA1BBFFE-873C-4E4D-A88B-A9E42A990139}"/>
    <cellStyle name="20% - Accent6 5 5 5" xfId="19092" xr:uid="{00000000-0005-0000-0000-0000DC270000}"/>
    <cellStyle name="20% - Accent6 5 5 5 2" xfId="42924" xr:uid="{14101AB0-9DB5-4CE5-9DD6-5D1B3C0B6DE4}"/>
    <cellStyle name="20% - Accent6 5 5 6" xfId="27044" xr:uid="{4DECF83E-F454-4BCD-B8A0-A0197EB355B3}"/>
    <cellStyle name="20% - Accent6 5 5_Exh G" xfId="2644" xr:uid="{00000000-0005-0000-0000-0000DD270000}"/>
    <cellStyle name="20% - Accent6 5 6" xfId="3990" xr:uid="{00000000-0005-0000-0000-0000DE270000}"/>
    <cellStyle name="20% - Accent6 5 6 2" xfId="7582" xr:uid="{00000000-0005-0000-0000-0000DF270000}"/>
    <cellStyle name="20% - Accent6 5 6 2 2" xfId="15553" xr:uid="{00000000-0005-0000-0000-0000E0270000}"/>
    <cellStyle name="20% - Accent6 5 6 2 2 2" xfId="39395" xr:uid="{DD55E7BB-21CE-408D-9F8A-DD15FAE40CD6}"/>
    <cellStyle name="20% - Accent6 5 6 2 3" xfId="23499" xr:uid="{00000000-0005-0000-0000-0000E1270000}"/>
    <cellStyle name="20% - Accent6 5 6 2 3 2" xfId="47331" xr:uid="{026CAEA4-6F70-4F6C-A2BD-0F239A07F609}"/>
    <cellStyle name="20% - Accent6 5 6 2 4" xfId="31454" xr:uid="{E8EF5933-33C8-4450-A97A-4F8D276CEAC7}"/>
    <cellStyle name="20% - Accent6 5 6 3" xfId="12015" xr:uid="{00000000-0005-0000-0000-0000E2270000}"/>
    <cellStyle name="20% - Accent6 5 6 3 2" xfId="35864" xr:uid="{71AFA413-1B1B-49BB-8E9A-59657AD23242}"/>
    <cellStyle name="20% - Accent6 5 6 4" xfId="19970" xr:uid="{00000000-0005-0000-0000-0000E3270000}"/>
    <cellStyle name="20% - Accent6 5 6 4 2" xfId="43802" xr:uid="{9F6CC42A-32EE-4F2A-91F2-D1B43F62A20A}"/>
    <cellStyle name="20% - Accent6 5 6 5" xfId="27923" xr:uid="{FC893A98-0754-4E9D-B3F2-4970018C5A9B}"/>
    <cellStyle name="20% - Accent6 5 7" xfId="5810" xr:uid="{00000000-0005-0000-0000-0000E4270000}"/>
    <cellStyle name="20% - Accent6 5 7 2" xfId="13794" xr:uid="{00000000-0005-0000-0000-0000E5270000}"/>
    <cellStyle name="20% - Accent6 5 7 2 2" xfId="37637" xr:uid="{4558943D-EBBF-439B-BC71-9E642B65F704}"/>
    <cellStyle name="20% - Accent6 5 7 3" xfId="21742" xr:uid="{00000000-0005-0000-0000-0000E6270000}"/>
    <cellStyle name="20% - Accent6 5 7 3 2" xfId="45574" xr:uid="{5CBD7628-59D1-4C0A-986C-459C7110C69B}"/>
    <cellStyle name="20% - Accent6 5 7 4" xfId="29696" xr:uid="{A4EA7E30-675B-4B7E-980F-637D379C89BA}"/>
    <cellStyle name="20% - Accent6 5 8" xfId="9363" xr:uid="{00000000-0005-0000-0000-0000E7270000}"/>
    <cellStyle name="20% - Accent6 5 8 2" xfId="17321" xr:uid="{00000000-0005-0000-0000-0000E8270000}"/>
    <cellStyle name="20% - Accent6 5 8 2 2" xfId="41161" xr:uid="{960ABDA9-A98A-435D-8564-FBFD0373A203}"/>
    <cellStyle name="20% - Accent6 5 8 3" xfId="25265" xr:uid="{00000000-0005-0000-0000-0000E9270000}"/>
    <cellStyle name="20% - Accent6 5 8 3 2" xfId="49097" xr:uid="{5C97341D-86BE-4067-918E-4B73A67E8889}"/>
    <cellStyle name="20% - Accent6 5 8 4" xfId="33220" xr:uid="{17036F97-2E9C-4DE3-B0B7-DC0E38D67275}"/>
    <cellStyle name="20% - Accent6 5 9" xfId="10259" xr:uid="{00000000-0005-0000-0000-0000EA270000}"/>
    <cellStyle name="20% - Accent6 5 9 2" xfId="34108" xr:uid="{43803CDB-F7AD-4B65-BFCD-CF32217E4840}"/>
    <cellStyle name="20% - Accent6 5_Exh G" xfId="2637" xr:uid="{00000000-0005-0000-0000-0000EB270000}"/>
    <cellStyle name="20% - Accent6 6" xfId="315" xr:uid="{00000000-0005-0000-0000-0000EC270000}"/>
    <cellStyle name="20% - Accent6 6 10" xfId="18218" xr:uid="{00000000-0005-0000-0000-0000ED270000}"/>
    <cellStyle name="20% - Accent6 6 10 2" xfId="42050" xr:uid="{BFC525B6-5A5C-4F11-A34E-0BEB48B51F87}"/>
    <cellStyle name="20% - Accent6 6 11" xfId="26170" xr:uid="{4729303A-B07B-40BF-BBB9-7928398D086E}"/>
    <cellStyle name="20% - Accent6 6 2" xfId="316" xr:uid="{00000000-0005-0000-0000-0000EE270000}"/>
    <cellStyle name="20% - Accent6 6 2 2" xfId="317" xr:uid="{00000000-0005-0000-0000-0000EF270000}"/>
    <cellStyle name="20% - Accent6 6 2 2 2" xfId="1345" xr:uid="{00000000-0005-0000-0000-0000F0270000}"/>
    <cellStyle name="20% - Accent6 6 2 2 2 2" xfId="4875" xr:uid="{00000000-0005-0000-0000-0000F1270000}"/>
    <cellStyle name="20% - Accent6 6 2 2 2 2 2" xfId="8466" xr:uid="{00000000-0005-0000-0000-0000F2270000}"/>
    <cellStyle name="20% - Accent6 6 2 2 2 2 2 2" xfId="16437" xr:uid="{00000000-0005-0000-0000-0000F3270000}"/>
    <cellStyle name="20% - Accent6 6 2 2 2 2 2 2 2" xfId="40279" xr:uid="{8EA6189E-96ED-4E9D-9C19-E935D53B7D67}"/>
    <cellStyle name="20% - Accent6 6 2 2 2 2 2 3" xfId="24383" xr:uid="{00000000-0005-0000-0000-0000F4270000}"/>
    <cellStyle name="20% - Accent6 6 2 2 2 2 2 3 2" xfId="48215" xr:uid="{17A52BB8-BE68-4A4D-A48F-0962E1AB0250}"/>
    <cellStyle name="20% - Accent6 6 2 2 2 2 2 4" xfId="32338" xr:uid="{C256E08A-3863-40D8-90E8-EC352AD1B144}"/>
    <cellStyle name="20% - Accent6 6 2 2 2 2 3" xfId="12899" xr:uid="{00000000-0005-0000-0000-0000F5270000}"/>
    <cellStyle name="20% - Accent6 6 2 2 2 2 3 2" xfId="36748" xr:uid="{F71CAAA7-0824-49F7-8D00-47B6CC4FF30A}"/>
    <cellStyle name="20% - Accent6 6 2 2 2 2 4" xfId="20854" xr:uid="{00000000-0005-0000-0000-0000F6270000}"/>
    <cellStyle name="20% - Accent6 6 2 2 2 2 4 2" xfId="44686" xr:uid="{DB5D2F1B-0EA6-414F-B92E-86BFAAB6B28F}"/>
    <cellStyle name="20% - Accent6 6 2 2 2 2 5" xfId="28807" xr:uid="{7ED3E3C6-B1DF-4E94-B96D-093182340F77}"/>
    <cellStyle name="20% - Accent6 6 2 2 2 3" xfId="6707" xr:uid="{00000000-0005-0000-0000-0000F7270000}"/>
    <cellStyle name="20% - Accent6 6 2 2 2 3 2" xfId="14679" xr:uid="{00000000-0005-0000-0000-0000F8270000}"/>
    <cellStyle name="20% - Accent6 6 2 2 2 3 2 2" xfId="38521" xr:uid="{62189C36-BE73-4EA4-89A5-F897C9AA8262}"/>
    <cellStyle name="20% - Accent6 6 2 2 2 3 3" xfId="22626" xr:uid="{00000000-0005-0000-0000-0000F9270000}"/>
    <cellStyle name="20% - Accent6 6 2 2 2 3 3 2" xfId="46458" xr:uid="{C43DF2DF-A4A6-4D7A-BA23-869925D1B383}"/>
    <cellStyle name="20% - Accent6 6 2 2 2 3 4" xfId="30580" xr:uid="{74BB6A30-7401-4F9A-AE48-274A2ECCB8DB}"/>
    <cellStyle name="20% - Accent6 6 2 2 2 4" xfId="11143" xr:uid="{00000000-0005-0000-0000-0000FA270000}"/>
    <cellStyle name="20% - Accent6 6 2 2 2 4 2" xfId="34992" xr:uid="{DB64A33E-D8C9-4BF9-9BFC-D955ED8D0C9F}"/>
    <cellStyle name="20% - Accent6 6 2 2 2 5" xfId="19098" xr:uid="{00000000-0005-0000-0000-0000FB270000}"/>
    <cellStyle name="20% - Accent6 6 2 2 2 5 2" xfId="42930" xr:uid="{F6A4B3D0-4528-47EA-89EF-0AAA3588437E}"/>
    <cellStyle name="20% - Accent6 6 2 2 2 6" xfId="27050" xr:uid="{6DE0EF4B-1E24-45EA-BF71-AE19CE497890}"/>
    <cellStyle name="20% - Accent6 6 2 2 2_Exh G" xfId="2648" xr:uid="{00000000-0005-0000-0000-0000FC270000}"/>
    <cellStyle name="20% - Accent6 6 2 2 3" xfId="3996" xr:uid="{00000000-0005-0000-0000-0000FD270000}"/>
    <cellStyle name="20% - Accent6 6 2 2 3 2" xfId="7588" xr:uid="{00000000-0005-0000-0000-0000FE270000}"/>
    <cellStyle name="20% - Accent6 6 2 2 3 2 2" xfId="15559" xr:uid="{00000000-0005-0000-0000-0000FF270000}"/>
    <cellStyle name="20% - Accent6 6 2 2 3 2 2 2" xfId="39401" xr:uid="{6BEEA791-BB33-4562-A7BD-CCA976CD92AE}"/>
    <cellStyle name="20% - Accent6 6 2 2 3 2 3" xfId="23505" xr:uid="{00000000-0005-0000-0000-000000280000}"/>
    <cellStyle name="20% - Accent6 6 2 2 3 2 3 2" xfId="47337" xr:uid="{89035C32-0E65-4232-8CF7-CB91A84B9692}"/>
    <cellStyle name="20% - Accent6 6 2 2 3 2 4" xfId="31460" xr:uid="{EEF31D08-9E69-463A-96B2-10F49A4CDE13}"/>
    <cellStyle name="20% - Accent6 6 2 2 3 3" xfId="12021" xr:uid="{00000000-0005-0000-0000-000001280000}"/>
    <cellStyle name="20% - Accent6 6 2 2 3 3 2" xfId="35870" xr:uid="{425F99B2-7FA1-4AF4-AC3F-5F8C63F3CEB4}"/>
    <cellStyle name="20% - Accent6 6 2 2 3 4" xfId="19976" xr:uid="{00000000-0005-0000-0000-000002280000}"/>
    <cellStyle name="20% - Accent6 6 2 2 3 4 2" xfId="43808" xr:uid="{2B348378-04E9-4AC7-892A-1DC721F02B0E}"/>
    <cellStyle name="20% - Accent6 6 2 2 3 5" xfId="27929" xr:uid="{C51D02C1-C747-4A81-9C35-3252A7951D0B}"/>
    <cellStyle name="20% - Accent6 6 2 2 4" xfId="5816" xr:uid="{00000000-0005-0000-0000-000003280000}"/>
    <cellStyle name="20% - Accent6 6 2 2 4 2" xfId="13800" xr:uid="{00000000-0005-0000-0000-000004280000}"/>
    <cellStyle name="20% - Accent6 6 2 2 4 2 2" xfId="37643" xr:uid="{C10DF5EA-4EBC-49FB-9B1C-5C7A3145C42D}"/>
    <cellStyle name="20% - Accent6 6 2 2 4 3" xfId="21748" xr:uid="{00000000-0005-0000-0000-000005280000}"/>
    <cellStyle name="20% - Accent6 6 2 2 4 3 2" xfId="45580" xr:uid="{D9A78D76-56ED-4BB0-9A79-C130BAB1FB67}"/>
    <cellStyle name="20% - Accent6 6 2 2 4 4" xfId="29702" xr:uid="{B1864774-17CA-4A6B-8266-65B30DA4724E}"/>
    <cellStyle name="20% - Accent6 6 2 2 5" xfId="9369" xr:uid="{00000000-0005-0000-0000-000006280000}"/>
    <cellStyle name="20% - Accent6 6 2 2 5 2" xfId="17327" xr:uid="{00000000-0005-0000-0000-000007280000}"/>
    <cellStyle name="20% - Accent6 6 2 2 5 2 2" xfId="41167" xr:uid="{B44F673A-E169-41A8-A6DD-78961C6E47D7}"/>
    <cellStyle name="20% - Accent6 6 2 2 5 3" xfId="25271" xr:uid="{00000000-0005-0000-0000-000008280000}"/>
    <cellStyle name="20% - Accent6 6 2 2 5 3 2" xfId="49103" xr:uid="{5330A825-322C-4DE1-8F43-B355209A2B12}"/>
    <cellStyle name="20% - Accent6 6 2 2 5 4" xfId="33226" xr:uid="{99E021EB-8160-4FD9-BFFC-6BE74E78209D}"/>
    <cellStyle name="20% - Accent6 6 2 2 6" xfId="10265" xr:uid="{00000000-0005-0000-0000-000009280000}"/>
    <cellStyle name="20% - Accent6 6 2 2 6 2" xfId="34114" xr:uid="{4A3E96D0-FE6A-4F78-82DA-712FA06C6E6C}"/>
    <cellStyle name="20% - Accent6 6 2 2 7" xfId="18220" xr:uid="{00000000-0005-0000-0000-00000A280000}"/>
    <cellStyle name="20% - Accent6 6 2 2 7 2" xfId="42052" xr:uid="{44845DF0-42E8-4EDD-A6D8-25F78B7B767D}"/>
    <cellStyle name="20% - Accent6 6 2 2 8" xfId="26172" xr:uid="{53AEC4C8-72C2-4F6E-9F93-8D1668810711}"/>
    <cellStyle name="20% - Accent6 6 2 2_Exh G" xfId="2647" xr:uid="{00000000-0005-0000-0000-00000B280000}"/>
    <cellStyle name="20% - Accent6 6 2 3" xfId="1344" xr:uid="{00000000-0005-0000-0000-00000C280000}"/>
    <cellStyle name="20% - Accent6 6 2 3 2" xfId="4874" xr:uid="{00000000-0005-0000-0000-00000D280000}"/>
    <cellStyle name="20% - Accent6 6 2 3 2 2" xfId="8465" xr:uid="{00000000-0005-0000-0000-00000E280000}"/>
    <cellStyle name="20% - Accent6 6 2 3 2 2 2" xfId="16436" xr:uid="{00000000-0005-0000-0000-00000F280000}"/>
    <cellStyle name="20% - Accent6 6 2 3 2 2 2 2" xfId="40278" xr:uid="{E429D320-CA04-4700-AFFE-BC6012454C96}"/>
    <cellStyle name="20% - Accent6 6 2 3 2 2 3" xfId="24382" xr:uid="{00000000-0005-0000-0000-000010280000}"/>
    <cellStyle name="20% - Accent6 6 2 3 2 2 3 2" xfId="48214" xr:uid="{6078F263-463E-4C39-867B-3168F684F559}"/>
    <cellStyle name="20% - Accent6 6 2 3 2 2 4" xfId="32337" xr:uid="{A74DFA00-5DB9-4939-8B37-0EEEEED1E0A6}"/>
    <cellStyle name="20% - Accent6 6 2 3 2 3" xfId="12898" xr:uid="{00000000-0005-0000-0000-000011280000}"/>
    <cellStyle name="20% - Accent6 6 2 3 2 3 2" xfId="36747" xr:uid="{2EE8FE31-7BFB-4FA8-9665-0C3D5FC7E202}"/>
    <cellStyle name="20% - Accent6 6 2 3 2 4" xfId="20853" xr:uid="{00000000-0005-0000-0000-000012280000}"/>
    <cellStyle name="20% - Accent6 6 2 3 2 4 2" xfId="44685" xr:uid="{224FD1DF-E551-4DED-9C4D-CDDB50EA9350}"/>
    <cellStyle name="20% - Accent6 6 2 3 2 5" xfId="28806" xr:uid="{5AF39B1B-0939-4513-AB0F-15D214B75F9E}"/>
    <cellStyle name="20% - Accent6 6 2 3 3" xfId="6706" xr:uid="{00000000-0005-0000-0000-000013280000}"/>
    <cellStyle name="20% - Accent6 6 2 3 3 2" xfId="14678" xr:uid="{00000000-0005-0000-0000-000014280000}"/>
    <cellStyle name="20% - Accent6 6 2 3 3 2 2" xfId="38520" xr:uid="{67738BEB-AA5E-4A74-9E04-FACE1E2A9D4D}"/>
    <cellStyle name="20% - Accent6 6 2 3 3 3" xfId="22625" xr:uid="{00000000-0005-0000-0000-000015280000}"/>
    <cellStyle name="20% - Accent6 6 2 3 3 3 2" xfId="46457" xr:uid="{A98835BD-254D-40C5-9F9D-9636969083B4}"/>
    <cellStyle name="20% - Accent6 6 2 3 3 4" xfId="30579" xr:uid="{09915E0C-04F2-4C37-8A06-DAB0B3624D9F}"/>
    <cellStyle name="20% - Accent6 6 2 3 4" xfId="11142" xr:uid="{00000000-0005-0000-0000-000016280000}"/>
    <cellStyle name="20% - Accent6 6 2 3 4 2" xfId="34991" xr:uid="{7C6BD81E-6397-417F-9350-D66FC68CABC8}"/>
    <cellStyle name="20% - Accent6 6 2 3 5" xfId="19097" xr:uid="{00000000-0005-0000-0000-000017280000}"/>
    <cellStyle name="20% - Accent6 6 2 3 5 2" xfId="42929" xr:uid="{CAB34820-173F-4479-AE71-12BAE9E0CBBD}"/>
    <cellStyle name="20% - Accent6 6 2 3 6" xfId="27049" xr:uid="{AB4C60A2-B113-4014-AD5A-71F0F34719EA}"/>
    <cellStyle name="20% - Accent6 6 2 3_Exh G" xfId="2649" xr:uid="{00000000-0005-0000-0000-000018280000}"/>
    <cellStyle name="20% - Accent6 6 2 4" xfId="3995" xr:uid="{00000000-0005-0000-0000-000019280000}"/>
    <cellStyle name="20% - Accent6 6 2 4 2" xfId="7587" xr:uid="{00000000-0005-0000-0000-00001A280000}"/>
    <cellStyle name="20% - Accent6 6 2 4 2 2" xfId="15558" xr:uid="{00000000-0005-0000-0000-00001B280000}"/>
    <cellStyle name="20% - Accent6 6 2 4 2 2 2" xfId="39400" xr:uid="{1DB9457B-131C-4BB9-BFC5-1B9C9EA9D498}"/>
    <cellStyle name="20% - Accent6 6 2 4 2 3" xfId="23504" xr:uid="{00000000-0005-0000-0000-00001C280000}"/>
    <cellStyle name="20% - Accent6 6 2 4 2 3 2" xfId="47336" xr:uid="{AFE22377-627D-40B5-99DA-491D39E8B9E1}"/>
    <cellStyle name="20% - Accent6 6 2 4 2 4" xfId="31459" xr:uid="{4108E77E-F6B4-4210-BDF8-D61BFD206EE0}"/>
    <cellStyle name="20% - Accent6 6 2 4 3" xfId="12020" xr:uid="{00000000-0005-0000-0000-00001D280000}"/>
    <cellStyle name="20% - Accent6 6 2 4 3 2" xfId="35869" xr:uid="{BBCD1F11-315C-449E-9DA1-4C46D6CF7F52}"/>
    <cellStyle name="20% - Accent6 6 2 4 4" xfId="19975" xr:uid="{00000000-0005-0000-0000-00001E280000}"/>
    <cellStyle name="20% - Accent6 6 2 4 4 2" xfId="43807" xr:uid="{65A9D9BB-F87B-4B85-A453-79108ECF8A1F}"/>
    <cellStyle name="20% - Accent6 6 2 4 5" xfId="27928" xr:uid="{6ECA9CE0-AE48-4222-879E-CDC6B943F1B1}"/>
    <cellStyle name="20% - Accent6 6 2 5" xfId="5815" xr:uid="{00000000-0005-0000-0000-00001F280000}"/>
    <cellStyle name="20% - Accent6 6 2 5 2" xfId="13799" xr:uid="{00000000-0005-0000-0000-000020280000}"/>
    <cellStyle name="20% - Accent6 6 2 5 2 2" xfId="37642" xr:uid="{F07B6E63-815E-44A2-BE81-B9DE2C810EE8}"/>
    <cellStyle name="20% - Accent6 6 2 5 3" xfId="21747" xr:uid="{00000000-0005-0000-0000-000021280000}"/>
    <cellStyle name="20% - Accent6 6 2 5 3 2" xfId="45579" xr:uid="{4815D0D0-115A-4762-AEDA-C63AA654210B}"/>
    <cellStyle name="20% - Accent6 6 2 5 4" xfId="29701" xr:uid="{B38AF525-148E-4B8D-A12D-1D06090456A8}"/>
    <cellStyle name="20% - Accent6 6 2 6" xfId="9368" xr:uid="{00000000-0005-0000-0000-000022280000}"/>
    <cellStyle name="20% - Accent6 6 2 6 2" xfId="17326" xr:uid="{00000000-0005-0000-0000-000023280000}"/>
    <cellStyle name="20% - Accent6 6 2 6 2 2" xfId="41166" xr:uid="{180E82E0-6326-4400-87F7-A2F0B614A04F}"/>
    <cellStyle name="20% - Accent6 6 2 6 3" xfId="25270" xr:uid="{00000000-0005-0000-0000-000024280000}"/>
    <cellStyle name="20% - Accent6 6 2 6 3 2" xfId="49102" xr:uid="{86088601-8D1D-4E8C-93A4-83681D3770C9}"/>
    <cellStyle name="20% - Accent6 6 2 6 4" xfId="33225" xr:uid="{EAC2CEAD-2A9D-483F-BEC4-36192D33C23F}"/>
    <cellStyle name="20% - Accent6 6 2 7" xfId="10264" xr:uid="{00000000-0005-0000-0000-000025280000}"/>
    <cellStyle name="20% - Accent6 6 2 7 2" xfId="34113" xr:uid="{B6A81770-E07F-482B-A6D8-B35EDD5485B4}"/>
    <cellStyle name="20% - Accent6 6 2 8" xfId="18219" xr:uid="{00000000-0005-0000-0000-000026280000}"/>
    <cellStyle name="20% - Accent6 6 2 8 2" xfId="42051" xr:uid="{5C0ECDF9-706A-439D-8DAC-D67A41E82154}"/>
    <cellStyle name="20% - Accent6 6 2 9" xfId="26171" xr:uid="{D321F3D8-92D4-4685-88B8-81DD3000285A}"/>
    <cellStyle name="20% - Accent6 6 2_Exh G" xfId="2646" xr:uid="{00000000-0005-0000-0000-000027280000}"/>
    <cellStyle name="20% - Accent6 6 3" xfId="318" xr:uid="{00000000-0005-0000-0000-000028280000}"/>
    <cellStyle name="20% - Accent6 6 3 2" xfId="1346" xr:uid="{00000000-0005-0000-0000-000029280000}"/>
    <cellStyle name="20% - Accent6 6 3 2 2" xfId="4876" xr:uid="{00000000-0005-0000-0000-00002A280000}"/>
    <cellStyle name="20% - Accent6 6 3 2 2 2" xfId="8467" xr:uid="{00000000-0005-0000-0000-00002B280000}"/>
    <cellStyle name="20% - Accent6 6 3 2 2 2 2" xfId="16438" xr:uid="{00000000-0005-0000-0000-00002C280000}"/>
    <cellStyle name="20% - Accent6 6 3 2 2 2 2 2" xfId="40280" xr:uid="{71F6940A-C43A-4A1B-94D2-E8B5B1E781D1}"/>
    <cellStyle name="20% - Accent6 6 3 2 2 2 3" xfId="24384" xr:uid="{00000000-0005-0000-0000-00002D280000}"/>
    <cellStyle name="20% - Accent6 6 3 2 2 2 3 2" xfId="48216" xr:uid="{78C76FA4-86E0-4F6A-8F6B-9BF37168D3AE}"/>
    <cellStyle name="20% - Accent6 6 3 2 2 2 4" xfId="32339" xr:uid="{18084F02-AF78-4D27-B3DC-98AE2965393D}"/>
    <cellStyle name="20% - Accent6 6 3 2 2 3" xfId="12900" xr:uid="{00000000-0005-0000-0000-00002E280000}"/>
    <cellStyle name="20% - Accent6 6 3 2 2 3 2" xfId="36749" xr:uid="{60490E95-03EF-4B99-9D28-DD78162E16BD}"/>
    <cellStyle name="20% - Accent6 6 3 2 2 4" xfId="20855" xr:uid="{00000000-0005-0000-0000-00002F280000}"/>
    <cellStyle name="20% - Accent6 6 3 2 2 4 2" xfId="44687" xr:uid="{81AB7A11-CFFB-4677-A421-F4470CABBE9D}"/>
    <cellStyle name="20% - Accent6 6 3 2 2 5" xfId="28808" xr:uid="{92294E69-FB75-43BC-9EBE-AE7EE5A983FB}"/>
    <cellStyle name="20% - Accent6 6 3 2 3" xfId="6708" xr:uid="{00000000-0005-0000-0000-000030280000}"/>
    <cellStyle name="20% - Accent6 6 3 2 3 2" xfId="14680" xr:uid="{00000000-0005-0000-0000-000031280000}"/>
    <cellStyle name="20% - Accent6 6 3 2 3 2 2" xfId="38522" xr:uid="{42292398-9922-490E-9D4B-34C2ADCB5D05}"/>
    <cellStyle name="20% - Accent6 6 3 2 3 3" xfId="22627" xr:uid="{00000000-0005-0000-0000-000032280000}"/>
    <cellStyle name="20% - Accent6 6 3 2 3 3 2" xfId="46459" xr:uid="{CD3FB58B-11E9-4878-B240-0625466E94A4}"/>
    <cellStyle name="20% - Accent6 6 3 2 3 4" xfId="30581" xr:uid="{55920B38-2A24-4CC5-A16A-C2C2A10199F9}"/>
    <cellStyle name="20% - Accent6 6 3 2 4" xfId="11144" xr:uid="{00000000-0005-0000-0000-000033280000}"/>
    <cellStyle name="20% - Accent6 6 3 2 4 2" xfId="34993" xr:uid="{ADB8494F-C57A-45B9-B80A-A7D6DA404489}"/>
    <cellStyle name="20% - Accent6 6 3 2 5" xfId="19099" xr:uid="{00000000-0005-0000-0000-000034280000}"/>
    <cellStyle name="20% - Accent6 6 3 2 5 2" xfId="42931" xr:uid="{A5E01B7A-AC7B-4CED-AB7E-E88BFA488154}"/>
    <cellStyle name="20% - Accent6 6 3 2 6" xfId="27051" xr:uid="{998B7BD5-CAFA-4813-805D-AC4A4C801F1A}"/>
    <cellStyle name="20% - Accent6 6 3 2_Exh G" xfId="2651" xr:uid="{00000000-0005-0000-0000-000035280000}"/>
    <cellStyle name="20% - Accent6 6 3 3" xfId="3997" xr:uid="{00000000-0005-0000-0000-000036280000}"/>
    <cellStyle name="20% - Accent6 6 3 3 2" xfId="7589" xr:uid="{00000000-0005-0000-0000-000037280000}"/>
    <cellStyle name="20% - Accent6 6 3 3 2 2" xfId="15560" xr:uid="{00000000-0005-0000-0000-000038280000}"/>
    <cellStyle name="20% - Accent6 6 3 3 2 2 2" xfId="39402" xr:uid="{2370C9D0-FE6D-4FF7-A4EB-7C3248E9669C}"/>
    <cellStyle name="20% - Accent6 6 3 3 2 3" xfId="23506" xr:uid="{00000000-0005-0000-0000-000039280000}"/>
    <cellStyle name="20% - Accent6 6 3 3 2 3 2" xfId="47338" xr:uid="{92D5F2BE-C94B-438A-8C93-2C8E195704BA}"/>
    <cellStyle name="20% - Accent6 6 3 3 2 4" xfId="31461" xr:uid="{D66EE5D0-9DF4-4E15-99AB-F8FF38BE0D5A}"/>
    <cellStyle name="20% - Accent6 6 3 3 3" xfId="12022" xr:uid="{00000000-0005-0000-0000-00003A280000}"/>
    <cellStyle name="20% - Accent6 6 3 3 3 2" xfId="35871" xr:uid="{EB95A8B8-C88B-44C1-A349-F93CE63AAAB7}"/>
    <cellStyle name="20% - Accent6 6 3 3 4" xfId="19977" xr:uid="{00000000-0005-0000-0000-00003B280000}"/>
    <cellStyle name="20% - Accent6 6 3 3 4 2" xfId="43809" xr:uid="{E52B2E5E-ACD9-41BB-9088-329CAF1560BE}"/>
    <cellStyle name="20% - Accent6 6 3 3 5" xfId="27930" xr:uid="{4DF80F18-5DC5-4161-AA88-968DA5CFD09A}"/>
    <cellStyle name="20% - Accent6 6 3 4" xfId="5817" xr:uid="{00000000-0005-0000-0000-00003C280000}"/>
    <cellStyle name="20% - Accent6 6 3 4 2" xfId="13801" xr:uid="{00000000-0005-0000-0000-00003D280000}"/>
    <cellStyle name="20% - Accent6 6 3 4 2 2" xfId="37644" xr:uid="{EF12AD64-193B-47B7-923E-1AFA1C220A98}"/>
    <cellStyle name="20% - Accent6 6 3 4 3" xfId="21749" xr:uid="{00000000-0005-0000-0000-00003E280000}"/>
    <cellStyle name="20% - Accent6 6 3 4 3 2" xfId="45581" xr:uid="{4AA75F28-EF90-4F14-9BBB-B52E42B7D033}"/>
    <cellStyle name="20% - Accent6 6 3 4 4" xfId="29703" xr:uid="{F552ADEE-71FA-40B0-9DDD-5F9F57AEB3C3}"/>
    <cellStyle name="20% - Accent6 6 3 5" xfId="9370" xr:uid="{00000000-0005-0000-0000-00003F280000}"/>
    <cellStyle name="20% - Accent6 6 3 5 2" xfId="17328" xr:uid="{00000000-0005-0000-0000-000040280000}"/>
    <cellStyle name="20% - Accent6 6 3 5 2 2" xfId="41168" xr:uid="{83A80B13-D61F-421A-BD07-7A4F51B90848}"/>
    <cellStyle name="20% - Accent6 6 3 5 3" xfId="25272" xr:uid="{00000000-0005-0000-0000-000041280000}"/>
    <cellStyle name="20% - Accent6 6 3 5 3 2" xfId="49104" xr:uid="{2A18E287-53FD-41F1-A668-056F2E6D8A88}"/>
    <cellStyle name="20% - Accent6 6 3 5 4" xfId="33227" xr:uid="{E5DE1426-B783-4940-BB53-34D43B357F2A}"/>
    <cellStyle name="20% - Accent6 6 3 6" xfId="10266" xr:uid="{00000000-0005-0000-0000-000042280000}"/>
    <cellStyle name="20% - Accent6 6 3 6 2" xfId="34115" xr:uid="{00E05773-4A8C-49C5-9B67-E25F52B103B7}"/>
    <cellStyle name="20% - Accent6 6 3 7" xfId="18221" xr:uid="{00000000-0005-0000-0000-000043280000}"/>
    <cellStyle name="20% - Accent6 6 3 7 2" xfId="42053" xr:uid="{4E70A7B3-80EC-4D72-B2F8-F9E60B1CDB8E}"/>
    <cellStyle name="20% - Accent6 6 3 8" xfId="26173" xr:uid="{32E4930F-E73E-4E1C-A2ED-3CDE41618C20}"/>
    <cellStyle name="20% - Accent6 6 3_Exh G" xfId="2650" xr:uid="{00000000-0005-0000-0000-000044280000}"/>
    <cellStyle name="20% - Accent6 6 4" xfId="930" xr:uid="{00000000-0005-0000-0000-000045280000}"/>
    <cellStyle name="20% - Accent6 6 4 2" xfId="1855" xr:uid="{00000000-0005-0000-0000-000046280000}"/>
    <cellStyle name="20% - Accent6 6 4 2 2" xfId="5373" xr:uid="{00000000-0005-0000-0000-000047280000}"/>
    <cellStyle name="20% - Accent6 6 4 2 2 2" xfId="8964" xr:uid="{00000000-0005-0000-0000-000048280000}"/>
    <cellStyle name="20% - Accent6 6 4 2 2 2 2" xfId="16935" xr:uid="{00000000-0005-0000-0000-000049280000}"/>
    <cellStyle name="20% - Accent6 6 4 2 2 2 2 2" xfId="40777" xr:uid="{88DC31EB-862B-4D88-8918-97657893E082}"/>
    <cellStyle name="20% - Accent6 6 4 2 2 2 3" xfId="24881" xr:uid="{00000000-0005-0000-0000-00004A280000}"/>
    <cellStyle name="20% - Accent6 6 4 2 2 2 3 2" xfId="48713" xr:uid="{E15E0D32-79C4-491E-8144-568D42848ECF}"/>
    <cellStyle name="20% - Accent6 6 4 2 2 2 4" xfId="32836" xr:uid="{A099FDE4-350D-47DD-AF98-C40E6CEDDCB9}"/>
    <cellStyle name="20% - Accent6 6 4 2 2 3" xfId="13397" xr:uid="{00000000-0005-0000-0000-00004B280000}"/>
    <cellStyle name="20% - Accent6 6 4 2 2 3 2" xfId="37246" xr:uid="{54A09B0D-CF56-4698-AB7D-418BA49ACABD}"/>
    <cellStyle name="20% - Accent6 6 4 2 2 4" xfId="21352" xr:uid="{00000000-0005-0000-0000-00004C280000}"/>
    <cellStyle name="20% - Accent6 6 4 2 2 4 2" xfId="45184" xr:uid="{611C7AEF-7BF3-4C11-9216-59659CBD2FC7}"/>
    <cellStyle name="20% - Accent6 6 4 2 2 5" xfId="29305" xr:uid="{6BBF8D14-3C02-40BF-8A21-2D31E4F2F438}"/>
    <cellStyle name="20% - Accent6 6 4 2 3" xfId="7205" xr:uid="{00000000-0005-0000-0000-00004D280000}"/>
    <cellStyle name="20% - Accent6 6 4 2 3 2" xfId="15177" xr:uid="{00000000-0005-0000-0000-00004E280000}"/>
    <cellStyle name="20% - Accent6 6 4 2 3 2 2" xfId="39019" xr:uid="{182CA49E-BF9D-430B-8CFF-F365A91E2539}"/>
    <cellStyle name="20% - Accent6 6 4 2 3 3" xfId="23124" xr:uid="{00000000-0005-0000-0000-00004F280000}"/>
    <cellStyle name="20% - Accent6 6 4 2 3 3 2" xfId="46956" xr:uid="{38A55521-2C09-46AA-82B0-0F0EF528108E}"/>
    <cellStyle name="20% - Accent6 6 4 2 3 4" xfId="31078" xr:uid="{2021AD5E-E490-4A62-A4CB-3CD55B856F35}"/>
    <cellStyle name="20% - Accent6 6 4 2 4" xfId="11641" xr:uid="{00000000-0005-0000-0000-000050280000}"/>
    <cellStyle name="20% - Accent6 6 4 2 4 2" xfId="35490" xr:uid="{330E3217-2061-4FF1-AD57-7B46817D177F}"/>
    <cellStyle name="20% - Accent6 6 4 2 5" xfId="19596" xr:uid="{00000000-0005-0000-0000-000051280000}"/>
    <cellStyle name="20% - Accent6 6 4 2 5 2" xfId="43428" xr:uid="{F56024EB-F5C1-483E-B6FA-0286316AB26D}"/>
    <cellStyle name="20% - Accent6 6 4 2 6" xfId="27548" xr:uid="{B7768B5A-15B9-44B7-9F8B-E028BFBF0FC0}"/>
    <cellStyle name="20% - Accent6 6 4 2_Exh G" xfId="2653" xr:uid="{00000000-0005-0000-0000-000052280000}"/>
    <cellStyle name="20% - Accent6 6 4 3" xfId="4494" xr:uid="{00000000-0005-0000-0000-000053280000}"/>
    <cellStyle name="20% - Accent6 6 4 3 2" xfId="8086" xr:uid="{00000000-0005-0000-0000-000054280000}"/>
    <cellStyle name="20% - Accent6 6 4 3 2 2" xfId="16057" xr:uid="{00000000-0005-0000-0000-000055280000}"/>
    <cellStyle name="20% - Accent6 6 4 3 2 2 2" xfId="39899" xr:uid="{F1055C00-890B-493D-BEF9-1FB98ECA1952}"/>
    <cellStyle name="20% - Accent6 6 4 3 2 3" xfId="24003" xr:uid="{00000000-0005-0000-0000-000056280000}"/>
    <cellStyle name="20% - Accent6 6 4 3 2 3 2" xfId="47835" xr:uid="{A697B538-609D-4712-970D-08A304BEEDA4}"/>
    <cellStyle name="20% - Accent6 6 4 3 2 4" xfId="31958" xr:uid="{9B9A54F4-853A-4A3B-A09A-B204B8CEA662}"/>
    <cellStyle name="20% - Accent6 6 4 3 3" xfId="12519" xr:uid="{00000000-0005-0000-0000-000057280000}"/>
    <cellStyle name="20% - Accent6 6 4 3 3 2" xfId="36368" xr:uid="{B76AF9D5-189B-4C7A-9126-2F7D6487986D}"/>
    <cellStyle name="20% - Accent6 6 4 3 4" xfId="20474" xr:uid="{00000000-0005-0000-0000-000058280000}"/>
    <cellStyle name="20% - Accent6 6 4 3 4 2" xfId="44306" xr:uid="{A18369F0-E92D-460B-AF89-A3A444971B8B}"/>
    <cellStyle name="20% - Accent6 6 4 3 5" xfId="28427" xr:uid="{CFEC904B-4CDC-44F6-98D3-9C7FC89B2770}"/>
    <cellStyle name="20% - Accent6 6 4 4" xfId="6324" xr:uid="{00000000-0005-0000-0000-000059280000}"/>
    <cellStyle name="20% - Accent6 6 4 4 2" xfId="14299" xr:uid="{00000000-0005-0000-0000-00005A280000}"/>
    <cellStyle name="20% - Accent6 6 4 4 2 2" xfId="38141" xr:uid="{FCFB7DED-2776-4370-9FBB-5C80EB3B8985}"/>
    <cellStyle name="20% - Accent6 6 4 4 3" xfId="22246" xr:uid="{00000000-0005-0000-0000-00005B280000}"/>
    <cellStyle name="20% - Accent6 6 4 4 3 2" xfId="46078" xr:uid="{5A6AAF2D-1928-4430-9011-A70F0D18D51A}"/>
    <cellStyle name="20% - Accent6 6 4 4 4" xfId="30200" xr:uid="{39F5E071-E95C-47F1-88D3-3300E89D549F}"/>
    <cellStyle name="20% - Accent6 6 4 5" xfId="9867" xr:uid="{00000000-0005-0000-0000-00005C280000}"/>
    <cellStyle name="20% - Accent6 6 4 5 2" xfId="17825" xr:uid="{00000000-0005-0000-0000-00005D280000}"/>
    <cellStyle name="20% - Accent6 6 4 5 2 2" xfId="41665" xr:uid="{98F2FB52-2338-40F6-B379-93D79804E218}"/>
    <cellStyle name="20% - Accent6 6 4 5 3" xfId="25769" xr:uid="{00000000-0005-0000-0000-00005E280000}"/>
    <cellStyle name="20% - Accent6 6 4 5 3 2" xfId="49601" xr:uid="{59ACEB3A-A558-4D6E-B944-4B255740BA3B}"/>
    <cellStyle name="20% - Accent6 6 4 5 4" xfId="33724" xr:uid="{0327D7E5-40B7-4C35-B15A-647FFF1C24C7}"/>
    <cellStyle name="20% - Accent6 6 4 6" xfId="10763" xr:uid="{00000000-0005-0000-0000-00005F280000}"/>
    <cellStyle name="20% - Accent6 6 4 6 2" xfId="34612" xr:uid="{224D723D-5F3C-4A6F-8833-FF9F677DFBB6}"/>
    <cellStyle name="20% - Accent6 6 4 7" xfId="18718" xr:uid="{00000000-0005-0000-0000-000060280000}"/>
    <cellStyle name="20% - Accent6 6 4 7 2" xfId="42550" xr:uid="{935026C3-22C5-4608-9B43-C5EA52536262}"/>
    <cellStyle name="20% - Accent6 6 4 8" xfId="26670" xr:uid="{2CA64A40-AEAC-4ADA-AF35-22120869B406}"/>
    <cellStyle name="20% - Accent6 6 4_Exh G" xfId="2652" xr:uid="{00000000-0005-0000-0000-000061280000}"/>
    <cellStyle name="20% - Accent6 6 5" xfId="1343" xr:uid="{00000000-0005-0000-0000-000062280000}"/>
    <cellStyle name="20% - Accent6 6 5 2" xfId="4873" xr:uid="{00000000-0005-0000-0000-000063280000}"/>
    <cellStyle name="20% - Accent6 6 5 2 2" xfId="8464" xr:uid="{00000000-0005-0000-0000-000064280000}"/>
    <cellStyle name="20% - Accent6 6 5 2 2 2" xfId="16435" xr:uid="{00000000-0005-0000-0000-000065280000}"/>
    <cellStyle name="20% - Accent6 6 5 2 2 2 2" xfId="40277" xr:uid="{85E47ACC-D999-40D7-8A54-71B7D5B44B05}"/>
    <cellStyle name="20% - Accent6 6 5 2 2 3" xfId="24381" xr:uid="{00000000-0005-0000-0000-000066280000}"/>
    <cellStyle name="20% - Accent6 6 5 2 2 3 2" xfId="48213" xr:uid="{436B80E7-7E10-4BBE-8DF5-D42B18708FDA}"/>
    <cellStyle name="20% - Accent6 6 5 2 2 4" xfId="32336" xr:uid="{DFE72987-63AD-436A-B6D5-78C7C6009F03}"/>
    <cellStyle name="20% - Accent6 6 5 2 3" xfId="12897" xr:uid="{00000000-0005-0000-0000-000067280000}"/>
    <cellStyle name="20% - Accent6 6 5 2 3 2" xfId="36746" xr:uid="{D60348A8-A596-448B-9F12-E1BC09B87175}"/>
    <cellStyle name="20% - Accent6 6 5 2 4" xfId="20852" xr:uid="{00000000-0005-0000-0000-000068280000}"/>
    <cellStyle name="20% - Accent6 6 5 2 4 2" xfId="44684" xr:uid="{7E02F262-852E-4FDE-BFA9-ACE94677905B}"/>
    <cellStyle name="20% - Accent6 6 5 2 5" xfId="28805" xr:uid="{922365CC-CA25-4960-ABB0-B531D26492E2}"/>
    <cellStyle name="20% - Accent6 6 5 3" xfId="6705" xr:uid="{00000000-0005-0000-0000-000069280000}"/>
    <cellStyle name="20% - Accent6 6 5 3 2" xfId="14677" xr:uid="{00000000-0005-0000-0000-00006A280000}"/>
    <cellStyle name="20% - Accent6 6 5 3 2 2" xfId="38519" xr:uid="{C8C4B044-1143-4036-8B4A-367D78F5EA16}"/>
    <cellStyle name="20% - Accent6 6 5 3 3" xfId="22624" xr:uid="{00000000-0005-0000-0000-00006B280000}"/>
    <cellStyle name="20% - Accent6 6 5 3 3 2" xfId="46456" xr:uid="{2C3F8176-E30D-4115-BB15-BD59F7B815A6}"/>
    <cellStyle name="20% - Accent6 6 5 3 4" xfId="30578" xr:uid="{055948FB-2AA6-43B0-ACAB-AFAC517AC96E}"/>
    <cellStyle name="20% - Accent6 6 5 4" xfId="11141" xr:uid="{00000000-0005-0000-0000-00006C280000}"/>
    <cellStyle name="20% - Accent6 6 5 4 2" xfId="34990" xr:uid="{5133585B-B350-479B-BA08-7D3DC330E477}"/>
    <cellStyle name="20% - Accent6 6 5 5" xfId="19096" xr:uid="{00000000-0005-0000-0000-00006D280000}"/>
    <cellStyle name="20% - Accent6 6 5 5 2" xfId="42928" xr:uid="{3D14FB0D-976A-4732-B608-29351D8BD33C}"/>
    <cellStyle name="20% - Accent6 6 5 6" xfId="27048" xr:uid="{15CDE4F6-AD6B-4768-832D-567CEDB85130}"/>
    <cellStyle name="20% - Accent6 6 5_Exh G" xfId="2654" xr:uid="{00000000-0005-0000-0000-00006E280000}"/>
    <cellStyle name="20% - Accent6 6 6" xfId="3994" xr:uid="{00000000-0005-0000-0000-00006F280000}"/>
    <cellStyle name="20% - Accent6 6 6 2" xfId="7586" xr:uid="{00000000-0005-0000-0000-000070280000}"/>
    <cellStyle name="20% - Accent6 6 6 2 2" xfId="15557" xr:uid="{00000000-0005-0000-0000-000071280000}"/>
    <cellStyle name="20% - Accent6 6 6 2 2 2" xfId="39399" xr:uid="{EB23D5AC-4D1E-4D0F-BAC0-1619134C6B1F}"/>
    <cellStyle name="20% - Accent6 6 6 2 3" xfId="23503" xr:uid="{00000000-0005-0000-0000-000072280000}"/>
    <cellStyle name="20% - Accent6 6 6 2 3 2" xfId="47335" xr:uid="{C82B8904-928C-4A70-B75E-7C468447CD2E}"/>
    <cellStyle name="20% - Accent6 6 6 2 4" xfId="31458" xr:uid="{2C0A256B-30CD-44F1-8FDC-875C7BF8087A}"/>
    <cellStyle name="20% - Accent6 6 6 3" xfId="12019" xr:uid="{00000000-0005-0000-0000-000073280000}"/>
    <cellStyle name="20% - Accent6 6 6 3 2" xfId="35868" xr:uid="{5A4E46B3-CC30-4A1E-89FD-68A076CF11E6}"/>
    <cellStyle name="20% - Accent6 6 6 4" xfId="19974" xr:uid="{00000000-0005-0000-0000-000074280000}"/>
    <cellStyle name="20% - Accent6 6 6 4 2" xfId="43806" xr:uid="{C6FE102F-C272-43C1-8527-3D4C3A443508}"/>
    <cellStyle name="20% - Accent6 6 6 5" xfId="27927" xr:uid="{E3D82256-3C05-4590-AA92-5974BC3F101B}"/>
    <cellStyle name="20% - Accent6 6 7" xfId="5814" xr:uid="{00000000-0005-0000-0000-000075280000}"/>
    <cellStyle name="20% - Accent6 6 7 2" xfId="13798" xr:uid="{00000000-0005-0000-0000-000076280000}"/>
    <cellStyle name="20% - Accent6 6 7 2 2" xfId="37641" xr:uid="{36DE3745-DEB8-4865-8342-4DF4D831DB4C}"/>
    <cellStyle name="20% - Accent6 6 7 3" xfId="21746" xr:uid="{00000000-0005-0000-0000-000077280000}"/>
    <cellStyle name="20% - Accent6 6 7 3 2" xfId="45578" xr:uid="{096B273C-00C5-48C0-A7F7-0DFA3701CD4A}"/>
    <cellStyle name="20% - Accent6 6 7 4" xfId="29700" xr:uid="{03334D4F-4648-4892-BF5A-9C44073810CF}"/>
    <cellStyle name="20% - Accent6 6 8" xfId="9367" xr:uid="{00000000-0005-0000-0000-000078280000}"/>
    <cellStyle name="20% - Accent6 6 8 2" xfId="17325" xr:uid="{00000000-0005-0000-0000-000079280000}"/>
    <cellStyle name="20% - Accent6 6 8 2 2" xfId="41165" xr:uid="{8F5979FA-54F2-40DD-A217-2B60CAE86149}"/>
    <cellStyle name="20% - Accent6 6 8 3" xfId="25269" xr:uid="{00000000-0005-0000-0000-00007A280000}"/>
    <cellStyle name="20% - Accent6 6 8 3 2" xfId="49101" xr:uid="{C7D152BE-7A0B-44A7-A8E9-E9174F31AF50}"/>
    <cellStyle name="20% - Accent6 6 8 4" xfId="33224" xr:uid="{2E4E8434-3B1E-49DB-A66C-AF8CA8FE86E2}"/>
    <cellStyle name="20% - Accent6 6 9" xfId="10263" xr:uid="{00000000-0005-0000-0000-00007B280000}"/>
    <cellStyle name="20% - Accent6 6 9 2" xfId="34112" xr:uid="{FE4186BA-0204-4436-966A-35C28B9863BF}"/>
    <cellStyle name="20% - Accent6 6_Exh G" xfId="2645" xr:uid="{00000000-0005-0000-0000-00007C280000}"/>
    <cellStyle name="20% - Accent6 7" xfId="319" xr:uid="{00000000-0005-0000-0000-00007D280000}"/>
    <cellStyle name="20% - Accent6 7 10" xfId="18222" xr:uid="{00000000-0005-0000-0000-00007E280000}"/>
    <cellStyle name="20% - Accent6 7 10 2" xfId="42054" xr:uid="{637D83D9-B182-4A35-975F-07DA45E06E00}"/>
    <cellStyle name="20% - Accent6 7 11" xfId="26174" xr:uid="{E7429080-DDF8-454B-BAC7-1E45E632A8F3}"/>
    <cellStyle name="20% - Accent6 7 2" xfId="320" xr:uid="{00000000-0005-0000-0000-00007F280000}"/>
    <cellStyle name="20% - Accent6 7 2 2" xfId="321" xr:uid="{00000000-0005-0000-0000-000080280000}"/>
    <cellStyle name="20% - Accent6 7 2 2 2" xfId="1349" xr:uid="{00000000-0005-0000-0000-000081280000}"/>
    <cellStyle name="20% - Accent6 7 2 2 2 2" xfId="4879" xr:uid="{00000000-0005-0000-0000-000082280000}"/>
    <cellStyle name="20% - Accent6 7 2 2 2 2 2" xfId="8470" xr:uid="{00000000-0005-0000-0000-000083280000}"/>
    <cellStyle name="20% - Accent6 7 2 2 2 2 2 2" xfId="16441" xr:uid="{00000000-0005-0000-0000-000084280000}"/>
    <cellStyle name="20% - Accent6 7 2 2 2 2 2 2 2" xfId="40283" xr:uid="{D7964BF4-C63E-4B24-81DB-18E39A856B16}"/>
    <cellStyle name="20% - Accent6 7 2 2 2 2 2 3" xfId="24387" xr:uid="{00000000-0005-0000-0000-000085280000}"/>
    <cellStyle name="20% - Accent6 7 2 2 2 2 2 3 2" xfId="48219" xr:uid="{731F466A-5B73-4DDB-8FF1-D8D1F900170C}"/>
    <cellStyle name="20% - Accent6 7 2 2 2 2 2 4" xfId="32342" xr:uid="{E2CCDBF7-685B-483E-B965-A311AAC82B82}"/>
    <cellStyle name="20% - Accent6 7 2 2 2 2 3" xfId="12903" xr:uid="{00000000-0005-0000-0000-000086280000}"/>
    <cellStyle name="20% - Accent6 7 2 2 2 2 3 2" xfId="36752" xr:uid="{16551A97-0505-4F83-8E62-1B21D09090D4}"/>
    <cellStyle name="20% - Accent6 7 2 2 2 2 4" xfId="20858" xr:uid="{00000000-0005-0000-0000-000087280000}"/>
    <cellStyle name="20% - Accent6 7 2 2 2 2 4 2" xfId="44690" xr:uid="{BE1B8A9C-08FF-4169-9DBF-4E2D2D1F2A3F}"/>
    <cellStyle name="20% - Accent6 7 2 2 2 2 5" xfId="28811" xr:uid="{EEC9C1D7-514F-41C6-ACF8-4A097112E12C}"/>
    <cellStyle name="20% - Accent6 7 2 2 2 3" xfId="6711" xr:uid="{00000000-0005-0000-0000-000088280000}"/>
    <cellStyle name="20% - Accent6 7 2 2 2 3 2" xfId="14683" xr:uid="{00000000-0005-0000-0000-000089280000}"/>
    <cellStyle name="20% - Accent6 7 2 2 2 3 2 2" xfId="38525" xr:uid="{48529549-E9D1-47D2-9918-EBC9DEC0D03D}"/>
    <cellStyle name="20% - Accent6 7 2 2 2 3 3" xfId="22630" xr:uid="{00000000-0005-0000-0000-00008A280000}"/>
    <cellStyle name="20% - Accent6 7 2 2 2 3 3 2" xfId="46462" xr:uid="{37F6C481-FD86-447E-B550-7DFEEB5C9CD9}"/>
    <cellStyle name="20% - Accent6 7 2 2 2 3 4" xfId="30584" xr:uid="{4B2E7DA7-5BB5-41AA-A8CB-11F79F1F34BE}"/>
    <cellStyle name="20% - Accent6 7 2 2 2 4" xfId="11147" xr:uid="{00000000-0005-0000-0000-00008B280000}"/>
    <cellStyle name="20% - Accent6 7 2 2 2 4 2" xfId="34996" xr:uid="{AF8ED922-0040-4322-A583-EB34E3D723E4}"/>
    <cellStyle name="20% - Accent6 7 2 2 2 5" xfId="19102" xr:uid="{00000000-0005-0000-0000-00008C280000}"/>
    <cellStyle name="20% - Accent6 7 2 2 2 5 2" xfId="42934" xr:uid="{849DB006-50B4-41DC-8416-36490616EE25}"/>
    <cellStyle name="20% - Accent6 7 2 2 2 6" xfId="27054" xr:uid="{27BA8001-160A-4667-8036-8ED2282BD6B7}"/>
    <cellStyle name="20% - Accent6 7 2 2 2_Exh G" xfId="2658" xr:uid="{00000000-0005-0000-0000-00008D280000}"/>
    <cellStyle name="20% - Accent6 7 2 2 3" xfId="4000" xr:uid="{00000000-0005-0000-0000-00008E280000}"/>
    <cellStyle name="20% - Accent6 7 2 2 3 2" xfId="7592" xr:uid="{00000000-0005-0000-0000-00008F280000}"/>
    <cellStyle name="20% - Accent6 7 2 2 3 2 2" xfId="15563" xr:uid="{00000000-0005-0000-0000-000090280000}"/>
    <cellStyle name="20% - Accent6 7 2 2 3 2 2 2" xfId="39405" xr:uid="{39845C4F-6F59-4053-A840-DE315EC5F64A}"/>
    <cellStyle name="20% - Accent6 7 2 2 3 2 3" xfId="23509" xr:uid="{00000000-0005-0000-0000-000091280000}"/>
    <cellStyle name="20% - Accent6 7 2 2 3 2 3 2" xfId="47341" xr:uid="{0A720738-CA4A-4D8B-BFBD-09AA3BC601E3}"/>
    <cellStyle name="20% - Accent6 7 2 2 3 2 4" xfId="31464" xr:uid="{50A882AA-8635-40D0-B4A7-1D407397879F}"/>
    <cellStyle name="20% - Accent6 7 2 2 3 3" xfId="12025" xr:uid="{00000000-0005-0000-0000-000092280000}"/>
    <cellStyle name="20% - Accent6 7 2 2 3 3 2" xfId="35874" xr:uid="{EF523EB3-F64E-41E9-A65F-C95F09AC5EB9}"/>
    <cellStyle name="20% - Accent6 7 2 2 3 4" xfId="19980" xr:uid="{00000000-0005-0000-0000-000093280000}"/>
    <cellStyle name="20% - Accent6 7 2 2 3 4 2" xfId="43812" xr:uid="{8A584F17-8685-4C00-9A9F-C96F2A2F69D1}"/>
    <cellStyle name="20% - Accent6 7 2 2 3 5" xfId="27933" xr:uid="{0B6CFE36-7BFF-4B29-AD6B-D6B037CB24BF}"/>
    <cellStyle name="20% - Accent6 7 2 2 4" xfId="5820" xr:uid="{00000000-0005-0000-0000-000094280000}"/>
    <cellStyle name="20% - Accent6 7 2 2 4 2" xfId="13804" xr:uid="{00000000-0005-0000-0000-000095280000}"/>
    <cellStyle name="20% - Accent6 7 2 2 4 2 2" xfId="37647" xr:uid="{2C375A2C-2887-4566-B78D-73653452BE5D}"/>
    <cellStyle name="20% - Accent6 7 2 2 4 3" xfId="21752" xr:uid="{00000000-0005-0000-0000-000096280000}"/>
    <cellStyle name="20% - Accent6 7 2 2 4 3 2" xfId="45584" xr:uid="{856D8E45-2DFA-4687-B524-809E6A79DB50}"/>
    <cellStyle name="20% - Accent6 7 2 2 4 4" xfId="29706" xr:uid="{20573B58-8DC0-4BE2-B427-610AC0BFE3EB}"/>
    <cellStyle name="20% - Accent6 7 2 2 5" xfId="9373" xr:uid="{00000000-0005-0000-0000-000097280000}"/>
    <cellStyle name="20% - Accent6 7 2 2 5 2" xfId="17331" xr:uid="{00000000-0005-0000-0000-000098280000}"/>
    <cellStyle name="20% - Accent6 7 2 2 5 2 2" xfId="41171" xr:uid="{9DFD1BF3-5A2E-4E81-91E7-B0934E66D3C7}"/>
    <cellStyle name="20% - Accent6 7 2 2 5 3" xfId="25275" xr:uid="{00000000-0005-0000-0000-000099280000}"/>
    <cellStyle name="20% - Accent6 7 2 2 5 3 2" xfId="49107" xr:uid="{034621E5-B85F-4A06-B4CA-36018F1B814F}"/>
    <cellStyle name="20% - Accent6 7 2 2 5 4" xfId="33230" xr:uid="{FAC45046-3BDC-4BE0-8BA1-5DD192983FB9}"/>
    <cellStyle name="20% - Accent6 7 2 2 6" xfId="10269" xr:uid="{00000000-0005-0000-0000-00009A280000}"/>
    <cellStyle name="20% - Accent6 7 2 2 6 2" xfId="34118" xr:uid="{9414F382-B6AE-4C12-90BA-C8D2820BDFBA}"/>
    <cellStyle name="20% - Accent6 7 2 2 7" xfId="18224" xr:uid="{00000000-0005-0000-0000-00009B280000}"/>
    <cellStyle name="20% - Accent6 7 2 2 7 2" xfId="42056" xr:uid="{73F8EF19-2B7A-4AC7-9001-167E21943AB4}"/>
    <cellStyle name="20% - Accent6 7 2 2 8" xfId="26176" xr:uid="{786AF331-9AF6-495F-A143-F7DE4DE33026}"/>
    <cellStyle name="20% - Accent6 7 2 2_Exh G" xfId="2657" xr:uid="{00000000-0005-0000-0000-00009C280000}"/>
    <cellStyle name="20% - Accent6 7 2 3" xfId="1348" xr:uid="{00000000-0005-0000-0000-00009D280000}"/>
    <cellStyle name="20% - Accent6 7 2 3 2" xfId="4878" xr:uid="{00000000-0005-0000-0000-00009E280000}"/>
    <cellStyle name="20% - Accent6 7 2 3 2 2" xfId="8469" xr:uid="{00000000-0005-0000-0000-00009F280000}"/>
    <cellStyle name="20% - Accent6 7 2 3 2 2 2" xfId="16440" xr:uid="{00000000-0005-0000-0000-0000A0280000}"/>
    <cellStyle name="20% - Accent6 7 2 3 2 2 2 2" xfId="40282" xr:uid="{371DF75E-A04D-4956-A551-C2B80E02DC89}"/>
    <cellStyle name="20% - Accent6 7 2 3 2 2 3" xfId="24386" xr:uid="{00000000-0005-0000-0000-0000A1280000}"/>
    <cellStyle name="20% - Accent6 7 2 3 2 2 3 2" xfId="48218" xr:uid="{94B58883-CB4E-4E36-9F15-729A2CAB4E7A}"/>
    <cellStyle name="20% - Accent6 7 2 3 2 2 4" xfId="32341" xr:uid="{9217B9D6-7A12-45C3-ABDF-AA0BE6CA1E6C}"/>
    <cellStyle name="20% - Accent6 7 2 3 2 3" xfId="12902" xr:uid="{00000000-0005-0000-0000-0000A2280000}"/>
    <cellStyle name="20% - Accent6 7 2 3 2 3 2" xfId="36751" xr:uid="{346FB813-8B9E-43EE-92AE-6921D646A454}"/>
    <cellStyle name="20% - Accent6 7 2 3 2 4" xfId="20857" xr:uid="{00000000-0005-0000-0000-0000A3280000}"/>
    <cellStyle name="20% - Accent6 7 2 3 2 4 2" xfId="44689" xr:uid="{F160FFF7-637D-4F86-8142-9A7442D87096}"/>
    <cellStyle name="20% - Accent6 7 2 3 2 5" xfId="28810" xr:uid="{DEE12E38-B9F3-4106-AF93-1B3264BE66CD}"/>
    <cellStyle name="20% - Accent6 7 2 3 3" xfId="6710" xr:uid="{00000000-0005-0000-0000-0000A4280000}"/>
    <cellStyle name="20% - Accent6 7 2 3 3 2" xfId="14682" xr:uid="{00000000-0005-0000-0000-0000A5280000}"/>
    <cellStyle name="20% - Accent6 7 2 3 3 2 2" xfId="38524" xr:uid="{B1E7C1EB-E344-48FD-AF4E-910DD6F91AD3}"/>
    <cellStyle name="20% - Accent6 7 2 3 3 3" xfId="22629" xr:uid="{00000000-0005-0000-0000-0000A6280000}"/>
    <cellStyle name="20% - Accent6 7 2 3 3 3 2" xfId="46461" xr:uid="{67E317DA-1730-40B2-92D8-BAC86119CB8C}"/>
    <cellStyle name="20% - Accent6 7 2 3 3 4" xfId="30583" xr:uid="{92A54874-51D8-428E-BBB9-8EAEDF2F73B7}"/>
    <cellStyle name="20% - Accent6 7 2 3 4" xfId="11146" xr:uid="{00000000-0005-0000-0000-0000A7280000}"/>
    <cellStyle name="20% - Accent6 7 2 3 4 2" xfId="34995" xr:uid="{4B8E3B22-BD34-4ADB-8182-1D6BDAAB7129}"/>
    <cellStyle name="20% - Accent6 7 2 3 5" xfId="19101" xr:uid="{00000000-0005-0000-0000-0000A8280000}"/>
    <cellStyle name="20% - Accent6 7 2 3 5 2" xfId="42933" xr:uid="{BA9F2AFD-F462-428A-9DB3-39C0DD3E415B}"/>
    <cellStyle name="20% - Accent6 7 2 3 6" xfId="27053" xr:uid="{6D6BA50E-DC03-4CFB-8A4B-6E1F701B6195}"/>
    <cellStyle name="20% - Accent6 7 2 3_Exh G" xfId="2659" xr:uid="{00000000-0005-0000-0000-0000A9280000}"/>
    <cellStyle name="20% - Accent6 7 2 4" xfId="3999" xr:uid="{00000000-0005-0000-0000-0000AA280000}"/>
    <cellStyle name="20% - Accent6 7 2 4 2" xfId="7591" xr:uid="{00000000-0005-0000-0000-0000AB280000}"/>
    <cellStyle name="20% - Accent6 7 2 4 2 2" xfId="15562" xr:uid="{00000000-0005-0000-0000-0000AC280000}"/>
    <cellStyle name="20% - Accent6 7 2 4 2 2 2" xfId="39404" xr:uid="{65C3A26E-323D-410E-AD7E-5A51DDA6FFF8}"/>
    <cellStyle name="20% - Accent6 7 2 4 2 3" xfId="23508" xr:uid="{00000000-0005-0000-0000-0000AD280000}"/>
    <cellStyle name="20% - Accent6 7 2 4 2 3 2" xfId="47340" xr:uid="{F2D95ED7-B688-49CA-ACA9-8CE1946F6BAD}"/>
    <cellStyle name="20% - Accent6 7 2 4 2 4" xfId="31463" xr:uid="{C6F57557-62C6-4475-8CEE-75B5CE7C5D28}"/>
    <cellStyle name="20% - Accent6 7 2 4 3" xfId="12024" xr:uid="{00000000-0005-0000-0000-0000AE280000}"/>
    <cellStyle name="20% - Accent6 7 2 4 3 2" xfId="35873" xr:uid="{20A99B46-62D8-4A70-9F55-786BAFAE4841}"/>
    <cellStyle name="20% - Accent6 7 2 4 4" xfId="19979" xr:uid="{00000000-0005-0000-0000-0000AF280000}"/>
    <cellStyle name="20% - Accent6 7 2 4 4 2" xfId="43811" xr:uid="{CECB1F07-5898-43F9-A371-E3B5AA37BBCC}"/>
    <cellStyle name="20% - Accent6 7 2 4 5" xfId="27932" xr:uid="{753B2A05-4CD5-4AEC-B217-C11BFEBDA78F}"/>
    <cellStyle name="20% - Accent6 7 2 5" xfId="5819" xr:uid="{00000000-0005-0000-0000-0000B0280000}"/>
    <cellStyle name="20% - Accent6 7 2 5 2" xfId="13803" xr:uid="{00000000-0005-0000-0000-0000B1280000}"/>
    <cellStyle name="20% - Accent6 7 2 5 2 2" xfId="37646" xr:uid="{C229BB94-F5C3-469A-B865-D25B65382EE4}"/>
    <cellStyle name="20% - Accent6 7 2 5 3" xfId="21751" xr:uid="{00000000-0005-0000-0000-0000B2280000}"/>
    <cellStyle name="20% - Accent6 7 2 5 3 2" xfId="45583" xr:uid="{9A424EAE-EA18-4B8A-AB8B-CFFB1D10E430}"/>
    <cellStyle name="20% - Accent6 7 2 5 4" xfId="29705" xr:uid="{D3D04B42-C150-4AA4-9A07-0029FC7B3E7D}"/>
    <cellStyle name="20% - Accent6 7 2 6" xfId="9372" xr:uid="{00000000-0005-0000-0000-0000B3280000}"/>
    <cellStyle name="20% - Accent6 7 2 6 2" xfId="17330" xr:uid="{00000000-0005-0000-0000-0000B4280000}"/>
    <cellStyle name="20% - Accent6 7 2 6 2 2" xfId="41170" xr:uid="{52D4A90D-6487-4C3E-BA2A-B1C270F034B8}"/>
    <cellStyle name="20% - Accent6 7 2 6 3" xfId="25274" xr:uid="{00000000-0005-0000-0000-0000B5280000}"/>
    <cellStyle name="20% - Accent6 7 2 6 3 2" xfId="49106" xr:uid="{4D7C75D4-A3BB-4C9E-9EB1-95473BFDFD16}"/>
    <cellStyle name="20% - Accent6 7 2 6 4" xfId="33229" xr:uid="{0BD4E913-2B34-4BC7-8BC0-E42145C3E304}"/>
    <cellStyle name="20% - Accent6 7 2 7" xfId="10268" xr:uid="{00000000-0005-0000-0000-0000B6280000}"/>
    <cellStyle name="20% - Accent6 7 2 7 2" xfId="34117" xr:uid="{BDB68C51-2B11-4F64-960C-1B106D8E2BFF}"/>
    <cellStyle name="20% - Accent6 7 2 8" xfId="18223" xr:uid="{00000000-0005-0000-0000-0000B7280000}"/>
    <cellStyle name="20% - Accent6 7 2 8 2" xfId="42055" xr:uid="{7D090889-914F-46BD-9A78-9629305B49AE}"/>
    <cellStyle name="20% - Accent6 7 2 9" xfId="26175" xr:uid="{D13DCC81-4888-4394-B286-57C4BFB159B8}"/>
    <cellStyle name="20% - Accent6 7 2_Exh G" xfId="2656" xr:uid="{00000000-0005-0000-0000-0000B8280000}"/>
    <cellStyle name="20% - Accent6 7 3" xfId="322" xr:uid="{00000000-0005-0000-0000-0000B9280000}"/>
    <cellStyle name="20% - Accent6 7 3 2" xfId="1350" xr:uid="{00000000-0005-0000-0000-0000BA280000}"/>
    <cellStyle name="20% - Accent6 7 3 2 2" xfId="4880" xr:uid="{00000000-0005-0000-0000-0000BB280000}"/>
    <cellStyle name="20% - Accent6 7 3 2 2 2" xfId="8471" xr:uid="{00000000-0005-0000-0000-0000BC280000}"/>
    <cellStyle name="20% - Accent6 7 3 2 2 2 2" xfId="16442" xr:uid="{00000000-0005-0000-0000-0000BD280000}"/>
    <cellStyle name="20% - Accent6 7 3 2 2 2 2 2" xfId="40284" xr:uid="{F474887F-F0E7-42E9-ADE8-1C5D3807758B}"/>
    <cellStyle name="20% - Accent6 7 3 2 2 2 3" xfId="24388" xr:uid="{00000000-0005-0000-0000-0000BE280000}"/>
    <cellStyle name="20% - Accent6 7 3 2 2 2 3 2" xfId="48220" xr:uid="{29CD1BE8-524D-4DE8-A80C-79620198A036}"/>
    <cellStyle name="20% - Accent6 7 3 2 2 2 4" xfId="32343" xr:uid="{7C85E2A3-7648-48FC-B6E9-E7C20F1123AB}"/>
    <cellStyle name="20% - Accent6 7 3 2 2 3" xfId="12904" xr:uid="{00000000-0005-0000-0000-0000BF280000}"/>
    <cellStyle name="20% - Accent6 7 3 2 2 3 2" xfId="36753" xr:uid="{F3351540-679F-4024-B002-0C3E3950B158}"/>
    <cellStyle name="20% - Accent6 7 3 2 2 4" xfId="20859" xr:uid="{00000000-0005-0000-0000-0000C0280000}"/>
    <cellStyle name="20% - Accent6 7 3 2 2 4 2" xfId="44691" xr:uid="{6B5E7932-EDFC-4720-B4A7-7D9314923CF2}"/>
    <cellStyle name="20% - Accent6 7 3 2 2 5" xfId="28812" xr:uid="{2328B539-1B44-40EC-AF98-64B4130AB097}"/>
    <cellStyle name="20% - Accent6 7 3 2 3" xfId="6712" xr:uid="{00000000-0005-0000-0000-0000C1280000}"/>
    <cellStyle name="20% - Accent6 7 3 2 3 2" xfId="14684" xr:uid="{00000000-0005-0000-0000-0000C2280000}"/>
    <cellStyle name="20% - Accent6 7 3 2 3 2 2" xfId="38526" xr:uid="{DC30BBBE-4275-43FA-A0AC-02DA05BA903E}"/>
    <cellStyle name="20% - Accent6 7 3 2 3 3" xfId="22631" xr:uid="{00000000-0005-0000-0000-0000C3280000}"/>
    <cellStyle name="20% - Accent6 7 3 2 3 3 2" xfId="46463" xr:uid="{ED253D93-131A-4C7B-B395-3BD88F808C56}"/>
    <cellStyle name="20% - Accent6 7 3 2 3 4" xfId="30585" xr:uid="{8C9CB47A-12BB-4D1E-BEC9-5E654E688CC8}"/>
    <cellStyle name="20% - Accent6 7 3 2 4" xfId="11148" xr:uid="{00000000-0005-0000-0000-0000C4280000}"/>
    <cellStyle name="20% - Accent6 7 3 2 4 2" xfId="34997" xr:uid="{E272F6C7-1CEA-4B4F-B13B-2231F6E55994}"/>
    <cellStyle name="20% - Accent6 7 3 2 5" xfId="19103" xr:uid="{00000000-0005-0000-0000-0000C5280000}"/>
    <cellStyle name="20% - Accent6 7 3 2 5 2" xfId="42935" xr:uid="{7E2A9F9C-47CE-45C1-A91A-AC3E5EAAFD1A}"/>
    <cellStyle name="20% - Accent6 7 3 2 6" xfId="27055" xr:uid="{2669D4FE-D49E-4C8E-9890-9D750C0B4A95}"/>
    <cellStyle name="20% - Accent6 7 3 2_Exh G" xfId="2661" xr:uid="{00000000-0005-0000-0000-0000C6280000}"/>
    <cellStyle name="20% - Accent6 7 3 3" xfId="4001" xr:uid="{00000000-0005-0000-0000-0000C7280000}"/>
    <cellStyle name="20% - Accent6 7 3 3 2" xfId="7593" xr:uid="{00000000-0005-0000-0000-0000C8280000}"/>
    <cellStyle name="20% - Accent6 7 3 3 2 2" xfId="15564" xr:uid="{00000000-0005-0000-0000-0000C9280000}"/>
    <cellStyle name="20% - Accent6 7 3 3 2 2 2" xfId="39406" xr:uid="{1E8A0A09-04AE-4022-AFAE-A38D94F94EDF}"/>
    <cellStyle name="20% - Accent6 7 3 3 2 3" xfId="23510" xr:uid="{00000000-0005-0000-0000-0000CA280000}"/>
    <cellStyle name="20% - Accent6 7 3 3 2 3 2" xfId="47342" xr:uid="{57C7FC24-1FBC-4630-96DC-C580ECB1FC60}"/>
    <cellStyle name="20% - Accent6 7 3 3 2 4" xfId="31465" xr:uid="{49C503B5-5535-4CCE-9E08-4096E162C6E4}"/>
    <cellStyle name="20% - Accent6 7 3 3 3" xfId="12026" xr:uid="{00000000-0005-0000-0000-0000CB280000}"/>
    <cellStyle name="20% - Accent6 7 3 3 3 2" xfId="35875" xr:uid="{8BA4E9C8-0CAA-45F8-A719-64EC391DAB00}"/>
    <cellStyle name="20% - Accent6 7 3 3 4" xfId="19981" xr:uid="{00000000-0005-0000-0000-0000CC280000}"/>
    <cellStyle name="20% - Accent6 7 3 3 4 2" xfId="43813" xr:uid="{77EA9729-532A-4F1F-B106-71494B6C5766}"/>
    <cellStyle name="20% - Accent6 7 3 3 5" xfId="27934" xr:uid="{02E80A45-D7D8-4385-ABCC-ACE7A213BF48}"/>
    <cellStyle name="20% - Accent6 7 3 4" xfId="5821" xr:uid="{00000000-0005-0000-0000-0000CD280000}"/>
    <cellStyle name="20% - Accent6 7 3 4 2" xfId="13805" xr:uid="{00000000-0005-0000-0000-0000CE280000}"/>
    <cellStyle name="20% - Accent6 7 3 4 2 2" xfId="37648" xr:uid="{F0D9BF1C-D614-41EE-A3F1-3288A3620E60}"/>
    <cellStyle name="20% - Accent6 7 3 4 3" xfId="21753" xr:uid="{00000000-0005-0000-0000-0000CF280000}"/>
    <cellStyle name="20% - Accent6 7 3 4 3 2" xfId="45585" xr:uid="{07B2BD80-E9C6-4AED-935E-E1C485882070}"/>
    <cellStyle name="20% - Accent6 7 3 4 4" xfId="29707" xr:uid="{72B898FC-7A29-435F-8840-01D12D73BBAC}"/>
    <cellStyle name="20% - Accent6 7 3 5" xfId="9374" xr:uid="{00000000-0005-0000-0000-0000D0280000}"/>
    <cellStyle name="20% - Accent6 7 3 5 2" xfId="17332" xr:uid="{00000000-0005-0000-0000-0000D1280000}"/>
    <cellStyle name="20% - Accent6 7 3 5 2 2" xfId="41172" xr:uid="{ACC0B1B7-B5A4-4E32-AB8A-ABAF719DE52F}"/>
    <cellStyle name="20% - Accent6 7 3 5 3" xfId="25276" xr:uid="{00000000-0005-0000-0000-0000D2280000}"/>
    <cellStyle name="20% - Accent6 7 3 5 3 2" xfId="49108" xr:uid="{11CD2BF7-3B92-45BF-B3DA-81B3826526F3}"/>
    <cellStyle name="20% - Accent6 7 3 5 4" xfId="33231" xr:uid="{321CB9A7-E20A-4648-86B9-C952CCFA5500}"/>
    <cellStyle name="20% - Accent6 7 3 6" xfId="10270" xr:uid="{00000000-0005-0000-0000-0000D3280000}"/>
    <cellStyle name="20% - Accent6 7 3 6 2" xfId="34119" xr:uid="{BD4B0731-84D6-4C01-AC1B-E948E3CADD4F}"/>
    <cellStyle name="20% - Accent6 7 3 7" xfId="18225" xr:uid="{00000000-0005-0000-0000-0000D4280000}"/>
    <cellStyle name="20% - Accent6 7 3 7 2" xfId="42057" xr:uid="{36BD34A0-2D89-4341-9A87-163D621E36FC}"/>
    <cellStyle name="20% - Accent6 7 3 8" xfId="26177" xr:uid="{A620B479-E1FA-4643-9D0C-D784E6D27A33}"/>
    <cellStyle name="20% - Accent6 7 3_Exh G" xfId="2660" xr:uid="{00000000-0005-0000-0000-0000D5280000}"/>
    <cellStyle name="20% - Accent6 7 4" xfId="931" xr:uid="{00000000-0005-0000-0000-0000D6280000}"/>
    <cellStyle name="20% - Accent6 7 4 2" xfId="1856" xr:uid="{00000000-0005-0000-0000-0000D7280000}"/>
    <cellStyle name="20% - Accent6 7 4 2 2" xfId="5374" xr:uid="{00000000-0005-0000-0000-0000D8280000}"/>
    <cellStyle name="20% - Accent6 7 4 2 2 2" xfId="8965" xr:uid="{00000000-0005-0000-0000-0000D9280000}"/>
    <cellStyle name="20% - Accent6 7 4 2 2 2 2" xfId="16936" xr:uid="{00000000-0005-0000-0000-0000DA280000}"/>
    <cellStyle name="20% - Accent6 7 4 2 2 2 2 2" xfId="40778" xr:uid="{CAFA7AE9-0942-4FFD-98EB-0FA519F2E9B9}"/>
    <cellStyle name="20% - Accent6 7 4 2 2 2 3" xfId="24882" xr:uid="{00000000-0005-0000-0000-0000DB280000}"/>
    <cellStyle name="20% - Accent6 7 4 2 2 2 3 2" xfId="48714" xr:uid="{888805E9-75FD-4862-B813-F0088B5635E3}"/>
    <cellStyle name="20% - Accent6 7 4 2 2 2 4" xfId="32837" xr:uid="{A9E56E5A-2FFA-4749-BB7B-AED0497A24F5}"/>
    <cellStyle name="20% - Accent6 7 4 2 2 3" xfId="13398" xr:uid="{00000000-0005-0000-0000-0000DC280000}"/>
    <cellStyle name="20% - Accent6 7 4 2 2 3 2" xfId="37247" xr:uid="{D3BB89AD-0DF0-4DC0-8FCE-FD270FFF2A73}"/>
    <cellStyle name="20% - Accent6 7 4 2 2 4" xfId="21353" xr:uid="{00000000-0005-0000-0000-0000DD280000}"/>
    <cellStyle name="20% - Accent6 7 4 2 2 4 2" xfId="45185" xr:uid="{6E795D1F-89B5-4D51-BFF9-3910E80C1E31}"/>
    <cellStyle name="20% - Accent6 7 4 2 2 5" xfId="29306" xr:uid="{392BFA1A-A7E5-4CB8-B79B-8E868001FC4F}"/>
    <cellStyle name="20% - Accent6 7 4 2 3" xfId="7206" xr:uid="{00000000-0005-0000-0000-0000DE280000}"/>
    <cellStyle name="20% - Accent6 7 4 2 3 2" xfId="15178" xr:uid="{00000000-0005-0000-0000-0000DF280000}"/>
    <cellStyle name="20% - Accent6 7 4 2 3 2 2" xfId="39020" xr:uid="{1741F10F-77D6-4653-BC2B-3C77CF672D42}"/>
    <cellStyle name="20% - Accent6 7 4 2 3 3" xfId="23125" xr:uid="{00000000-0005-0000-0000-0000E0280000}"/>
    <cellStyle name="20% - Accent6 7 4 2 3 3 2" xfId="46957" xr:uid="{CD07827D-F440-4B91-B5D3-F45A686AFE8D}"/>
    <cellStyle name="20% - Accent6 7 4 2 3 4" xfId="31079" xr:uid="{D04114AF-A1DE-4733-80FD-6C62F6BE6B1A}"/>
    <cellStyle name="20% - Accent6 7 4 2 4" xfId="11642" xr:uid="{00000000-0005-0000-0000-0000E1280000}"/>
    <cellStyle name="20% - Accent6 7 4 2 4 2" xfId="35491" xr:uid="{EEEEA251-4ABE-4BA4-A4C6-2C36C9D68E37}"/>
    <cellStyle name="20% - Accent6 7 4 2 5" xfId="19597" xr:uid="{00000000-0005-0000-0000-0000E2280000}"/>
    <cellStyle name="20% - Accent6 7 4 2 5 2" xfId="43429" xr:uid="{EA3124EF-8707-481C-9CBE-C0893423752E}"/>
    <cellStyle name="20% - Accent6 7 4 2 6" xfId="27549" xr:uid="{53F2FD14-40D3-429F-B4EB-6C9C041767AD}"/>
    <cellStyle name="20% - Accent6 7 4 2_Exh G" xfId="2663" xr:uid="{00000000-0005-0000-0000-0000E3280000}"/>
    <cellStyle name="20% - Accent6 7 4 3" xfId="4495" xr:uid="{00000000-0005-0000-0000-0000E4280000}"/>
    <cellStyle name="20% - Accent6 7 4 3 2" xfId="8087" xr:uid="{00000000-0005-0000-0000-0000E5280000}"/>
    <cellStyle name="20% - Accent6 7 4 3 2 2" xfId="16058" xr:uid="{00000000-0005-0000-0000-0000E6280000}"/>
    <cellStyle name="20% - Accent6 7 4 3 2 2 2" xfId="39900" xr:uid="{F6AE1FC9-CD0A-431B-B6A0-60A84B3BED98}"/>
    <cellStyle name="20% - Accent6 7 4 3 2 3" xfId="24004" xr:uid="{00000000-0005-0000-0000-0000E7280000}"/>
    <cellStyle name="20% - Accent6 7 4 3 2 3 2" xfId="47836" xr:uid="{07FBC122-439F-4DFB-A6FE-DB905FBC3B6A}"/>
    <cellStyle name="20% - Accent6 7 4 3 2 4" xfId="31959" xr:uid="{B6ABD5D6-45FE-4498-B432-D202A16A46A1}"/>
    <cellStyle name="20% - Accent6 7 4 3 3" xfId="12520" xr:uid="{00000000-0005-0000-0000-0000E8280000}"/>
    <cellStyle name="20% - Accent6 7 4 3 3 2" xfId="36369" xr:uid="{C37A7881-79F1-4F36-93CC-36F3C16D1E39}"/>
    <cellStyle name="20% - Accent6 7 4 3 4" xfId="20475" xr:uid="{00000000-0005-0000-0000-0000E9280000}"/>
    <cellStyle name="20% - Accent6 7 4 3 4 2" xfId="44307" xr:uid="{8C3C78C9-95F4-4D65-A559-48E20D5913ED}"/>
    <cellStyle name="20% - Accent6 7 4 3 5" xfId="28428" xr:uid="{83A23E5E-B19F-40E3-92FB-E632B7502D3E}"/>
    <cellStyle name="20% - Accent6 7 4 4" xfId="6325" xr:uid="{00000000-0005-0000-0000-0000EA280000}"/>
    <cellStyle name="20% - Accent6 7 4 4 2" xfId="14300" xr:uid="{00000000-0005-0000-0000-0000EB280000}"/>
    <cellStyle name="20% - Accent6 7 4 4 2 2" xfId="38142" xr:uid="{00049783-B50C-4BA5-9EB7-BBD762FFB80D}"/>
    <cellStyle name="20% - Accent6 7 4 4 3" xfId="22247" xr:uid="{00000000-0005-0000-0000-0000EC280000}"/>
    <cellStyle name="20% - Accent6 7 4 4 3 2" xfId="46079" xr:uid="{D47CA4DF-042C-4BF9-AD36-728BB7C364F0}"/>
    <cellStyle name="20% - Accent6 7 4 4 4" xfId="30201" xr:uid="{F193F334-8398-43E0-955B-0A6C4D296DF9}"/>
    <cellStyle name="20% - Accent6 7 4 5" xfId="9868" xr:uid="{00000000-0005-0000-0000-0000ED280000}"/>
    <cellStyle name="20% - Accent6 7 4 5 2" xfId="17826" xr:uid="{00000000-0005-0000-0000-0000EE280000}"/>
    <cellStyle name="20% - Accent6 7 4 5 2 2" xfId="41666" xr:uid="{BB39DD78-FA62-44A1-83BD-5443262AC1F0}"/>
    <cellStyle name="20% - Accent6 7 4 5 3" xfId="25770" xr:uid="{00000000-0005-0000-0000-0000EF280000}"/>
    <cellStyle name="20% - Accent6 7 4 5 3 2" xfId="49602" xr:uid="{6E513686-0897-476A-B0F6-813A009E7AD5}"/>
    <cellStyle name="20% - Accent6 7 4 5 4" xfId="33725" xr:uid="{981DCE9C-58D3-4C21-9FD4-27D15E22A9B9}"/>
    <cellStyle name="20% - Accent6 7 4 6" xfId="10764" xr:uid="{00000000-0005-0000-0000-0000F0280000}"/>
    <cellStyle name="20% - Accent6 7 4 6 2" xfId="34613" xr:uid="{484D3CF9-2C17-4F92-B581-A493936C918A}"/>
    <cellStyle name="20% - Accent6 7 4 7" xfId="18719" xr:uid="{00000000-0005-0000-0000-0000F1280000}"/>
    <cellStyle name="20% - Accent6 7 4 7 2" xfId="42551" xr:uid="{2BD212D9-960B-425D-9BCD-7428E7443E57}"/>
    <cellStyle name="20% - Accent6 7 4 8" xfId="26671" xr:uid="{606ED111-F808-4284-B026-2C7FA87E66DA}"/>
    <cellStyle name="20% - Accent6 7 4_Exh G" xfId="2662" xr:uid="{00000000-0005-0000-0000-0000F2280000}"/>
    <cellStyle name="20% - Accent6 7 5" xfId="1347" xr:uid="{00000000-0005-0000-0000-0000F3280000}"/>
    <cellStyle name="20% - Accent6 7 5 2" xfId="4877" xr:uid="{00000000-0005-0000-0000-0000F4280000}"/>
    <cellStyle name="20% - Accent6 7 5 2 2" xfId="8468" xr:uid="{00000000-0005-0000-0000-0000F5280000}"/>
    <cellStyle name="20% - Accent6 7 5 2 2 2" xfId="16439" xr:uid="{00000000-0005-0000-0000-0000F6280000}"/>
    <cellStyle name="20% - Accent6 7 5 2 2 2 2" xfId="40281" xr:uid="{15C172F9-205C-4D1D-9A6A-1051885EBA51}"/>
    <cellStyle name="20% - Accent6 7 5 2 2 3" xfId="24385" xr:uid="{00000000-0005-0000-0000-0000F7280000}"/>
    <cellStyle name="20% - Accent6 7 5 2 2 3 2" xfId="48217" xr:uid="{418D1DB5-A7E5-49EF-9E03-2DC2EFD5207A}"/>
    <cellStyle name="20% - Accent6 7 5 2 2 4" xfId="32340" xr:uid="{85112CD6-0932-46EA-8773-E35CE4D36D06}"/>
    <cellStyle name="20% - Accent6 7 5 2 3" xfId="12901" xr:uid="{00000000-0005-0000-0000-0000F8280000}"/>
    <cellStyle name="20% - Accent6 7 5 2 3 2" xfId="36750" xr:uid="{00538702-7B4D-4151-9F2D-6DD569BB3C89}"/>
    <cellStyle name="20% - Accent6 7 5 2 4" xfId="20856" xr:uid="{00000000-0005-0000-0000-0000F9280000}"/>
    <cellStyle name="20% - Accent6 7 5 2 4 2" xfId="44688" xr:uid="{DDE079C1-6AC7-4E75-AB1B-EF41898F7084}"/>
    <cellStyle name="20% - Accent6 7 5 2 5" xfId="28809" xr:uid="{35591EED-69C2-4534-8243-C51628B53F19}"/>
    <cellStyle name="20% - Accent6 7 5 3" xfId="6709" xr:uid="{00000000-0005-0000-0000-0000FA280000}"/>
    <cellStyle name="20% - Accent6 7 5 3 2" xfId="14681" xr:uid="{00000000-0005-0000-0000-0000FB280000}"/>
    <cellStyle name="20% - Accent6 7 5 3 2 2" xfId="38523" xr:uid="{4EBE5595-88BF-4D9C-9426-D3C8FD9B2A6B}"/>
    <cellStyle name="20% - Accent6 7 5 3 3" xfId="22628" xr:uid="{00000000-0005-0000-0000-0000FC280000}"/>
    <cellStyle name="20% - Accent6 7 5 3 3 2" xfId="46460" xr:uid="{9083F2E8-A051-4282-9502-7F65D25A311B}"/>
    <cellStyle name="20% - Accent6 7 5 3 4" xfId="30582" xr:uid="{F67CA743-EE00-4757-8F0E-9D1FE51BDAA5}"/>
    <cellStyle name="20% - Accent6 7 5 4" xfId="11145" xr:uid="{00000000-0005-0000-0000-0000FD280000}"/>
    <cellStyle name="20% - Accent6 7 5 4 2" xfId="34994" xr:uid="{0310B885-0CC7-4FFE-96B5-20BCCF9856BA}"/>
    <cellStyle name="20% - Accent6 7 5 5" xfId="19100" xr:uid="{00000000-0005-0000-0000-0000FE280000}"/>
    <cellStyle name="20% - Accent6 7 5 5 2" xfId="42932" xr:uid="{78B13E85-9272-40E1-86F6-447C2FB9859E}"/>
    <cellStyle name="20% - Accent6 7 5 6" xfId="27052" xr:uid="{45F47A4B-25A4-4050-A440-D5157E871E5F}"/>
    <cellStyle name="20% - Accent6 7 5_Exh G" xfId="2664" xr:uid="{00000000-0005-0000-0000-0000FF280000}"/>
    <cellStyle name="20% - Accent6 7 6" xfId="3998" xr:uid="{00000000-0005-0000-0000-000000290000}"/>
    <cellStyle name="20% - Accent6 7 6 2" xfId="7590" xr:uid="{00000000-0005-0000-0000-000001290000}"/>
    <cellStyle name="20% - Accent6 7 6 2 2" xfId="15561" xr:uid="{00000000-0005-0000-0000-000002290000}"/>
    <cellStyle name="20% - Accent6 7 6 2 2 2" xfId="39403" xr:uid="{06F9E3D4-A35A-402A-B17B-14EC88D8EE11}"/>
    <cellStyle name="20% - Accent6 7 6 2 3" xfId="23507" xr:uid="{00000000-0005-0000-0000-000003290000}"/>
    <cellStyle name="20% - Accent6 7 6 2 3 2" xfId="47339" xr:uid="{DBBE33CB-DFE2-48C5-9226-26304776B1C7}"/>
    <cellStyle name="20% - Accent6 7 6 2 4" xfId="31462" xr:uid="{CDB8FBBD-24BB-4B25-B737-23AE26C1FECD}"/>
    <cellStyle name="20% - Accent6 7 6 3" xfId="12023" xr:uid="{00000000-0005-0000-0000-000004290000}"/>
    <cellStyle name="20% - Accent6 7 6 3 2" xfId="35872" xr:uid="{36295A84-0214-48A2-B905-B3E8C2313688}"/>
    <cellStyle name="20% - Accent6 7 6 4" xfId="19978" xr:uid="{00000000-0005-0000-0000-000005290000}"/>
    <cellStyle name="20% - Accent6 7 6 4 2" xfId="43810" xr:uid="{A1AF2D87-2559-49AC-A55C-31242B3D050D}"/>
    <cellStyle name="20% - Accent6 7 6 5" xfId="27931" xr:uid="{4B3B04BD-FA77-468F-A661-ED053CB9F4ED}"/>
    <cellStyle name="20% - Accent6 7 7" xfId="5818" xr:uid="{00000000-0005-0000-0000-000006290000}"/>
    <cellStyle name="20% - Accent6 7 7 2" xfId="13802" xr:uid="{00000000-0005-0000-0000-000007290000}"/>
    <cellStyle name="20% - Accent6 7 7 2 2" xfId="37645" xr:uid="{5F6BF118-BC68-414E-8CDF-0259E29CB178}"/>
    <cellStyle name="20% - Accent6 7 7 3" xfId="21750" xr:uid="{00000000-0005-0000-0000-000008290000}"/>
    <cellStyle name="20% - Accent6 7 7 3 2" xfId="45582" xr:uid="{273273AF-889D-435D-9F02-FA27BBDD6945}"/>
    <cellStyle name="20% - Accent6 7 7 4" xfId="29704" xr:uid="{A56FF251-0DED-4E7A-948D-8F3AD85FADDF}"/>
    <cellStyle name="20% - Accent6 7 8" xfId="9371" xr:uid="{00000000-0005-0000-0000-000009290000}"/>
    <cellStyle name="20% - Accent6 7 8 2" xfId="17329" xr:uid="{00000000-0005-0000-0000-00000A290000}"/>
    <cellStyle name="20% - Accent6 7 8 2 2" xfId="41169" xr:uid="{4BE0F2DA-2B62-4C2C-A28F-A134620AFAF6}"/>
    <cellStyle name="20% - Accent6 7 8 3" xfId="25273" xr:uid="{00000000-0005-0000-0000-00000B290000}"/>
    <cellStyle name="20% - Accent6 7 8 3 2" xfId="49105" xr:uid="{9D7D8F46-D731-46BD-978D-FA1386B36031}"/>
    <cellStyle name="20% - Accent6 7 8 4" xfId="33228" xr:uid="{AA4F169F-070B-4064-A803-E72A1964EBD8}"/>
    <cellStyle name="20% - Accent6 7 9" xfId="10267" xr:uid="{00000000-0005-0000-0000-00000C290000}"/>
    <cellStyle name="20% - Accent6 7 9 2" xfId="34116" xr:uid="{5177B7FC-D4AE-4A4A-9D2D-E789DC610B09}"/>
    <cellStyle name="20% - Accent6 7_Exh G" xfId="2655" xr:uid="{00000000-0005-0000-0000-00000D290000}"/>
    <cellStyle name="20% - Accent6 8" xfId="323" xr:uid="{00000000-0005-0000-0000-00000E290000}"/>
    <cellStyle name="20% - Accent6 8 10" xfId="18226" xr:uid="{00000000-0005-0000-0000-00000F290000}"/>
    <cellStyle name="20% - Accent6 8 10 2" xfId="42058" xr:uid="{1A24EECB-5E2D-4F62-8534-CBD6EAE0BAFD}"/>
    <cellStyle name="20% - Accent6 8 11" xfId="26178" xr:uid="{24524BB6-F7A1-42D8-9771-4DCC85BEC64F}"/>
    <cellStyle name="20% - Accent6 8 2" xfId="324" xr:uid="{00000000-0005-0000-0000-000010290000}"/>
    <cellStyle name="20% - Accent6 8 2 2" xfId="325" xr:uid="{00000000-0005-0000-0000-000011290000}"/>
    <cellStyle name="20% - Accent6 8 2 2 2" xfId="1353" xr:uid="{00000000-0005-0000-0000-000012290000}"/>
    <cellStyle name="20% - Accent6 8 2 2 2 2" xfId="4883" xr:uid="{00000000-0005-0000-0000-000013290000}"/>
    <cellStyle name="20% - Accent6 8 2 2 2 2 2" xfId="8474" xr:uid="{00000000-0005-0000-0000-000014290000}"/>
    <cellStyle name="20% - Accent6 8 2 2 2 2 2 2" xfId="16445" xr:uid="{00000000-0005-0000-0000-000015290000}"/>
    <cellStyle name="20% - Accent6 8 2 2 2 2 2 2 2" xfId="40287" xr:uid="{F11E175F-8878-4F0C-B442-975FC8212BBB}"/>
    <cellStyle name="20% - Accent6 8 2 2 2 2 2 3" xfId="24391" xr:uid="{00000000-0005-0000-0000-000016290000}"/>
    <cellStyle name="20% - Accent6 8 2 2 2 2 2 3 2" xfId="48223" xr:uid="{AE7F4E29-8254-4693-B2F7-7A97E14FDBA7}"/>
    <cellStyle name="20% - Accent6 8 2 2 2 2 2 4" xfId="32346" xr:uid="{AA13AB8E-5937-4B28-BE1B-DB35C5EA163F}"/>
    <cellStyle name="20% - Accent6 8 2 2 2 2 3" xfId="12907" xr:uid="{00000000-0005-0000-0000-000017290000}"/>
    <cellStyle name="20% - Accent6 8 2 2 2 2 3 2" xfId="36756" xr:uid="{11AE2DB7-ABF4-4573-B77D-3E970A0ABDD3}"/>
    <cellStyle name="20% - Accent6 8 2 2 2 2 4" xfId="20862" xr:uid="{00000000-0005-0000-0000-000018290000}"/>
    <cellStyle name="20% - Accent6 8 2 2 2 2 4 2" xfId="44694" xr:uid="{E077AEF4-940F-4557-9A92-777AB419F516}"/>
    <cellStyle name="20% - Accent6 8 2 2 2 2 5" xfId="28815" xr:uid="{3F2CF759-50B2-4D99-AF34-A35C252D460C}"/>
    <cellStyle name="20% - Accent6 8 2 2 2 3" xfId="6715" xr:uid="{00000000-0005-0000-0000-000019290000}"/>
    <cellStyle name="20% - Accent6 8 2 2 2 3 2" xfId="14687" xr:uid="{00000000-0005-0000-0000-00001A290000}"/>
    <cellStyle name="20% - Accent6 8 2 2 2 3 2 2" xfId="38529" xr:uid="{038C997F-0C87-4545-880B-75C1FA5512D8}"/>
    <cellStyle name="20% - Accent6 8 2 2 2 3 3" xfId="22634" xr:uid="{00000000-0005-0000-0000-00001B290000}"/>
    <cellStyle name="20% - Accent6 8 2 2 2 3 3 2" xfId="46466" xr:uid="{E466BB94-F1F1-4962-BA09-AC5DCD5D35FF}"/>
    <cellStyle name="20% - Accent6 8 2 2 2 3 4" xfId="30588" xr:uid="{5D1FB1A8-4EB8-49FA-919F-9423B2B802CC}"/>
    <cellStyle name="20% - Accent6 8 2 2 2 4" xfId="11151" xr:uid="{00000000-0005-0000-0000-00001C290000}"/>
    <cellStyle name="20% - Accent6 8 2 2 2 4 2" xfId="35000" xr:uid="{C26681CD-D5E4-46C2-8044-5E4DF2571708}"/>
    <cellStyle name="20% - Accent6 8 2 2 2 5" xfId="19106" xr:uid="{00000000-0005-0000-0000-00001D290000}"/>
    <cellStyle name="20% - Accent6 8 2 2 2 5 2" xfId="42938" xr:uid="{910BE146-12EA-4E90-8D88-C1D078D0F6BD}"/>
    <cellStyle name="20% - Accent6 8 2 2 2 6" xfId="27058" xr:uid="{79ED6891-57E3-4CB1-9404-79FADC6D8C95}"/>
    <cellStyle name="20% - Accent6 8 2 2 2_Exh G" xfId="2668" xr:uid="{00000000-0005-0000-0000-00001E290000}"/>
    <cellStyle name="20% - Accent6 8 2 2 3" xfId="4004" xr:uid="{00000000-0005-0000-0000-00001F290000}"/>
    <cellStyle name="20% - Accent6 8 2 2 3 2" xfId="7596" xr:uid="{00000000-0005-0000-0000-000020290000}"/>
    <cellStyle name="20% - Accent6 8 2 2 3 2 2" xfId="15567" xr:uid="{00000000-0005-0000-0000-000021290000}"/>
    <cellStyle name="20% - Accent6 8 2 2 3 2 2 2" xfId="39409" xr:uid="{C95C5278-E91F-4D80-99EF-DDE87C0E04F0}"/>
    <cellStyle name="20% - Accent6 8 2 2 3 2 3" xfId="23513" xr:uid="{00000000-0005-0000-0000-000022290000}"/>
    <cellStyle name="20% - Accent6 8 2 2 3 2 3 2" xfId="47345" xr:uid="{A78341E1-037C-49FB-A790-765FECE6E411}"/>
    <cellStyle name="20% - Accent6 8 2 2 3 2 4" xfId="31468" xr:uid="{EE8CEEAF-0997-49B6-A10F-962C9280A158}"/>
    <cellStyle name="20% - Accent6 8 2 2 3 3" xfId="12029" xr:uid="{00000000-0005-0000-0000-000023290000}"/>
    <cellStyle name="20% - Accent6 8 2 2 3 3 2" xfId="35878" xr:uid="{58C31241-1C5B-455A-B4D5-4FF33250543F}"/>
    <cellStyle name="20% - Accent6 8 2 2 3 4" xfId="19984" xr:uid="{00000000-0005-0000-0000-000024290000}"/>
    <cellStyle name="20% - Accent6 8 2 2 3 4 2" xfId="43816" xr:uid="{75F696F2-8B29-4EDC-B1C7-C56CFCC5387B}"/>
    <cellStyle name="20% - Accent6 8 2 2 3 5" xfId="27937" xr:uid="{B4F668E4-6920-46F2-BAB6-DE4703A21B3F}"/>
    <cellStyle name="20% - Accent6 8 2 2 4" xfId="5824" xr:uid="{00000000-0005-0000-0000-000025290000}"/>
    <cellStyle name="20% - Accent6 8 2 2 4 2" xfId="13808" xr:uid="{00000000-0005-0000-0000-000026290000}"/>
    <cellStyle name="20% - Accent6 8 2 2 4 2 2" xfId="37651" xr:uid="{E7696333-B660-4403-80F9-ABB21D170AD5}"/>
    <cellStyle name="20% - Accent6 8 2 2 4 3" xfId="21756" xr:uid="{00000000-0005-0000-0000-000027290000}"/>
    <cellStyle name="20% - Accent6 8 2 2 4 3 2" xfId="45588" xr:uid="{26162AFF-894C-43B9-B908-AA0C72772EF4}"/>
    <cellStyle name="20% - Accent6 8 2 2 4 4" xfId="29710" xr:uid="{42B131A7-10E1-4525-84E7-8C93A7E24AF6}"/>
    <cellStyle name="20% - Accent6 8 2 2 5" xfId="9377" xr:uid="{00000000-0005-0000-0000-000028290000}"/>
    <cellStyle name="20% - Accent6 8 2 2 5 2" xfId="17335" xr:uid="{00000000-0005-0000-0000-000029290000}"/>
    <cellStyle name="20% - Accent6 8 2 2 5 2 2" xfId="41175" xr:uid="{4FEB9DEE-D844-4E0A-9EEF-834B21EEFE45}"/>
    <cellStyle name="20% - Accent6 8 2 2 5 3" xfId="25279" xr:uid="{00000000-0005-0000-0000-00002A290000}"/>
    <cellStyle name="20% - Accent6 8 2 2 5 3 2" xfId="49111" xr:uid="{2B7A00C9-C558-43C4-95A1-554F5DA0A91F}"/>
    <cellStyle name="20% - Accent6 8 2 2 5 4" xfId="33234" xr:uid="{0C24055C-A14C-480C-A265-839FBC88B8FB}"/>
    <cellStyle name="20% - Accent6 8 2 2 6" xfId="10273" xr:uid="{00000000-0005-0000-0000-00002B290000}"/>
    <cellStyle name="20% - Accent6 8 2 2 6 2" xfId="34122" xr:uid="{2E69F190-D64B-4BFC-82F0-0672AB3260C1}"/>
    <cellStyle name="20% - Accent6 8 2 2 7" xfId="18228" xr:uid="{00000000-0005-0000-0000-00002C290000}"/>
    <cellStyle name="20% - Accent6 8 2 2 7 2" xfId="42060" xr:uid="{0A843CB8-2886-4C2D-861E-2142998FA820}"/>
    <cellStyle name="20% - Accent6 8 2 2 8" xfId="26180" xr:uid="{D5A3BE5E-0045-4936-9DD1-ADE192AFEDA8}"/>
    <cellStyle name="20% - Accent6 8 2 2_Exh G" xfId="2667" xr:uid="{00000000-0005-0000-0000-00002D290000}"/>
    <cellStyle name="20% - Accent6 8 2 3" xfId="1352" xr:uid="{00000000-0005-0000-0000-00002E290000}"/>
    <cellStyle name="20% - Accent6 8 2 3 2" xfId="4882" xr:uid="{00000000-0005-0000-0000-00002F290000}"/>
    <cellStyle name="20% - Accent6 8 2 3 2 2" xfId="8473" xr:uid="{00000000-0005-0000-0000-000030290000}"/>
    <cellStyle name="20% - Accent6 8 2 3 2 2 2" xfId="16444" xr:uid="{00000000-0005-0000-0000-000031290000}"/>
    <cellStyle name="20% - Accent6 8 2 3 2 2 2 2" xfId="40286" xr:uid="{5898BD21-F9F9-40EC-82E1-1A9FB6ACBB68}"/>
    <cellStyle name="20% - Accent6 8 2 3 2 2 3" xfId="24390" xr:uid="{00000000-0005-0000-0000-000032290000}"/>
    <cellStyle name="20% - Accent6 8 2 3 2 2 3 2" xfId="48222" xr:uid="{BFB6C5D8-9686-4599-A169-97A6E1F2C912}"/>
    <cellStyle name="20% - Accent6 8 2 3 2 2 4" xfId="32345" xr:uid="{843931DF-CB1B-4946-A107-759F60F494D9}"/>
    <cellStyle name="20% - Accent6 8 2 3 2 3" xfId="12906" xr:uid="{00000000-0005-0000-0000-000033290000}"/>
    <cellStyle name="20% - Accent6 8 2 3 2 3 2" xfId="36755" xr:uid="{56D46679-D543-48EC-81D0-D21727F96B0E}"/>
    <cellStyle name="20% - Accent6 8 2 3 2 4" xfId="20861" xr:uid="{00000000-0005-0000-0000-000034290000}"/>
    <cellStyle name="20% - Accent6 8 2 3 2 4 2" xfId="44693" xr:uid="{42C51098-9D66-4AD2-8B62-8F7263982FC3}"/>
    <cellStyle name="20% - Accent6 8 2 3 2 5" xfId="28814" xr:uid="{F4FD30D1-DAD1-47C7-A11D-7B28BC17D878}"/>
    <cellStyle name="20% - Accent6 8 2 3 3" xfId="6714" xr:uid="{00000000-0005-0000-0000-000035290000}"/>
    <cellStyle name="20% - Accent6 8 2 3 3 2" xfId="14686" xr:uid="{00000000-0005-0000-0000-000036290000}"/>
    <cellStyle name="20% - Accent6 8 2 3 3 2 2" xfId="38528" xr:uid="{2772E8FD-E771-479E-82A6-D8941326C7DE}"/>
    <cellStyle name="20% - Accent6 8 2 3 3 3" xfId="22633" xr:uid="{00000000-0005-0000-0000-000037290000}"/>
    <cellStyle name="20% - Accent6 8 2 3 3 3 2" xfId="46465" xr:uid="{581482F9-8C6B-487C-9822-957A53BC91A1}"/>
    <cellStyle name="20% - Accent6 8 2 3 3 4" xfId="30587" xr:uid="{A392503D-2016-42D2-8DE5-63E0BD0028C3}"/>
    <cellStyle name="20% - Accent6 8 2 3 4" xfId="11150" xr:uid="{00000000-0005-0000-0000-000038290000}"/>
    <cellStyle name="20% - Accent6 8 2 3 4 2" xfId="34999" xr:uid="{5A49FE9C-6689-43A0-A607-0A2A87C265BD}"/>
    <cellStyle name="20% - Accent6 8 2 3 5" xfId="19105" xr:uid="{00000000-0005-0000-0000-000039290000}"/>
    <cellStyle name="20% - Accent6 8 2 3 5 2" xfId="42937" xr:uid="{865B6252-4E25-43A4-BD9F-0B037E72A1E4}"/>
    <cellStyle name="20% - Accent6 8 2 3 6" xfId="27057" xr:uid="{51298DAE-5C0C-4D10-BDCA-65602B4D221E}"/>
    <cellStyle name="20% - Accent6 8 2 3_Exh G" xfId="2669" xr:uid="{00000000-0005-0000-0000-00003A290000}"/>
    <cellStyle name="20% - Accent6 8 2 4" xfId="4003" xr:uid="{00000000-0005-0000-0000-00003B290000}"/>
    <cellStyle name="20% - Accent6 8 2 4 2" xfId="7595" xr:uid="{00000000-0005-0000-0000-00003C290000}"/>
    <cellStyle name="20% - Accent6 8 2 4 2 2" xfId="15566" xr:uid="{00000000-0005-0000-0000-00003D290000}"/>
    <cellStyle name="20% - Accent6 8 2 4 2 2 2" xfId="39408" xr:uid="{D5B91A83-9201-4C1D-AFD0-9FBBDEA05367}"/>
    <cellStyle name="20% - Accent6 8 2 4 2 3" xfId="23512" xr:uid="{00000000-0005-0000-0000-00003E290000}"/>
    <cellStyle name="20% - Accent6 8 2 4 2 3 2" xfId="47344" xr:uid="{989ABABC-0123-440D-93DE-24791A96E8EA}"/>
    <cellStyle name="20% - Accent6 8 2 4 2 4" xfId="31467" xr:uid="{83BB3750-1077-45C0-A0EA-D0FA847C7B2A}"/>
    <cellStyle name="20% - Accent6 8 2 4 3" xfId="12028" xr:uid="{00000000-0005-0000-0000-00003F290000}"/>
    <cellStyle name="20% - Accent6 8 2 4 3 2" xfId="35877" xr:uid="{69220A07-C4C4-4B80-8082-3A0CBC2D156E}"/>
    <cellStyle name="20% - Accent6 8 2 4 4" xfId="19983" xr:uid="{00000000-0005-0000-0000-000040290000}"/>
    <cellStyle name="20% - Accent6 8 2 4 4 2" xfId="43815" xr:uid="{49B54F41-363C-45F2-8074-11B2A58DD88A}"/>
    <cellStyle name="20% - Accent6 8 2 4 5" xfId="27936" xr:uid="{05A655C1-2818-4656-B2AA-4F9F843D590E}"/>
    <cellStyle name="20% - Accent6 8 2 5" xfId="5823" xr:uid="{00000000-0005-0000-0000-000041290000}"/>
    <cellStyle name="20% - Accent6 8 2 5 2" xfId="13807" xr:uid="{00000000-0005-0000-0000-000042290000}"/>
    <cellStyle name="20% - Accent6 8 2 5 2 2" xfId="37650" xr:uid="{E4D6B3D3-3E01-4800-8177-DF002C25688C}"/>
    <cellStyle name="20% - Accent6 8 2 5 3" xfId="21755" xr:uid="{00000000-0005-0000-0000-000043290000}"/>
    <cellStyle name="20% - Accent6 8 2 5 3 2" xfId="45587" xr:uid="{F84DAB44-E846-4572-AF00-944F7BBB9070}"/>
    <cellStyle name="20% - Accent6 8 2 5 4" xfId="29709" xr:uid="{E9197CB5-752B-4116-A17C-123A683A7B9D}"/>
    <cellStyle name="20% - Accent6 8 2 6" xfId="9376" xr:uid="{00000000-0005-0000-0000-000044290000}"/>
    <cellStyle name="20% - Accent6 8 2 6 2" xfId="17334" xr:uid="{00000000-0005-0000-0000-000045290000}"/>
    <cellStyle name="20% - Accent6 8 2 6 2 2" xfId="41174" xr:uid="{C352D2F5-25E6-477F-B06A-1FA5A73DB0F6}"/>
    <cellStyle name="20% - Accent6 8 2 6 3" xfId="25278" xr:uid="{00000000-0005-0000-0000-000046290000}"/>
    <cellStyle name="20% - Accent6 8 2 6 3 2" xfId="49110" xr:uid="{43324B60-ADE0-46CD-BC27-6F4B9667C185}"/>
    <cellStyle name="20% - Accent6 8 2 6 4" xfId="33233" xr:uid="{CF5FA0FD-9BDC-4D75-9B2B-D4C4F6623961}"/>
    <cellStyle name="20% - Accent6 8 2 7" xfId="10272" xr:uid="{00000000-0005-0000-0000-000047290000}"/>
    <cellStyle name="20% - Accent6 8 2 7 2" xfId="34121" xr:uid="{02CB153C-6AB4-4C0D-B406-6C6B5A989CB6}"/>
    <cellStyle name="20% - Accent6 8 2 8" xfId="18227" xr:uid="{00000000-0005-0000-0000-000048290000}"/>
    <cellStyle name="20% - Accent6 8 2 8 2" xfId="42059" xr:uid="{FAC3077A-6046-49FE-9320-20A6AAA04F31}"/>
    <cellStyle name="20% - Accent6 8 2 9" xfId="26179" xr:uid="{47F52BB4-A0AC-4E0E-84A6-63D492F74EA6}"/>
    <cellStyle name="20% - Accent6 8 2_Exh G" xfId="2666" xr:uid="{00000000-0005-0000-0000-000049290000}"/>
    <cellStyle name="20% - Accent6 8 3" xfId="326" xr:uid="{00000000-0005-0000-0000-00004A290000}"/>
    <cellStyle name="20% - Accent6 8 3 2" xfId="1354" xr:uid="{00000000-0005-0000-0000-00004B290000}"/>
    <cellStyle name="20% - Accent6 8 3 2 2" xfId="4884" xr:uid="{00000000-0005-0000-0000-00004C290000}"/>
    <cellStyle name="20% - Accent6 8 3 2 2 2" xfId="8475" xr:uid="{00000000-0005-0000-0000-00004D290000}"/>
    <cellStyle name="20% - Accent6 8 3 2 2 2 2" xfId="16446" xr:uid="{00000000-0005-0000-0000-00004E290000}"/>
    <cellStyle name="20% - Accent6 8 3 2 2 2 2 2" xfId="40288" xr:uid="{3874C6EE-4E23-4B99-A606-1E1A3D0BDE9C}"/>
    <cellStyle name="20% - Accent6 8 3 2 2 2 3" xfId="24392" xr:uid="{00000000-0005-0000-0000-00004F290000}"/>
    <cellStyle name="20% - Accent6 8 3 2 2 2 3 2" xfId="48224" xr:uid="{75068DDC-D657-4DC1-A496-FE843B8D6EBE}"/>
    <cellStyle name="20% - Accent6 8 3 2 2 2 4" xfId="32347" xr:uid="{C6624E82-9146-4380-8C9B-79721CC5A814}"/>
    <cellStyle name="20% - Accent6 8 3 2 2 3" xfId="12908" xr:uid="{00000000-0005-0000-0000-000050290000}"/>
    <cellStyle name="20% - Accent6 8 3 2 2 3 2" xfId="36757" xr:uid="{6B959BFD-C1CB-432E-B10C-D88D984594B2}"/>
    <cellStyle name="20% - Accent6 8 3 2 2 4" xfId="20863" xr:uid="{00000000-0005-0000-0000-000051290000}"/>
    <cellStyle name="20% - Accent6 8 3 2 2 4 2" xfId="44695" xr:uid="{5E38EB53-86F2-473A-B080-ACAEE9CB8082}"/>
    <cellStyle name="20% - Accent6 8 3 2 2 5" xfId="28816" xr:uid="{2D24A2AF-6105-41FB-AF39-28069A2134C8}"/>
    <cellStyle name="20% - Accent6 8 3 2 3" xfId="6716" xr:uid="{00000000-0005-0000-0000-000052290000}"/>
    <cellStyle name="20% - Accent6 8 3 2 3 2" xfId="14688" xr:uid="{00000000-0005-0000-0000-000053290000}"/>
    <cellStyle name="20% - Accent6 8 3 2 3 2 2" xfId="38530" xr:uid="{786A5A08-985A-4267-8FBD-CFA5F676148D}"/>
    <cellStyle name="20% - Accent6 8 3 2 3 3" xfId="22635" xr:uid="{00000000-0005-0000-0000-000054290000}"/>
    <cellStyle name="20% - Accent6 8 3 2 3 3 2" xfId="46467" xr:uid="{8079A31D-6B77-47FE-80AA-1E453A164F17}"/>
    <cellStyle name="20% - Accent6 8 3 2 3 4" xfId="30589" xr:uid="{5E69085D-D297-424B-B15B-114506751F76}"/>
    <cellStyle name="20% - Accent6 8 3 2 4" xfId="11152" xr:uid="{00000000-0005-0000-0000-000055290000}"/>
    <cellStyle name="20% - Accent6 8 3 2 4 2" xfId="35001" xr:uid="{CC8E36F9-AAAF-4301-85C1-4ABAA0E14F5D}"/>
    <cellStyle name="20% - Accent6 8 3 2 5" xfId="19107" xr:uid="{00000000-0005-0000-0000-000056290000}"/>
    <cellStyle name="20% - Accent6 8 3 2 5 2" xfId="42939" xr:uid="{6371AA52-FEC1-4442-B4FC-6B894F55135A}"/>
    <cellStyle name="20% - Accent6 8 3 2 6" xfId="27059" xr:uid="{D775896B-CB0F-4851-863D-91973F61C922}"/>
    <cellStyle name="20% - Accent6 8 3 2_Exh G" xfId="2671" xr:uid="{00000000-0005-0000-0000-000057290000}"/>
    <cellStyle name="20% - Accent6 8 3 3" xfId="4005" xr:uid="{00000000-0005-0000-0000-000058290000}"/>
    <cellStyle name="20% - Accent6 8 3 3 2" xfId="7597" xr:uid="{00000000-0005-0000-0000-000059290000}"/>
    <cellStyle name="20% - Accent6 8 3 3 2 2" xfId="15568" xr:uid="{00000000-0005-0000-0000-00005A290000}"/>
    <cellStyle name="20% - Accent6 8 3 3 2 2 2" xfId="39410" xr:uid="{B8BE1FA2-9884-4545-9E52-A6069B0B8CFC}"/>
    <cellStyle name="20% - Accent6 8 3 3 2 3" xfId="23514" xr:uid="{00000000-0005-0000-0000-00005B290000}"/>
    <cellStyle name="20% - Accent6 8 3 3 2 3 2" xfId="47346" xr:uid="{07F6784A-BC84-4DDF-9464-A4C789283BBB}"/>
    <cellStyle name="20% - Accent6 8 3 3 2 4" xfId="31469" xr:uid="{C0DFECBE-96ED-4859-87F7-F6B4B40D7B5F}"/>
    <cellStyle name="20% - Accent6 8 3 3 3" xfId="12030" xr:uid="{00000000-0005-0000-0000-00005C290000}"/>
    <cellStyle name="20% - Accent6 8 3 3 3 2" xfId="35879" xr:uid="{48115AF9-9F8C-4409-BF57-4CD8FC7AC103}"/>
    <cellStyle name="20% - Accent6 8 3 3 4" xfId="19985" xr:uid="{00000000-0005-0000-0000-00005D290000}"/>
    <cellStyle name="20% - Accent6 8 3 3 4 2" xfId="43817" xr:uid="{3E525E80-F513-4118-B831-D11A86F68105}"/>
    <cellStyle name="20% - Accent6 8 3 3 5" xfId="27938" xr:uid="{C72F2C30-7A4E-4E17-B1DB-ED9707B018E5}"/>
    <cellStyle name="20% - Accent6 8 3 4" xfId="5825" xr:uid="{00000000-0005-0000-0000-00005E290000}"/>
    <cellStyle name="20% - Accent6 8 3 4 2" xfId="13809" xr:uid="{00000000-0005-0000-0000-00005F290000}"/>
    <cellStyle name="20% - Accent6 8 3 4 2 2" xfId="37652" xr:uid="{3DDC7AAA-B8E3-48C5-83E4-DDA0CDF3CA61}"/>
    <cellStyle name="20% - Accent6 8 3 4 3" xfId="21757" xr:uid="{00000000-0005-0000-0000-000060290000}"/>
    <cellStyle name="20% - Accent6 8 3 4 3 2" xfId="45589" xr:uid="{FEF70576-C22F-4421-B861-7ECAA2DF288B}"/>
    <cellStyle name="20% - Accent6 8 3 4 4" xfId="29711" xr:uid="{60F48A40-AE09-4D3A-8B73-11B59FD95B1F}"/>
    <cellStyle name="20% - Accent6 8 3 5" xfId="9378" xr:uid="{00000000-0005-0000-0000-000061290000}"/>
    <cellStyle name="20% - Accent6 8 3 5 2" xfId="17336" xr:uid="{00000000-0005-0000-0000-000062290000}"/>
    <cellStyle name="20% - Accent6 8 3 5 2 2" xfId="41176" xr:uid="{287544FC-1DBE-4280-B61B-782D8E8DA7F2}"/>
    <cellStyle name="20% - Accent6 8 3 5 3" xfId="25280" xr:uid="{00000000-0005-0000-0000-000063290000}"/>
    <cellStyle name="20% - Accent6 8 3 5 3 2" xfId="49112" xr:uid="{A35C0C3B-6C16-4111-BDED-45E857C65F47}"/>
    <cellStyle name="20% - Accent6 8 3 5 4" xfId="33235" xr:uid="{A1A78C7F-E3E1-423E-BA66-BDFE89F25E01}"/>
    <cellStyle name="20% - Accent6 8 3 6" xfId="10274" xr:uid="{00000000-0005-0000-0000-000064290000}"/>
    <cellStyle name="20% - Accent6 8 3 6 2" xfId="34123" xr:uid="{13C3C3CF-CF7D-4E57-B95D-5B9E397D0B14}"/>
    <cellStyle name="20% - Accent6 8 3 7" xfId="18229" xr:uid="{00000000-0005-0000-0000-000065290000}"/>
    <cellStyle name="20% - Accent6 8 3 7 2" xfId="42061" xr:uid="{067C05DE-CBAD-4949-A26D-06067930F516}"/>
    <cellStyle name="20% - Accent6 8 3 8" xfId="26181" xr:uid="{94E8BD46-8255-45EC-BF93-E6DCD87F5666}"/>
    <cellStyle name="20% - Accent6 8 3_Exh G" xfId="2670" xr:uid="{00000000-0005-0000-0000-000066290000}"/>
    <cellStyle name="20% - Accent6 8 4" xfId="932" xr:uid="{00000000-0005-0000-0000-000067290000}"/>
    <cellStyle name="20% - Accent6 8 4 2" xfId="1857" xr:uid="{00000000-0005-0000-0000-000068290000}"/>
    <cellStyle name="20% - Accent6 8 4 2 2" xfId="5375" xr:uid="{00000000-0005-0000-0000-000069290000}"/>
    <cellStyle name="20% - Accent6 8 4 2 2 2" xfId="8966" xr:uid="{00000000-0005-0000-0000-00006A290000}"/>
    <cellStyle name="20% - Accent6 8 4 2 2 2 2" xfId="16937" xr:uid="{00000000-0005-0000-0000-00006B290000}"/>
    <cellStyle name="20% - Accent6 8 4 2 2 2 2 2" xfId="40779" xr:uid="{A795062D-5B36-4698-B008-8AE1F1F40619}"/>
    <cellStyle name="20% - Accent6 8 4 2 2 2 3" xfId="24883" xr:uid="{00000000-0005-0000-0000-00006C290000}"/>
    <cellStyle name="20% - Accent6 8 4 2 2 2 3 2" xfId="48715" xr:uid="{6A5AA2B8-0A6F-4486-9EF1-8E03B2CA3F71}"/>
    <cellStyle name="20% - Accent6 8 4 2 2 2 4" xfId="32838" xr:uid="{6E704886-E9C3-4626-90EB-9EB3A48FDE52}"/>
    <cellStyle name="20% - Accent6 8 4 2 2 3" xfId="13399" xr:uid="{00000000-0005-0000-0000-00006D290000}"/>
    <cellStyle name="20% - Accent6 8 4 2 2 3 2" xfId="37248" xr:uid="{A72A45FE-A256-4384-ACB7-1D45C3E4A93C}"/>
    <cellStyle name="20% - Accent6 8 4 2 2 4" xfId="21354" xr:uid="{00000000-0005-0000-0000-00006E290000}"/>
    <cellStyle name="20% - Accent6 8 4 2 2 4 2" xfId="45186" xr:uid="{ACC4F4CD-3442-497E-8364-7EA074E28F74}"/>
    <cellStyle name="20% - Accent6 8 4 2 2 5" xfId="29307" xr:uid="{6E00E035-7579-43FC-B974-A30C5CB71055}"/>
    <cellStyle name="20% - Accent6 8 4 2 3" xfId="7207" xr:uid="{00000000-0005-0000-0000-00006F290000}"/>
    <cellStyle name="20% - Accent6 8 4 2 3 2" xfId="15179" xr:uid="{00000000-0005-0000-0000-000070290000}"/>
    <cellStyle name="20% - Accent6 8 4 2 3 2 2" xfId="39021" xr:uid="{4F8262AC-55A3-491F-B4A3-D6101E5CA6DB}"/>
    <cellStyle name="20% - Accent6 8 4 2 3 3" xfId="23126" xr:uid="{00000000-0005-0000-0000-000071290000}"/>
    <cellStyle name="20% - Accent6 8 4 2 3 3 2" xfId="46958" xr:uid="{7B2ACD8A-FDF0-4283-8196-0FDDBA93CDF4}"/>
    <cellStyle name="20% - Accent6 8 4 2 3 4" xfId="31080" xr:uid="{56D5B238-E49B-4FA4-BA8D-DD1F64BCA674}"/>
    <cellStyle name="20% - Accent6 8 4 2 4" xfId="11643" xr:uid="{00000000-0005-0000-0000-000072290000}"/>
    <cellStyle name="20% - Accent6 8 4 2 4 2" xfId="35492" xr:uid="{BB5641CA-3AAA-421D-BE8B-23F69A93AD09}"/>
    <cellStyle name="20% - Accent6 8 4 2 5" xfId="19598" xr:uid="{00000000-0005-0000-0000-000073290000}"/>
    <cellStyle name="20% - Accent6 8 4 2 5 2" xfId="43430" xr:uid="{5E049B0B-D46C-4752-9950-2574862ADB71}"/>
    <cellStyle name="20% - Accent6 8 4 2 6" xfId="27550" xr:uid="{CD17644C-FC29-4B01-AF1A-B2274B14E5BC}"/>
    <cellStyle name="20% - Accent6 8 4 2_Exh G" xfId="2673" xr:uid="{00000000-0005-0000-0000-000074290000}"/>
    <cellStyle name="20% - Accent6 8 4 3" xfId="4496" xr:uid="{00000000-0005-0000-0000-000075290000}"/>
    <cellStyle name="20% - Accent6 8 4 3 2" xfId="8088" xr:uid="{00000000-0005-0000-0000-000076290000}"/>
    <cellStyle name="20% - Accent6 8 4 3 2 2" xfId="16059" xr:uid="{00000000-0005-0000-0000-000077290000}"/>
    <cellStyle name="20% - Accent6 8 4 3 2 2 2" xfId="39901" xr:uid="{371B40C7-2CB7-47FB-80A2-D237F04A868A}"/>
    <cellStyle name="20% - Accent6 8 4 3 2 3" xfId="24005" xr:uid="{00000000-0005-0000-0000-000078290000}"/>
    <cellStyle name="20% - Accent6 8 4 3 2 3 2" xfId="47837" xr:uid="{BE31C0B2-FF87-4D6A-BB48-05032CEB743E}"/>
    <cellStyle name="20% - Accent6 8 4 3 2 4" xfId="31960" xr:uid="{5B8F2199-2E2F-42C7-A298-5DA90EFC7A88}"/>
    <cellStyle name="20% - Accent6 8 4 3 3" xfId="12521" xr:uid="{00000000-0005-0000-0000-000079290000}"/>
    <cellStyle name="20% - Accent6 8 4 3 3 2" xfId="36370" xr:uid="{775ADD57-5E73-46E0-8A80-643163900D50}"/>
    <cellStyle name="20% - Accent6 8 4 3 4" xfId="20476" xr:uid="{00000000-0005-0000-0000-00007A290000}"/>
    <cellStyle name="20% - Accent6 8 4 3 4 2" xfId="44308" xr:uid="{9218FB86-7B1F-462C-B22C-B8B447A78005}"/>
    <cellStyle name="20% - Accent6 8 4 3 5" xfId="28429" xr:uid="{4C6491F3-2B79-4CB9-BBA7-CF0068A8A83D}"/>
    <cellStyle name="20% - Accent6 8 4 4" xfId="6326" xr:uid="{00000000-0005-0000-0000-00007B290000}"/>
    <cellStyle name="20% - Accent6 8 4 4 2" xfId="14301" xr:uid="{00000000-0005-0000-0000-00007C290000}"/>
    <cellStyle name="20% - Accent6 8 4 4 2 2" xfId="38143" xr:uid="{2D0623FD-58A8-4091-8CA0-7D4F0863DF8D}"/>
    <cellStyle name="20% - Accent6 8 4 4 3" xfId="22248" xr:uid="{00000000-0005-0000-0000-00007D290000}"/>
    <cellStyle name="20% - Accent6 8 4 4 3 2" xfId="46080" xr:uid="{5F052741-1DD9-4E62-8BC9-8F9AEF0BFBF7}"/>
    <cellStyle name="20% - Accent6 8 4 4 4" xfId="30202" xr:uid="{2AB10E2B-7AA0-4536-AA0F-B738A17DD4A7}"/>
    <cellStyle name="20% - Accent6 8 4 5" xfId="9869" xr:uid="{00000000-0005-0000-0000-00007E290000}"/>
    <cellStyle name="20% - Accent6 8 4 5 2" xfId="17827" xr:uid="{00000000-0005-0000-0000-00007F290000}"/>
    <cellStyle name="20% - Accent6 8 4 5 2 2" xfId="41667" xr:uid="{3B523C48-9CF4-4D3A-93BC-FBBB05E964E4}"/>
    <cellStyle name="20% - Accent6 8 4 5 3" xfId="25771" xr:uid="{00000000-0005-0000-0000-000080290000}"/>
    <cellStyle name="20% - Accent6 8 4 5 3 2" xfId="49603" xr:uid="{5E566F85-BB1A-47FB-8129-B1A5BAD397DB}"/>
    <cellStyle name="20% - Accent6 8 4 5 4" xfId="33726" xr:uid="{FE642FF0-043D-4EEC-BBA4-32DD4796F8E8}"/>
    <cellStyle name="20% - Accent6 8 4 6" xfId="10765" xr:uid="{00000000-0005-0000-0000-000081290000}"/>
    <cellStyle name="20% - Accent6 8 4 6 2" xfId="34614" xr:uid="{C536A256-C9D7-4589-BCD7-02DC07BE5824}"/>
    <cellStyle name="20% - Accent6 8 4 7" xfId="18720" xr:uid="{00000000-0005-0000-0000-000082290000}"/>
    <cellStyle name="20% - Accent6 8 4 7 2" xfId="42552" xr:uid="{604AC49F-D181-4A13-B2CB-8F79CD53DA2C}"/>
    <cellStyle name="20% - Accent6 8 4 8" xfId="26672" xr:uid="{C778AB9E-4437-4DDD-A00E-B815BF09C6E5}"/>
    <cellStyle name="20% - Accent6 8 4_Exh G" xfId="2672" xr:uid="{00000000-0005-0000-0000-000083290000}"/>
    <cellStyle name="20% - Accent6 8 5" xfId="1351" xr:uid="{00000000-0005-0000-0000-000084290000}"/>
    <cellStyle name="20% - Accent6 8 5 2" xfId="4881" xr:uid="{00000000-0005-0000-0000-000085290000}"/>
    <cellStyle name="20% - Accent6 8 5 2 2" xfId="8472" xr:uid="{00000000-0005-0000-0000-000086290000}"/>
    <cellStyle name="20% - Accent6 8 5 2 2 2" xfId="16443" xr:uid="{00000000-0005-0000-0000-000087290000}"/>
    <cellStyle name="20% - Accent6 8 5 2 2 2 2" xfId="40285" xr:uid="{863E250E-F063-45E6-90F0-DDF4C8031BD1}"/>
    <cellStyle name="20% - Accent6 8 5 2 2 3" xfId="24389" xr:uid="{00000000-0005-0000-0000-000088290000}"/>
    <cellStyle name="20% - Accent6 8 5 2 2 3 2" xfId="48221" xr:uid="{B0F08554-8EA9-4C3C-82DA-A054FFCD3719}"/>
    <cellStyle name="20% - Accent6 8 5 2 2 4" xfId="32344" xr:uid="{BC6E2BDB-C42F-47D6-8B60-BD2EED6251CA}"/>
    <cellStyle name="20% - Accent6 8 5 2 3" xfId="12905" xr:uid="{00000000-0005-0000-0000-000089290000}"/>
    <cellStyle name="20% - Accent6 8 5 2 3 2" xfId="36754" xr:uid="{2A28F8A9-AD6A-4A68-9E1A-A0E3F6E365EE}"/>
    <cellStyle name="20% - Accent6 8 5 2 4" xfId="20860" xr:uid="{00000000-0005-0000-0000-00008A290000}"/>
    <cellStyle name="20% - Accent6 8 5 2 4 2" xfId="44692" xr:uid="{AED07D48-2CA0-42C0-B1C7-F80352FAC672}"/>
    <cellStyle name="20% - Accent6 8 5 2 5" xfId="28813" xr:uid="{B3330B2D-7DAB-4675-9C6F-4E8A3F99040A}"/>
    <cellStyle name="20% - Accent6 8 5 3" xfId="6713" xr:uid="{00000000-0005-0000-0000-00008B290000}"/>
    <cellStyle name="20% - Accent6 8 5 3 2" xfId="14685" xr:uid="{00000000-0005-0000-0000-00008C290000}"/>
    <cellStyle name="20% - Accent6 8 5 3 2 2" xfId="38527" xr:uid="{E5CF5983-8241-471F-BB04-1C0CD9DEB306}"/>
    <cellStyle name="20% - Accent6 8 5 3 3" xfId="22632" xr:uid="{00000000-0005-0000-0000-00008D290000}"/>
    <cellStyle name="20% - Accent6 8 5 3 3 2" xfId="46464" xr:uid="{8F0E2FA4-93EA-41D8-8ECB-05A1B7ED8435}"/>
    <cellStyle name="20% - Accent6 8 5 3 4" xfId="30586" xr:uid="{010A0E4F-ED15-4857-BA19-6559D7B1EA18}"/>
    <cellStyle name="20% - Accent6 8 5 4" xfId="11149" xr:uid="{00000000-0005-0000-0000-00008E290000}"/>
    <cellStyle name="20% - Accent6 8 5 4 2" xfId="34998" xr:uid="{CB52A166-2061-41C0-9E15-CF738B09B70C}"/>
    <cellStyle name="20% - Accent6 8 5 5" xfId="19104" xr:uid="{00000000-0005-0000-0000-00008F290000}"/>
    <cellStyle name="20% - Accent6 8 5 5 2" xfId="42936" xr:uid="{DB7296FD-82BC-48F1-AD37-1C4EDF63E87A}"/>
    <cellStyle name="20% - Accent6 8 5 6" xfId="27056" xr:uid="{E1092831-BAA6-4265-B7F7-9ED3B889E657}"/>
    <cellStyle name="20% - Accent6 8 5_Exh G" xfId="2674" xr:uid="{00000000-0005-0000-0000-000090290000}"/>
    <cellStyle name="20% - Accent6 8 6" xfId="4002" xr:uid="{00000000-0005-0000-0000-000091290000}"/>
    <cellStyle name="20% - Accent6 8 6 2" xfId="7594" xr:uid="{00000000-0005-0000-0000-000092290000}"/>
    <cellStyle name="20% - Accent6 8 6 2 2" xfId="15565" xr:uid="{00000000-0005-0000-0000-000093290000}"/>
    <cellStyle name="20% - Accent6 8 6 2 2 2" xfId="39407" xr:uid="{0CC1C870-FE10-4065-8615-6F886DE3D94B}"/>
    <cellStyle name="20% - Accent6 8 6 2 3" xfId="23511" xr:uid="{00000000-0005-0000-0000-000094290000}"/>
    <cellStyle name="20% - Accent6 8 6 2 3 2" xfId="47343" xr:uid="{0FD7BD71-5B82-4DAE-AC54-E334557EADD5}"/>
    <cellStyle name="20% - Accent6 8 6 2 4" xfId="31466" xr:uid="{A9B472AF-E4FA-48F0-95CD-7902538A23F7}"/>
    <cellStyle name="20% - Accent6 8 6 3" xfId="12027" xr:uid="{00000000-0005-0000-0000-000095290000}"/>
    <cellStyle name="20% - Accent6 8 6 3 2" xfId="35876" xr:uid="{6C23E30A-4878-4D52-9230-37EB23FF7A27}"/>
    <cellStyle name="20% - Accent6 8 6 4" xfId="19982" xr:uid="{00000000-0005-0000-0000-000096290000}"/>
    <cellStyle name="20% - Accent6 8 6 4 2" xfId="43814" xr:uid="{07FD5142-982A-48AB-AF97-83C0E7E52E6F}"/>
    <cellStyle name="20% - Accent6 8 6 5" xfId="27935" xr:uid="{ADE487E7-D4E2-4F3C-8F8F-3B2C93BF94AB}"/>
    <cellStyle name="20% - Accent6 8 7" xfId="5822" xr:uid="{00000000-0005-0000-0000-000097290000}"/>
    <cellStyle name="20% - Accent6 8 7 2" xfId="13806" xr:uid="{00000000-0005-0000-0000-000098290000}"/>
    <cellStyle name="20% - Accent6 8 7 2 2" xfId="37649" xr:uid="{ADABB26F-AC47-487C-986E-E4855815B5A6}"/>
    <cellStyle name="20% - Accent6 8 7 3" xfId="21754" xr:uid="{00000000-0005-0000-0000-000099290000}"/>
    <cellStyle name="20% - Accent6 8 7 3 2" xfId="45586" xr:uid="{EC9E68F5-B6E0-4952-9A69-069F25552A54}"/>
    <cellStyle name="20% - Accent6 8 7 4" xfId="29708" xr:uid="{DC48FC1A-C037-4BE8-AC9D-BB96DA15741F}"/>
    <cellStyle name="20% - Accent6 8 8" xfId="9375" xr:uid="{00000000-0005-0000-0000-00009A290000}"/>
    <cellStyle name="20% - Accent6 8 8 2" xfId="17333" xr:uid="{00000000-0005-0000-0000-00009B290000}"/>
    <cellStyle name="20% - Accent6 8 8 2 2" xfId="41173" xr:uid="{623EBEE1-53D3-4BAF-B857-10AE858D6364}"/>
    <cellStyle name="20% - Accent6 8 8 3" xfId="25277" xr:uid="{00000000-0005-0000-0000-00009C290000}"/>
    <cellStyle name="20% - Accent6 8 8 3 2" xfId="49109" xr:uid="{8B062286-A56B-493F-8FA9-91794A95225F}"/>
    <cellStyle name="20% - Accent6 8 8 4" xfId="33232" xr:uid="{761A777A-EF44-4DFA-94FB-12AD60B937D9}"/>
    <cellStyle name="20% - Accent6 8 9" xfId="10271" xr:uid="{00000000-0005-0000-0000-00009D290000}"/>
    <cellStyle name="20% - Accent6 8 9 2" xfId="34120" xr:uid="{EA8928CC-6124-4410-AEE7-CEE430368588}"/>
    <cellStyle name="20% - Accent6 8_Exh G" xfId="2665" xr:uid="{00000000-0005-0000-0000-00009E290000}"/>
    <cellStyle name="20% - Accent6 9" xfId="327" xr:uid="{00000000-0005-0000-0000-00009F290000}"/>
    <cellStyle name="20% - Accent6 9 10" xfId="18230" xr:uid="{00000000-0005-0000-0000-0000A0290000}"/>
    <cellStyle name="20% - Accent6 9 10 2" xfId="42062" xr:uid="{07B711DD-F471-44AE-B927-B27A562CA77F}"/>
    <cellStyle name="20% - Accent6 9 11" xfId="26182" xr:uid="{440F93B8-25DA-4535-A0C2-DF6BEA6E526D}"/>
    <cellStyle name="20% - Accent6 9 2" xfId="328" xr:uid="{00000000-0005-0000-0000-0000A1290000}"/>
    <cellStyle name="20% - Accent6 9 2 2" xfId="329" xr:uid="{00000000-0005-0000-0000-0000A2290000}"/>
    <cellStyle name="20% - Accent6 9 2 2 2" xfId="1357" xr:uid="{00000000-0005-0000-0000-0000A3290000}"/>
    <cellStyle name="20% - Accent6 9 2 2 2 2" xfId="4887" xr:uid="{00000000-0005-0000-0000-0000A4290000}"/>
    <cellStyle name="20% - Accent6 9 2 2 2 2 2" xfId="8478" xr:uid="{00000000-0005-0000-0000-0000A5290000}"/>
    <cellStyle name="20% - Accent6 9 2 2 2 2 2 2" xfId="16449" xr:uid="{00000000-0005-0000-0000-0000A6290000}"/>
    <cellStyle name="20% - Accent6 9 2 2 2 2 2 2 2" xfId="40291" xr:uid="{CF431C2F-66B1-4BD6-BE1A-297E2DBAE01F}"/>
    <cellStyle name="20% - Accent6 9 2 2 2 2 2 3" xfId="24395" xr:uid="{00000000-0005-0000-0000-0000A7290000}"/>
    <cellStyle name="20% - Accent6 9 2 2 2 2 2 3 2" xfId="48227" xr:uid="{421F58E2-60B2-43AB-B390-11D5586926B4}"/>
    <cellStyle name="20% - Accent6 9 2 2 2 2 2 4" xfId="32350" xr:uid="{774A89CF-157B-4D5B-9B59-B8B8A9D0702F}"/>
    <cellStyle name="20% - Accent6 9 2 2 2 2 3" xfId="12911" xr:uid="{00000000-0005-0000-0000-0000A8290000}"/>
    <cellStyle name="20% - Accent6 9 2 2 2 2 3 2" xfId="36760" xr:uid="{DA3324D1-1D14-488F-B40B-3A8FA04893F2}"/>
    <cellStyle name="20% - Accent6 9 2 2 2 2 4" xfId="20866" xr:uid="{00000000-0005-0000-0000-0000A9290000}"/>
    <cellStyle name="20% - Accent6 9 2 2 2 2 4 2" xfId="44698" xr:uid="{24E94F77-74B9-45C8-AED9-615D1B311BCD}"/>
    <cellStyle name="20% - Accent6 9 2 2 2 2 5" xfId="28819" xr:uid="{4482EB7B-5388-442E-9A2E-8BBF03F23075}"/>
    <cellStyle name="20% - Accent6 9 2 2 2 3" xfId="6719" xr:uid="{00000000-0005-0000-0000-0000AA290000}"/>
    <cellStyle name="20% - Accent6 9 2 2 2 3 2" xfId="14691" xr:uid="{00000000-0005-0000-0000-0000AB290000}"/>
    <cellStyle name="20% - Accent6 9 2 2 2 3 2 2" xfId="38533" xr:uid="{B664F8AA-169F-416E-84A1-B814BB528326}"/>
    <cellStyle name="20% - Accent6 9 2 2 2 3 3" xfId="22638" xr:uid="{00000000-0005-0000-0000-0000AC290000}"/>
    <cellStyle name="20% - Accent6 9 2 2 2 3 3 2" xfId="46470" xr:uid="{0BA9917F-F5A7-4E73-A7CF-914BAAAD1C74}"/>
    <cellStyle name="20% - Accent6 9 2 2 2 3 4" xfId="30592" xr:uid="{ADEEB1D2-62EF-44DC-924E-3352FCC112BE}"/>
    <cellStyle name="20% - Accent6 9 2 2 2 4" xfId="11155" xr:uid="{00000000-0005-0000-0000-0000AD290000}"/>
    <cellStyle name="20% - Accent6 9 2 2 2 4 2" xfId="35004" xr:uid="{5C6CBDC5-41E2-4AA8-960E-E3581A67DF62}"/>
    <cellStyle name="20% - Accent6 9 2 2 2 5" xfId="19110" xr:uid="{00000000-0005-0000-0000-0000AE290000}"/>
    <cellStyle name="20% - Accent6 9 2 2 2 5 2" xfId="42942" xr:uid="{7421C260-6D15-4D66-A9AF-0317B650EBDC}"/>
    <cellStyle name="20% - Accent6 9 2 2 2 6" xfId="27062" xr:uid="{93779A20-99AD-46C4-A782-9640CE0D660C}"/>
    <cellStyle name="20% - Accent6 9 2 2 2_Exh G" xfId="2678" xr:uid="{00000000-0005-0000-0000-0000AF290000}"/>
    <cellStyle name="20% - Accent6 9 2 2 3" xfId="4008" xr:uid="{00000000-0005-0000-0000-0000B0290000}"/>
    <cellStyle name="20% - Accent6 9 2 2 3 2" xfId="7600" xr:uid="{00000000-0005-0000-0000-0000B1290000}"/>
    <cellStyle name="20% - Accent6 9 2 2 3 2 2" xfId="15571" xr:uid="{00000000-0005-0000-0000-0000B2290000}"/>
    <cellStyle name="20% - Accent6 9 2 2 3 2 2 2" xfId="39413" xr:uid="{5550A056-AEFF-4999-9414-5E67A1D32940}"/>
    <cellStyle name="20% - Accent6 9 2 2 3 2 3" xfId="23517" xr:uid="{00000000-0005-0000-0000-0000B3290000}"/>
    <cellStyle name="20% - Accent6 9 2 2 3 2 3 2" xfId="47349" xr:uid="{DEDA5DFA-7C3E-45AC-868A-F312394208A5}"/>
    <cellStyle name="20% - Accent6 9 2 2 3 2 4" xfId="31472" xr:uid="{9B9A9372-80B4-4D23-A1A1-EA89A0D61D24}"/>
    <cellStyle name="20% - Accent6 9 2 2 3 3" xfId="12033" xr:uid="{00000000-0005-0000-0000-0000B4290000}"/>
    <cellStyle name="20% - Accent6 9 2 2 3 3 2" xfId="35882" xr:uid="{162E4526-6847-444D-990D-3253E6DEE5FF}"/>
    <cellStyle name="20% - Accent6 9 2 2 3 4" xfId="19988" xr:uid="{00000000-0005-0000-0000-0000B5290000}"/>
    <cellStyle name="20% - Accent6 9 2 2 3 4 2" xfId="43820" xr:uid="{E5879328-7F79-4B7C-8677-43B13BE54A2A}"/>
    <cellStyle name="20% - Accent6 9 2 2 3 5" xfId="27941" xr:uid="{FA2A9C7A-9A01-4B5B-9611-05685F179476}"/>
    <cellStyle name="20% - Accent6 9 2 2 4" xfId="5828" xr:uid="{00000000-0005-0000-0000-0000B6290000}"/>
    <cellStyle name="20% - Accent6 9 2 2 4 2" xfId="13812" xr:uid="{00000000-0005-0000-0000-0000B7290000}"/>
    <cellStyle name="20% - Accent6 9 2 2 4 2 2" xfId="37655" xr:uid="{58717435-6E6F-4291-A654-563C020BCBF8}"/>
    <cellStyle name="20% - Accent6 9 2 2 4 3" xfId="21760" xr:uid="{00000000-0005-0000-0000-0000B8290000}"/>
    <cellStyle name="20% - Accent6 9 2 2 4 3 2" xfId="45592" xr:uid="{6D17BF1D-4B4E-4619-9544-F7D445000B9B}"/>
    <cellStyle name="20% - Accent6 9 2 2 4 4" xfId="29714" xr:uid="{3841EF33-9BEE-4EF2-A976-0E8DD71A0201}"/>
    <cellStyle name="20% - Accent6 9 2 2 5" xfId="9381" xr:uid="{00000000-0005-0000-0000-0000B9290000}"/>
    <cellStyle name="20% - Accent6 9 2 2 5 2" xfId="17339" xr:uid="{00000000-0005-0000-0000-0000BA290000}"/>
    <cellStyle name="20% - Accent6 9 2 2 5 2 2" xfId="41179" xr:uid="{02D41323-EC54-4ABA-A23A-114AAF531854}"/>
    <cellStyle name="20% - Accent6 9 2 2 5 3" xfId="25283" xr:uid="{00000000-0005-0000-0000-0000BB290000}"/>
    <cellStyle name="20% - Accent6 9 2 2 5 3 2" xfId="49115" xr:uid="{7E3318B7-7D8E-495C-B9C9-C16FFB91C4C9}"/>
    <cellStyle name="20% - Accent6 9 2 2 5 4" xfId="33238" xr:uid="{9169AF25-2AD0-4D98-83DF-83FEA21BB737}"/>
    <cellStyle name="20% - Accent6 9 2 2 6" xfId="10277" xr:uid="{00000000-0005-0000-0000-0000BC290000}"/>
    <cellStyle name="20% - Accent6 9 2 2 6 2" xfId="34126" xr:uid="{9503A846-1BD0-45DC-8B24-92EB431C018D}"/>
    <cellStyle name="20% - Accent6 9 2 2 7" xfId="18232" xr:uid="{00000000-0005-0000-0000-0000BD290000}"/>
    <cellStyle name="20% - Accent6 9 2 2 7 2" xfId="42064" xr:uid="{F687A2F9-319B-4F0A-B9CD-75EFBB24AABC}"/>
    <cellStyle name="20% - Accent6 9 2 2 8" xfId="26184" xr:uid="{D0EAA11A-C39F-47CF-B245-80EDDA67E0B1}"/>
    <cellStyle name="20% - Accent6 9 2 2_Exh G" xfId="2677" xr:uid="{00000000-0005-0000-0000-0000BE290000}"/>
    <cellStyle name="20% - Accent6 9 2 3" xfId="1356" xr:uid="{00000000-0005-0000-0000-0000BF290000}"/>
    <cellStyle name="20% - Accent6 9 2 3 2" xfId="4886" xr:uid="{00000000-0005-0000-0000-0000C0290000}"/>
    <cellStyle name="20% - Accent6 9 2 3 2 2" xfId="8477" xr:uid="{00000000-0005-0000-0000-0000C1290000}"/>
    <cellStyle name="20% - Accent6 9 2 3 2 2 2" xfId="16448" xr:uid="{00000000-0005-0000-0000-0000C2290000}"/>
    <cellStyle name="20% - Accent6 9 2 3 2 2 2 2" xfId="40290" xr:uid="{6FC55A4D-010E-490D-BE4D-7CFAE8982DA6}"/>
    <cellStyle name="20% - Accent6 9 2 3 2 2 3" xfId="24394" xr:uid="{00000000-0005-0000-0000-0000C3290000}"/>
    <cellStyle name="20% - Accent6 9 2 3 2 2 3 2" xfId="48226" xr:uid="{C551A3C5-01C2-49EA-8367-39DAD050B348}"/>
    <cellStyle name="20% - Accent6 9 2 3 2 2 4" xfId="32349" xr:uid="{C7D1F7F4-12A9-44F6-8918-6100066123E1}"/>
    <cellStyle name="20% - Accent6 9 2 3 2 3" xfId="12910" xr:uid="{00000000-0005-0000-0000-0000C4290000}"/>
    <cellStyle name="20% - Accent6 9 2 3 2 3 2" xfId="36759" xr:uid="{1A494AA0-09AA-4051-8177-B3E35D75770D}"/>
    <cellStyle name="20% - Accent6 9 2 3 2 4" xfId="20865" xr:uid="{00000000-0005-0000-0000-0000C5290000}"/>
    <cellStyle name="20% - Accent6 9 2 3 2 4 2" xfId="44697" xr:uid="{EA124719-59AA-4E9A-84FA-6764F3475A82}"/>
    <cellStyle name="20% - Accent6 9 2 3 2 5" xfId="28818" xr:uid="{828F693F-BE36-4603-AB43-AE331F42F73F}"/>
    <cellStyle name="20% - Accent6 9 2 3 3" xfId="6718" xr:uid="{00000000-0005-0000-0000-0000C6290000}"/>
    <cellStyle name="20% - Accent6 9 2 3 3 2" xfId="14690" xr:uid="{00000000-0005-0000-0000-0000C7290000}"/>
    <cellStyle name="20% - Accent6 9 2 3 3 2 2" xfId="38532" xr:uid="{4EDE8E8A-1FD4-485C-AC69-C955C9DF3792}"/>
    <cellStyle name="20% - Accent6 9 2 3 3 3" xfId="22637" xr:uid="{00000000-0005-0000-0000-0000C8290000}"/>
    <cellStyle name="20% - Accent6 9 2 3 3 3 2" xfId="46469" xr:uid="{094DBA77-5BD0-4208-8221-0334D3F5603F}"/>
    <cellStyle name="20% - Accent6 9 2 3 3 4" xfId="30591" xr:uid="{FA198740-3449-4633-9C9E-3617E6CDB4C5}"/>
    <cellStyle name="20% - Accent6 9 2 3 4" xfId="11154" xr:uid="{00000000-0005-0000-0000-0000C9290000}"/>
    <cellStyle name="20% - Accent6 9 2 3 4 2" xfId="35003" xr:uid="{2E1CD2DD-F7A4-4DD3-A099-2FF8F0FA95E9}"/>
    <cellStyle name="20% - Accent6 9 2 3 5" xfId="19109" xr:uid="{00000000-0005-0000-0000-0000CA290000}"/>
    <cellStyle name="20% - Accent6 9 2 3 5 2" xfId="42941" xr:uid="{EF0D768B-4F56-409B-A223-CAD39E78CF7C}"/>
    <cellStyle name="20% - Accent6 9 2 3 6" xfId="27061" xr:uid="{0A9AF63F-1511-47A1-809D-EF1078A1CB06}"/>
    <cellStyle name="20% - Accent6 9 2 3_Exh G" xfId="2679" xr:uid="{00000000-0005-0000-0000-0000CB290000}"/>
    <cellStyle name="20% - Accent6 9 2 4" xfId="4007" xr:uid="{00000000-0005-0000-0000-0000CC290000}"/>
    <cellStyle name="20% - Accent6 9 2 4 2" xfId="7599" xr:uid="{00000000-0005-0000-0000-0000CD290000}"/>
    <cellStyle name="20% - Accent6 9 2 4 2 2" xfId="15570" xr:uid="{00000000-0005-0000-0000-0000CE290000}"/>
    <cellStyle name="20% - Accent6 9 2 4 2 2 2" xfId="39412" xr:uid="{202166E5-737B-4254-A329-943BF6ED310F}"/>
    <cellStyle name="20% - Accent6 9 2 4 2 3" xfId="23516" xr:uid="{00000000-0005-0000-0000-0000CF290000}"/>
    <cellStyle name="20% - Accent6 9 2 4 2 3 2" xfId="47348" xr:uid="{8E8B5F39-1C26-41F2-A95D-7518ACE9AF6F}"/>
    <cellStyle name="20% - Accent6 9 2 4 2 4" xfId="31471" xr:uid="{86277AA3-435C-46AA-93A8-26385CB230E1}"/>
    <cellStyle name="20% - Accent6 9 2 4 3" xfId="12032" xr:uid="{00000000-0005-0000-0000-0000D0290000}"/>
    <cellStyle name="20% - Accent6 9 2 4 3 2" xfId="35881" xr:uid="{28B85CF4-5B8D-4047-BD75-E616257CF066}"/>
    <cellStyle name="20% - Accent6 9 2 4 4" xfId="19987" xr:uid="{00000000-0005-0000-0000-0000D1290000}"/>
    <cellStyle name="20% - Accent6 9 2 4 4 2" xfId="43819" xr:uid="{2CDFD715-85E6-46FE-878E-BF16707D15C0}"/>
    <cellStyle name="20% - Accent6 9 2 4 5" xfId="27940" xr:uid="{4915B386-67A3-4414-87BB-3128E135A029}"/>
    <cellStyle name="20% - Accent6 9 2 5" xfId="5827" xr:uid="{00000000-0005-0000-0000-0000D2290000}"/>
    <cellStyle name="20% - Accent6 9 2 5 2" xfId="13811" xr:uid="{00000000-0005-0000-0000-0000D3290000}"/>
    <cellStyle name="20% - Accent6 9 2 5 2 2" xfId="37654" xr:uid="{2A4FCE53-CD3D-40A7-8387-E5D9EB3CB764}"/>
    <cellStyle name="20% - Accent6 9 2 5 3" xfId="21759" xr:uid="{00000000-0005-0000-0000-0000D4290000}"/>
    <cellStyle name="20% - Accent6 9 2 5 3 2" xfId="45591" xr:uid="{27613FFF-33E7-49DF-985A-7468BC4624CF}"/>
    <cellStyle name="20% - Accent6 9 2 5 4" xfId="29713" xr:uid="{F48433D2-A82A-4B27-AC18-721540D11F85}"/>
    <cellStyle name="20% - Accent6 9 2 6" xfId="9380" xr:uid="{00000000-0005-0000-0000-0000D5290000}"/>
    <cellStyle name="20% - Accent6 9 2 6 2" xfId="17338" xr:uid="{00000000-0005-0000-0000-0000D6290000}"/>
    <cellStyle name="20% - Accent6 9 2 6 2 2" xfId="41178" xr:uid="{B077006E-6C30-4873-AB57-5EEE711617AA}"/>
    <cellStyle name="20% - Accent6 9 2 6 3" xfId="25282" xr:uid="{00000000-0005-0000-0000-0000D7290000}"/>
    <cellStyle name="20% - Accent6 9 2 6 3 2" xfId="49114" xr:uid="{1E5C32F0-8ED5-4DCD-BFD4-6CCD4F282A92}"/>
    <cellStyle name="20% - Accent6 9 2 6 4" xfId="33237" xr:uid="{040AB1D7-E4A0-45FD-8A85-D8CD9C285752}"/>
    <cellStyle name="20% - Accent6 9 2 7" xfId="10276" xr:uid="{00000000-0005-0000-0000-0000D8290000}"/>
    <cellStyle name="20% - Accent6 9 2 7 2" xfId="34125" xr:uid="{EF933F14-33FC-4158-9172-BC8C5378C4A1}"/>
    <cellStyle name="20% - Accent6 9 2 8" xfId="18231" xr:uid="{00000000-0005-0000-0000-0000D9290000}"/>
    <cellStyle name="20% - Accent6 9 2 8 2" xfId="42063" xr:uid="{F4D28DC1-6701-4213-9670-C27DC9F5B9FD}"/>
    <cellStyle name="20% - Accent6 9 2 9" xfId="26183" xr:uid="{F002D7BB-452B-4CD5-8365-38E8F4746DD8}"/>
    <cellStyle name="20% - Accent6 9 2_Exh G" xfId="2676" xr:uid="{00000000-0005-0000-0000-0000DA290000}"/>
    <cellStyle name="20% - Accent6 9 3" xfId="330" xr:uid="{00000000-0005-0000-0000-0000DB290000}"/>
    <cellStyle name="20% - Accent6 9 3 2" xfId="1358" xr:uid="{00000000-0005-0000-0000-0000DC290000}"/>
    <cellStyle name="20% - Accent6 9 3 2 2" xfId="4888" xr:uid="{00000000-0005-0000-0000-0000DD290000}"/>
    <cellStyle name="20% - Accent6 9 3 2 2 2" xfId="8479" xr:uid="{00000000-0005-0000-0000-0000DE290000}"/>
    <cellStyle name="20% - Accent6 9 3 2 2 2 2" xfId="16450" xr:uid="{00000000-0005-0000-0000-0000DF290000}"/>
    <cellStyle name="20% - Accent6 9 3 2 2 2 2 2" xfId="40292" xr:uid="{ADDAB578-268D-46EE-A315-CEE8517889E3}"/>
    <cellStyle name="20% - Accent6 9 3 2 2 2 3" xfId="24396" xr:uid="{00000000-0005-0000-0000-0000E0290000}"/>
    <cellStyle name="20% - Accent6 9 3 2 2 2 3 2" xfId="48228" xr:uid="{AE7CC458-5798-4C4E-ABBB-77AE84073C09}"/>
    <cellStyle name="20% - Accent6 9 3 2 2 2 4" xfId="32351" xr:uid="{A47CE12C-5A6E-4A86-B064-847180A23CF4}"/>
    <cellStyle name="20% - Accent6 9 3 2 2 3" xfId="12912" xr:uid="{00000000-0005-0000-0000-0000E1290000}"/>
    <cellStyle name="20% - Accent6 9 3 2 2 3 2" xfId="36761" xr:uid="{1AC15083-5A1A-49D8-921F-8A823FAAF63E}"/>
    <cellStyle name="20% - Accent6 9 3 2 2 4" xfId="20867" xr:uid="{00000000-0005-0000-0000-0000E2290000}"/>
    <cellStyle name="20% - Accent6 9 3 2 2 4 2" xfId="44699" xr:uid="{2ECA3BFF-521D-4835-BD76-422C71EA8CD2}"/>
    <cellStyle name="20% - Accent6 9 3 2 2 5" xfId="28820" xr:uid="{5150EC6F-9365-4517-B79C-49BB036A1EE4}"/>
    <cellStyle name="20% - Accent6 9 3 2 3" xfId="6720" xr:uid="{00000000-0005-0000-0000-0000E3290000}"/>
    <cellStyle name="20% - Accent6 9 3 2 3 2" xfId="14692" xr:uid="{00000000-0005-0000-0000-0000E4290000}"/>
    <cellStyle name="20% - Accent6 9 3 2 3 2 2" xfId="38534" xr:uid="{ACAF6DAB-5AFB-4040-B3BA-1854EA1153CE}"/>
    <cellStyle name="20% - Accent6 9 3 2 3 3" xfId="22639" xr:uid="{00000000-0005-0000-0000-0000E5290000}"/>
    <cellStyle name="20% - Accent6 9 3 2 3 3 2" xfId="46471" xr:uid="{B9062407-3E18-4B51-8A1C-425584D24286}"/>
    <cellStyle name="20% - Accent6 9 3 2 3 4" xfId="30593" xr:uid="{FB75CF14-F4DC-4D62-9EBD-FEB877B62A11}"/>
    <cellStyle name="20% - Accent6 9 3 2 4" xfId="11156" xr:uid="{00000000-0005-0000-0000-0000E6290000}"/>
    <cellStyle name="20% - Accent6 9 3 2 4 2" xfId="35005" xr:uid="{9783EAC3-6B26-45A2-8FF4-AF9F69BE714F}"/>
    <cellStyle name="20% - Accent6 9 3 2 5" xfId="19111" xr:uid="{00000000-0005-0000-0000-0000E7290000}"/>
    <cellStyle name="20% - Accent6 9 3 2 5 2" xfId="42943" xr:uid="{E98D5653-FFC6-4B98-BFAE-609237CD998F}"/>
    <cellStyle name="20% - Accent6 9 3 2 6" xfId="27063" xr:uid="{E0A96505-A1B8-475C-A2AC-C807FDB90456}"/>
    <cellStyle name="20% - Accent6 9 3 2_Exh G" xfId="2681" xr:uid="{00000000-0005-0000-0000-0000E8290000}"/>
    <cellStyle name="20% - Accent6 9 3 3" xfId="4009" xr:uid="{00000000-0005-0000-0000-0000E9290000}"/>
    <cellStyle name="20% - Accent6 9 3 3 2" xfId="7601" xr:uid="{00000000-0005-0000-0000-0000EA290000}"/>
    <cellStyle name="20% - Accent6 9 3 3 2 2" xfId="15572" xr:uid="{00000000-0005-0000-0000-0000EB290000}"/>
    <cellStyle name="20% - Accent6 9 3 3 2 2 2" xfId="39414" xr:uid="{9092EC9C-F1CD-427C-B270-56BB09C68D56}"/>
    <cellStyle name="20% - Accent6 9 3 3 2 3" xfId="23518" xr:uid="{00000000-0005-0000-0000-0000EC290000}"/>
    <cellStyle name="20% - Accent6 9 3 3 2 3 2" xfId="47350" xr:uid="{E45C872C-9204-4055-AE78-B85EA45A9091}"/>
    <cellStyle name="20% - Accent6 9 3 3 2 4" xfId="31473" xr:uid="{72758B65-1D2C-4948-80C6-391D571784DF}"/>
    <cellStyle name="20% - Accent6 9 3 3 3" xfId="12034" xr:uid="{00000000-0005-0000-0000-0000ED290000}"/>
    <cellStyle name="20% - Accent6 9 3 3 3 2" xfId="35883" xr:uid="{72BCD302-8D41-4D71-A5D1-3CF06A564D51}"/>
    <cellStyle name="20% - Accent6 9 3 3 4" xfId="19989" xr:uid="{00000000-0005-0000-0000-0000EE290000}"/>
    <cellStyle name="20% - Accent6 9 3 3 4 2" xfId="43821" xr:uid="{BF24B47C-E37A-4015-9FA4-3364B23E5A29}"/>
    <cellStyle name="20% - Accent6 9 3 3 5" xfId="27942" xr:uid="{BA3607E0-A2D6-4349-9407-BB81D82FE17F}"/>
    <cellStyle name="20% - Accent6 9 3 4" xfId="5829" xr:uid="{00000000-0005-0000-0000-0000EF290000}"/>
    <cellStyle name="20% - Accent6 9 3 4 2" xfId="13813" xr:uid="{00000000-0005-0000-0000-0000F0290000}"/>
    <cellStyle name="20% - Accent6 9 3 4 2 2" xfId="37656" xr:uid="{CC6B5CF9-8D10-4A41-A975-2FDB6D271E8B}"/>
    <cellStyle name="20% - Accent6 9 3 4 3" xfId="21761" xr:uid="{00000000-0005-0000-0000-0000F1290000}"/>
    <cellStyle name="20% - Accent6 9 3 4 3 2" xfId="45593" xr:uid="{09A9C751-387A-46A2-8311-ADCB3A6F8BD3}"/>
    <cellStyle name="20% - Accent6 9 3 4 4" xfId="29715" xr:uid="{7A936FF6-0E16-4DAB-850F-A2845B24D4D6}"/>
    <cellStyle name="20% - Accent6 9 3 5" xfId="9382" xr:uid="{00000000-0005-0000-0000-0000F2290000}"/>
    <cellStyle name="20% - Accent6 9 3 5 2" xfId="17340" xr:uid="{00000000-0005-0000-0000-0000F3290000}"/>
    <cellStyle name="20% - Accent6 9 3 5 2 2" xfId="41180" xr:uid="{8C585134-F278-47DC-BC00-384F585D36EB}"/>
    <cellStyle name="20% - Accent6 9 3 5 3" xfId="25284" xr:uid="{00000000-0005-0000-0000-0000F4290000}"/>
    <cellStyle name="20% - Accent6 9 3 5 3 2" xfId="49116" xr:uid="{D5AB252D-B64D-49C8-BA05-89FE69C00457}"/>
    <cellStyle name="20% - Accent6 9 3 5 4" xfId="33239" xr:uid="{5BD07F98-085A-4FB5-928A-2473DDAA8F26}"/>
    <cellStyle name="20% - Accent6 9 3 6" xfId="10278" xr:uid="{00000000-0005-0000-0000-0000F5290000}"/>
    <cellStyle name="20% - Accent6 9 3 6 2" xfId="34127" xr:uid="{2431E65C-EE58-4D64-86E1-630B79196C8A}"/>
    <cellStyle name="20% - Accent6 9 3 7" xfId="18233" xr:uid="{00000000-0005-0000-0000-0000F6290000}"/>
    <cellStyle name="20% - Accent6 9 3 7 2" xfId="42065" xr:uid="{E9EC75B8-AAE5-4787-AEC6-8A0D560465AA}"/>
    <cellStyle name="20% - Accent6 9 3 8" xfId="26185" xr:uid="{6D99CFA3-2D4E-4A86-96EF-2552EFDDC2E2}"/>
    <cellStyle name="20% - Accent6 9 3_Exh G" xfId="2680" xr:uid="{00000000-0005-0000-0000-0000F7290000}"/>
    <cellStyle name="20% - Accent6 9 4" xfId="933" xr:uid="{00000000-0005-0000-0000-0000F8290000}"/>
    <cellStyle name="20% - Accent6 9 4 2" xfId="1858" xr:uid="{00000000-0005-0000-0000-0000F9290000}"/>
    <cellStyle name="20% - Accent6 9 4 2 2" xfId="5376" xr:uid="{00000000-0005-0000-0000-0000FA290000}"/>
    <cellStyle name="20% - Accent6 9 4 2 2 2" xfId="8967" xr:uid="{00000000-0005-0000-0000-0000FB290000}"/>
    <cellStyle name="20% - Accent6 9 4 2 2 2 2" xfId="16938" xr:uid="{00000000-0005-0000-0000-0000FC290000}"/>
    <cellStyle name="20% - Accent6 9 4 2 2 2 2 2" xfId="40780" xr:uid="{88041285-D4E4-4D80-A154-3F18CA9D1E3A}"/>
    <cellStyle name="20% - Accent6 9 4 2 2 2 3" xfId="24884" xr:uid="{00000000-0005-0000-0000-0000FD290000}"/>
    <cellStyle name="20% - Accent6 9 4 2 2 2 3 2" xfId="48716" xr:uid="{031131AC-C1F7-4165-9BE9-DEEE19531EBD}"/>
    <cellStyle name="20% - Accent6 9 4 2 2 2 4" xfId="32839" xr:uid="{D4E04E9B-7D92-4CBD-B357-D27FA74F6BB5}"/>
    <cellStyle name="20% - Accent6 9 4 2 2 3" xfId="13400" xr:uid="{00000000-0005-0000-0000-0000FE290000}"/>
    <cellStyle name="20% - Accent6 9 4 2 2 3 2" xfId="37249" xr:uid="{8FE5D469-CB45-4E7C-A956-4B11A971D58D}"/>
    <cellStyle name="20% - Accent6 9 4 2 2 4" xfId="21355" xr:uid="{00000000-0005-0000-0000-0000FF290000}"/>
    <cellStyle name="20% - Accent6 9 4 2 2 4 2" xfId="45187" xr:uid="{1D79AFB7-1314-4EE5-BC46-EFFB39E02351}"/>
    <cellStyle name="20% - Accent6 9 4 2 2 5" xfId="29308" xr:uid="{B8EA3669-6603-47B1-9CEA-D0EFB732A91B}"/>
    <cellStyle name="20% - Accent6 9 4 2 3" xfId="7208" xr:uid="{00000000-0005-0000-0000-0000002A0000}"/>
    <cellStyle name="20% - Accent6 9 4 2 3 2" xfId="15180" xr:uid="{00000000-0005-0000-0000-0000012A0000}"/>
    <cellStyle name="20% - Accent6 9 4 2 3 2 2" xfId="39022" xr:uid="{92F6E39A-4594-42BE-9DC0-F2C15DA8A86D}"/>
    <cellStyle name="20% - Accent6 9 4 2 3 3" xfId="23127" xr:uid="{00000000-0005-0000-0000-0000022A0000}"/>
    <cellStyle name="20% - Accent6 9 4 2 3 3 2" xfId="46959" xr:uid="{BF6A985D-3590-4DE2-B92E-D5EAB00C0F3D}"/>
    <cellStyle name="20% - Accent6 9 4 2 3 4" xfId="31081" xr:uid="{47498440-C083-478C-91EC-8EC099214E16}"/>
    <cellStyle name="20% - Accent6 9 4 2 4" xfId="11644" xr:uid="{00000000-0005-0000-0000-0000032A0000}"/>
    <cellStyle name="20% - Accent6 9 4 2 4 2" xfId="35493" xr:uid="{C5D435D1-E24A-4119-86EA-9ED2F6FCF8C3}"/>
    <cellStyle name="20% - Accent6 9 4 2 5" xfId="19599" xr:uid="{00000000-0005-0000-0000-0000042A0000}"/>
    <cellStyle name="20% - Accent6 9 4 2 5 2" xfId="43431" xr:uid="{4CF7263C-406F-4E76-B9FB-66C671592BE5}"/>
    <cellStyle name="20% - Accent6 9 4 2 6" xfId="27551" xr:uid="{0A61BE15-1F82-4203-B283-A10653620B4F}"/>
    <cellStyle name="20% - Accent6 9 4 2_Exh G" xfId="2683" xr:uid="{00000000-0005-0000-0000-0000052A0000}"/>
    <cellStyle name="20% - Accent6 9 4 3" xfId="4497" xr:uid="{00000000-0005-0000-0000-0000062A0000}"/>
    <cellStyle name="20% - Accent6 9 4 3 2" xfId="8089" xr:uid="{00000000-0005-0000-0000-0000072A0000}"/>
    <cellStyle name="20% - Accent6 9 4 3 2 2" xfId="16060" xr:uid="{00000000-0005-0000-0000-0000082A0000}"/>
    <cellStyle name="20% - Accent6 9 4 3 2 2 2" xfId="39902" xr:uid="{9B0F840C-0F01-439F-B1AB-D3470FA466AF}"/>
    <cellStyle name="20% - Accent6 9 4 3 2 3" xfId="24006" xr:uid="{00000000-0005-0000-0000-0000092A0000}"/>
    <cellStyle name="20% - Accent6 9 4 3 2 3 2" xfId="47838" xr:uid="{7A91D6B0-3B8C-4AA3-9938-B9C475D8A642}"/>
    <cellStyle name="20% - Accent6 9 4 3 2 4" xfId="31961" xr:uid="{82DCCD54-D276-42E6-9A8A-61F20C307F8D}"/>
    <cellStyle name="20% - Accent6 9 4 3 3" xfId="12522" xr:uid="{00000000-0005-0000-0000-00000A2A0000}"/>
    <cellStyle name="20% - Accent6 9 4 3 3 2" xfId="36371" xr:uid="{11FB1A87-6B97-4345-9460-845EE7498DD6}"/>
    <cellStyle name="20% - Accent6 9 4 3 4" xfId="20477" xr:uid="{00000000-0005-0000-0000-00000B2A0000}"/>
    <cellStyle name="20% - Accent6 9 4 3 4 2" xfId="44309" xr:uid="{321378C2-BACD-4B5E-B2D3-0E1C454875FD}"/>
    <cellStyle name="20% - Accent6 9 4 3 5" xfId="28430" xr:uid="{AB09F500-D65A-405B-9A4C-42CE1F7E7F40}"/>
    <cellStyle name="20% - Accent6 9 4 4" xfId="6327" xr:uid="{00000000-0005-0000-0000-00000C2A0000}"/>
    <cellStyle name="20% - Accent6 9 4 4 2" xfId="14302" xr:uid="{00000000-0005-0000-0000-00000D2A0000}"/>
    <cellStyle name="20% - Accent6 9 4 4 2 2" xfId="38144" xr:uid="{02CF6845-491F-4C9A-967B-2931E24915C2}"/>
    <cellStyle name="20% - Accent6 9 4 4 3" xfId="22249" xr:uid="{00000000-0005-0000-0000-00000E2A0000}"/>
    <cellStyle name="20% - Accent6 9 4 4 3 2" xfId="46081" xr:uid="{36992736-6407-496C-A53E-5A4116F6BB95}"/>
    <cellStyle name="20% - Accent6 9 4 4 4" xfId="30203" xr:uid="{B1D5D57D-4670-4E1F-9E02-90B3AF86F2F4}"/>
    <cellStyle name="20% - Accent6 9 4 5" xfId="9870" xr:uid="{00000000-0005-0000-0000-00000F2A0000}"/>
    <cellStyle name="20% - Accent6 9 4 5 2" xfId="17828" xr:uid="{00000000-0005-0000-0000-0000102A0000}"/>
    <cellStyle name="20% - Accent6 9 4 5 2 2" xfId="41668" xr:uid="{CF6707E5-046B-4708-BB0C-343145EE8C93}"/>
    <cellStyle name="20% - Accent6 9 4 5 3" xfId="25772" xr:uid="{00000000-0005-0000-0000-0000112A0000}"/>
    <cellStyle name="20% - Accent6 9 4 5 3 2" xfId="49604" xr:uid="{65208568-11E7-494E-95A4-D4E2326BF300}"/>
    <cellStyle name="20% - Accent6 9 4 5 4" xfId="33727" xr:uid="{2BF80B22-7DEE-45EE-A94A-FBD06AE1AE46}"/>
    <cellStyle name="20% - Accent6 9 4 6" xfId="10766" xr:uid="{00000000-0005-0000-0000-0000122A0000}"/>
    <cellStyle name="20% - Accent6 9 4 6 2" xfId="34615" xr:uid="{A41D14C0-3052-4A11-A055-31C5929A9230}"/>
    <cellStyle name="20% - Accent6 9 4 7" xfId="18721" xr:uid="{00000000-0005-0000-0000-0000132A0000}"/>
    <cellStyle name="20% - Accent6 9 4 7 2" xfId="42553" xr:uid="{741CA862-DFC9-467F-A10E-DB2C689598C5}"/>
    <cellStyle name="20% - Accent6 9 4 8" xfId="26673" xr:uid="{94037552-F7C9-432B-9872-A4D985AF57C2}"/>
    <cellStyle name="20% - Accent6 9 4_Exh G" xfId="2682" xr:uid="{00000000-0005-0000-0000-0000142A0000}"/>
    <cellStyle name="20% - Accent6 9 5" xfId="1355" xr:uid="{00000000-0005-0000-0000-0000152A0000}"/>
    <cellStyle name="20% - Accent6 9 5 2" xfId="4885" xr:uid="{00000000-0005-0000-0000-0000162A0000}"/>
    <cellStyle name="20% - Accent6 9 5 2 2" xfId="8476" xr:uid="{00000000-0005-0000-0000-0000172A0000}"/>
    <cellStyle name="20% - Accent6 9 5 2 2 2" xfId="16447" xr:uid="{00000000-0005-0000-0000-0000182A0000}"/>
    <cellStyle name="20% - Accent6 9 5 2 2 2 2" xfId="40289" xr:uid="{6F04E7B3-7905-482A-A472-C93F8EC7AC3F}"/>
    <cellStyle name="20% - Accent6 9 5 2 2 3" xfId="24393" xr:uid="{00000000-0005-0000-0000-0000192A0000}"/>
    <cellStyle name="20% - Accent6 9 5 2 2 3 2" xfId="48225" xr:uid="{41B20C4B-4599-409F-AE16-FA4821B25B9C}"/>
    <cellStyle name="20% - Accent6 9 5 2 2 4" xfId="32348" xr:uid="{C129F8FA-B49F-4AA7-958E-62E44691F723}"/>
    <cellStyle name="20% - Accent6 9 5 2 3" xfId="12909" xr:uid="{00000000-0005-0000-0000-00001A2A0000}"/>
    <cellStyle name="20% - Accent6 9 5 2 3 2" xfId="36758" xr:uid="{B54151B0-D50F-4B99-A66D-3A721EC2FF3F}"/>
    <cellStyle name="20% - Accent6 9 5 2 4" xfId="20864" xr:uid="{00000000-0005-0000-0000-00001B2A0000}"/>
    <cellStyle name="20% - Accent6 9 5 2 4 2" xfId="44696" xr:uid="{C3F50FED-9A0E-438C-A680-63276012CEB0}"/>
    <cellStyle name="20% - Accent6 9 5 2 5" xfId="28817" xr:uid="{F5094381-CB73-4E7F-B2D5-20ECEEEB3983}"/>
    <cellStyle name="20% - Accent6 9 5 3" xfId="6717" xr:uid="{00000000-0005-0000-0000-00001C2A0000}"/>
    <cellStyle name="20% - Accent6 9 5 3 2" xfId="14689" xr:uid="{00000000-0005-0000-0000-00001D2A0000}"/>
    <cellStyle name="20% - Accent6 9 5 3 2 2" xfId="38531" xr:uid="{89F3B2F8-485D-4D5A-AE9E-027C13BF6EDE}"/>
    <cellStyle name="20% - Accent6 9 5 3 3" xfId="22636" xr:uid="{00000000-0005-0000-0000-00001E2A0000}"/>
    <cellStyle name="20% - Accent6 9 5 3 3 2" xfId="46468" xr:uid="{6BBFCA72-3FBD-4723-98CA-87FB0E076DCA}"/>
    <cellStyle name="20% - Accent6 9 5 3 4" xfId="30590" xr:uid="{BF4EE317-CF5B-4714-8D7D-FA239DCAC005}"/>
    <cellStyle name="20% - Accent6 9 5 4" xfId="11153" xr:uid="{00000000-0005-0000-0000-00001F2A0000}"/>
    <cellStyle name="20% - Accent6 9 5 4 2" xfId="35002" xr:uid="{3FCA5F2C-19DE-4D65-BDA7-4F07201E1558}"/>
    <cellStyle name="20% - Accent6 9 5 5" xfId="19108" xr:uid="{00000000-0005-0000-0000-0000202A0000}"/>
    <cellStyle name="20% - Accent6 9 5 5 2" xfId="42940" xr:uid="{C7D0F261-EFC3-46DA-B770-5550E8BA2529}"/>
    <cellStyle name="20% - Accent6 9 5 6" xfId="27060" xr:uid="{39BBC64C-2851-48A5-8B7A-D8A628C947E8}"/>
    <cellStyle name="20% - Accent6 9 5_Exh G" xfId="2684" xr:uid="{00000000-0005-0000-0000-0000212A0000}"/>
    <cellStyle name="20% - Accent6 9 6" xfId="4006" xr:uid="{00000000-0005-0000-0000-0000222A0000}"/>
    <cellStyle name="20% - Accent6 9 6 2" xfId="7598" xr:uid="{00000000-0005-0000-0000-0000232A0000}"/>
    <cellStyle name="20% - Accent6 9 6 2 2" xfId="15569" xr:uid="{00000000-0005-0000-0000-0000242A0000}"/>
    <cellStyle name="20% - Accent6 9 6 2 2 2" xfId="39411" xr:uid="{98AC20B5-4AA7-4A75-9051-29A035A1569B}"/>
    <cellStyle name="20% - Accent6 9 6 2 3" xfId="23515" xr:uid="{00000000-0005-0000-0000-0000252A0000}"/>
    <cellStyle name="20% - Accent6 9 6 2 3 2" xfId="47347" xr:uid="{4713F0E6-71DA-4270-ADDF-9BBB7F8620A6}"/>
    <cellStyle name="20% - Accent6 9 6 2 4" xfId="31470" xr:uid="{5A4DEF15-C826-48E6-9C4A-5360E354B716}"/>
    <cellStyle name="20% - Accent6 9 6 3" xfId="12031" xr:uid="{00000000-0005-0000-0000-0000262A0000}"/>
    <cellStyle name="20% - Accent6 9 6 3 2" xfId="35880" xr:uid="{0913DBEC-E0A9-4734-A9BF-D0E2FE7E5CFE}"/>
    <cellStyle name="20% - Accent6 9 6 4" xfId="19986" xr:uid="{00000000-0005-0000-0000-0000272A0000}"/>
    <cellStyle name="20% - Accent6 9 6 4 2" xfId="43818" xr:uid="{CB4C5A52-2F42-4934-BB76-D4B31E51794B}"/>
    <cellStyle name="20% - Accent6 9 6 5" xfId="27939" xr:uid="{12FC6B05-1F83-4ECA-8DBD-DC07202FFB2D}"/>
    <cellStyle name="20% - Accent6 9 7" xfId="5826" xr:uid="{00000000-0005-0000-0000-0000282A0000}"/>
    <cellStyle name="20% - Accent6 9 7 2" xfId="13810" xr:uid="{00000000-0005-0000-0000-0000292A0000}"/>
    <cellStyle name="20% - Accent6 9 7 2 2" xfId="37653" xr:uid="{2D66A775-761F-431C-9913-9596AA402D13}"/>
    <cellStyle name="20% - Accent6 9 7 3" xfId="21758" xr:uid="{00000000-0005-0000-0000-00002A2A0000}"/>
    <cellStyle name="20% - Accent6 9 7 3 2" xfId="45590" xr:uid="{893F1042-A737-4F1D-ADEA-B99A401CB32E}"/>
    <cellStyle name="20% - Accent6 9 7 4" xfId="29712" xr:uid="{CC8F3B63-6B80-466E-A4AD-AEC07D382512}"/>
    <cellStyle name="20% - Accent6 9 8" xfId="9379" xr:uid="{00000000-0005-0000-0000-00002B2A0000}"/>
    <cellStyle name="20% - Accent6 9 8 2" xfId="17337" xr:uid="{00000000-0005-0000-0000-00002C2A0000}"/>
    <cellStyle name="20% - Accent6 9 8 2 2" xfId="41177" xr:uid="{6D2826E4-B9E3-4E16-BB36-E05C61F3AD49}"/>
    <cellStyle name="20% - Accent6 9 8 3" xfId="25281" xr:uid="{00000000-0005-0000-0000-00002D2A0000}"/>
    <cellStyle name="20% - Accent6 9 8 3 2" xfId="49113" xr:uid="{944569E7-BFF9-43AF-97AD-4B61BF382C05}"/>
    <cellStyle name="20% - Accent6 9 8 4" xfId="33236" xr:uid="{74252DEE-D202-45F8-B97C-B75A3BEAA671}"/>
    <cellStyle name="20% - Accent6 9 9" xfId="10275" xr:uid="{00000000-0005-0000-0000-00002E2A0000}"/>
    <cellStyle name="20% - Accent6 9 9 2" xfId="34124" xr:uid="{8DEF2938-475A-4FEF-9FD2-A861A3DBC31B}"/>
    <cellStyle name="20% - Accent6 9_Exh G" xfId="2675" xr:uid="{00000000-0005-0000-0000-00002F2A0000}"/>
    <cellStyle name="40% - Accent1" xfId="49697" builtinId="31" customBuiltin="1"/>
    <cellStyle name="40% - Accent1 10" xfId="331" xr:uid="{00000000-0005-0000-0000-0000302A0000}"/>
    <cellStyle name="40% - Accent1 10 10" xfId="18234" xr:uid="{00000000-0005-0000-0000-0000312A0000}"/>
    <cellStyle name="40% - Accent1 10 10 2" xfId="42066" xr:uid="{D2D3C89F-08AC-486C-9FB6-B118ED925DE4}"/>
    <cellStyle name="40% - Accent1 10 11" xfId="26186" xr:uid="{6D4E807B-36E5-4E81-9371-D1E051F2EDD4}"/>
    <cellStyle name="40% - Accent1 10 2" xfId="332" xr:uid="{00000000-0005-0000-0000-0000322A0000}"/>
    <cellStyle name="40% - Accent1 10 2 2" xfId="333" xr:uid="{00000000-0005-0000-0000-0000332A0000}"/>
    <cellStyle name="40% - Accent1 10 2 2 2" xfId="1361" xr:uid="{00000000-0005-0000-0000-0000342A0000}"/>
    <cellStyle name="40% - Accent1 10 2 2 2 2" xfId="4891" xr:uid="{00000000-0005-0000-0000-0000352A0000}"/>
    <cellStyle name="40% - Accent1 10 2 2 2 2 2" xfId="8482" xr:uid="{00000000-0005-0000-0000-0000362A0000}"/>
    <cellStyle name="40% - Accent1 10 2 2 2 2 2 2" xfId="16453" xr:uid="{00000000-0005-0000-0000-0000372A0000}"/>
    <cellStyle name="40% - Accent1 10 2 2 2 2 2 2 2" xfId="40295" xr:uid="{890A5A17-8BE3-46D7-9F0E-779990957878}"/>
    <cellStyle name="40% - Accent1 10 2 2 2 2 2 3" xfId="24399" xr:uid="{00000000-0005-0000-0000-0000382A0000}"/>
    <cellStyle name="40% - Accent1 10 2 2 2 2 2 3 2" xfId="48231" xr:uid="{D461570F-4F81-4130-A2FE-66034498463B}"/>
    <cellStyle name="40% - Accent1 10 2 2 2 2 2 4" xfId="32354" xr:uid="{12A040F3-1870-4880-BE50-BAD8846A1018}"/>
    <cellStyle name="40% - Accent1 10 2 2 2 2 3" xfId="12915" xr:uid="{00000000-0005-0000-0000-0000392A0000}"/>
    <cellStyle name="40% - Accent1 10 2 2 2 2 3 2" xfId="36764" xr:uid="{C1981C7C-9835-4C20-ACB5-3F20EECC5EB8}"/>
    <cellStyle name="40% - Accent1 10 2 2 2 2 4" xfId="20870" xr:uid="{00000000-0005-0000-0000-00003A2A0000}"/>
    <cellStyle name="40% - Accent1 10 2 2 2 2 4 2" xfId="44702" xr:uid="{A3E333A0-0ED8-42CA-BF73-37701713D880}"/>
    <cellStyle name="40% - Accent1 10 2 2 2 2 5" xfId="28823" xr:uid="{8BAEE4E2-23F2-41DF-9847-A3B0EE8283D8}"/>
    <cellStyle name="40% - Accent1 10 2 2 2 3" xfId="6723" xr:uid="{00000000-0005-0000-0000-00003B2A0000}"/>
    <cellStyle name="40% - Accent1 10 2 2 2 3 2" xfId="14695" xr:uid="{00000000-0005-0000-0000-00003C2A0000}"/>
    <cellStyle name="40% - Accent1 10 2 2 2 3 2 2" xfId="38537" xr:uid="{F210CBB0-B67B-470D-99B0-76DBCD7AF074}"/>
    <cellStyle name="40% - Accent1 10 2 2 2 3 3" xfId="22642" xr:uid="{00000000-0005-0000-0000-00003D2A0000}"/>
    <cellStyle name="40% - Accent1 10 2 2 2 3 3 2" xfId="46474" xr:uid="{88B30EF6-AB27-43A5-ACCB-3ED4F9CE9360}"/>
    <cellStyle name="40% - Accent1 10 2 2 2 3 4" xfId="30596" xr:uid="{0A8E968F-3318-4BC4-A9C5-7588DE3F24DE}"/>
    <cellStyle name="40% - Accent1 10 2 2 2 4" xfId="11159" xr:uid="{00000000-0005-0000-0000-00003E2A0000}"/>
    <cellStyle name="40% - Accent1 10 2 2 2 4 2" xfId="35008" xr:uid="{2FFB4D79-5E66-4094-ADEC-C4E4B0D9A281}"/>
    <cellStyle name="40% - Accent1 10 2 2 2 5" xfId="19114" xr:uid="{00000000-0005-0000-0000-00003F2A0000}"/>
    <cellStyle name="40% - Accent1 10 2 2 2 5 2" xfId="42946" xr:uid="{B5581DC6-2DF3-414A-956F-E7CA66196632}"/>
    <cellStyle name="40% - Accent1 10 2 2 2 6" xfId="27066" xr:uid="{E201200A-49BF-4103-905D-876A10B5FBDA}"/>
    <cellStyle name="40% - Accent1 10 2 2 2_Exh G" xfId="2688" xr:uid="{00000000-0005-0000-0000-0000402A0000}"/>
    <cellStyle name="40% - Accent1 10 2 2 3" xfId="4012" xr:uid="{00000000-0005-0000-0000-0000412A0000}"/>
    <cellStyle name="40% - Accent1 10 2 2 3 2" xfId="7604" xr:uid="{00000000-0005-0000-0000-0000422A0000}"/>
    <cellStyle name="40% - Accent1 10 2 2 3 2 2" xfId="15575" xr:uid="{00000000-0005-0000-0000-0000432A0000}"/>
    <cellStyle name="40% - Accent1 10 2 2 3 2 2 2" xfId="39417" xr:uid="{8594B7DD-4B4B-4C62-84B7-D3D9975A18CA}"/>
    <cellStyle name="40% - Accent1 10 2 2 3 2 3" xfId="23521" xr:uid="{00000000-0005-0000-0000-0000442A0000}"/>
    <cellStyle name="40% - Accent1 10 2 2 3 2 3 2" xfId="47353" xr:uid="{4064FD0E-4D2F-4C90-9DDA-C7B24AE5C383}"/>
    <cellStyle name="40% - Accent1 10 2 2 3 2 4" xfId="31476" xr:uid="{DBD9DA3C-0139-4D67-9718-781ADADF02CA}"/>
    <cellStyle name="40% - Accent1 10 2 2 3 3" xfId="12037" xr:uid="{00000000-0005-0000-0000-0000452A0000}"/>
    <cellStyle name="40% - Accent1 10 2 2 3 3 2" xfId="35886" xr:uid="{9E5EDE6B-3FB3-4C1C-AF73-A496644AD86A}"/>
    <cellStyle name="40% - Accent1 10 2 2 3 4" xfId="19992" xr:uid="{00000000-0005-0000-0000-0000462A0000}"/>
    <cellStyle name="40% - Accent1 10 2 2 3 4 2" xfId="43824" xr:uid="{26EA243B-F6A9-49F1-87C5-72147A3ACC19}"/>
    <cellStyle name="40% - Accent1 10 2 2 3 5" xfId="27945" xr:uid="{40F890F6-4AF0-435C-A4B3-912151588E30}"/>
    <cellStyle name="40% - Accent1 10 2 2 4" xfId="5832" xr:uid="{00000000-0005-0000-0000-0000472A0000}"/>
    <cellStyle name="40% - Accent1 10 2 2 4 2" xfId="13816" xr:uid="{00000000-0005-0000-0000-0000482A0000}"/>
    <cellStyle name="40% - Accent1 10 2 2 4 2 2" xfId="37659" xr:uid="{B039E9E2-7CC2-4CAC-A823-CA72EC371DE4}"/>
    <cellStyle name="40% - Accent1 10 2 2 4 3" xfId="21764" xr:uid="{00000000-0005-0000-0000-0000492A0000}"/>
    <cellStyle name="40% - Accent1 10 2 2 4 3 2" xfId="45596" xr:uid="{C3497654-A512-49F1-A481-2518C4E5EF55}"/>
    <cellStyle name="40% - Accent1 10 2 2 4 4" xfId="29718" xr:uid="{B5E49171-9369-4EBF-8F17-D6E42FA8B64E}"/>
    <cellStyle name="40% - Accent1 10 2 2 5" xfId="9385" xr:uid="{00000000-0005-0000-0000-00004A2A0000}"/>
    <cellStyle name="40% - Accent1 10 2 2 5 2" xfId="17343" xr:uid="{00000000-0005-0000-0000-00004B2A0000}"/>
    <cellStyle name="40% - Accent1 10 2 2 5 2 2" xfId="41183" xr:uid="{6C9F5366-E3A4-46FD-A398-1835C6D5F93C}"/>
    <cellStyle name="40% - Accent1 10 2 2 5 3" xfId="25287" xr:uid="{00000000-0005-0000-0000-00004C2A0000}"/>
    <cellStyle name="40% - Accent1 10 2 2 5 3 2" xfId="49119" xr:uid="{B2714C42-7FC4-4846-9CF2-B6A6A826BCE6}"/>
    <cellStyle name="40% - Accent1 10 2 2 5 4" xfId="33242" xr:uid="{5ED24104-C53A-4D93-BD63-92E12054482C}"/>
    <cellStyle name="40% - Accent1 10 2 2 6" xfId="10281" xr:uid="{00000000-0005-0000-0000-00004D2A0000}"/>
    <cellStyle name="40% - Accent1 10 2 2 6 2" xfId="34130" xr:uid="{0389CB84-42AA-438D-B0A5-42B504051AF8}"/>
    <cellStyle name="40% - Accent1 10 2 2 7" xfId="18236" xr:uid="{00000000-0005-0000-0000-00004E2A0000}"/>
    <cellStyle name="40% - Accent1 10 2 2 7 2" xfId="42068" xr:uid="{69191B4D-EAE3-4F7D-9DCA-ADEC9A9DBDCD}"/>
    <cellStyle name="40% - Accent1 10 2 2 8" xfId="26188" xr:uid="{AD070066-5BDA-4861-B968-FD31EDE6291E}"/>
    <cellStyle name="40% - Accent1 10 2 2_Exh G" xfId="2687" xr:uid="{00000000-0005-0000-0000-00004F2A0000}"/>
    <cellStyle name="40% - Accent1 10 2 3" xfId="1360" xr:uid="{00000000-0005-0000-0000-0000502A0000}"/>
    <cellStyle name="40% - Accent1 10 2 3 2" xfId="4890" xr:uid="{00000000-0005-0000-0000-0000512A0000}"/>
    <cellStyle name="40% - Accent1 10 2 3 2 2" xfId="8481" xr:uid="{00000000-0005-0000-0000-0000522A0000}"/>
    <cellStyle name="40% - Accent1 10 2 3 2 2 2" xfId="16452" xr:uid="{00000000-0005-0000-0000-0000532A0000}"/>
    <cellStyle name="40% - Accent1 10 2 3 2 2 2 2" xfId="40294" xr:uid="{EDA9DDAE-4ABE-43DB-B0A7-4B6725CB7834}"/>
    <cellStyle name="40% - Accent1 10 2 3 2 2 3" xfId="24398" xr:uid="{00000000-0005-0000-0000-0000542A0000}"/>
    <cellStyle name="40% - Accent1 10 2 3 2 2 3 2" xfId="48230" xr:uid="{4BD6E3EF-9492-4FA6-9FB1-85B995915307}"/>
    <cellStyle name="40% - Accent1 10 2 3 2 2 4" xfId="32353" xr:uid="{702D06D6-2134-4F4A-92EC-C32DAB3F9F9E}"/>
    <cellStyle name="40% - Accent1 10 2 3 2 3" xfId="12914" xr:uid="{00000000-0005-0000-0000-0000552A0000}"/>
    <cellStyle name="40% - Accent1 10 2 3 2 3 2" xfId="36763" xr:uid="{C45B9AE9-9356-48A6-9871-65CFBF863762}"/>
    <cellStyle name="40% - Accent1 10 2 3 2 4" xfId="20869" xr:uid="{00000000-0005-0000-0000-0000562A0000}"/>
    <cellStyle name="40% - Accent1 10 2 3 2 4 2" xfId="44701" xr:uid="{EF0BC9A0-DCE0-44E6-BFD3-8AC2077711BF}"/>
    <cellStyle name="40% - Accent1 10 2 3 2 5" xfId="28822" xr:uid="{9A49167D-AC9D-4356-9ECC-205B00E1E332}"/>
    <cellStyle name="40% - Accent1 10 2 3 3" xfId="6722" xr:uid="{00000000-0005-0000-0000-0000572A0000}"/>
    <cellStyle name="40% - Accent1 10 2 3 3 2" xfId="14694" xr:uid="{00000000-0005-0000-0000-0000582A0000}"/>
    <cellStyle name="40% - Accent1 10 2 3 3 2 2" xfId="38536" xr:uid="{C34370CE-DD37-4D17-ACF0-EEAAFBBE87DB}"/>
    <cellStyle name="40% - Accent1 10 2 3 3 3" xfId="22641" xr:uid="{00000000-0005-0000-0000-0000592A0000}"/>
    <cellStyle name="40% - Accent1 10 2 3 3 3 2" xfId="46473" xr:uid="{32692ED4-18A9-4503-B9D5-9F68C91D1F41}"/>
    <cellStyle name="40% - Accent1 10 2 3 3 4" xfId="30595" xr:uid="{9F05B0E6-1514-4C24-8566-655671C37DBD}"/>
    <cellStyle name="40% - Accent1 10 2 3 4" xfId="11158" xr:uid="{00000000-0005-0000-0000-00005A2A0000}"/>
    <cellStyle name="40% - Accent1 10 2 3 4 2" xfId="35007" xr:uid="{5C1C1A38-BA5A-43C6-B8F8-5018A4DC75AC}"/>
    <cellStyle name="40% - Accent1 10 2 3 5" xfId="19113" xr:uid="{00000000-0005-0000-0000-00005B2A0000}"/>
    <cellStyle name="40% - Accent1 10 2 3 5 2" xfId="42945" xr:uid="{8B006678-082A-431E-AA28-0D8301C7C2E1}"/>
    <cellStyle name="40% - Accent1 10 2 3 6" xfId="27065" xr:uid="{8711210B-8BDF-41F0-BAEF-BD3C12CAA0C8}"/>
    <cellStyle name="40% - Accent1 10 2 3_Exh G" xfId="2689" xr:uid="{00000000-0005-0000-0000-00005C2A0000}"/>
    <cellStyle name="40% - Accent1 10 2 4" xfId="4011" xr:uid="{00000000-0005-0000-0000-00005D2A0000}"/>
    <cellStyle name="40% - Accent1 10 2 4 2" xfId="7603" xr:uid="{00000000-0005-0000-0000-00005E2A0000}"/>
    <cellStyle name="40% - Accent1 10 2 4 2 2" xfId="15574" xr:uid="{00000000-0005-0000-0000-00005F2A0000}"/>
    <cellStyle name="40% - Accent1 10 2 4 2 2 2" xfId="39416" xr:uid="{C66F56F0-13B0-4173-8CC2-DED1D4B6D005}"/>
    <cellStyle name="40% - Accent1 10 2 4 2 3" xfId="23520" xr:uid="{00000000-0005-0000-0000-0000602A0000}"/>
    <cellStyle name="40% - Accent1 10 2 4 2 3 2" xfId="47352" xr:uid="{D0744742-8B69-4DDB-9B3A-C61BC6B9D817}"/>
    <cellStyle name="40% - Accent1 10 2 4 2 4" xfId="31475" xr:uid="{B5EE781C-DEC1-4FBF-8320-7089CD9593BA}"/>
    <cellStyle name="40% - Accent1 10 2 4 3" xfId="12036" xr:uid="{00000000-0005-0000-0000-0000612A0000}"/>
    <cellStyle name="40% - Accent1 10 2 4 3 2" xfId="35885" xr:uid="{BBD36367-B2BD-4186-8A16-C0FED8B77A52}"/>
    <cellStyle name="40% - Accent1 10 2 4 4" xfId="19991" xr:uid="{00000000-0005-0000-0000-0000622A0000}"/>
    <cellStyle name="40% - Accent1 10 2 4 4 2" xfId="43823" xr:uid="{192AE36B-7227-49E1-AD72-589B536E901B}"/>
    <cellStyle name="40% - Accent1 10 2 4 5" xfId="27944" xr:uid="{B8533D43-D8B9-4E4E-BB1A-07ABC30F7686}"/>
    <cellStyle name="40% - Accent1 10 2 5" xfId="5831" xr:uid="{00000000-0005-0000-0000-0000632A0000}"/>
    <cellStyle name="40% - Accent1 10 2 5 2" xfId="13815" xr:uid="{00000000-0005-0000-0000-0000642A0000}"/>
    <cellStyle name="40% - Accent1 10 2 5 2 2" xfId="37658" xr:uid="{44BC2C71-3DEC-4AD0-85E5-C76DC051D724}"/>
    <cellStyle name="40% - Accent1 10 2 5 3" xfId="21763" xr:uid="{00000000-0005-0000-0000-0000652A0000}"/>
    <cellStyle name="40% - Accent1 10 2 5 3 2" xfId="45595" xr:uid="{B60179AF-C61B-4B28-9EA2-5BA3C545DD3D}"/>
    <cellStyle name="40% - Accent1 10 2 5 4" xfId="29717" xr:uid="{7102A232-BB6E-4012-8955-B20EDCE617A1}"/>
    <cellStyle name="40% - Accent1 10 2 6" xfId="9384" xr:uid="{00000000-0005-0000-0000-0000662A0000}"/>
    <cellStyle name="40% - Accent1 10 2 6 2" xfId="17342" xr:uid="{00000000-0005-0000-0000-0000672A0000}"/>
    <cellStyle name="40% - Accent1 10 2 6 2 2" xfId="41182" xr:uid="{1648D1FC-FD08-413C-A73B-57A1367D9C26}"/>
    <cellStyle name="40% - Accent1 10 2 6 3" xfId="25286" xr:uid="{00000000-0005-0000-0000-0000682A0000}"/>
    <cellStyle name="40% - Accent1 10 2 6 3 2" xfId="49118" xr:uid="{B9D48AF7-DC9C-4045-9F7D-477744BC2617}"/>
    <cellStyle name="40% - Accent1 10 2 6 4" xfId="33241" xr:uid="{D4F60164-4E02-4F87-A348-33BBBB2636C0}"/>
    <cellStyle name="40% - Accent1 10 2 7" xfId="10280" xr:uid="{00000000-0005-0000-0000-0000692A0000}"/>
    <cellStyle name="40% - Accent1 10 2 7 2" xfId="34129" xr:uid="{85A8C066-15D7-4269-8759-A390C2F6E647}"/>
    <cellStyle name="40% - Accent1 10 2 8" xfId="18235" xr:uid="{00000000-0005-0000-0000-00006A2A0000}"/>
    <cellStyle name="40% - Accent1 10 2 8 2" xfId="42067" xr:uid="{9DD60AA5-0218-4FCA-999A-504A4A494711}"/>
    <cellStyle name="40% - Accent1 10 2 9" xfId="26187" xr:uid="{759FF138-F78A-4494-ACE5-8FAD47AED39C}"/>
    <cellStyle name="40% - Accent1 10 2_Exh G" xfId="2686" xr:uid="{00000000-0005-0000-0000-00006B2A0000}"/>
    <cellStyle name="40% - Accent1 10 3" xfId="334" xr:uid="{00000000-0005-0000-0000-00006C2A0000}"/>
    <cellStyle name="40% - Accent1 10 3 2" xfId="1362" xr:uid="{00000000-0005-0000-0000-00006D2A0000}"/>
    <cellStyle name="40% - Accent1 10 3 2 2" xfId="4892" xr:uid="{00000000-0005-0000-0000-00006E2A0000}"/>
    <cellStyle name="40% - Accent1 10 3 2 2 2" xfId="8483" xr:uid="{00000000-0005-0000-0000-00006F2A0000}"/>
    <cellStyle name="40% - Accent1 10 3 2 2 2 2" xfId="16454" xr:uid="{00000000-0005-0000-0000-0000702A0000}"/>
    <cellStyle name="40% - Accent1 10 3 2 2 2 2 2" xfId="40296" xr:uid="{B61859F5-6A8B-4365-ADAA-0A733FE42EDA}"/>
    <cellStyle name="40% - Accent1 10 3 2 2 2 3" xfId="24400" xr:uid="{00000000-0005-0000-0000-0000712A0000}"/>
    <cellStyle name="40% - Accent1 10 3 2 2 2 3 2" xfId="48232" xr:uid="{70DC1FDE-8020-4B52-A97E-1678FA47FEBC}"/>
    <cellStyle name="40% - Accent1 10 3 2 2 2 4" xfId="32355" xr:uid="{E3532366-4864-4853-A984-40AF5A1D315A}"/>
    <cellStyle name="40% - Accent1 10 3 2 2 3" xfId="12916" xr:uid="{00000000-0005-0000-0000-0000722A0000}"/>
    <cellStyle name="40% - Accent1 10 3 2 2 3 2" xfId="36765" xr:uid="{018CB71D-B9E6-4FDD-8200-BCBF507A0E88}"/>
    <cellStyle name="40% - Accent1 10 3 2 2 4" xfId="20871" xr:uid="{00000000-0005-0000-0000-0000732A0000}"/>
    <cellStyle name="40% - Accent1 10 3 2 2 4 2" xfId="44703" xr:uid="{6E11E6E6-ADC3-4F99-A5A5-30A416EF9E0D}"/>
    <cellStyle name="40% - Accent1 10 3 2 2 5" xfId="28824" xr:uid="{E4435784-9A98-4933-849F-BECEBE98A6C5}"/>
    <cellStyle name="40% - Accent1 10 3 2 3" xfId="6724" xr:uid="{00000000-0005-0000-0000-0000742A0000}"/>
    <cellStyle name="40% - Accent1 10 3 2 3 2" xfId="14696" xr:uid="{00000000-0005-0000-0000-0000752A0000}"/>
    <cellStyle name="40% - Accent1 10 3 2 3 2 2" xfId="38538" xr:uid="{50994E66-75C6-42EB-B53A-017E8C1D3E20}"/>
    <cellStyle name="40% - Accent1 10 3 2 3 3" xfId="22643" xr:uid="{00000000-0005-0000-0000-0000762A0000}"/>
    <cellStyle name="40% - Accent1 10 3 2 3 3 2" xfId="46475" xr:uid="{94DCABCD-FC60-4A05-9121-791F5AF025EF}"/>
    <cellStyle name="40% - Accent1 10 3 2 3 4" xfId="30597" xr:uid="{8CA1A5C0-A76A-46D5-A8C2-F51D25FC7CF5}"/>
    <cellStyle name="40% - Accent1 10 3 2 4" xfId="11160" xr:uid="{00000000-0005-0000-0000-0000772A0000}"/>
    <cellStyle name="40% - Accent1 10 3 2 4 2" xfId="35009" xr:uid="{A03DA389-01B8-46F6-A2CD-E6B9527387D1}"/>
    <cellStyle name="40% - Accent1 10 3 2 5" xfId="19115" xr:uid="{00000000-0005-0000-0000-0000782A0000}"/>
    <cellStyle name="40% - Accent1 10 3 2 5 2" xfId="42947" xr:uid="{19B530C7-E41A-4943-8CC9-789B31B88078}"/>
    <cellStyle name="40% - Accent1 10 3 2 6" xfId="27067" xr:uid="{0BBEFD6B-9971-41A1-B80A-A26743E77023}"/>
    <cellStyle name="40% - Accent1 10 3 2_Exh G" xfId="2691" xr:uid="{00000000-0005-0000-0000-0000792A0000}"/>
    <cellStyle name="40% - Accent1 10 3 3" xfId="4013" xr:uid="{00000000-0005-0000-0000-00007A2A0000}"/>
    <cellStyle name="40% - Accent1 10 3 3 2" xfId="7605" xr:uid="{00000000-0005-0000-0000-00007B2A0000}"/>
    <cellStyle name="40% - Accent1 10 3 3 2 2" xfId="15576" xr:uid="{00000000-0005-0000-0000-00007C2A0000}"/>
    <cellStyle name="40% - Accent1 10 3 3 2 2 2" xfId="39418" xr:uid="{3C7C0880-0F03-4F8D-AB9F-1E24AAA83F22}"/>
    <cellStyle name="40% - Accent1 10 3 3 2 3" xfId="23522" xr:uid="{00000000-0005-0000-0000-00007D2A0000}"/>
    <cellStyle name="40% - Accent1 10 3 3 2 3 2" xfId="47354" xr:uid="{D3522E51-82DE-4C45-AD2D-AB98B1D05F92}"/>
    <cellStyle name="40% - Accent1 10 3 3 2 4" xfId="31477" xr:uid="{DE028ACD-FEBF-487A-9EFD-B6E217B791D8}"/>
    <cellStyle name="40% - Accent1 10 3 3 3" xfId="12038" xr:uid="{00000000-0005-0000-0000-00007E2A0000}"/>
    <cellStyle name="40% - Accent1 10 3 3 3 2" xfId="35887" xr:uid="{F117C190-CB44-4DCA-B843-46E8F6FA9931}"/>
    <cellStyle name="40% - Accent1 10 3 3 4" xfId="19993" xr:uid="{00000000-0005-0000-0000-00007F2A0000}"/>
    <cellStyle name="40% - Accent1 10 3 3 4 2" xfId="43825" xr:uid="{0E562905-9F82-4E96-9F8C-8E9C4E1F9BEC}"/>
    <cellStyle name="40% - Accent1 10 3 3 5" xfId="27946" xr:uid="{7C9A8455-3FAF-4E81-8F15-C8F7CB2070CC}"/>
    <cellStyle name="40% - Accent1 10 3 4" xfId="5833" xr:uid="{00000000-0005-0000-0000-0000802A0000}"/>
    <cellStyle name="40% - Accent1 10 3 4 2" xfId="13817" xr:uid="{00000000-0005-0000-0000-0000812A0000}"/>
    <cellStyle name="40% - Accent1 10 3 4 2 2" xfId="37660" xr:uid="{42E2976A-8FD5-43DD-8A79-347AF6B36605}"/>
    <cellStyle name="40% - Accent1 10 3 4 3" xfId="21765" xr:uid="{00000000-0005-0000-0000-0000822A0000}"/>
    <cellStyle name="40% - Accent1 10 3 4 3 2" xfId="45597" xr:uid="{B7726297-D2C0-4772-BAC2-7F5645F4981F}"/>
    <cellStyle name="40% - Accent1 10 3 4 4" xfId="29719" xr:uid="{51FE0D52-57F1-4057-9EE8-CFCDEC28D41B}"/>
    <cellStyle name="40% - Accent1 10 3 5" xfId="9386" xr:uid="{00000000-0005-0000-0000-0000832A0000}"/>
    <cellStyle name="40% - Accent1 10 3 5 2" xfId="17344" xr:uid="{00000000-0005-0000-0000-0000842A0000}"/>
    <cellStyle name="40% - Accent1 10 3 5 2 2" xfId="41184" xr:uid="{5D83967E-267E-4DA2-B468-BE564C65D03C}"/>
    <cellStyle name="40% - Accent1 10 3 5 3" xfId="25288" xr:uid="{00000000-0005-0000-0000-0000852A0000}"/>
    <cellStyle name="40% - Accent1 10 3 5 3 2" xfId="49120" xr:uid="{FF098BED-2F22-41CE-AC6E-B5CEDAC11827}"/>
    <cellStyle name="40% - Accent1 10 3 5 4" xfId="33243" xr:uid="{D2FBFFDE-7101-4085-A8EE-80EE5B52033A}"/>
    <cellStyle name="40% - Accent1 10 3 6" xfId="10282" xr:uid="{00000000-0005-0000-0000-0000862A0000}"/>
    <cellStyle name="40% - Accent1 10 3 6 2" xfId="34131" xr:uid="{EF22C09B-59B9-4AB5-94A3-2F2435A8D79E}"/>
    <cellStyle name="40% - Accent1 10 3 7" xfId="18237" xr:uid="{00000000-0005-0000-0000-0000872A0000}"/>
    <cellStyle name="40% - Accent1 10 3 7 2" xfId="42069" xr:uid="{B6E37A5C-98C3-428E-A347-D883B928ACCF}"/>
    <cellStyle name="40% - Accent1 10 3 8" xfId="26189" xr:uid="{06AC06AB-7D4E-4AC5-B692-DD5E32CDE298}"/>
    <cellStyle name="40% - Accent1 10 3_Exh G" xfId="2690" xr:uid="{00000000-0005-0000-0000-0000882A0000}"/>
    <cellStyle name="40% - Accent1 10 4" xfId="934" xr:uid="{00000000-0005-0000-0000-0000892A0000}"/>
    <cellStyle name="40% - Accent1 10 5" xfId="1359" xr:uid="{00000000-0005-0000-0000-00008A2A0000}"/>
    <cellStyle name="40% - Accent1 10 5 2" xfId="4889" xr:uid="{00000000-0005-0000-0000-00008B2A0000}"/>
    <cellStyle name="40% - Accent1 10 5 2 2" xfId="8480" xr:uid="{00000000-0005-0000-0000-00008C2A0000}"/>
    <cellStyle name="40% - Accent1 10 5 2 2 2" xfId="16451" xr:uid="{00000000-0005-0000-0000-00008D2A0000}"/>
    <cellStyle name="40% - Accent1 10 5 2 2 2 2" xfId="40293" xr:uid="{2C5580CC-649A-4B05-9F2B-07CACA81F705}"/>
    <cellStyle name="40% - Accent1 10 5 2 2 3" xfId="24397" xr:uid="{00000000-0005-0000-0000-00008E2A0000}"/>
    <cellStyle name="40% - Accent1 10 5 2 2 3 2" xfId="48229" xr:uid="{F44DA05A-BC1B-4D49-A505-870038A4A627}"/>
    <cellStyle name="40% - Accent1 10 5 2 2 4" xfId="32352" xr:uid="{A3253FFA-BB2F-4380-8EC6-734863F4A48E}"/>
    <cellStyle name="40% - Accent1 10 5 2 3" xfId="12913" xr:uid="{00000000-0005-0000-0000-00008F2A0000}"/>
    <cellStyle name="40% - Accent1 10 5 2 3 2" xfId="36762" xr:uid="{87D80B58-E288-4508-BC05-D91112A69FBE}"/>
    <cellStyle name="40% - Accent1 10 5 2 4" xfId="20868" xr:uid="{00000000-0005-0000-0000-0000902A0000}"/>
    <cellStyle name="40% - Accent1 10 5 2 4 2" xfId="44700" xr:uid="{3FA75D94-AE41-437E-A3F9-0BCC095906F8}"/>
    <cellStyle name="40% - Accent1 10 5 2 5" xfId="28821" xr:uid="{0480C8FF-FE0A-41E8-B53D-6AEF79A87C7B}"/>
    <cellStyle name="40% - Accent1 10 5 3" xfId="6721" xr:uid="{00000000-0005-0000-0000-0000912A0000}"/>
    <cellStyle name="40% - Accent1 10 5 3 2" xfId="14693" xr:uid="{00000000-0005-0000-0000-0000922A0000}"/>
    <cellStyle name="40% - Accent1 10 5 3 2 2" xfId="38535" xr:uid="{4F5D4EE5-3666-444F-856F-A566904EFC33}"/>
    <cellStyle name="40% - Accent1 10 5 3 3" xfId="22640" xr:uid="{00000000-0005-0000-0000-0000932A0000}"/>
    <cellStyle name="40% - Accent1 10 5 3 3 2" xfId="46472" xr:uid="{55077A27-A719-4CB7-A369-E9DCA4B0D7B9}"/>
    <cellStyle name="40% - Accent1 10 5 3 4" xfId="30594" xr:uid="{78BDA80F-57CB-4B70-BF3F-9C305CFB1F9C}"/>
    <cellStyle name="40% - Accent1 10 5 4" xfId="11157" xr:uid="{00000000-0005-0000-0000-0000942A0000}"/>
    <cellStyle name="40% - Accent1 10 5 4 2" xfId="35006" xr:uid="{163CC2EC-37D6-4308-BDEF-CBFB464ED21E}"/>
    <cellStyle name="40% - Accent1 10 5 5" xfId="19112" xr:uid="{00000000-0005-0000-0000-0000952A0000}"/>
    <cellStyle name="40% - Accent1 10 5 5 2" xfId="42944" xr:uid="{22C52C22-C67A-42A2-B2A2-679DAF72D0FB}"/>
    <cellStyle name="40% - Accent1 10 5 6" xfId="27064" xr:uid="{865E9EC9-F171-4971-9E10-E3F606DA37AA}"/>
    <cellStyle name="40% - Accent1 10 5_Exh G" xfId="2692" xr:uid="{00000000-0005-0000-0000-0000962A0000}"/>
    <cellStyle name="40% - Accent1 10 6" xfId="4010" xr:uid="{00000000-0005-0000-0000-0000972A0000}"/>
    <cellStyle name="40% - Accent1 10 6 2" xfId="7602" xr:uid="{00000000-0005-0000-0000-0000982A0000}"/>
    <cellStyle name="40% - Accent1 10 6 2 2" xfId="15573" xr:uid="{00000000-0005-0000-0000-0000992A0000}"/>
    <cellStyle name="40% - Accent1 10 6 2 2 2" xfId="39415" xr:uid="{165E1EAD-158C-46E4-BC8A-EBD5C7AEC905}"/>
    <cellStyle name="40% - Accent1 10 6 2 3" xfId="23519" xr:uid="{00000000-0005-0000-0000-00009A2A0000}"/>
    <cellStyle name="40% - Accent1 10 6 2 3 2" xfId="47351" xr:uid="{3FC72C12-E922-488E-814E-E517EB5139B5}"/>
    <cellStyle name="40% - Accent1 10 6 2 4" xfId="31474" xr:uid="{BAC21C14-2F78-46D5-83E5-9920481F8F0C}"/>
    <cellStyle name="40% - Accent1 10 6 3" xfId="12035" xr:uid="{00000000-0005-0000-0000-00009B2A0000}"/>
    <cellStyle name="40% - Accent1 10 6 3 2" xfId="35884" xr:uid="{45488617-D56E-4C0A-9054-F8D7841790D8}"/>
    <cellStyle name="40% - Accent1 10 6 4" xfId="19990" xr:uid="{00000000-0005-0000-0000-00009C2A0000}"/>
    <cellStyle name="40% - Accent1 10 6 4 2" xfId="43822" xr:uid="{6C16FECD-A29C-4721-A3E3-CC2CAA81C996}"/>
    <cellStyle name="40% - Accent1 10 6 5" xfId="27943" xr:uid="{ABE19A2C-9386-47EB-9C14-ACB2FC63BFA2}"/>
    <cellStyle name="40% - Accent1 10 7" xfId="5830" xr:uid="{00000000-0005-0000-0000-00009D2A0000}"/>
    <cellStyle name="40% - Accent1 10 7 2" xfId="13814" xr:uid="{00000000-0005-0000-0000-00009E2A0000}"/>
    <cellStyle name="40% - Accent1 10 7 2 2" xfId="37657" xr:uid="{2CD232CC-4851-4AA5-9FCA-8792B433C713}"/>
    <cellStyle name="40% - Accent1 10 7 3" xfId="21762" xr:uid="{00000000-0005-0000-0000-00009F2A0000}"/>
    <cellStyle name="40% - Accent1 10 7 3 2" xfId="45594" xr:uid="{4F378802-41B6-40DF-AE02-936AF1FEC3CE}"/>
    <cellStyle name="40% - Accent1 10 7 4" xfId="29716" xr:uid="{BFE613BD-7478-45F1-9A53-7AA362A76BC0}"/>
    <cellStyle name="40% - Accent1 10 8" xfId="9383" xr:uid="{00000000-0005-0000-0000-0000A02A0000}"/>
    <cellStyle name="40% - Accent1 10 8 2" xfId="17341" xr:uid="{00000000-0005-0000-0000-0000A12A0000}"/>
    <cellStyle name="40% - Accent1 10 8 2 2" xfId="41181" xr:uid="{F611E3F8-B053-43ED-A1F0-438CFDDEFDAD}"/>
    <cellStyle name="40% - Accent1 10 8 3" xfId="25285" xr:uid="{00000000-0005-0000-0000-0000A22A0000}"/>
    <cellStyle name="40% - Accent1 10 8 3 2" xfId="49117" xr:uid="{8CE0A3B3-534A-4A8F-B292-8D4124585F5B}"/>
    <cellStyle name="40% - Accent1 10 8 4" xfId="33240" xr:uid="{18F2DE9B-A364-4BF1-AD07-A5581BE2674A}"/>
    <cellStyle name="40% - Accent1 10 9" xfId="10279" xr:uid="{00000000-0005-0000-0000-0000A32A0000}"/>
    <cellStyle name="40% - Accent1 10 9 2" xfId="34128" xr:uid="{AE51B6E6-9064-4577-92BD-ED0402EAF437}"/>
    <cellStyle name="40% - Accent1 10_Exh G" xfId="2685" xr:uid="{00000000-0005-0000-0000-0000A42A0000}"/>
    <cellStyle name="40% - Accent1 11" xfId="335" xr:uid="{00000000-0005-0000-0000-0000A52A0000}"/>
    <cellStyle name="40% - Accent1 11 10" xfId="26190" xr:uid="{707C7E89-9EC9-46E5-A4E5-7898A0581BE4}"/>
    <cellStyle name="40% - Accent1 11 2" xfId="336" xr:uid="{00000000-0005-0000-0000-0000A62A0000}"/>
    <cellStyle name="40% - Accent1 11 2 2" xfId="337" xr:uid="{00000000-0005-0000-0000-0000A72A0000}"/>
    <cellStyle name="40% - Accent1 11 2 2 2" xfId="1365" xr:uid="{00000000-0005-0000-0000-0000A82A0000}"/>
    <cellStyle name="40% - Accent1 11 2 2 2 2" xfId="4895" xr:uid="{00000000-0005-0000-0000-0000A92A0000}"/>
    <cellStyle name="40% - Accent1 11 2 2 2 2 2" xfId="8486" xr:uid="{00000000-0005-0000-0000-0000AA2A0000}"/>
    <cellStyle name="40% - Accent1 11 2 2 2 2 2 2" xfId="16457" xr:uid="{00000000-0005-0000-0000-0000AB2A0000}"/>
    <cellStyle name="40% - Accent1 11 2 2 2 2 2 2 2" xfId="40299" xr:uid="{BE9F2B70-4DB5-4F9A-819F-E3CAF15A2A8E}"/>
    <cellStyle name="40% - Accent1 11 2 2 2 2 2 3" xfId="24403" xr:uid="{00000000-0005-0000-0000-0000AC2A0000}"/>
    <cellStyle name="40% - Accent1 11 2 2 2 2 2 3 2" xfId="48235" xr:uid="{24772238-51E1-4233-87C2-EE9CBF9B4584}"/>
    <cellStyle name="40% - Accent1 11 2 2 2 2 2 4" xfId="32358" xr:uid="{8C6A8F18-140F-4745-93F1-A86096DCC4EF}"/>
    <cellStyle name="40% - Accent1 11 2 2 2 2 3" xfId="12919" xr:uid="{00000000-0005-0000-0000-0000AD2A0000}"/>
    <cellStyle name="40% - Accent1 11 2 2 2 2 3 2" xfId="36768" xr:uid="{4D31B718-7C59-4CDD-8D4A-80965780EAF2}"/>
    <cellStyle name="40% - Accent1 11 2 2 2 2 4" xfId="20874" xr:uid="{00000000-0005-0000-0000-0000AE2A0000}"/>
    <cellStyle name="40% - Accent1 11 2 2 2 2 4 2" xfId="44706" xr:uid="{127E94B9-91BB-41CC-A5E0-E5C68C5380CF}"/>
    <cellStyle name="40% - Accent1 11 2 2 2 2 5" xfId="28827" xr:uid="{1E10C3A7-8EE3-4157-A055-170E4BA4EC53}"/>
    <cellStyle name="40% - Accent1 11 2 2 2 3" xfId="6727" xr:uid="{00000000-0005-0000-0000-0000AF2A0000}"/>
    <cellStyle name="40% - Accent1 11 2 2 2 3 2" xfId="14699" xr:uid="{00000000-0005-0000-0000-0000B02A0000}"/>
    <cellStyle name="40% - Accent1 11 2 2 2 3 2 2" xfId="38541" xr:uid="{6449F2C0-28F9-4816-BB01-CC0E29577EEB}"/>
    <cellStyle name="40% - Accent1 11 2 2 2 3 3" xfId="22646" xr:uid="{00000000-0005-0000-0000-0000B12A0000}"/>
    <cellStyle name="40% - Accent1 11 2 2 2 3 3 2" xfId="46478" xr:uid="{BA52E222-2400-416B-80B8-92F6DA39B220}"/>
    <cellStyle name="40% - Accent1 11 2 2 2 3 4" xfId="30600" xr:uid="{A95BBBB1-1BC9-419B-9536-C6B508261E18}"/>
    <cellStyle name="40% - Accent1 11 2 2 2 4" xfId="11163" xr:uid="{00000000-0005-0000-0000-0000B22A0000}"/>
    <cellStyle name="40% - Accent1 11 2 2 2 4 2" xfId="35012" xr:uid="{07D4915C-595B-403F-8EED-294F50909D34}"/>
    <cellStyle name="40% - Accent1 11 2 2 2 5" xfId="19118" xr:uid="{00000000-0005-0000-0000-0000B32A0000}"/>
    <cellStyle name="40% - Accent1 11 2 2 2 5 2" xfId="42950" xr:uid="{D1A33CBB-CF1D-4280-8AB4-4703AD739AC9}"/>
    <cellStyle name="40% - Accent1 11 2 2 2 6" xfId="27070" xr:uid="{5C3A5D69-92A7-428B-B322-56D3B0F18EEC}"/>
    <cellStyle name="40% - Accent1 11 2 2 2_Exh G" xfId="2696" xr:uid="{00000000-0005-0000-0000-0000B42A0000}"/>
    <cellStyle name="40% - Accent1 11 2 2 3" xfId="4016" xr:uid="{00000000-0005-0000-0000-0000B52A0000}"/>
    <cellStyle name="40% - Accent1 11 2 2 3 2" xfId="7608" xr:uid="{00000000-0005-0000-0000-0000B62A0000}"/>
    <cellStyle name="40% - Accent1 11 2 2 3 2 2" xfId="15579" xr:uid="{00000000-0005-0000-0000-0000B72A0000}"/>
    <cellStyle name="40% - Accent1 11 2 2 3 2 2 2" xfId="39421" xr:uid="{31A77995-9B3D-4E47-AD02-C8472CA0377F}"/>
    <cellStyle name="40% - Accent1 11 2 2 3 2 3" xfId="23525" xr:uid="{00000000-0005-0000-0000-0000B82A0000}"/>
    <cellStyle name="40% - Accent1 11 2 2 3 2 3 2" xfId="47357" xr:uid="{A72682EC-91C1-4A64-86BE-533E3D5696BD}"/>
    <cellStyle name="40% - Accent1 11 2 2 3 2 4" xfId="31480" xr:uid="{4688901D-D329-44E2-A777-73A278D9DD11}"/>
    <cellStyle name="40% - Accent1 11 2 2 3 3" xfId="12041" xr:uid="{00000000-0005-0000-0000-0000B92A0000}"/>
    <cellStyle name="40% - Accent1 11 2 2 3 3 2" xfId="35890" xr:uid="{8E8BDD67-44FE-4BC7-B4D2-E1A0A7604222}"/>
    <cellStyle name="40% - Accent1 11 2 2 3 4" xfId="19996" xr:uid="{00000000-0005-0000-0000-0000BA2A0000}"/>
    <cellStyle name="40% - Accent1 11 2 2 3 4 2" xfId="43828" xr:uid="{83A00FE4-42B1-4835-9120-E4E56B2F3324}"/>
    <cellStyle name="40% - Accent1 11 2 2 3 5" xfId="27949" xr:uid="{F93E253F-67DA-4090-9D3D-5B028247D686}"/>
    <cellStyle name="40% - Accent1 11 2 2 4" xfId="5836" xr:uid="{00000000-0005-0000-0000-0000BB2A0000}"/>
    <cellStyle name="40% - Accent1 11 2 2 4 2" xfId="13820" xr:uid="{00000000-0005-0000-0000-0000BC2A0000}"/>
    <cellStyle name="40% - Accent1 11 2 2 4 2 2" xfId="37663" xr:uid="{28952740-A5EF-4296-A6C8-7B3B2C816249}"/>
    <cellStyle name="40% - Accent1 11 2 2 4 3" xfId="21768" xr:uid="{00000000-0005-0000-0000-0000BD2A0000}"/>
    <cellStyle name="40% - Accent1 11 2 2 4 3 2" xfId="45600" xr:uid="{B2DE3F73-124A-431B-9611-79598C9C4122}"/>
    <cellStyle name="40% - Accent1 11 2 2 4 4" xfId="29722" xr:uid="{76ADD984-1828-4811-81FB-DEDAD7B4C13A}"/>
    <cellStyle name="40% - Accent1 11 2 2 5" xfId="9389" xr:uid="{00000000-0005-0000-0000-0000BE2A0000}"/>
    <cellStyle name="40% - Accent1 11 2 2 5 2" xfId="17347" xr:uid="{00000000-0005-0000-0000-0000BF2A0000}"/>
    <cellStyle name="40% - Accent1 11 2 2 5 2 2" xfId="41187" xr:uid="{A4FE704E-2BF1-4B6E-B4BA-B0C1B50A264B}"/>
    <cellStyle name="40% - Accent1 11 2 2 5 3" xfId="25291" xr:uid="{00000000-0005-0000-0000-0000C02A0000}"/>
    <cellStyle name="40% - Accent1 11 2 2 5 3 2" xfId="49123" xr:uid="{08877340-C933-4C00-B39B-5E75815A2C88}"/>
    <cellStyle name="40% - Accent1 11 2 2 5 4" xfId="33246" xr:uid="{F5459CB7-5BCA-442B-8112-D2013C17FFA6}"/>
    <cellStyle name="40% - Accent1 11 2 2 6" xfId="10285" xr:uid="{00000000-0005-0000-0000-0000C12A0000}"/>
    <cellStyle name="40% - Accent1 11 2 2 6 2" xfId="34134" xr:uid="{F17214DC-E98E-4B32-8204-DB8834F8B5F7}"/>
    <cellStyle name="40% - Accent1 11 2 2 7" xfId="18240" xr:uid="{00000000-0005-0000-0000-0000C22A0000}"/>
    <cellStyle name="40% - Accent1 11 2 2 7 2" xfId="42072" xr:uid="{E780428A-6C7F-4D3C-BF55-26DBFD7994C7}"/>
    <cellStyle name="40% - Accent1 11 2 2 8" xfId="26192" xr:uid="{95089F35-D3CB-4B3A-8D64-C32B90730A5D}"/>
    <cellStyle name="40% - Accent1 11 2 2_Exh G" xfId="2695" xr:uid="{00000000-0005-0000-0000-0000C32A0000}"/>
    <cellStyle name="40% - Accent1 11 2 3" xfId="1364" xr:uid="{00000000-0005-0000-0000-0000C42A0000}"/>
    <cellStyle name="40% - Accent1 11 2 3 2" xfId="4894" xr:uid="{00000000-0005-0000-0000-0000C52A0000}"/>
    <cellStyle name="40% - Accent1 11 2 3 2 2" xfId="8485" xr:uid="{00000000-0005-0000-0000-0000C62A0000}"/>
    <cellStyle name="40% - Accent1 11 2 3 2 2 2" xfId="16456" xr:uid="{00000000-0005-0000-0000-0000C72A0000}"/>
    <cellStyle name="40% - Accent1 11 2 3 2 2 2 2" xfId="40298" xr:uid="{374C604E-7CDF-498D-9411-E587330AE201}"/>
    <cellStyle name="40% - Accent1 11 2 3 2 2 3" xfId="24402" xr:uid="{00000000-0005-0000-0000-0000C82A0000}"/>
    <cellStyle name="40% - Accent1 11 2 3 2 2 3 2" xfId="48234" xr:uid="{02F21E66-9D4C-46CA-873F-7534B41D9E0E}"/>
    <cellStyle name="40% - Accent1 11 2 3 2 2 4" xfId="32357" xr:uid="{E010FEEB-659B-420B-AA6D-262E34873074}"/>
    <cellStyle name="40% - Accent1 11 2 3 2 3" xfId="12918" xr:uid="{00000000-0005-0000-0000-0000C92A0000}"/>
    <cellStyle name="40% - Accent1 11 2 3 2 3 2" xfId="36767" xr:uid="{DBC5119A-9828-4830-B6F3-BADCF7E06020}"/>
    <cellStyle name="40% - Accent1 11 2 3 2 4" xfId="20873" xr:uid="{00000000-0005-0000-0000-0000CA2A0000}"/>
    <cellStyle name="40% - Accent1 11 2 3 2 4 2" xfId="44705" xr:uid="{E87C338C-1E3C-4D5B-A1C6-5A1D337A6160}"/>
    <cellStyle name="40% - Accent1 11 2 3 2 5" xfId="28826" xr:uid="{42845891-7D84-4787-8663-0832BA6FB2D5}"/>
    <cellStyle name="40% - Accent1 11 2 3 3" xfId="6726" xr:uid="{00000000-0005-0000-0000-0000CB2A0000}"/>
    <cellStyle name="40% - Accent1 11 2 3 3 2" xfId="14698" xr:uid="{00000000-0005-0000-0000-0000CC2A0000}"/>
    <cellStyle name="40% - Accent1 11 2 3 3 2 2" xfId="38540" xr:uid="{440094FD-2F2D-4DD9-8FAB-44BB014BD4EC}"/>
    <cellStyle name="40% - Accent1 11 2 3 3 3" xfId="22645" xr:uid="{00000000-0005-0000-0000-0000CD2A0000}"/>
    <cellStyle name="40% - Accent1 11 2 3 3 3 2" xfId="46477" xr:uid="{2A621832-52FF-4243-A6F3-6068ABBDB439}"/>
    <cellStyle name="40% - Accent1 11 2 3 3 4" xfId="30599" xr:uid="{216E0D4C-E03F-4713-BBD0-3AAED86E7A1B}"/>
    <cellStyle name="40% - Accent1 11 2 3 4" xfId="11162" xr:uid="{00000000-0005-0000-0000-0000CE2A0000}"/>
    <cellStyle name="40% - Accent1 11 2 3 4 2" xfId="35011" xr:uid="{FA7C729F-DD27-401C-A16C-48F459160E51}"/>
    <cellStyle name="40% - Accent1 11 2 3 5" xfId="19117" xr:uid="{00000000-0005-0000-0000-0000CF2A0000}"/>
    <cellStyle name="40% - Accent1 11 2 3 5 2" xfId="42949" xr:uid="{EE14FC14-C77C-4BA5-9049-8199163FACAF}"/>
    <cellStyle name="40% - Accent1 11 2 3 6" xfId="27069" xr:uid="{E4AFEF46-9829-40B3-86C6-B2F8917BADB8}"/>
    <cellStyle name="40% - Accent1 11 2 3_Exh G" xfId="2697" xr:uid="{00000000-0005-0000-0000-0000D02A0000}"/>
    <cellStyle name="40% - Accent1 11 2 4" xfId="4015" xr:uid="{00000000-0005-0000-0000-0000D12A0000}"/>
    <cellStyle name="40% - Accent1 11 2 4 2" xfId="7607" xr:uid="{00000000-0005-0000-0000-0000D22A0000}"/>
    <cellStyle name="40% - Accent1 11 2 4 2 2" xfId="15578" xr:uid="{00000000-0005-0000-0000-0000D32A0000}"/>
    <cellStyle name="40% - Accent1 11 2 4 2 2 2" xfId="39420" xr:uid="{75A26144-3E7A-44E4-B38D-97DD68BCF4DA}"/>
    <cellStyle name="40% - Accent1 11 2 4 2 3" xfId="23524" xr:uid="{00000000-0005-0000-0000-0000D42A0000}"/>
    <cellStyle name="40% - Accent1 11 2 4 2 3 2" xfId="47356" xr:uid="{25FB0D39-E0E5-4C10-9C17-4231681FEA72}"/>
    <cellStyle name="40% - Accent1 11 2 4 2 4" xfId="31479" xr:uid="{6FBD5F7F-9BB4-4AA2-B01F-B03414F131D1}"/>
    <cellStyle name="40% - Accent1 11 2 4 3" xfId="12040" xr:uid="{00000000-0005-0000-0000-0000D52A0000}"/>
    <cellStyle name="40% - Accent1 11 2 4 3 2" xfId="35889" xr:uid="{023429B0-E14F-41AE-B80D-E19ADAC90070}"/>
    <cellStyle name="40% - Accent1 11 2 4 4" xfId="19995" xr:uid="{00000000-0005-0000-0000-0000D62A0000}"/>
    <cellStyle name="40% - Accent1 11 2 4 4 2" xfId="43827" xr:uid="{CBDE3825-CBF4-4414-812E-A01697482112}"/>
    <cellStyle name="40% - Accent1 11 2 4 5" xfId="27948" xr:uid="{8430C6DD-32F4-4EA3-BD86-09646B646E27}"/>
    <cellStyle name="40% - Accent1 11 2 5" xfId="5835" xr:uid="{00000000-0005-0000-0000-0000D72A0000}"/>
    <cellStyle name="40% - Accent1 11 2 5 2" xfId="13819" xr:uid="{00000000-0005-0000-0000-0000D82A0000}"/>
    <cellStyle name="40% - Accent1 11 2 5 2 2" xfId="37662" xr:uid="{130B1E91-0D42-4DF8-9387-9F3515165533}"/>
    <cellStyle name="40% - Accent1 11 2 5 3" xfId="21767" xr:uid="{00000000-0005-0000-0000-0000D92A0000}"/>
    <cellStyle name="40% - Accent1 11 2 5 3 2" xfId="45599" xr:uid="{0E9F01D6-5536-4BC9-B39F-CA846395F5FD}"/>
    <cellStyle name="40% - Accent1 11 2 5 4" xfId="29721" xr:uid="{5E452932-9EEC-4FBE-9CA2-88D8A2413BCC}"/>
    <cellStyle name="40% - Accent1 11 2 6" xfId="9388" xr:uid="{00000000-0005-0000-0000-0000DA2A0000}"/>
    <cellStyle name="40% - Accent1 11 2 6 2" xfId="17346" xr:uid="{00000000-0005-0000-0000-0000DB2A0000}"/>
    <cellStyle name="40% - Accent1 11 2 6 2 2" xfId="41186" xr:uid="{42958B25-24AE-4CD7-B6D3-18F92EE7D712}"/>
    <cellStyle name="40% - Accent1 11 2 6 3" xfId="25290" xr:uid="{00000000-0005-0000-0000-0000DC2A0000}"/>
    <cellStyle name="40% - Accent1 11 2 6 3 2" xfId="49122" xr:uid="{6C7AB376-06B2-435D-BDED-DA8719BB9590}"/>
    <cellStyle name="40% - Accent1 11 2 6 4" xfId="33245" xr:uid="{DB02A498-C2D4-410C-A372-3962A30B9AD5}"/>
    <cellStyle name="40% - Accent1 11 2 7" xfId="10284" xr:uid="{00000000-0005-0000-0000-0000DD2A0000}"/>
    <cellStyle name="40% - Accent1 11 2 7 2" xfId="34133" xr:uid="{02727727-8AE3-46F2-9B21-F7A54E34C8AC}"/>
    <cellStyle name="40% - Accent1 11 2 8" xfId="18239" xr:uid="{00000000-0005-0000-0000-0000DE2A0000}"/>
    <cellStyle name="40% - Accent1 11 2 8 2" xfId="42071" xr:uid="{C4A43F3D-C6D7-4DF7-B254-3F5FF5B5837C}"/>
    <cellStyle name="40% - Accent1 11 2 9" xfId="26191" xr:uid="{2762D9BF-5300-42A0-862E-E5670F110BB7}"/>
    <cellStyle name="40% - Accent1 11 2_Exh G" xfId="2694" xr:uid="{00000000-0005-0000-0000-0000DF2A0000}"/>
    <cellStyle name="40% - Accent1 11 3" xfId="338" xr:uid="{00000000-0005-0000-0000-0000E02A0000}"/>
    <cellStyle name="40% - Accent1 11 3 2" xfId="1366" xr:uid="{00000000-0005-0000-0000-0000E12A0000}"/>
    <cellStyle name="40% - Accent1 11 3 2 2" xfId="4896" xr:uid="{00000000-0005-0000-0000-0000E22A0000}"/>
    <cellStyle name="40% - Accent1 11 3 2 2 2" xfId="8487" xr:uid="{00000000-0005-0000-0000-0000E32A0000}"/>
    <cellStyle name="40% - Accent1 11 3 2 2 2 2" xfId="16458" xr:uid="{00000000-0005-0000-0000-0000E42A0000}"/>
    <cellStyle name="40% - Accent1 11 3 2 2 2 2 2" xfId="40300" xr:uid="{BCE71A1D-4AAD-4A06-B8BF-BD78CAFF819A}"/>
    <cellStyle name="40% - Accent1 11 3 2 2 2 3" xfId="24404" xr:uid="{00000000-0005-0000-0000-0000E52A0000}"/>
    <cellStyle name="40% - Accent1 11 3 2 2 2 3 2" xfId="48236" xr:uid="{B45E564A-6845-4F8C-A6EB-B13DDC97A90F}"/>
    <cellStyle name="40% - Accent1 11 3 2 2 2 4" xfId="32359" xr:uid="{C4A47BC8-4D0F-45C6-A045-244C090EE000}"/>
    <cellStyle name="40% - Accent1 11 3 2 2 3" xfId="12920" xr:uid="{00000000-0005-0000-0000-0000E62A0000}"/>
    <cellStyle name="40% - Accent1 11 3 2 2 3 2" xfId="36769" xr:uid="{E4170503-3156-4BB0-AA1C-30A94455E12C}"/>
    <cellStyle name="40% - Accent1 11 3 2 2 4" xfId="20875" xr:uid="{00000000-0005-0000-0000-0000E72A0000}"/>
    <cellStyle name="40% - Accent1 11 3 2 2 4 2" xfId="44707" xr:uid="{EF72D5C8-9E48-45F5-AAEC-06B4839957D9}"/>
    <cellStyle name="40% - Accent1 11 3 2 2 5" xfId="28828" xr:uid="{DBF47E12-3838-4714-8894-1D1AC0487152}"/>
    <cellStyle name="40% - Accent1 11 3 2 3" xfId="6728" xr:uid="{00000000-0005-0000-0000-0000E82A0000}"/>
    <cellStyle name="40% - Accent1 11 3 2 3 2" xfId="14700" xr:uid="{00000000-0005-0000-0000-0000E92A0000}"/>
    <cellStyle name="40% - Accent1 11 3 2 3 2 2" xfId="38542" xr:uid="{F07F6A0B-AE09-44A2-95CE-91D8EE286B13}"/>
    <cellStyle name="40% - Accent1 11 3 2 3 3" xfId="22647" xr:uid="{00000000-0005-0000-0000-0000EA2A0000}"/>
    <cellStyle name="40% - Accent1 11 3 2 3 3 2" xfId="46479" xr:uid="{79D7C6E7-8874-4EF6-B903-70B8A2F02F7D}"/>
    <cellStyle name="40% - Accent1 11 3 2 3 4" xfId="30601" xr:uid="{04FD71EE-EE16-445F-8A82-F21B77BD72F7}"/>
    <cellStyle name="40% - Accent1 11 3 2 4" xfId="11164" xr:uid="{00000000-0005-0000-0000-0000EB2A0000}"/>
    <cellStyle name="40% - Accent1 11 3 2 4 2" xfId="35013" xr:uid="{520E3AE5-3A34-4197-BF00-88AEE4F43A81}"/>
    <cellStyle name="40% - Accent1 11 3 2 5" xfId="19119" xr:uid="{00000000-0005-0000-0000-0000EC2A0000}"/>
    <cellStyle name="40% - Accent1 11 3 2 5 2" xfId="42951" xr:uid="{1572D9F8-9F5D-4DCC-9538-B970A86AE810}"/>
    <cellStyle name="40% - Accent1 11 3 2 6" xfId="27071" xr:uid="{7B80A152-CF0D-4ECB-A0EA-386E389CA236}"/>
    <cellStyle name="40% - Accent1 11 3 2_Exh G" xfId="2699" xr:uid="{00000000-0005-0000-0000-0000ED2A0000}"/>
    <cellStyle name="40% - Accent1 11 3 3" xfId="4017" xr:uid="{00000000-0005-0000-0000-0000EE2A0000}"/>
    <cellStyle name="40% - Accent1 11 3 3 2" xfId="7609" xr:uid="{00000000-0005-0000-0000-0000EF2A0000}"/>
    <cellStyle name="40% - Accent1 11 3 3 2 2" xfId="15580" xr:uid="{00000000-0005-0000-0000-0000F02A0000}"/>
    <cellStyle name="40% - Accent1 11 3 3 2 2 2" xfId="39422" xr:uid="{36FDBA56-BBB9-402F-A26C-CABC670A752A}"/>
    <cellStyle name="40% - Accent1 11 3 3 2 3" xfId="23526" xr:uid="{00000000-0005-0000-0000-0000F12A0000}"/>
    <cellStyle name="40% - Accent1 11 3 3 2 3 2" xfId="47358" xr:uid="{6FAE38D1-7962-4C0F-997C-A92A1C658559}"/>
    <cellStyle name="40% - Accent1 11 3 3 2 4" xfId="31481" xr:uid="{BE300F2D-3B2B-47FC-98F9-C6E26F305615}"/>
    <cellStyle name="40% - Accent1 11 3 3 3" xfId="12042" xr:uid="{00000000-0005-0000-0000-0000F22A0000}"/>
    <cellStyle name="40% - Accent1 11 3 3 3 2" xfId="35891" xr:uid="{397B5025-C94A-4570-89B1-507B2906B94F}"/>
    <cellStyle name="40% - Accent1 11 3 3 4" xfId="19997" xr:uid="{00000000-0005-0000-0000-0000F32A0000}"/>
    <cellStyle name="40% - Accent1 11 3 3 4 2" xfId="43829" xr:uid="{AC0CEAFE-EB7F-48C7-BEC1-D91BB1061CC3}"/>
    <cellStyle name="40% - Accent1 11 3 3 5" xfId="27950" xr:uid="{FCE3B681-69EB-4A1F-A528-FB6B9EBB2C1A}"/>
    <cellStyle name="40% - Accent1 11 3 4" xfId="5837" xr:uid="{00000000-0005-0000-0000-0000F42A0000}"/>
    <cellStyle name="40% - Accent1 11 3 4 2" xfId="13821" xr:uid="{00000000-0005-0000-0000-0000F52A0000}"/>
    <cellStyle name="40% - Accent1 11 3 4 2 2" xfId="37664" xr:uid="{5503C350-C35D-430C-A160-F7E2D89D6172}"/>
    <cellStyle name="40% - Accent1 11 3 4 3" xfId="21769" xr:uid="{00000000-0005-0000-0000-0000F62A0000}"/>
    <cellStyle name="40% - Accent1 11 3 4 3 2" xfId="45601" xr:uid="{DBBC121B-9493-4C40-B8AD-10882225C188}"/>
    <cellStyle name="40% - Accent1 11 3 4 4" xfId="29723" xr:uid="{B394561E-ED78-4733-98AC-EB81CEBDA9C0}"/>
    <cellStyle name="40% - Accent1 11 3 5" xfId="9390" xr:uid="{00000000-0005-0000-0000-0000F72A0000}"/>
    <cellStyle name="40% - Accent1 11 3 5 2" xfId="17348" xr:uid="{00000000-0005-0000-0000-0000F82A0000}"/>
    <cellStyle name="40% - Accent1 11 3 5 2 2" xfId="41188" xr:uid="{6F2A8C2B-2C71-47C1-BC46-27CAFBC29480}"/>
    <cellStyle name="40% - Accent1 11 3 5 3" xfId="25292" xr:uid="{00000000-0005-0000-0000-0000F92A0000}"/>
    <cellStyle name="40% - Accent1 11 3 5 3 2" xfId="49124" xr:uid="{7A0A012D-8F19-4445-AB5B-38FBF1830054}"/>
    <cellStyle name="40% - Accent1 11 3 5 4" xfId="33247" xr:uid="{EEBA5583-7166-4AA0-ADD3-6255252FB122}"/>
    <cellStyle name="40% - Accent1 11 3 6" xfId="10286" xr:uid="{00000000-0005-0000-0000-0000FA2A0000}"/>
    <cellStyle name="40% - Accent1 11 3 6 2" xfId="34135" xr:uid="{1BAC233D-5B97-4B8B-B7E0-23609C5F5073}"/>
    <cellStyle name="40% - Accent1 11 3 7" xfId="18241" xr:uid="{00000000-0005-0000-0000-0000FB2A0000}"/>
    <cellStyle name="40% - Accent1 11 3 7 2" xfId="42073" xr:uid="{241179A4-FF57-4375-9033-3A851BD36369}"/>
    <cellStyle name="40% - Accent1 11 3 8" xfId="26193" xr:uid="{72E8ACBA-5A1E-4B67-B14F-FEC108BB4536}"/>
    <cellStyle name="40% - Accent1 11 3_Exh G" xfId="2698" xr:uid="{00000000-0005-0000-0000-0000FC2A0000}"/>
    <cellStyle name="40% - Accent1 11 4" xfId="1363" xr:uid="{00000000-0005-0000-0000-0000FD2A0000}"/>
    <cellStyle name="40% - Accent1 11 4 2" xfId="4893" xr:uid="{00000000-0005-0000-0000-0000FE2A0000}"/>
    <cellStyle name="40% - Accent1 11 4 2 2" xfId="8484" xr:uid="{00000000-0005-0000-0000-0000FF2A0000}"/>
    <cellStyle name="40% - Accent1 11 4 2 2 2" xfId="16455" xr:uid="{00000000-0005-0000-0000-0000002B0000}"/>
    <cellStyle name="40% - Accent1 11 4 2 2 2 2" xfId="40297" xr:uid="{3E8CA59A-F8A6-4A47-85EC-901D88B25490}"/>
    <cellStyle name="40% - Accent1 11 4 2 2 3" xfId="24401" xr:uid="{00000000-0005-0000-0000-0000012B0000}"/>
    <cellStyle name="40% - Accent1 11 4 2 2 3 2" xfId="48233" xr:uid="{B2D3CF5C-0911-4F00-97AF-56726AAE175C}"/>
    <cellStyle name="40% - Accent1 11 4 2 2 4" xfId="32356" xr:uid="{80BB6CB1-9024-4F5A-9521-E0E08C8FACEC}"/>
    <cellStyle name="40% - Accent1 11 4 2 3" xfId="12917" xr:uid="{00000000-0005-0000-0000-0000022B0000}"/>
    <cellStyle name="40% - Accent1 11 4 2 3 2" xfId="36766" xr:uid="{D3A03F60-8274-4CC0-9847-8DFE3CC92307}"/>
    <cellStyle name="40% - Accent1 11 4 2 4" xfId="20872" xr:uid="{00000000-0005-0000-0000-0000032B0000}"/>
    <cellStyle name="40% - Accent1 11 4 2 4 2" xfId="44704" xr:uid="{43BEC236-748B-4A2D-971D-B906482FB834}"/>
    <cellStyle name="40% - Accent1 11 4 2 5" xfId="28825" xr:uid="{5BE80E1D-9392-4315-BEB4-4F7D1367F890}"/>
    <cellStyle name="40% - Accent1 11 4 3" xfId="6725" xr:uid="{00000000-0005-0000-0000-0000042B0000}"/>
    <cellStyle name="40% - Accent1 11 4 3 2" xfId="14697" xr:uid="{00000000-0005-0000-0000-0000052B0000}"/>
    <cellStyle name="40% - Accent1 11 4 3 2 2" xfId="38539" xr:uid="{477E640F-4A94-4A2E-96D9-D56EF6844770}"/>
    <cellStyle name="40% - Accent1 11 4 3 3" xfId="22644" xr:uid="{00000000-0005-0000-0000-0000062B0000}"/>
    <cellStyle name="40% - Accent1 11 4 3 3 2" xfId="46476" xr:uid="{75242EBD-12A6-4C41-8FF9-08850C7955F9}"/>
    <cellStyle name="40% - Accent1 11 4 3 4" xfId="30598" xr:uid="{4EA5B647-0E0B-41D4-B9DC-09FFED78E4D3}"/>
    <cellStyle name="40% - Accent1 11 4 4" xfId="11161" xr:uid="{00000000-0005-0000-0000-0000072B0000}"/>
    <cellStyle name="40% - Accent1 11 4 4 2" xfId="35010" xr:uid="{BA074AB8-4E7D-45BC-B0AF-99B5E4A493B7}"/>
    <cellStyle name="40% - Accent1 11 4 5" xfId="19116" xr:uid="{00000000-0005-0000-0000-0000082B0000}"/>
    <cellStyle name="40% - Accent1 11 4 5 2" xfId="42948" xr:uid="{B94629A7-9C3A-4430-91DA-130077023C30}"/>
    <cellStyle name="40% - Accent1 11 4 6" xfId="27068" xr:uid="{117D656B-DEFB-43D1-BABC-5D438FFA8994}"/>
    <cellStyle name="40% - Accent1 11 4_Exh G" xfId="2700" xr:uid="{00000000-0005-0000-0000-0000092B0000}"/>
    <cellStyle name="40% - Accent1 11 5" xfId="4014" xr:uid="{00000000-0005-0000-0000-00000A2B0000}"/>
    <cellStyle name="40% - Accent1 11 5 2" xfId="7606" xr:uid="{00000000-0005-0000-0000-00000B2B0000}"/>
    <cellStyle name="40% - Accent1 11 5 2 2" xfId="15577" xr:uid="{00000000-0005-0000-0000-00000C2B0000}"/>
    <cellStyle name="40% - Accent1 11 5 2 2 2" xfId="39419" xr:uid="{A71EA058-A2D0-4667-895B-7E3BEAC6842D}"/>
    <cellStyle name="40% - Accent1 11 5 2 3" xfId="23523" xr:uid="{00000000-0005-0000-0000-00000D2B0000}"/>
    <cellStyle name="40% - Accent1 11 5 2 3 2" xfId="47355" xr:uid="{014F54C9-43DA-4981-906E-6E55E8E4BFBA}"/>
    <cellStyle name="40% - Accent1 11 5 2 4" xfId="31478" xr:uid="{58B2DF34-47ED-47BE-AF17-8E843F8E73CF}"/>
    <cellStyle name="40% - Accent1 11 5 3" xfId="12039" xr:uid="{00000000-0005-0000-0000-00000E2B0000}"/>
    <cellStyle name="40% - Accent1 11 5 3 2" xfId="35888" xr:uid="{3B784523-232C-4C3D-9311-4D0DDE2C3A28}"/>
    <cellStyle name="40% - Accent1 11 5 4" xfId="19994" xr:uid="{00000000-0005-0000-0000-00000F2B0000}"/>
    <cellStyle name="40% - Accent1 11 5 4 2" xfId="43826" xr:uid="{676EDB0D-8696-4D41-9019-80A2AF6C2864}"/>
    <cellStyle name="40% - Accent1 11 5 5" xfId="27947" xr:uid="{95FB2BF1-EECF-41C8-A875-E5856E1C7A72}"/>
    <cellStyle name="40% - Accent1 11 6" xfId="5834" xr:uid="{00000000-0005-0000-0000-0000102B0000}"/>
    <cellStyle name="40% - Accent1 11 6 2" xfId="13818" xr:uid="{00000000-0005-0000-0000-0000112B0000}"/>
    <cellStyle name="40% - Accent1 11 6 2 2" xfId="37661" xr:uid="{7E8B10F1-CD93-4F37-90B1-746378854E01}"/>
    <cellStyle name="40% - Accent1 11 6 3" xfId="21766" xr:uid="{00000000-0005-0000-0000-0000122B0000}"/>
    <cellStyle name="40% - Accent1 11 6 3 2" xfId="45598" xr:uid="{7B23B7FA-EB65-466C-BD74-005CF72A50F9}"/>
    <cellStyle name="40% - Accent1 11 6 4" xfId="29720" xr:uid="{B9614461-FFF2-46D0-84F5-F6BC55800E20}"/>
    <cellStyle name="40% - Accent1 11 7" xfId="9387" xr:uid="{00000000-0005-0000-0000-0000132B0000}"/>
    <cellStyle name="40% - Accent1 11 7 2" xfId="17345" xr:uid="{00000000-0005-0000-0000-0000142B0000}"/>
    <cellStyle name="40% - Accent1 11 7 2 2" xfId="41185" xr:uid="{077F8043-4582-49B6-962B-5E2C9AF2C17E}"/>
    <cellStyle name="40% - Accent1 11 7 3" xfId="25289" xr:uid="{00000000-0005-0000-0000-0000152B0000}"/>
    <cellStyle name="40% - Accent1 11 7 3 2" xfId="49121" xr:uid="{FF401853-839D-465C-A93D-768B669228CC}"/>
    <cellStyle name="40% - Accent1 11 7 4" xfId="33244" xr:uid="{28443650-1576-44FF-9EDC-109A80CA8706}"/>
    <cellStyle name="40% - Accent1 11 8" xfId="10283" xr:uid="{00000000-0005-0000-0000-0000162B0000}"/>
    <cellStyle name="40% - Accent1 11 8 2" xfId="34132" xr:uid="{625EE659-FA0E-4918-8F81-CA70901002EC}"/>
    <cellStyle name="40% - Accent1 11 9" xfId="18238" xr:uid="{00000000-0005-0000-0000-0000172B0000}"/>
    <cellStyle name="40% - Accent1 11 9 2" xfId="42070" xr:uid="{DE0C51BA-4FCE-40EE-8E7C-369B97C02B8D}"/>
    <cellStyle name="40% - Accent1 11_Exh G" xfId="2693" xr:uid="{00000000-0005-0000-0000-0000182B0000}"/>
    <cellStyle name="40% - Accent1 12" xfId="339" xr:uid="{00000000-0005-0000-0000-0000192B0000}"/>
    <cellStyle name="40% - Accent1 12 10" xfId="26194" xr:uid="{25128521-C535-44A6-882D-3C18335B37A9}"/>
    <cellStyle name="40% - Accent1 12 2" xfId="340" xr:uid="{00000000-0005-0000-0000-00001A2B0000}"/>
    <cellStyle name="40% - Accent1 12 2 2" xfId="341" xr:uid="{00000000-0005-0000-0000-00001B2B0000}"/>
    <cellStyle name="40% - Accent1 12 2 2 2" xfId="1369" xr:uid="{00000000-0005-0000-0000-00001C2B0000}"/>
    <cellStyle name="40% - Accent1 12 2 2 2 2" xfId="4899" xr:uid="{00000000-0005-0000-0000-00001D2B0000}"/>
    <cellStyle name="40% - Accent1 12 2 2 2 2 2" xfId="8490" xr:uid="{00000000-0005-0000-0000-00001E2B0000}"/>
    <cellStyle name="40% - Accent1 12 2 2 2 2 2 2" xfId="16461" xr:uid="{00000000-0005-0000-0000-00001F2B0000}"/>
    <cellStyle name="40% - Accent1 12 2 2 2 2 2 2 2" xfId="40303" xr:uid="{B8FFF91B-D159-4CF7-A35E-0C35B6DC3E48}"/>
    <cellStyle name="40% - Accent1 12 2 2 2 2 2 3" xfId="24407" xr:uid="{00000000-0005-0000-0000-0000202B0000}"/>
    <cellStyle name="40% - Accent1 12 2 2 2 2 2 3 2" xfId="48239" xr:uid="{C402CBA0-E34C-4991-9D06-048A7FA16E12}"/>
    <cellStyle name="40% - Accent1 12 2 2 2 2 2 4" xfId="32362" xr:uid="{503B7094-A8E4-4EE2-B73B-F2C5F56F47A2}"/>
    <cellStyle name="40% - Accent1 12 2 2 2 2 3" xfId="12923" xr:uid="{00000000-0005-0000-0000-0000212B0000}"/>
    <cellStyle name="40% - Accent1 12 2 2 2 2 3 2" xfId="36772" xr:uid="{C82BFFA3-7985-4AB4-BCDE-6985BB61B7ED}"/>
    <cellStyle name="40% - Accent1 12 2 2 2 2 4" xfId="20878" xr:uid="{00000000-0005-0000-0000-0000222B0000}"/>
    <cellStyle name="40% - Accent1 12 2 2 2 2 4 2" xfId="44710" xr:uid="{C2B07D1D-B49A-4BF0-B2FF-EDDF875481A5}"/>
    <cellStyle name="40% - Accent1 12 2 2 2 2 5" xfId="28831" xr:uid="{F3433B2A-84D7-49AD-860C-7719C73C6C1A}"/>
    <cellStyle name="40% - Accent1 12 2 2 2 3" xfId="6731" xr:uid="{00000000-0005-0000-0000-0000232B0000}"/>
    <cellStyle name="40% - Accent1 12 2 2 2 3 2" xfId="14703" xr:uid="{00000000-0005-0000-0000-0000242B0000}"/>
    <cellStyle name="40% - Accent1 12 2 2 2 3 2 2" xfId="38545" xr:uid="{E01D64E3-DBBC-4106-BCD0-FF280C63C9BC}"/>
    <cellStyle name="40% - Accent1 12 2 2 2 3 3" xfId="22650" xr:uid="{00000000-0005-0000-0000-0000252B0000}"/>
    <cellStyle name="40% - Accent1 12 2 2 2 3 3 2" xfId="46482" xr:uid="{F8CB87C3-DAC7-4C94-9EBC-BEA7BFDC7035}"/>
    <cellStyle name="40% - Accent1 12 2 2 2 3 4" xfId="30604" xr:uid="{23E0D12B-8300-4C5F-8D29-FF08EE9AE0B8}"/>
    <cellStyle name="40% - Accent1 12 2 2 2 4" xfId="11167" xr:uid="{00000000-0005-0000-0000-0000262B0000}"/>
    <cellStyle name="40% - Accent1 12 2 2 2 4 2" xfId="35016" xr:uid="{1CB68A56-7A09-4FDF-824F-277B6BE7F9AB}"/>
    <cellStyle name="40% - Accent1 12 2 2 2 5" xfId="19122" xr:uid="{00000000-0005-0000-0000-0000272B0000}"/>
    <cellStyle name="40% - Accent1 12 2 2 2 5 2" xfId="42954" xr:uid="{96B9025C-8AF4-48E6-B6A7-A6841B1DE07F}"/>
    <cellStyle name="40% - Accent1 12 2 2 2 6" xfId="27074" xr:uid="{BF938B39-1611-4D9C-80CF-B6FE29033FD4}"/>
    <cellStyle name="40% - Accent1 12 2 2 2_Exh G" xfId="2704" xr:uid="{00000000-0005-0000-0000-0000282B0000}"/>
    <cellStyle name="40% - Accent1 12 2 2 3" xfId="4020" xr:uid="{00000000-0005-0000-0000-0000292B0000}"/>
    <cellStyle name="40% - Accent1 12 2 2 3 2" xfId="7612" xr:uid="{00000000-0005-0000-0000-00002A2B0000}"/>
    <cellStyle name="40% - Accent1 12 2 2 3 2 2" xfId="15583" xr:uid="{00000000-0005-0000-0000-00002B2B0000}"/>
    <cellStyle name="40% - Accent1 12 2 2 3 2 2 2" xfId="39425" xr:uid="{1B7378AC-28A3-4217-9F79-BC0AF2ED4E00}"/>
    <cellStyle name="40% - Accent1 12 2 2 3 2 3" xfId="23529" xr:uid="{00000000-0005-0000-0000-00002C2B0000}"/>
    <cellStyle name="40% - Accent1 12 2 2 3 2 3 2" xfId="47361" xr:uid="{F6848D2F-7E37-41D3-B887-6259645A942A}"/>
    <cellStyle name="40% - Accent1 12 2 2 3 2 4" xfId="31484" xr:uid="{48A224CA-1AB4-4F48-87F8-BCEAA075E3EB}"/>
    <cellStyle name="40% - Accent1 12 2 2 3 3" xfId="12045" xr:uid="{00000000-0005-0000-0000-00002D2B0000}"/>
    <cellStyle name="40% - Accent1 12 2 2 3 3 2" xfId="35894" xr:uid="{4151F367-1C22-426E-A94F-5DD57C40D5B1}"/>
    <cellStyle name="40% - Accent1 12 2 2 3 4" xfId="20000" xr:uid="{00000000-0005-0000-0000-00002E2B0000}"/>
    <cellStyle name="40% - Accent1 12 2 2 3 4 2" xfId="43832" xr:uid="{D158917E-4EC8-41DA-BF4F-00FD159B557A}"/>
    <cellStyle name="40% - Accent1 12 2 2 3 5" xfId="27953" xr:uid="{B04D27EE-34FC-4E6B-8663-DA291CDDD3E7}"/>
    <cellStyle name="40% - Accent1 12 2 2 4" xfId="5840" xr:uid="{00000000-0005-0000-0000-00002F2B0000}"/>
    <cellStyle name="40% - Accent1 12 2 2 4 2" xfId="13824" xr:uid="{00000000-0005-0000-0000-0000302B0000}"/>
    <cellStyle name="40% - Accent1 12 2 2 4 2 2" xfId="37667" xr:uid="{D9A8C9BA-F3EF-43BE-AB1D-CD9B644AD7D1}"/>
    <cellStyle name="40% - Accent1 12 2 2 4 3" xfId="21772" xr:uid="{00000000-0005-0000-0000-0000312B0000}"/>
    <cellStyle name="40% - Accent1 12 2 2 4 3 2" xfId="45604" xr:uid="{C9B3B642-32A7-4E84-A7E5-8FA40A26DB76}"/>
    <cellStyle name="40% - Accent1 12 2 2 4 4" xfId="29726" xr:uid="{3602177A-0C52-4FF6-BEF3-B61553E92621}"/>
    <cellStyle name="40% - Accent1 12 2 2 5" xfId="9393" xr:uid="{00000000-0005-0000-0000-0000322B0000}"/>
    <cellStyle name="40% - Accent1 12 2 2 5 2" xfId="17351" xr:uid="{00000000-0005-0000-0000-0000332B0000}"/>
    <cellStyle name="40% - Accent1 12 2 2 5 2 2" xfId="41191" xr:uid="{FE0F75B2-0128-4E5F-886B-BCD502C176FB}"/>
    <cellStyle name="40% - Accent1 12 2 2 5 3" xfId="25295" xr:uid="{00000000-0005-0000-0000-0000342B0000}"/>
    <cellStyle name="40% - Accent1 12 2 2 5 3 2" xfId="49127" xr:uid="{C99DDD45-DFE9-4AFC-9A96-3A889BCD620B}"/>
    <cellStyle name="40% - Accent1 12 2 2 5 4" xfId="33250" xr:uid="{878AE708-15E6-43BB-BFC3-53A1A3F20920}"/>
    <cellStyle name="40% - Accent1 12 2 2 6" xfId="10289" xr:uid="{00000000-0005-0000-0000-0000352B0000}"/>
    <cellStyle name="40% - Accent1 12 2 2 6 2" xfId="34138" xr:uid="{3C1BD2A3-B604-4076-AF69-D1A613FC0E9D}"/>
    <cellStyle name="40% - Accent1 12 2 2 7" xfId="18244" xr:uid="{00000000-0005-0000-0000-0000362B0000}"/>
    <cellStyle name="40% - Accent1 12 2 2 7 2" xfId="42076" xr:uid="{B23A94C5-EBB1-48D5-B898-574985010749}"/>
    <cellStyle name="40% - Accent1 12 2 2 8" xfId="26196" xr:uid="{03E16F82-CAB7-4A32-845C-2FEA8D40A98F}"/>
    <cellStyle name="40% - Accent1 12 2 2_Exh G" xfId="2703" xr:uid="{00000000-0005-0000-0000-0000372B0000}"/>
    <cellStyle name="40% - Accent1 12 2 3" xfId="1368" xr:uid="{00000000-0005-0000-0000-0000382B0000}"/>
    <cellStyle name="40% - Accent1 12 2 3 2" xfId="4898" xr:uid="{00000000-0005-0000-0000-0000392B0000}"/>
    <cellStyle name="40% - Accent1 12 2 3 2 2" xfId="8489" xr:uid="{00000000-0005-0000-0000-00003A2B0000}"/>
    <cellStyle name="40% - Accent1 12 2 3 2 2 2" xfId="16460" xr:uid="{00000000-0005-0000-0000-00003B2B0000}"/>
    <cellStyle name="40% - Accent1 12 2 3 2 2 2 2" xfId="40302" xr:uid="{E1E02727-8561-4E55-AEC1-3CB90FBAAD14}"/>
    <cellStyle name="40% - Accent1 12 2 3 2 2 3" xfId="24406" xr:uid="{00000000-0005-0000-0000-00003C2B0000}"/>
    <cellStyle name="40% - Accent1 12 2 3 2 2 3 2" xfId="48238" xr:uid="{E3F37CB7-9BE1-4AAD-A5CD-607384AED508}"/>
    <cellStyle name="40% - Accent1 12 2 3 2 2 4" xfId="32361" xr:uid="{D406BEFC-CC0D-4DAF-9E16-4FB24C0DDF87}"/>
    <cellStyle name="40% - Accent1 12 2 3 2 3" xfId="12922" xr:uid="{00000000-0005-0000-0000-00003D2B0000}"/>
    <cellStyle name="40% - Accent1 12 2 3 2 3 2" xfId="36771" xr:uid="{94BD52C4-B7D2-420E-A976-3FC85AB64F15}"/>
    <cellStyle name="40% - Accent1 12 2 3 2 4" xfId="20877" xr:uid="{00000000-0005-0000-0000-00003E2B0000}"/>
    <cellStyle name="40% - Accent1 12 2 3 2 4 2" xfId="44709" xr:uid="{7942268B-5C06-478E-A050-AA3CCAFFA66C}"/>
    <cellStyle name="40% - Accent1 12 2 3 2 5" xfId="28830" xr:uid="{50A11994-1AF0-45F2-8E7C-23B068BF7253}"/>
    <cellStyle name="40% - Accent1 12 2 3 3" xfId="6730" xr:uid="{00000000-0005-0000-0000-00003F2B0000}"/>
    <cellStyle name="40% - Accent1 12 2 3 3 2" xfId="14702" xr:uid="{00000000-0005-0000-0000-0000402B0000}"/>
    <cellStyle name="40% - Accent1 12 2 3 3 2 2" xfId="38544" xr:uid="{66B11180-2E6E-4BD9-9E27-1B48FBFF87B4}"/>
    <cellStyle name="40% - Accent1 12 2 3 3 3" xfId="22649" xr:uid="{00000000-0005-0000-0000-0000412B0000}"/>
    <cellStyle name="40% - Accent1 12 2 3 3 3 2" xfId="46481" xr:uid="{17FCC653-4491-4230-A609-78F04A4B3896}"/>
    <cellStyle name="40% - Accent1 12 2 3 3 4" xfId="30603" xr:uid="{1EE93DD3-C773-4EB8-B385-83A14F12D0E9}"/>
    <cellStyle name="40% - Accent1 12 2 3 4" xfId="11166" xr:uid="{00000000-0005-0000-0000-0000422B0000}"/>
    <cellStyle name="40% - Accent1 12 2 3 4 2" xfId="35015" xr:uid="{8CFE9791-17CE-4EE3-ADA5-8EED8493C0DE}"/>
    <cellStyle name="40% - Accent1 12 2 3 5" xfId="19121" xr:uid="{00000000-0005-0000-0000-0000432B0000}"/>
    <cellStyle name="40% - Accent1 12 2 3 5 2" xfId="42953" xr:uid="{69062FD6-77F9-4B37-A26B-781496D2C0F5}"/>
    <cellStyle name="40% - Accent1 12 2 3 6" xfId="27073" xr:uid="{C315B829-AD4F-495D-AF0C-E14FC8FE3521}"/>
    <cellStyle name="40% - Accent1 12 2 3_Exh G" xfId="2705" xr:uid="{00000000-0005-0000-0000-0000442B0000}"/>
    <cellStyle name="40% - Accent1 12 2 4" xfId="4019" xr:uid="{00000000-0005-0000-0000-0000452B0000}"/>
    <cellStyle name="40% - Accent1 12 2 4 2" xfId="7611" xr:uid="{00000000-0005-0000-0000-0000462B0000}"/>
    <cellStyle name="40% - Accent1 12 2 4 2 2" xfId="15582" xr:uid="{00000000-0005-0000-0000-0000472B0000}"/>
    <cellStyle name="40% - Accent1 12 2 4 2 2 2" xfId="39424" xr:uid="{9369ED0E-4DF6-4165-86F1-3CCD63C5DDB1}"/>
    <cellStyle name="40% - Accent1 12 2 4 2 3" xfId="23528" xr:uid="{00000000-0005-0000-0000-0000482B0000}"/>
    <cellStyle name="40% - Accent1 12 2 4 2 3 2" xfId="47360" xr:uid="{AD3D0634-2441-4B7D-BF65-6A64A9FD2A8A}"/>
    <cellStyle name="40% - Accent1 12 2 4 2 4" xfId="31483" xr:uid="{22AC3B23-4286-443A-A89E-98F4403B3075}"/>
    <cellStyle name="40% - Accent1 12 2 4 3" xfId="12044" xr:uid="{00000000-0005-0000-0000-0000492B0000}"/>
    <cellStyle name="40% - Accent1 12 2 4 3 2" xfId="35893" xr:uid="{FCFD9997-1E02-4118-85CB-987F305B449E}"/>
    <cellStyle name="40% - Accent1 12 2 4 4" xfId="19999" xr:uid="{00000000-0005-0000-0000-00004A2B0000}"/>
    <cellStyle name="40% - Accent1 12 2 4 4 2" xfId="43831" xr:uid="{21EA9EAA-561D-4EA6-B4A3-F2B91FE94488}"/>
    <cellStyle name="40% - Accent1 12 2 4 5" xfId="27952" xr:uid="{7562D348-85EF-4E49-8B60-6A886E75F416}"/>
    <cellStyle name="40% - Accent1 12 2 5" xfId="5839" xr:uid="{00000000-0005-0000-0000-00004B2B0000}"/>
    <cellStyle name="40% - Accent1 12 2 5 2" xfId="13823" xr:uid="{00000000-0005-0000-0000-00004C2B0000}"/>
    <cellStyle name="40% - Accent1 12 2 5 2 2" xfId="37666" xr:uid="{E6491D61-A298-466E-9EC4-38471F7BB26C}"/>
    <cellStyle name="40% - Accent1 12 2 5 3" xfId="21771" xr:uid="{00000000-0005-0000-0000-00004D2B0000}"/>
    <cellStyle name="40% - Accent1 12 2 5 3 2" xfId="45603" xr:uid="{C81F1C1C-55C2-4E5D-A1C7-123216296D08}"/>
    <cellStyle name="40% - Accent1 12 2 5 4" xfId="29725" xr:uid="{A1D08606-8026-4B65-85F4-44E48DFF93E0}"/>
    <cellStyle name="40% - Accent1 12 2 6" xfId="9392" xr:uid="{00000000-0005-0000-0000-00004E2B0000}"/>
    <cellStyle name="40% - Accent1 12 2 6 2" xfId="17350" xr:uid="{00000000-0005-0000-0000-00004F2B0000}"/>
    <cellStyle name="40% - Accent1 12 2 6 2 2" xfId="41190" xr:uid="{8C0BEE87-27FC-4018-B0AB-1B45D4FE6895}"/>
    <cellStyle name="40% - Accent1 12 2 6 3" xfId="25294" xr:uid="{00000000-0005-0000-0000-0000502B0000}"/>
    <cellStyle name="40% - Accent1 12 2 6 3 2" xfId="49126" xr:uid="{03D7A98E-FFE7-4945-B412-BF516766B8D1}"/>
    <cellStyle name="40% - Accent1 12 2 6 4" xfId="33249" xr:uid="{2256B0A5-E486-4D25-BCF8-80FDD40EDAC7}"/>
    <cellStyle name="40% - Accent1 12 2 7" xfId="10288" xr:uid="{00000000-0005-0000-0000-0000512B0000}"/>
    <cellStyle name="40% - Accent1 12 2 7 2" xfId="34137" xr:uid="{3847FCE3-27EF-4808-A108-7F36458DF179}"/>
    <cellStyle name="40% - Accent1 12 2 8" xfId="18243" xr:uid="{00000000-0005-0000-0000-0000522B0000}"/>
    <cellStyle name="40% - Accent1 12 2 8 2" xfId="42075" xr:uid="{78F74069-CF72-45CE-9B04-035673ADACD3}"/>
    <cellStyle name="40% - Accent1 12 2 9" xfId="26195" xr:uid="{CDC12D57-E9A3-4FC8-A906-6622A26EA308}"/>
    <cellStyle name="40% - Accent1 12 2_Exh G" xfId="2702" xr:uid="{00000000-0005-0000-0000-0000532B0000}"/>
    <cellStyle name="40% - Accent1 12 3" xfId="342" xr:uid="{00000000-0005-0000-0000-0000542B0000}"/>
    <cellStyle name="40% - Accent1 12 3 2" xfId="1370" xr:uid="{00000000-0005-0000-0000-0000552B0000}"/>
    <cellStyle name="40% - Accent1 12 3 2 2" xfId="4900" xr:uid="{00000000-0005-0000-0000-0000562B0000}"/>
    <cellStyle name="40% - Accent1 12 3 2 2 2" xfId="8491" xr:uid="{00000000-0005-0000-0000-0000572B0000}"/>
    <cellStyle name="40% - Accent1 12 3 2 2 2 2" xfId="16462" xr:uid="{00000000-0005-0000-0000-0000582B0000}"/>
    <cellStyle name="40% - Accent1 12 3 2 2 2 2 2" xfId="40304" xr:uid="{2CABB58C-7A8B-4F67-A20D-1E211A8C21A5}"/>
    <cellStyle name="40% - Accent1 12 3 2 2 2 3" xfId="24408" xr:uid="{00000000-0005-0000-0000-0000592B0000}"/>
    <cellStyle name="40% - Accent1 12 3 2 2 2 3 2" xfId="48240" xr:uid="{778B5314-4D49-424D-A648-2E8FDA14016E}"/>
    <cellStyle name="40% - Accent1 12 3 2 2 2 4" xfId="32363" xr:uid="{EB785149-3883-420E-92A6-DF5A80758B6E}"/>
    <cellStyle name="40% - Accent1 12 3 2 2 3" xfId="12924" xr:uid="{00000000-0005-0000-0000-00005A2B0000}"/>
    <cellStyle name="40% - Accent1 12 3 2 2 3 2" xfId="36773" xr:uid="{F3CCEA30-39DC-4A17-964C-57DA264A8728}"/>
    <cellStyle name="40% - Accent1 12 3 2 2 4" xfId="20879" xr:uid="{00000000-0005-0000-0000-00005B2B0000}"/>
    <cellStyle name="40% - Accent1 12 3 2 2 4 2" xfId="44711" xr:uid="{390C7B36-4486-4AFE-BA9E-0CEE902DB85A}"/>
    <cellStyle name="40% - Accent1 12 3 2 2 5" xfId="28832" xr:uid="{BF1F435A-D9E1-45D5-A294-07FDB90B9CE9}"/>
    <cellStyle name="40% - Accent1 12 3 2 3" xfId="6732" xr:uid="{00000000-0005-0000-0000-00005C2B0000}"/>
    <cellStyle name="40% - Accent1 12 3 2 3 2" xfId="14704" xr:uid="{00000000-0005-0000-0000-00005D2B0000}"/>
    <cellStyle name="40% - Accent1 12 3 2 3 2 2" xfId="38546" xr:uid="{F4B0982A-2A36-4B2C-8834-E0FFF5D795E2}"/>
    <cellStyle name="40% - Accent1 12 3 2 3 3" xfId="22651" xr:uid="{00000000-0005-0000-0000-00005E2B0000}"/>
    <cellStyle name="40% - Accent1 12 3 2 3 3 2" xfId="46483" xr:uid="{E77A7DF7-F8A6-46B2-9A98-148BAFB3B412}"/>
    <cellStyle name="40% - Accent1 12 3 2 3 4" xfId="30605" xr:uid="{F1E40424-36F4-4760-B329-A368799926CB}"/>
    <cellStyle name="40% - Accent1 12 3 2 4" xfId="11168" xr:uid="{00000000-0005-0000-0000-00005F2B0000}"/>
    <cellStyle name="40% - Accent1 12 3 2 4 2" xfId="35017" xr:uid="{918DA342-E550-4F5B-9B28-56140B4C19F3}"/>
    <cellStyle name="40% - Accent1 12 3 2 5" xfId="19123" xr:uid="{00000000-0005-0000-0000-0000602B0000}"/>
    <cellStyle name="40% - Accent1 12 3 2 5 2" xfId="42955" xr:uid="{002DC82D-E31B-4D32-8C0B-2A3D3D62EAF9}"/>
    <cellStyle name="40% - Accent1 12 3 2 6" xfId="27075" xr:uid="{3F0CBEFA-B6E2-40D2-8224-87F3C9C4879C}"/>
    <cellStyle name="40% - Accent1 12 3 2_Exh G" xfId="2707" xr:uid="{00000000-0005-0000-0000-0000612B0000}"/>
    <cellStyle name="40% - Accent1 12 3 3" xfId="4021" xr:uid="{00000000-0005-0000-0000-0000622B0000}"/>
    <cellStyle name="40% - Accent1 12 3 3 2" xfId="7613" xr:uid="{00000000-0005-0000-0000-0000632B0000}"/>
    <cellStyle name="40% - Accent1 12 3 3 2 2" xfId="15584" xr:uid="{00000000-0005-0000-0000-0000642B0000}"/>
    <cellStyle name="40% - Accent1 12 3 3 2 2 2" xfId="39426" xr:uid="{76BF15F3-9E61-4525-8617-E52CCC103F25}"/>
    <cellStyle name="40% - Accent1 12 3 3 2 3" xfId="23530" xr:uid="{00000000-0005-0000-0000-0000652B0000}"/>
    <cellStyle name="40% - Accent1 12 3 3 2 3 2" xfId="47362" xr:uid="{9E47AAF5-69E1-44E3-8041-3197587EC937}"/>
    <cellStyle name="40% - Accent1 12 3 3 2 4" xfId="31485" xr:uid="{81B03437-3612-4796-B0CD-8BAD1CDAFB14}"/>
    <cellStyle name="40% - Accent1 12 3 3 3" xfId="12046" xr:uid="{00000000-0005-0000-0000-0000662B0000}"/>
    <cellStyle name="40% - Accent1 12 3 3 3 2" xfId="35895" xr:uid="{0D90EA0F-5C54-481C-9352-43830F5B6722}"/>
    <cellStyle name="40% - Accent1 12 3 3 4" xfId="20001" xr:uid="{00000000-0005-0000-0000-0000672B0000}"/>
    <cellStyle name="40% - Accent1 12 3 3 4 2" xfId="43833" xr:uid="{07BA962F-997D-4C7B-8C19-10125236E187}"/>
    <cellStyle name="40% - Accent1 12 3 3 5" xfId="27954" xr:uid="{057932DB-8E29-448E-8D76-532657407673}"/>
    <cellStyle name="40% - Accent1 12 3 4" xfId="5841" xr:uid="{00000000-0005-0000-0000-0000682B0000}"/>
    <cellStyle name="40% - Accent1 12 3 4 2" xfId="13825" xr:uid="{00000000-0005-0000-0000-0000692B0000}"/>
    <cellStyle name="40% - Accent1 12 3 4 2 2" xfId="37668" xr:uid="{8D0272E6-5CCA-406D-8424-21C3FDD4A853}"/>
    <cellStyle name="40% - Accent1 12 3 4 3" xfId="21773" xr:uid="{00000000-0005-0000-0000-00006A2B0000}"/>
    <cellStyle name="40% - Accent1 12 3 4 3 2" xfId="45605" xr:uid="{17C97F00-7350-4463-AB26-C4C5AB71BDD2}"/>
    <cellStyle name="40% - Accent1 12 3 4 4" xfId="29727" xr:uid="{A65BE3B7-4FDE-41DF-87EB-54F5A916F84F}"/>
    <cellStyle name="40% - Accent1 12 3 5" xfId="9394" xr:uid="{00000000-0005-0000-0000-00006B2B0000}"/>
    <cellStyle name="40% - Accent1 12 3 5 2" xfId="17352" xr:uid="{00000000-0005-0000-0000-00006C2B0000}"/>
    <cellStyle name="40% - Accent1 12 3 5 2 2" xfId="41192" xr:uid="{EC944321-58B4-49B5-A334-36E67494892A}"/>
    <cellStyle name="40% - Accent1 12 3 5 3" xfId="25296" xr:uid="{00000000-0005-0000-0000-00006D2B0000}"/>
    <cellStyle name="40% - Accent1 12 3 5 3 2" xfId="49128" xr:uid="{78A0F900-2A32-4BEB-B0DC-367BA3CA203C}"/>
    <cellStyle name="40% - Accent1 12 3 5 4" xfId="33251" xr:uid="{1D01293A-CB2D-4518-9654-A03F6C4EAD4B}"/>
    <cellStyle name="40% - Accent1 12 3 6" xfId="10290" xr:uid="{00000000-0005-0000-0000-00006E2B0000}"/>
    <cellStyle name="40% - Accent1 12 3 6 2" xfId="34139" xr:uid="{8E5C28A5-F29C-435E-8197-AF20E14412AA}"/>
    <cellStyle name="40% - Accent1 12 3 7" xfId="18245" xr:uid="{00000000-0005-0000-0000-00006F2B0000}"/>
    <cellStyle name="40% - Accent1 12 3 7 2" xfId="42077" xr:uid="{2D163D5C-96F3-4693-A9E2-4C7D62BF6702}"/>
    <cellStyle name="40% - Accent1 12 3 8" xfId="26197" xr:uid="{F9B5B6E0-CE45-4CB0-9556-2FB220AC9950}"/>
    <cellStyle name="40% - Accent1 12 3_Exh G" xfId="2706" xr:uid="{00000000-0005-0000-0000-0000702B0000}"/>
    <cellStyle name="40% - Accent1 12 4" xfId="1367" xr:uid="{00000000-0005-0000-0000-0000712B0000}"/>
    <cellStyle name="40% - Accent1 12 4 2" xfId="4897" xr:uid="{00000000-0005-0000-0000-0000722B0000}"/>
    <cellStyle name="40% - Accent1 12 4 2 2" xfId="8488" xr:uid="{00000000-0005-0000-0000-0000732B0000}"/>
    <cellStyle name="40% - Accent1 12 4 2 2 2" xfId="16459" xr:uid="{00000000-0005-0000-0000-0000742B0000}"/>
    <cellStyle name="40% - Accent1 12 4 2 2 2 2" xfId="40301" xr:uid="{46061F55-9A78-4567-9470-6116FC8F8200}"/>
    <cellStyle name="40% - Accent1 12 4 2 2 3" xfId="24405" xr:uid="{00000000-0005-0000-0000-0000752B0000}"/>
    <cellStyle name="40% - Accent1 12 4 2 2 3 2" xfId="48237" xr:uid="{C97712C1-D889-4AEA-A6BC-D32A87588505}"/>
    <cellStyle name="40% - Accent1 12 4 2 2 4" xfId="32360" xr:uid="{928D969E-6FAF-4959-B31E-0A1ECA41BE96}"/>
    <cellStyle name="40% - Accent1 12 4 2 3" xfId="12921" xr:uid="{00000000-0005-0000-0000-0000762B0000}"/>
    <cellStyle name="40% - Accent1 12 4 2 3 2" xfId="36770" xr:uid="{29F4DC10-2029-4749-874B-E094E3931DDE}"/>
    <cellStyle name="40% - Accent1 12 4 2 4" xfId="20876" xr:uid="{00000000-0005-0000-0000-0000772B0000}"/>
    <cellStyle name="40% - Accent1 12 4 2 4 2" xfId="44708" xr:uid="{E2F9D8D9-4540-4ADB-B713-23D3CC0B6583}"/>
    <cellStyle name="40% - Accent1 12 4 2 5" xfId="28829" xr:uid="{73489031-2894-4243-BDB9-E9170D94B914}"/>
    <cellStyle name="40% - Accent1 12 4 3" xfId="6729" xr:uid="{00000000-0005-0000-0000-0000782B0000}"/>
    <cellStyle name="40% - Accent1 12 4 3 2" xfId="14701" xr:uid="{00000000-0005-0000-0000-0000792B0000}"/>
    <cellStyle name="40% - Accent1 12 4 3 2 2" xfId="38543" xr:uid="{A21C3345-2932-4D36-A578-AB0A6AD89C00}"/>
    <cellStyle name="40% - Accent1 12 4 3 3" xfId="22648" xr:uid="{00000000-0005-0000-0000-00007A2B0000}"/>
    <cellStyle name="40% - Accent1 12 4 3 3 2" xfId="46480" xr:uid="{1E6D5334-943A-4773-8628-72FEAA4C5FD9}"/>
    <cellStyle name="40% - Accent1 12 4 3 4" xfId="30602" xr:uid="{84280A14-D076-48DD-AF79-98D7F6936CC1}"/>
    <cellStyle name="40% - Accent1 12 4 4" xfId="11165" xr:uid="{00000000-0005-0000-0000-00007B2B0000}"/>
    <cellStyle name="40% - Accent1 12 4 4 2" xfId="35014" xr:uid="{76AC3F87-34B9-4188-856D-68742735CC02}"/>
    <cellStyle name="40% - Accent1 12 4 5" xfId="19120" xr:uid="{00000000-0005-0000-0000-00007C2B0000}"/>
    <cellStyle name="40% - Accent1 12 4 5 2" xfId="42952" xr:uid="{549F0378-0614-4A97-B218-9E1D58743501}"/>
    <cellStyle name="40% - Accent1 12 4 6" xfId="27072" xr:uid="{9551F7CF-EE44-4462-9408-06441A9770C4}"/>
    <cellStyle name="40% - Accent1 12 4_Exh G" xfId="2708" xr:uid="{00000000-0005-0000-0000-00007D2B0000}"/>
    <cellStyle name="40% - Accent1 12 5" xfId="4018" xr:uid="{00000000-0005-0000-0000-00007E2B0000}"/>
    <cellStyle name="40% - Accent1 12 5 2" xfId="7610" xr:uid="{00000000-0005-0000-0000-00007F2B0000}"/>
    <cellStyle name="40% - Accent1 12 5 2 2" xfId="15581" xr:uid="{00000000-0005-0000-0000-0000802B0000}"/>
    <cellStyle name="40% - Accent1 12 5 2 2 2" xfId="39423" xr:uid="{21EB9E85-70E3-4A34-B84C-B25BEE6DEA1B}"/>
    <cellStyle name="40% - Accent1 12 5 2 3" xfId="23527" xr:uid="{00000000-0005-0000-0000-0000812B0000}"/>
    <cellStyle name="40% - Accent1 12 5 2 3 2" xfId="47359" xr:uid="{353CBBCB-702D-4578-A871-0951F4D3C055}"/>
    <cellStyle name="40% - Accent1 12 5 2 4" xfId="31482" xr:uid="{53EC4EAA-3F1A-4C40-9B5A-B8A93A46AA21}"/>
    <cellStyle name="40% - Accent1 12 5 3" xfId="12043" xr:uid="{00000000-0005-0000-0000-0000822B0000}"/>
    <cellStyle name="40% - Accent1 12 5 3 2" xfId="35892" xr:uid="{F7B610E0-8687-4C08-8AF7-678863C58DD3}"/>
    <cellStyle name="40% - Accent1 12 5 4" xfId="19998" xr:uid="{00000000-0005-0000-0000-0000832B0000}"/>
    <cellStyle name="40% - Accent1 12 5 4 2" xfId="43830" xr:uid="{CE62FFE3-3A7C-4AFF-A9F4-9580BEA39FF0}"/>
    <cellStyle name="40% - Accent1 12 5 5" xfId="27951" xr:uid="{5E8159B8-123D-46FB-A366-F8FDD02ABC57}"/>
    <cellStyle name="40% - Accent1 12 6" xfId="5838" xr:uid="{00000000-0005-0000-0000-0000842B0000}"/>
    <cellStyle name="40% - Accent1 12 6 2" xfId="13822" xr:uid="{00000000-0005-0000-0000-0000852B0000}"/>
    <cellStyle name="40% - Accent1 12 6 2 2" xfId="37665" xr:uid="{8FD893D6-4793-4A33-85EA-C1065B95F6A1}"/>
    <cellStyle name="40% - Accent1 12 6 3" xfId="21770" xr:uid="{00000000-0005-0000-0000-0000862B0000}"/>
    <cellStyle name="40% - Accent1 12 6 3 2" xfId="45602" xr:uid="{5067B1CD-5A5F-4456-8DDF-16B8D31EDF82}"/>
    <cellStyle name="40% - Accent1 12 6 4" xfId="29724" xr:uid="{91061AB1-1015-4501-853C-ECA9F758BD3F}"/>
    <cellStyle name="40% - Accent1 12 7" xfId="9391" xr:uid="{00000000-0005-0000-0000-0000872B0000}"/>
    <cellStyle name="40% - Accent1 12 7 2" xfId="17349" xr:uid="{00000000-0005-0000-0000-0000882B0000}"/>
    <cellStyle name="40% - Accent1 12 7 2 2" xfId="41189" xr:uid="{84CBFEBD-FB33-4BB9-8668-61263DCEAB7E}"/>
    <cellStyle name="40% - Accent1 12 7 3" xfId="25293" xr:uid="{00000000-0005-0000-0000-0000892B0000}"/>
    <cellStyle name="40% - Accent1 12 7 3 2" xfId="49125" xr:uid="{DFE41AE0-DDF8-4F7F-89B1-76FAEFFB9B9B}"/>
    <cellStyle name="40% - Accent1 12 7 4" xfId="33248" xr:uid="{5CEBA8CA-8B3F-4CEB-81D2-BDA3B1CB9675}"/>
    <cellStyle name="40% - Accent1 12 8" xfId="10287" xr:uid="{00000000-0005-0000-0000-00008A2B0000}"/>
    <cellStyle name="40% - Accent1 12 8 2" xfId="34136" xr:uid="{86ACF1CD-301C-400D-AE76-300F4E810A83}"/>
    <cellStyle name="40% - Accent1 12 9" xfId="18242" xr:uid="{00000000-0005-0000-0000-00008B2B0000}"/>
    <cellStyle name="40% - Accent1 12 9 2" xfId="42074" xr:uid="{9BB80828-977B-418A-A372-07E64DF0AD9D}"/>
    <cellStyle name="40% - Accent1 12_Exh G" xfId="2701" xr:uid="{00000000-0005-0000-0000-00008C2B0000}"/>
    <cellStyle name="40% - Accent1 13" xfId="343" xr:uid="{00000000-0005-0000-0000-00008D2B0000}"/>
    <cellStyle name="40% - Accent1 13 10" xfId="26198" xr:uid="{2C21B766-B967-4053-845E-1CA9B5C19EED}"/>
    <cellStyle name="40% - Accent1 13 2" xfId="344" xr:uid="{00000000-0005-0000-0000-00008E2B0000}"/>
    <cellStyle name="40% - Accent1 13 2 2" xfId="345" xr:uid="{00000000-0005-0000-0000-00008F2B0000}"/>
    <cellStyle name="40% - Accent1 13 2 2 2" xfId="1373" xr:uid="{00000000-0005-0000-0000-0000902B0000}"/>
    <cellStyle name="40% - Accent1 13 2 2 2 2" xfId="4903" xr:uid="{00000000-0005-0000-0000-0000912B0000}"/>
    <cellStyle name="40% - Accent1 13 2 2 2 2 2" xfId="8494" xr:uid="{00000000-0005-0000-0000-0000922B0000}"/>
    <cellStyle name="40% - Accent1 13 2 2 2 2 2 2" xfId="16465" xr:uid="{00000000-0005-0000-0000-0000932B0000}"/>
    <cellStyle name="40% - Accent1 13 2 2 2 2 2 2 2" xfId="40307" xr:uid="{BB849AC3-DD5E-416A-B8F3-53C8CD04CA57}"/>
    <cellStyle name="40% - Accent1 13 2 2 2 2 2 3" xfId="24411" xr:uid="{00000000-0005-0000-0000-0000942B0000}"/>
    <cellStyle name="40% - Accent1 13 2 2 2 2 2 3 2" xfId="48243" xr:uid="{810C3568-4C9A-4700-AD35-37841B0DBF33}"/>
    <cellStyle name="40% - Accent1 13 2 2 2 2 2 4" xfId="32366" xr:uid="{20099A59-3B95-400F-B53E-7E0DD965DAE5}"/>
    <cellStyle name="40% - Accent1 13 2 2 2 2 3" xfId="12927" xr:uid="{00000000-0005-0000-0000-0000952B0000}"/>
    <cellStyle name="40% - Accent1 13 2 2 2 2 3 2" xfId="36776" xr:uid="{A1726E35-3E5E-48D0-871B-CB8A77DB0B6C}"/>
    <cellStyle name="40% - Accent1 13 2 2 2 2 4" xfId="20882" xr:uid="{00000000-0005-0000-0000-0000962B0000}"/>
    <cellStyle name="40% - Accent1 13 2 2 2 2 4 2" xfId="44714" xr:uid="{030FBF29-C529-4BFC-87A4-A87F56B05FAE}"/>
    <cellStyle name="40% - Accent1 13 2 2 2 2 5" xfId="28835" xr:uid="{85E58469-490D-4C1B-B8B6-79D585DB1577}"/>
    <cellStyle name="40% - Accent1 13 2 2 2 3" xfId="6735" xr:uid="{00000000-0005-0000-0000-0000972B0000}"/>
    <cellStyle name="40% - Accent1 13 2 2 2 3 2" xfId="14707" xr:uid="{00000000-0005-0000-0000-0000982B0000}"/>
    <cellStyle name="40% - Accent1 13 2 2 2 3 2 2" xfId="38549" xr:uid="{F4D07095-790A-4572-AFFF-946091C86373}"/>
    <cellStyle name="40% - Accent1 13 2 2 2 3 3" xfId="22654" xr:uid="{00000000-0005-0000-0000-0000992B0000}"/>
    <cellStyle name="40% - Accent1 13 2 2 2 3 3 2" xfId="46486" xr:uid="{C3378762-C000-4474-942F-77A79DCE60C2}"/>
    <cellStyle name="40% - Accent1 13 2 2 2 3 4" xfId="30608" xr:uid="{3F35CF47-7692-4E0B-9EAA-432E925098AE}"/>
    <cellStyle name="40% - Accent1 13 2 2 2 4" xfId="11171" xr:uid="{00000000-0005-0000-0000-00009A2B0000}"/>
    <cellStyle name="40% - Accent1 13 2 2 2 4 2" xfId="35020" xr:uid="{4587566A-ED7A-4F89-9E54-D5218BFBD168}"/>
    <cellStyle name="40% - Accent1 13 2 2 2 5" xfId="19126" xr:uid="{00000000-0005-0000-0000-00009B2B0000}"/>
    <cellStyle name="40% - Accent1 13 2 2 2 5 2" xfId="42958" xr:uid="{D7B1A5AB-A720-4B60-B679-AF1BE727462B}"/>
    <cellStyle name="40% - Accent1 13 2 2 2 6" xfId="27078" xr:uid="{977EFB63-B12B-433F-96CE-A0A5D098AF46}"/>
    <cellStyle name="40% - Accent1 13 2 2 2_Exh G" xfId="2712" xr:uid="{00000000-0005-0000-0000-00009C2B0000}"/>
    <cellStyle name="40% - Accent1 13 2 2 3" xfId="4024" xr:uid="{00000000-0005-0000-0000-00009D2B0000}"/>
    <cellStyle name="40% - Accent1 13 2 2 3 2" xfId="7616" xr:uid="{00000000-0005-0000-0000-00009E2B0000}"/>
    <cellStyle name="40% - Accent1 13 2 2 3 2 2" xfId="15587" xr:uid="{00000000-0005-0000-0000-00009F2B0000}"/>
    <cellStyle name="40% - Accent1 13 2 2 3 2 2 2" xfId="39429" xr:uid="{D3989951-0538-4CCE-8594-EDE114FE8266}"/>
    <cellStyle name="40% - Accent1 13 2 2 3 2 3" xfId="23533" xr:uid="{00000000-0005-0000-0000-0000A02B0000}"/>
    <cellStyle name="40% - Accent1 13 2 2 3 2 3 2" xfId="47365" xr:uid="{F493D0C4-D7E7-4B39-BD20-9DC4C6DD132A}"/>
    <cellStyle name="40% - Accent1 13 2 2 3 2 4" xfId="31488" xr:uid="{1CF6A0EB-9FA2-4C5B-86EC-382115D767B7}"/>
    <cellStyle name="40% - Accent1 13 2 2 3 3" xfId="12049" xr:uid="{00000000-0005-0000-0000-0000A12B0000}"/>
    <cellStyle name="40% - Accent1 13 2 2 3 3 2" xfId="35898" xr:uid="{0F808F9A-61EF-4F12-89D5-AF4D85ED0EAF}"/>
    <cellStyle name="40% - Accent1 13 2 2 3 4" xfId="20004" xr:uid="{00000000-0005-0000-0000-0000A22B0000}"/>
    <cellStyle name="40% - Accent1 13 2 2 3 4 2" xfId="43836" xr:uid="{CC0CB5EB-1BBF-4794-A4BB-5D8286375ADB}"/>
    <cellStyle name="40% - Accent1 13 2 2 3 5" xfId="27957" xr:uid="{5693054A-3752-4058-8EEF-00847961A942}"/>
    <cellStyle name="40% - Accent1 13 2 2 4" xfId="5844" xr:uid="{00000000-0005-0000-0000-0000A32B0000}"/>
    <cellStyle name="40% - Accent1 13 2 2 4 2" xfId="13828" xr:uid="{00000000-0005-0000-0000-0000A42B0000}"/>
    <cellStyle name="40% - Accent1 13 2 2 4 2 2" xfId="37671" xr:uid="{A2C68EA7-E12C-44D5-AE41-35B0984AE716}"/>
    <cellStyle name="40% - Accent1 13 2 2 4 3" xfId="21776" xr:uid="{00000000-0005-0000-0000-0000A52B0000}"/>
    <cellStyle name="40% - Accent1 13 2 2 4 3 2" xfId="45608" xr:uid="{4D462447-EC3F-4F9D-9CA4-515DEF8DC37C}"/>
    <cellStyle name="40% - Accent1 13 2 2 4 4" xfId="29730" xr:uid="{0801D0B7-A200-4EDC-95CE-3A76F07EBE2B}"/>
    <cellStyle name="40% - Accent1 13 2 2 5" xfId="9397" xr:uid="{00000000-0005-0000-0000-0000A62B0000}"/>
    <cellStyle name="40% - Accent1 13 2 2 5 2" xfId="17355" xr:uid="{00000000-0005-0000-0000-0000A72B0000}"/>
    <cellStyle name="40% - Accent1 13 2 2 5 2 2" xfId="41195" xr:uid="{D7E1C4C2-FE32-49DB-8FF2-16C6F1C8F3A3}"/>
    <cellStyle name="40% - Accent1 13 2 2 5 3" xfId="25299" xr:uid="{00000000-0005-0000-0000-0000A82B0000}"/>
    <cellStyle name="40% - Accent1 13 2 2 5 3 2" xfId="49131" xr:uid="{6555DEB4-ACE4-42C6-B00E-975CC17EB7B8}"/>
    <cellStyle name="40% - Accent1 13 2 2 5 4" xfId="33254" xr:uid="{AD9D108F-8F1B-4EC2-8E28-50F26890447B}"/>
    <cellStyle name="40% - Accent1 13 2 2 6" xfId="10293" xr:uid="{00000000-0005-0000-0000-0000A92B0000}"/>
    <cellStyle name="40% - Accent1 13 2 2 6 2" xfId="34142" xr:uid="{B25582CC-6621-44E9-8066-2DA3A915CAC4}"/>
    <cellStyle name="40% - Accent1 13 2 2 7" xfId="18248" xr:uid="{00000000-0005-0000-0000-0000AA2B0000}"/>
    <cellStyle name="40% - Accent1 13 2 2 7 2" xfId="42080" xr:uid="{70CD03C0-53E7-4C22-923A-A76FFF3E6DDE}"/>
    <cellStyle name="40% - Accent1 13 2 2 8" xfId="26200" xr:uid="{BBABA065-3982-455F-AE3B-9C0A8E34D1D2}"/>
    <cellStyle name="40% - Accent1 13 2 2_Exh G" xfId="2711" xr:uid="{00000000-0005-0000-0000-0000AB2B0000}"/>
    <cellStyle name="40% - Accent1 13 2 3" xfId="1372" xr:uid="{00000000-0005-0000-0000-0000AC2B0000}"/>
    <cellStyle name="40% - Accent1 13 2 3 2" xfId="4902" xr:uid="{00000000-0005-0000-0000-0000AD2B0000}"/>
    <cellStyle name="40% - Accent1 13 2 3 2 2" xfId="8493" xr:uid="{00000000-0005-0000-0000-0000AE2B0000}"/>
    <cellStyle name="40% - Accent1 13 2 3 2 2 2" xfId="16464" xr:uid="{00000000-0005-0000-0000-0000AF2B0000}"/>
    <cellStyle name="40% - Accent1 13 2 3 2 2 2 2" xfId="40306" xr:uid="{FBF68C03-0DC4-4424-81E8-EFB230778A79}"/>
    <cellStyle name="40% - Accent1 13 2 3 2 2 3" xfId="24410" xr:uid="{00000000-0005-0000-0000-0000B02B0000}"/>
    <cellStyle name="40% - Accent1 13 2 3 2 2 3 2" xfId="48242" xr:uid="{0B17B63E-D9B7-4EFE-8613-4C0D80D7EF33}"/>
    <cellStyle name="40% - Accent1 13 2 3 2 2 4" xfId="32365" xr:uid="{803C5EC8-978F-4068-8B9B-7E89FCA9653A}"/>
    <cellStyle name="40% - Accent1 13 2 3 2 3" xfId="12926" xr:uid="{00000000-0005-0000-0000-0000B12B0000}"/>
    <cellStyle name="40% - Accent1 13 2 3 2 3 2" xfId="36775" xr:uid="{F80A533A-EE95-4F1B-9A12-619E8053B3EA}"/>
    <cellStyle name="40% - Accent1 13 2 3 2 4" xfId="20881" xr:uid="{00000000-0005-0000-0000-0000B22B0000}"/>
    <cellStyle name="40% - Accent1 13 2 3 2 4 2" xfId="44713" xr:uid="{26A67A88-7AD1-4911-A6E2-FF06FF8581F4}"/>
    <cellStyle name="40% - Accent1 13 2 3 2 5" xfId="28834" xr:uid="{A530E86C-6F08-4D2A-AF5C-236445E92BA1}"/>
    <cellStyle name="40% - Accent1 13 2 3 3" xfId="6734" xr:uid="{00000000-0005-0000-0000-0000B32B0000}"/>
    <cellStyle name="40% - Accent1 13 2 3 3 2" xfId="14706" xr:uid="{00000000-0005-0000-0000-0000B42B0000}"/>
    <cellStyle name="40% - Accent1 13 2 3 3 2 2" xfId="38548" xr:uid="{3D7BD96A-4DBE-46CC-AA34-1EE96F58800F}"/>
    <cellStyle name="40% - Accent1 13 2 3 3 3" xfId="22653" xr:uid="{00000000-0005-0000-0000-0000B52B0000}"/>
    <cellStyle name="40% - Accent1 13 2 3 3 3 2" xfId="46485" xr:uid="{1C0D4D61-8F70-4655-95AD-E2901B546B1C}"/>
    <cellStyle name="40% - Accent1 13 2 3 3 4" xfId="30607" xr:uid="{5C7A7293-26EF-4889-856C-7CCE7A5B4B43}"/>
    <cellStyle name="40% - Accent1 13 2 3 4" xfId="11170" xr:uid="{00000000-0005-0000-0000-0000B62B0000}"/>
    <cellStyle name="40% - Accent1 13 2 3 4 2" xfId="35019" xr:uid="{897C5E3E-181D-4E1A-9833-A2F199DD21D6}"/>
    <cellStyle name="40% - Accent1 13 2 3 5" xfId="19125" xr:uid="{00000000-0005-0000-0000-0000B72B0000}"/>
    <cellStyle name="40% - Accent1 13 2 3 5 2" xfId="42957" xr:uid="{AE483599-D96B-4A8A-9495-36DAF46C5945}"/>
    <cellStyle name="40% - Accent1 13 2 3 6" xfId="27077" xr:uid="{7F0BB576-18F5-40FA-87DF-C93E46942806}"/>
    <cellStyle name="40% - Accent1 13 2 3_Exh G" xfId="2713" xr:uid="{00000000-0005-0000-0000-0000B82B0000}"/>
    <cellStyle name="40% - Accent1 13 2 4" xfId="4023" xr:uid="{00000000-0005-0000-0000-0000B92B0000}"/>
    <cellStyle name="40% - Accent1 13 2 4 2" xfId="7615" xr:uid="{00000000-0005-0000-0000-0000BA2B0000}"/>
    <cellStyle name="40% - Accent1 13 2 4 2 2" xfId="15586" xr:uid="{00000000-0005-0000-0000-0000BB2B0000}"/>
    <cellStyle name="40% - Accent1 13 2 4 2 2 2" xfId="39428" xr:uid="{3089157A-E08D-4875-B279-4F2B7104D6D9}"/>
    <cellStyle name="40% - Accent1 13 2 4 2 3" xfId="23532" xr:uid="{00000000-0005-0000-0000-0000BC2B0000}"/>
    <cellStyle name="40% - Accent1 13 2 4 2 3 2" xfId="47364" xr:uid="{CC72C3D7-E22D-46AC-A286-43428C22EC16}"/>
    <cellStyle name="40% - Accent1 13 2 4 2 4" xfId="31487" xr:uid="{F3FD648B-D7CE-4CB6-8757-43E40E495B42}"/>
    <cellStyle name="40% - Accent1 13 2 4 3" xfId="12048" xr:uid="{00000000-0005-0000-0000-0000BD2B0000}"/>
    <cellStyle name="40% - Accent1 13 2 4 3 2" xfId="35897" xr:uid="{ADA8B473-BE63-4B5C-A2E6-6B241562789C}"/>
    <cellStyle name="40% - Accent1 13 2 4 4" xfId="20003" xr:uid="{00000000-0005-0000-0000-0000BE2B0000}"/>
    <cellStyle name="40% - Accent1 13 2 4 4 2" xfId="43835" xr:uid="{713281C4-0FC4-4A8C-9DAE-80806993170F}"/>
    <cellStyle name="40% - Accent1 13 2 4 5" xfId="27956" xr:uid="{A2145C60-1776-4565-9BA3-4911C90FC571}"/>
    <cellStyle name="40% - Accent1 13 2 5" xfId="5843" xr:uid="{00000000-0005-0000-0000-0000BF2B0000}"/>
    <cellStyle name="40% - Accent1 13 2 5 2" xfId="13827" xr:uid="{00000000-0005-0000-0000-0000C02B0000}"/>
    <cellStyle name="40% - Accent1 13 2 5 2 2" xfId="37670" xr:uid="{D58389E3-A272-493F-8355-4C88E8E76DCA}"/>
    <cellStyle name="40% - Accent1 13 2 5 3" xfId="21775" xr:uid="{00000000-0005-0000-0000-0000C12B0000}"/>
    <cellStyle name="40% - Accent1 13 2 5 3 2" xfId="45607" xr:uid="{981753CD-B1B7-4033-BE3C-408969F8DA4E}"/>
    <cellStyle name="40% - Accent1 13 2 5 4" xfId="29729" xr:uid="{15703DB4-12A3-4CBE-A222-F912D91844E3}"/>
    <cellStyle name="40% - Accent1 13 2 6" xfId="9396" xr:uid="{00000000-0005-0000-0000-0000C22B0000}"/>
    <cellStyle name="40% - Accent1 13 2 6 2" xfId="17354" xr:uid="{00000000-0005-0000-0000-0000C32B0000}"/>
    <cellStyle name="40% - Accent1 13 2 6 2 2" xfId="41194" xr:uid="{36BFB176-F9CC-4B99-993A-B2198FE39780}"/>
    <cellStyle name="40% - Accent1 13 2 6 3" xfId="25298" xr:uid="{00000000-0005-0000-0000-0000C42B0000}"/>
    <cellStyle name="40% - Accent1 13 2 6 3 2" xfId="49130" xr:uid="{2257AD02-FF66-46DB-83DC-0B41AE4DA72F}"/>
    <cellStyle name="40% - Accent1 13 2 6 4" xfId="33253" xr:uid="{FB4467FF-BDA1-4E6C-ACD8-4E52F02B65AA}"/>
    <cellStyle name="40% - Accent1 13 2 7" xfId="10292" xr:uid="{00000000-0005-0000-0000-0000C52B0000}"/>
    <cellStyle name="40% - Accent1 13 2 7 2" xfId="34141" xr:uid="{31987023-ED8E-4482-BA31-84081143F987}"/>
    <cellStyle name="40% - Accent1 13 2 8" xfId="18247" xr:uid="{00000000-0005-0000-0000-0000C62B0000}"/>
    <cellStyle name="40% - Accent1 13 2 8 2" xfId="42079" xr:uid="{842CC0FD-7BE4-4934-A967-02E73F4AEF3F}"/>
    <cellStyle name="40% - Accent1 13 2 9" xfId="26199" xr:uid="{2350C1A6-453C-456E-B2C2-BDB22B15FC84}"/>
    <cellStyle name="40% - Accent1 13 2_Exh G" xfId="2710" xr:uid="{00000000-0005-0000-0000-0000C72B0000}"/>
    <cellStyle name="40% - Accent1 13 3" xfId="346" xr:uid="{00000000-0005-0000-0000-0000C82B0000}"/>
    <cellStyle name="40% - Accent1 13 3 2" xfId="1374" xr:uid="{00000000-0005-0000-0000-0000C92B0000}"/>
    <cellStyle name="40% - Accent1 13 3 2 2" xfId="4904" xr:uid="{00000000-0005-0000-0000-0000CA2B0000}"/>
    <cellStyle name="40% - Accent1 13 3 2 2 2" xfId="8495" xr:uid="{00000000-0005-0000-0000-0000CB2B0000}"/>
    <cellStyle name="40% - Accent1 13 3 2 2 2 2" xfId="16466" xr:uid="{00000000-0005-0000-0000-0000CC2B0000}"/>
    <cellStyle name="40% - Accent1 13 3 2 2 2 2 2" xfId="40308" xr:uid="{0B090B7D-E450-47F8-99F6-479FA58FAAE1}"/>
    <cellStyle name="40% - Accent1 13 3 2 2 2 3" xfId="24412" xr:uid="{00000000-0005-0000-0000-0000CD2B0000}"/>
    <cellStyle name="40% - Accent1 13 3 2 2 2 3 2" xfId="48244" xr:uid="{840F0EA7-7C48-4DB9-94A7-75C6BF799121}"/>
    <cellStyle name="40% - Accent1 13 3 2 2 2 4" xfId="32367" xr:uid="{145E36FE-C2F6-4C3A-B036-AD6B53EB2D9E}"/>
    <cellStyle name="40% - Accent1 13 3 2 2 3" xfId="12928" xr:uid="{00000000-0005-0000-0000-0000CE2B0000}"/>
    <cellStyle name="40% - Accent1 13 3 2 2 3 2" xfId="36777" xr:uid="{5740A999-EFB1-49B8-9276-60692089A51E}"/>
    <cellStyle name="40% - Accent1 13 3 2 2 4" xfId="20883" xr:uid="{00000000-0005-0000-0000-0000CF2B0000}"/>
    <cellStyle name="40% - Accent1 13 3 2 2 4 2" xfId="44715" xr:uid="{D46ABEA6-CBC5-41D6-B09A-A4BFA7B47CE9}"/>
    <cellStyle name="40% - Accent1 13 3 2 2 5" xfId="28836" xr:uid="{A48D628B-30A4-422E-9220-47087E102EC8}"/>
    <cellStyle name="40% - Accent1 13 3 2 3" xfId="6736" xr:uid="{00000000-0005-0000-0000-0000D02B0000}"/>
    <cellStyle name="40% - Accent1 13 3 2 3 2" xfId="14708" xr:uid="{00000000-0005-0000-0000-0000D12B0000}"/>
    <cellStyle name="40% - Accent1 13 3 2 3 2 2" xfId="38550" xr:uid="{7953161B-5E31-40AD-9EEB-B69A8DF42058}"/>
    <cellStyle name="40% - Accent1 13 3 2 3 3" xfId="22655" xr:uid="{00000000-0005-0000-0000-0000D22B0000}"/>
    <cellStyle name="40% - Accent1 13 3 2 3 3 2" xfId="46487" xr:uid="{889BE76B-1FBB-4EF4-B562-93D082D4B4E7}"/>
    <cellStyle name="40% - Accent1 13 3 2 3 4" xfId="30609" xr:uid="{D3E17CFF-1611-406F-8CD2-4A3C5B576D91}"/>
    <cellStyle name="40% - Accent1 13 3 2 4" xfId="11172" xr:uid="{00000000-0005-0000-0000-0000D32B0000}"/>
    <cellStyle name="40% - Accent1 13 3 2 4 2" xfId="35021" xr:uid="{48DD4CB2-9B19-4861-9B14-7E2CEC94036A}"/>
    <cellStyle name="40% - Accent1 13 3 2 5" xfId="19127" xr:uid="{00000000-0005-0000-0000-0000D42B0000}"/>
    <cellStyle name="40% - Accent1 13 3 2 5 2" xfId="42959" xr:uid="{5DF88025-F114-4A48-9033-4AB357DEBB3D}"/>
    <cellStyle name="40% - Accent1 13 3 2 6" xfId="27079" xr:uid="{EFA4F098-7185-457A-AF42-DF97C9EAC3F7}"/>
    <cellStyle name="40% - Accent1 13 3 2_Exh G" xfId="2715" xr:uid="{00000000-0005-0000-0000-0000D52B0000}"/>
    <cellStyle name="40% - Accent1 13 3 3" xfId="4025" xr:uid="{00000000-0005-0000-0000-0000D62B0000}"/>
    <cellStyle name="40% - Accent1 13 3 3 2" xfId="7617" xr:uid="{00000000-0005-0000-0000-0000D72B0000}"/>
    <cellStyle name="40% - Accent1 13 3 3 2 2" xfId="15588" xr:uid="{00000000-0005-0000-0000-0000D82B0000}"/>
    <cellStyle name="40% - Accent1 13 3 3 2 2 2" xfId="39430" xr:uid="{B103BF23-9824-4AE2-92CE-35BC70713FD7}"/>
    <cellStyle name="40% - Accent1 13 3 3 2 3" xfId="23534" xr:uid="{00000000-0005-0000-0000-0000D92B0000}"/>
    <cellStyle name="40% - Accent1 13 3 3 2 3 2" xfId="47366" xr:uid="{8FD811B3-952E-4716-ABEC-D8E637B9559A}"/>
    <cellStyle name="40% - Accent1 13 3 3 2 4" xfId="31489" xr:uid="{E8784582-2162-40DD-89BE-22DCD6DBCF16}"/>
    <cellStyle name="40% - Accent1 13 3 3 3" xfId="12050" xr:uid="{00000000-0005-0000-0000-0000DA2B0000}"/>
    <cellStyle name="40% - Accent1 13 3 3 3 2" xfId="35899" xr:uid="{B8620DF2-EEE6-41AA-8982-F0BC84BC337A}"/>
    <cellStyle name="40% - Accent1 13 3 3 4" xfId="20005" xr:uid="{00000000-0005-0000-0000-0000DB2B0000}"/>
    <cellStyle name="40% - Accent1 13 3 3 4 2" xfId="43837" xr:uid="{32A6352F-F417-4AC4-B1E0-0BF872390950}"/>
    <cellStyle name="40% - Accent1 13 3 3 5" xfId="27958" xr:uid="{6FA11932-932D-4DE0-9FC6-6564193F818C}"/>
    <cellStyle name="40% - Accent1 13 3 4" xfId="5845" xr:uid="{00000000-0005-0000-0000-0000DC2B0000}"/>
    <cellStyle name="40% - Accent1 13 3 4 2" xfId="13829" xr:uid="{00000000-0005-0000-0000-0000DD2B0000}"/>
    <cellStyle name="40% - Accent1 13 3 4 2 2" xfId="37672" xr:uid="{81646C8C-75BB-4B39-8D30-E359736F71A4}"/>
    <cellStyle name="40% - Accent1 13 3 4 3" xfId="21777" xr:uid="{00000000-0005-0000-0000-0000DE2B0000}"/>
    <cellStyle name="40% - Accent1 13 3 4 3 2" xfId="45609" xr:uid="{08DEF4A6-E917-4617-9E3A-E07F3A409465}"/>
    <cellStyle name="40% - Accent1 13 3 4 4" xfId="29731" xr:uid="{B66920E2-2D1C-45A7-8903-BF09640404EF}"/>
    <cellStyle name="40% - Accent1 13 3 5" xfId="9398" xr:uid="{00000000-0005-0000-0000-0000DF2B0000}"/>
    <cellStyle name="40% - Accent1 13 3 5 2" xfId="17356" xr:uid="{00000000-0005-0000-0000-0000E02B0000}"/>
    <cellStyle name="40% - Accent1 13 3 5 2 2" xfId="41196" xr:uid="{F2D62BBA-6DCA-45C8-A875-D02023E08D20}"/>
    <cellStyle name="40% - Accent1 13 3 5 3" xfId="25300" xr:uid="{00000000-0005-0000-0000-0000E12B0000}"/>
    <cellStyle name="40% - Accent1 13 3 5 3 2" xfId="49132" xr:uid="{B5F6D43F-E363-4F32-A27D-88B412340A13}"/>
    <cellStyle name="40% - Accent1 13 3 5 4" xfId="33255" xr:uid="{52EDDAA4-F6F6-45B4-AE43-BFA882EAB1F0}"/>
    <cellStyle name="40% - Accent1 13 3 6" xfId="10294" xr:uid="{00000000-0005-0000-0000-0000E22B0000}"/>
    <cellStyle name="40% - Accent1 13 3 6 2" xfId="34143" xr:uid="{117FAE46-B229-41B2-9BC6-388DBC4F73C1}"/>
    <cellStyle name="40% - Accent1 13 3 7" xfId="18249" xr:uid="{00000000-0005-0000-0000-0000E32B0000}"/>
    <cellStyle name="40% - Accent1 13 3 7 2" xfId="42081" xr:uid="{04F96D19-731B-4C08-861E-EB35E1070790}"/>
    <cellStyle name="40% - Accent1 13 3 8" xfId="26201" xr:uid="{F3431723-075C-4293-9D09-B68B8B0F1D64}"/>
    <cellStyle name="40% - Accent1 13 3_Exh G" xfId="2714" xr:uid="{00000000-0005-0000-0000-0000E42B0000}"/>
    <cellStyle name="40% - Accent1 13 4" xfId="1371" xr:uid="{00000000-0005-0000-0000-0000E52B0000}"/>
    <cellStyle name="40% - Accent1 13 4 2" xfId="4901" xr:uid="{00000000-0005-0000-0000-0000E62B0000}"/>
    <cellStyle name="40% - Accent1 13 4 2 2" xfId="8492" xr:uid="{00000000-0005-0000-0000-0000E72B0000}"/>
    <cellStyle name="40% - Accent1 13 4 2 2 2" xfId="16463" xr:uid="{00000000-0005-0000-0000-0000E82B0000}"/>
    <cellStyle name="40% - Accent1 13 4 2 2 2 2" xfId="40305" xr:uid="{BDABF43C-8EB8-4A53-8A2D-D0E84FBF5261}"/>
    <cellStyle name="40% - Accent1 13 4 2 2 3" xfId="24409" xr:uid="{00000000-0005-0000-0000-0000E92B0000}"/>
    <cellStyle name="40% - Accent1 13 4 2 2 3 2" xfId="48241" xr:uid="{9223A466-60C0-4386-A7F4-4015F924BE20}"/>
    <cellStyle name="40% - Accent1 13 4 2 2 4" xfId="32364" xr:uid="{CA1D1423-CC8C-4352-9D31-4E20D721608A}"/>
    <cellStyle name="40% - Accent1 13 4 2 3" xfId="12925" xr:uid="{00000000-0005-0000-0000-0000EA2B0000}"/>
    <cellStyle name="40% - Accent1 13 4 2 3 2" xfId="36774" xr:uid="{7D5228E4-4E5F-4AC5-8714-5A7BE9A99DBF}"/>
    <cellStyle name="40% - Accent1 13 4 2 4" xfId="20880" xr:uid="{00000000-0005-0000-0000-0000EB2B0000}"/>
    <cellStyle name="40% - Accent1 13 4 2 4 2" xfId="44712" xr:uid="{CB46A262-D70E-4DCC-8EB6-38049329CF38}"/>
    <cellStyle name="40% - Accent1 13 4 2 5" xfId="28833" xr:uid="{FC05D7CD-EA9B-414A-8465-62191824B876}"/>
    <cellStyle name="40% - Accent1 13 4 3" xfId="6733" xr:uid="{00000000-0005-0000-0000-0000EC2B0000}"/>
    <cellStyle name="40% - Accent1 13 4 3 2" xfId="14705" xr:uid="{00000000-0005-0000-0000-0000ED2B0000}"/>
    <cellStyle name="40% - Accent1 13 4 3 2 2" xfId="38547" xr:uid="{D4454728-E1D7-4E52-8773-60281EDAF1A4}"/>
    <cellStyle name="40% - Accent1 13 4 3 3" xfId="22652" xr:uid="{00000000-0005-0000-0000-0000EE2B0000}"/>
    <cellStyle name="40% - Accent1 13 4 3 3 2" xfId="46484" xr:uid="{14295F8A-AB74-48E8-A499-1F9EE9527532}"/>
    <cellStyle name="40% - Accent1 13 4 3 4" xfId="30606" xr:uid="{644C5A83-6E6F-4650-97D2-A4213FD74B7E}"/>
    <cellStyle name="40% - Accent1 13 4 4" xfId="11169" xr:uid="{00000000-0005-0000-0000-0000EF2B0000}"/>
    <cellStyle name="40% - Accent1 13 4 4 2" xfId="35018" xr:uid="{968FFA09-5044-4BF9-BA3B-8CC53CE3F46F}"/>
    <cellStyle name="40% - Accent1 13 4 5" xfId="19124" xr:uid="{00000000-0005-0000-0000-0000F02B0000}"/>
    <cellStyle name="40% - Accent1 13 4 5 2" xfId="42956" xr:uid="{BF3BE0BC-DE0F-4D08-BC55-5307635871F7}"/>
    <cellStyle name="40% - Accent1 13 4 6" xfId="27076" xr:uid="{4F1786F0-A750-49FC-834F-B1C634AF247C}"/>
    <cellStyle name="40% - Accent1 13 4_Exh G" xfId="2716" xr:uid="{00000000-0005-0000-0000-0000F12B0000}"/>
    <cellStyle name="40% - Accent1 13 5" xfId="4022" xr:uid="{00000000-0005-0000-0000-0000F22B0000}"/>
    <cellStyle name="40% - Accent1 13 5 2" xfId="7614" xr:uid="{00000000-0005-0000-0000-0000F32B0000}"/>
    <cellStyle name="40% - Accent1 13 5 2 2" xfId="15585" xr:uid="{00000000-0005-0000-0000-0000F42B0000}"/>
    <cellStyle name="40% - Accent1 13 5 2 2 2" xfId="39427" xr:uid="{6AB7D7D2-8AED-4618-98A8-7AD2DAE2FDF8}"/>
    <cellStyle name="40% - Accent1 13 5 2 3" xfId="23531" xr:uid="{00000000-0005-0000-0000-0000F52B0000}"/>
    <cellStyle name="40% - Accent1 13 5 2 3 2" xfId="47363" xr:uid="{20157C17-BBC4-46F2-AED5-FA36FB426943}"/>
    <cellStyle name="40% - Accent1 13 5 2 4" xfId="31486" xr:uid="{CD588764-DB34-4A71-B415-92EB52A6B60C}"/>
    <cellStyle name="40% - Accent1 13 5 3" xfId="12047" xr:uid="{00000000-0005-0000-0000-0000F62B0000}"/>
    <cellStyle name="40% - Accent1 13 5 3 2" xfId="35896" xr:uid="{115DB61A-2FD3-4106-9716-BFA5AE6665A0}"/>
    <cellStyle name="40% - Accent1 13 5 4" xfId="20002" xr:uid="{00000000-0005-0000-0000-0000F72B0000}"/>
    <cellStyle name="40% - Accent1 13 5 4 2" xfId="43834" xr:uid="{FD2DBC47-5EE1-4192-B8D7-187885C001E0}"/>
    <cellStyle name="40% - Accent1 13 5 5" xfId="27955" xr:uid="{D8BE9E2A-CBE4-4489-A429-CE96371EBCD2}"/>
    <cellStyle name="40% - Accent1 13 6" xfId="5842" xr:uid="{00000000-0005-0000-0000-0000F82B0000}"/>
    <cellStyle name="40% - Accent1 13 6 2" xfId="13826" xr:uid="{00000000-0005-0000-0000-0000F92B0000}"/>
    <cellStyle name="40% - Accent1 13 6 2 2" xfId="37669" xr:uid="{36832408-6B5D-4779-9A2F-47DB71BC4B62}"/>
    <cellStyle name="40% - Accent1 13 6 3" xfId="21774" xr:uid="{00000000-0005-0000-0000-0000FA2B0000}"/>
    <cellStyle name="40% - Accent1 13 6 3 2" xfId="45606" xr:uid="{8F4118C1-F98C-4851-9C2B-B8AD40A0AF04}"/>
    <cellStyle name="40% - Accent1 13 6 4" xfId="29728" xr:uid="{9CF5D26D-2DE1-4BB1-972A-6A417C5F1BA9}"/>
    <cellStyle name="40% - Accent1 13 7" xfId="9395" xr:uid="{00000000-0005-0000-0000-0000FB2B0000}"/>
    <cellStyle name="40% - Accent1 13 7 2" xfId="17353" xr:uid="{00000000-0005-0000-0000-0000FC2B0000}"/>
    <cellStyle name="40% - Accent1 13 7 2 2" xfId="41193" xr:uid="{64CA04ED-CC93-4A56-A105-0ADB6FF812E8}"/>
    <cellStyle name="40% - Accent1 13 7 3" xfId="25297" xr:uid="{00000000-0005-0000-0000-0000FD2B0000}"/>
    <cellStyle name="40% - Accent1 13 7 3 2" xfId="49129" xr:uid="{9B2762D8-A960-4769-AFC0-618E8DE0CC89}"/>
    <cellStyle name="40% - Accent1 13 7 4" xfId="33252" xr:uid="{4DB92423-8189-48F1-8234-C217F4C1E624}"/>
    <cellStyle name="40% - Accent1 13 8" xfId="10291" xr:uid="{00000000-0005-0000-0000-0000FE2B0000}"/>
    <cellStyle name="40% - Accent1 13 8 2" xfId="34140" xr:uid="{2DC67374-2058-40B6-8F9E-EC06F5DBD2CD}"/>
    <cellStyle name="40% - Accent1 13 9" xfId="18246" xr:uid="{00000000-0005-0000-0000-0000FF2B0000}"/>
    <cellStyle name="40% - Accent1 13 9 2" xfId="42078" xr:uid="{A04B8B70-4B97-41A9-8204-A6C83D7641F7}"/>
    <cellStyle name="40% - Accent1 13_Exh G" xfId="2709" xr:uid="{00000000-0005-0000-0000-0000002C0000}"/>
    <cellStyle name="40% - Accent1 14" xfId="347" xr:uid="{00000000-0005-0000-0000-0000012C0000}"/>
    <cellStyle name="40% - Accent1 14 2" xfId="348" xr:uid="{00000000-0005-0000-0000-0000022C0000}"/>
    <cellStyle name="40% - Accent1 14 2 2" xfId="1376" xr:uid="{00000000-0005-0000-0000-0000032C0000}"/>
    <cellStyle name="40% - Accent1 14 2 2 2" xfId="4906" xr:uid="{00000000-0005-0000-0000-0000042C0000}"/>
    <cellStyle name="40% - Accent1 14 2 2 2 2" xfId="8497" xr:uid="{00000000-0005-0000-0000-0000052C0000}"/>
    <cellStyle name="40% - Accent1 14 2 2 2 2 2" xfId="16468" xr:uid="{00000000-0005-0000-0000-0000062C0000}"/>
    <cellStyle name="40% - Accent1 14 2 2 2 2 2 2" xfId="40310" xr:uid="{87104470-A657-4AB2-B327-A51AFC763C69}"/>
    <cellStyle name="40% - Accent1 14 2 2 2 2 3" xfId="24414" xr:uid="{00000000-0005-0000-0000-0000072C0000}"/>
    <cellStyle name="40% - Accent1 14 2 2 2 2 3 2" xfId="48246" xr:uid="{E17CF2D2-14C2-4C99-A30F-EE2C8767C7B1}"/>
    <cellStyle name="40% - Accent1 14 2 2 2 2 4" xfId="32369" xr:uid="{FED0B036-C2EB-44C4-B1E8-4BC976F99A70}"/>
    <cellStyle name="40% - Accent1 14 2 2 2 3" xfId="12930" xr:uid="{00000000-0005-0000-0000-0000082C0000}"/>
    <cellStyle name="40% - Accent1 14 2 2 2 3 2" xfId="36779" xr:uid="{FDCF2673-A205-4E2E-B412-B3CFF5CE49B0}"/>
    <cellStyle name="40% - Accent1 14 2 2 2 4" xfId="20885" xr:uid="{00000000-0005-0000-0000-0000092C0000}"/>
    <cellStyle name="40% - Accent1 14 2 2 2 4 2" xfId="44717" xr:uid="{1BD2FCA3-5C04-44BE-A058-C5A55AC0C9B4}"/>
    <cellStyle name="40% - Accent1 14 2 2 2 5" xfId="28838" xr:uid="{097431BF-497A-4978-8AAD-87BD15BE4DB0}"/>
    <cellStyle name="40% - Accent1 14 2 2 3" xfId="6738" xr:uid="{00000000-0005-0000-0000-00000A2C0000}"/>
    <cellStyle name="40% - Accent1 14 2 2 3 2" xfId="14710" xr:uid="{00000000-0005-0000-0000-00000B2C0000}"/>
    <cellStyle name="40% - Accent1 14 2 2 3 2 2" xfId="38552" xr:uid="{CB781DE5-CBFE-4F2D-9126-680D9827DB86}"/>
    <cellStyle name="40% - Accent1 14 2 2 3 3" xfId="22657" xr:uid="{00000000-0005-0000-0000-00000C2C0000}"/>
    <cellStyle name="40% - Accent1 14 2 2 3 3 2" xfId="46489" xr:uid="{E3A2A9D2-47F2-421E-B951-2A5C364A228B}"/>
    <cellStyle name="40% - Accent1 14 2 2 3 4" xfId="30611" xr:uid="{AF977612-F4BC-4141-BF45-0803F88F2C16}"/>
    <cellStyle name="40% - Accent1 14 2 2 4" xfId="11174" xr:uid="{00000000-0005-0000-0000-00000D2C0000}"/>
    <cellStyle name="40% - Accent1 14 2 2 4 2" xfId="35023" xr:uid="{1AF247F2-85CE-4BD0-B338-39E4BD7B1B5B}"/>
    <cellStyle name="40% - Accent1 14 2 2 5" xfId="19129" xr:uid="{00000000-0005-0000-0000-00000E2C0000}"/>
    <cellStyle name="40% - Accent1 14 2 2 5 2" xfId="42961" xr:uid="{B1AB9826-D9BD-44E5-81B4-74B7A2B8A88E}"/>
    <cellStyle name="40% - Accent1 14 2 2 6" xfId="27081" xr:uid="{3F4FB976-C224-4088-8DFD-26936B1994D1}"/>
    <cellStyle name="40% - Accent1 14 2 2_Exh G" xfId="2719" xr:uid="{00000000-0005-0000-0000-00000F2C0000}"/>
    <cellStyle name="40% - Accent1 14 2 3" xfId="4027" xr:uid="{00000000-0005-0000-0000-0000102C0000}"/>
    <cellStyle name="40% - Accent1 14 2 3 2" xfId="7619" xr:uid="{00000000-0005-0000-0000-0000112C0000}"/>
    <cellStyle name="40% - Accent1 14 2 3 2 2" xfId="15590" xr:uid="{00000000-0005-0000-0000-0000122C0000}"/>
    <cellStyle name="40% - Accent1 14 2 3 2 2 2" xfId="39432" xr:uid="{D6C7D14D-5A16-4D93-BED6-78084697B904}"/>
    <cellStyle name="40% - Accent1 14 2 3 2 3" xfId="23536" xr:uid="{00000000-0005-0000-0000-0000132C0000}"/>
    <cellStyle name="40% - Accent1 14 2 3 2 3 2" xfId="47368" xr:uid="{52765E57-7635-4912-ABA5-52D1B1F15046}"/>
    <cellStyle name="40% - Accent1 14 2 3 2 4" xfId="31491" xr:uid="{6941F91B-2F58-4BBC-B2E3-1AD98AC5B160}"/>
    <cellStyle name="40% - Accent1 14 2 3 3" xfId="12052" xr:uid="{00000000-0005-0000-0000-0000142C0000}"/>
    <cellStyle name="40% - Accent1 14 2 3 3 2" xfId="35901" xr:uid="{3E1D42E3-D942-421F-9959-3544082875BD}"/>
    <cellStyle name="40% - Accent1 14 2 3 4" xfId="20007" xr:uid="{00000000-0005-0000-0000-0000152C0000}"/>
    <cellStyle name="40% - Accent1 14 2 3 4 2" xfId="43839" xr:uid="{F0A17CDE-8252-4B3F-8FA6-C5D898E77D1F}"/>
    <cellStyle name="40% - Accent1 14 2 3 5" xfId="27960" xr:uid="{8AF91631-632F-42FB-92FC-6B582CD44EC9}"/>
    <cellStyle name="40% - Accent1 14 2 4" xfId="5847" xr:uid="{00000000-0005-0000-0000-0000162C0000}"/>
    <cellStyle name="40% - Accent1 14 2 4 2" xfId="13831" xr:uid="{00000000-0005-0000-0000-0000172C0000}"/>
    <cellStyle name="40% - Accent1 14 2 4 2 2" xfId="37674" xr:uid="{48B9B603-755A-4322-829E-B2D36BD57F87}"/>
    <cellStyle name="40% - Accent1 14 2 4 3" xfId="21779" xr:uid="{00000000-0005-0000-0000-0000182C0000}"/>
    <cellStyle name="40% - Accent1 14 2 4 3 2" xfId="45611" xr:uid="{1B75415C-65F6-48CF-8922-F9C16AD49ED7}"/>
    <cellStyle name="40% - Accent1 14 2 4 4" xfId="29733" xr:uid="{05468922-B9C8-429C-B009-74CFD8C44847}"/>
    <cellStyle name="40% - Accent1 14 2 5" xfId="9400" xr:uid="{00000000-0005-0000-0000-0000192C0000}"/>
    <cellStyle name="40% - Accent1 14 2 5 2" xfId="17358" xr:uid="{00000000-0005-0000-0000-00001A2C0000}"/>
    <cellStyle name="40% - Accent1 14 2 5 2 2" xfId="41198" xr:uid="{CE634446-F385-4CDB-84EA-648F96ED3DCD}"/>
    <cellStyle name="40% - Accent1 14 2 5 3" xfId="25302" xr:uid="{00000000-0005-0000-0000-00001B2C0000}"/>
    <cellStyle name="40% - Accent1 14 2 5 3 2" xfId="49134" xr:uid="{BCA42AE4-6690-44C7-B05A-82BB3742CE4B}"/>
    <cellStyle name="40% - Accent1 14 2 5 4" xfId="33257" xr:uid="{3AEB5237-DB3B-479E-8A14-BEAE72DCDA50}"/>
    <cellStyle name="40% - Accent1 14 2 6" xfId="10296" xr:uid="{00000000-0005-0000-0000-00001C2C0000}"/>
    <cellStyle name="40% - Accent1 14 2 6 2" xfId="34145" xr:uid="{AF976491-FFFB-4FD3-BB7D-121F6B094A5C}"/>
    <cellStyle name="40% - Accent1 14 2 7" xfId="18251" xr:uid="{00000000-0005-0000-0000-00001D2C0000}"/>
    <cellStyle name="40% - Accent1 14 2 7 2" xfId="42083" xr:uid="{7D436649-5E58-4FCF-9EFC-8AB391437E5C}"/>
    <cellStyle name="40% - Accent1 14 2 8" xfId="26203" xr:uid="{5FAD468B-BC4E-4CA2-A4CA-8EA1C80E438E}"/>
    <cellStyle name="40% - Accent1 14 2_Exh G" xfId="2718" xr:uid="{00000000-0005-0000-0000-00001E2C0000}"/>
    <cellStyle name="40% - Accent1 14 3" xfId="1375" xr:uid="{00000000-0005-0000-0000-00001F2C0000}"/>
    <cellStyle name="40% - Accent1 14 3 2" xfId="4905" xr:uid="{00000000-0005-0000-0000-0000202C0000}"/>
    <cellStyle name="40% - Accent1 14 3 2 2" xfId="8496" xr:uid="{00000000-0005-0000-0000-0000212C0000}"/>
    <cellStyle name="40% - Accent1 14 3 2 2 2" xfId="16467" xr:uid="{00000000-0005-0000-0000-0000222C0000}"/>
    <cellStyle name="40% - Accent1 14 3 2 2 2 2" xfId="40309" xr:uid="{F40CD6F6-9342-43EE-8302-C331EDA94BD6}"/>
    <cellStyle name="40% - Accent1 14 3 2 2 3" xfId="24413" xr:uid="{00000000-0005-0000-0000-0000232C0000}"/>
    <cellStyle name="40% - Accent1 14 3 2 2 3 2" xfId="48245" xr:uid="{FD94D855-30EB-4020-A624-D59417BC7211}"/>
    <cellStyle name="40% - Accent1 14 3 2 2 4" xfId="32368" xr:uid="{C73D4BB4-F994-42CD-8ECC-E6FE93E25A58}"/>
    <cellStyle name="40% - Accent1 14 3 2 3" xfId="12929" xr:uid="{00000000-0005-0000-0000-0000242C0000}"/>
    <cellStyle name="40% - Accent1 14 3 2 3 2" xfId="36778" xr:uid="{9987ED91-8032-4C96-9301-22FD12B09FB6}"/>
    <cellStyle name="40% - Accent1 14 3 2 4" xfId="20884" xr:uid="{00000000-0005-0000-0000-0000252C0000}"/>
    <cellStyle name="40% - Accent1 14 3 2 4 2" xfId="44716" xr:uid="{F0D31AE3-A025-4477-A8C5-B76CA2EC4794}"/>
    <cellStyle name="40% - Accent1 14 3 2 5" xfId="28837" xr:uid="{BC3DE1C9-530C-48F5-AC06-700A8601B1C4}"/>
    <cellStyle name="40% - Accent1 14 3 3" xfId="6737" xr:uid="{00000000-0005-0000-0000-0000262C0000}"/>
    <cellStyle name="40% - Accent1 14 3 3 2" xfId="14709" xr:uid="{00000000-0005-0000-0000-0000272C0000}"/>
    <cellStyle name="40% - Accent1 14 3 3 2 2" xfId="38551" xr:uid="{8BDE055D-6266-47D9-B202-12E0CA2CD0DA}"/>
    <cellStyle name="40% - Accent1 14 3 3 3" xfId="22656" xr:uid="{00000000-0005-0000-0000-0000282C0000}"/>
    <cellStyle name="40% - Accent1 14 3 3 3 2" xfId="46488" xr:uid="{A1B470B7-1D02-4EB3-BF18-B6B9E0F9C5ED}"/>
    <cellStyle name="40% - Accent1 14 3 3 4" xfId="30610" xr:uid="{7D6979C0-5650-47B5-A8B5-6BB745D1809C}"/>
    <cellStyle name="40% - Accent1 14 3 4" xfId="11173" xr:uid="{00000000-0005-0000-0000-0000292C0000}"/>
    <cellStyle name="40% - Accent1 14 3 4 2" xfId="35022" xr:uid="{F02A9D24-0076-4546-8351-917F547ADD46}"/>
    <cellStyle name="40% - Accent1 14 3 5" xfId="19128" xr:uid="{00000000-0005-0000-0000-00002A2C0000}"/>
    <cellStyle name="40% - Accent1 14 3 5 2" xfId="42960" xr:uid="{857973E8-D87E-4B0C-8E23-7643050A4107}"/>
    <cellStyle name="40% - Accent1 14 3 6" xfId="27080" xr:uid="{9EAD8105-9316-4B1B-8AA1-DBC7C56D0FCA}"/>
    <cellStyle name="40% - Accent1 14 3_Exh G" xfId="2720" xr:uid="{00000000-0005-0000-0000-00002B2C0000}"/>
    <cellStyle name="40% - Accent1 14 4" xfId="4026" xr:uid="{00000000-0005-0000-0000-00002C2C0000}"/>
    <cellStyle name="40% - Accent1 14 4 2" xfId="7618" xr:uid="{00000000-0005-0000-0000-00002D2C0000}"/>
    <cellStyle name="40% - Accent1 14 4 2 2" xfId="15589" xr:uid="{00000000-0005-0000-0000-00002E2C0000}"/>
    <cellStyle name="40% - Accent1 14 4 2 2 2" xfId="39431" xr:uid="{BDBAE078-5B9B-4234-B96B-6A6B5A40F94B}"/>
    <cellStyle name="40% - Accent1 14 4 2 3" xfId="23535" xr:uid="{00000000-0005-0000-0000-00002F2C0000}"/>
    <cellStyle name="40% - Accent1 14 4 2 3 2" xfId="47367" xr:uid="{836BBA9D-1142-49C9-B68C-7544CBFAB541}"/>
    <cellStyle name="40% - Accent1 14 4 2 4" xfId="31490" xr:uid="{827634C3-CDC2-4269-B8D5-7648D5961E50}"/>
    <cellStyle name="40% - Accent1 14 4 3" xfId="12051" xr:uid="{00000000-0005-0000-0000-0000302C0000}"/>
    <cellStyle name="40% - Accent1 14 4 3 2" xfId="35900" xr:uid="{E510AE90-5336-436F-8128-49170C60DC65}"/>
    <cellStyle name="40% - Accent1 14 4 4" xfId="20006" xr:uid="{00000000-0005-0000-0000-0000312C0000}"/>
    <cellStyle name="40% - Accent1 14 4 4 2" xfId="43838" xr:uid="{1177B5D0-6F86-403E-9082-D02447EEF056}"/>
    <cellStyle name="40% - Accent1 14 4 5" xfId="27959" xr:uid="{8A64EBEC-D7F0-458D-BA5F-7DFC50A5E940}"/>
    <cellStyle name="40% - Accent1 14 5" xfId="5846" xr:uid="{00000000-0005-0000-0000-0000322C0000}"/>
    <cellStyle name="40% - Accent1 14 5 2" xfId="13830" xr:uid="{00000000-0005-0000-0000-0000332C0000}"/>
    <cellStyle name="40% - Accent1 14 5 2 2" xfId="37673" xr:uid="{CE6C5E29-8389-4253-8584-F99C68A47133}"/>
    <cellStyle name="40% - Accent1 14 5 3" xfId="21778" xr:uid="{00000000-0005-0000-0000-0000342C0000}"/>
    <cellStyle name="40% - Accent1 14 5 3 2" xfId="45610" xr:uid="{544FAE66-60C4-4B4F-830E-2E64631154BB}"/>
    <cellStyle name="40% - Accent1 14 5 4" xfId="29732" xr:uid="{F092E038-7A65-43AC-A424-94E8977C2A36}"/>
    <cellStyle name="40% - Accent1 14 6" xfId="9399" xr:uid="{00000000-0005-0000-0000-0000352C0000}"/>
    <cellStyle name="40% - Accent1 14 6 2" xfId="17357" xr:uid="{00000000-0005-0000-0000-0000362C0000}"/>
    <cellStyle name="40% - Accent1 14 6 2 2" xfId="41197" xr:uid="{D9496537-7B83-442E-B167-B6E654F89DBC}"/>
    <cellStyle name="40% - Accent1 14 6 3" xfId="25301" xr:uid="{00000000-0005-0000-0000-0000372C0000}"/>
    <cellStyle name="40% - Accent1 14 6 3 2" xfId="49133" xr:uid="{17DA15E6-34EA-4B9D-890A-C71497E553FA}"/>
    <cellStyle name="40% - Accent1 14 6 4" xfId="33256" xr:uid="{4FBBC5DA-564C-476B-854A-372463D4991E}"/>
    <cellStyle name="40% - Accent1 14 7" xfId="10295" xr:uid="{00000000-0005-0000-0000-0000382C0000}"/>
    <cellStyle name="40% - Accent1 14 7 2" xfId="34144" xr:uid="{BA5CD4A6-9EA1-4BCD-899A-6302D68B10F7}"/>
    <cellStyle name="40% - Accent1 14 8" xfId="18250" xr:uid="{00000000-0005-0000-0000-0000392C0000}"/>
    <cellStyle name="40% - Accent1 14 8 2" xfId="42082" xr:uid="{788D91CD-AFC6-4681-B061-343A004E162F}"/>
    <cellStyle name="40% - Accent1 14 9" xfId="26202" xr:uid="{696AB30C-DBB9-4897-9103-BF5B63304655}"/>
    <cellStyle name="40% - Accent1 14_Exh G" xfId="2717" xr:uid="{00000000-0005-0000-0000-00003A2C0000}"/>
    <cellStyle name="40% - Accent1 15" xfId="349" xr:uid="{00000000-0005-0000-0000-00003B2C0000}"/>
    <cellStyle name="40% - Accent1 15 2" xfId="1377" xr:uid="{00000000-0005-0000-0000-00003C2C0000}"/>
    <cellStyle name="40% - Accent1 15 2 2" xfId="4907" xr:uid="{00000000-0005-0000-0000-00003D2C0000}"/>
    <cellStyle name="40% - Accent1 15 2 2 2" xfId="8498" xr:uid="{00000000-0005-0000-0000-00003E2C0000}"/>
    <cellStyle name="40% - Accent1 15 2 2 2 2" xfId="16469" xr:uid="{00000000-0005-0000-0000-00003F2C0000}"/>
    <cellStyle name="40% - Accent1 15 2 2 2 2 2" xfId="40311" xr:uid="{2D8A777E-9204-4B5C-9CEE-97E8DBC00E55}"/>
    <cellStyle name="40% - Accent1 15 2 2 2 3" xfId="24415" xr:uid="{00000000-0005-0000-0000-0000402C0000}"/>
    <cellStyle name="40% - Accent1 15 2 2 2 3 2" xfId="48247" xr:uid="{D7DCE69E-499E-4CA5-A3BB-3ED77AF7CC31}"/>
    <cellStyle name="40% - Accent1 15 2 2 2 4" xfId="32370" xr:uid="{E7650D0D-C4F5-4DBB-8BC5-6AB257370FAD}"/>
    <cellStyle name="40% - Accent1 15 2 2 3" xfId="12931" xr:uid="{00000000-0005-0000-0000-0000412C0000}"/>
    <cellStyle name="40% - Accent1 15 2 2 3 2" xfId="36780" xr:uid="{84CF4A67-28F9-431C-AB3C-BE0CD608BF33}"/>
    <cellStyle name="40% - Accent1 15 2 2 4" xfId="20886" xr:uid="{00000000-0005-0000-0000-0000422C0000}"/>
    <cellStyle name="40% - Accent1 15 2 2 4 2" xfId="44718" xr:uid="{E4C3DDCA-8BBD-407E-BF22-B3AC09F62F18}"/>
    <cellStyle name="40% - Accent1 15 2 2 5" xfId="28839" xr:uid="{C52BA2CB-F2B9-467C-89B5-BCFC43953410}"/>
    <cellStyle name="40% - Accent1 15 2 3" xfId="6739" xr:uid="{00000000-0005-0000-0000-0000432C0000}"/>
    <cellStyle name="40% - Accent1 15 2 3 2" xfId="14711" xr:uid="{00000000-0005-0000-0000-0000442C0000}"/>
    <cellStyle name="40% - Accent1 15 2 3 2 2" xfId="38553" xr:uid="{78D1B055-808E-4DA5-99F8-A2C38C8FDCB2}"/>
    <cellStyle name="40% - Accent1 15 2 3 3" xfId="22658" xr:uid="{00000000-0005-0000-0000-0000452C0000}"/>
    <cellStyle name="40% - Accent1 15 2 3 3 2" xfId="46490" xr:uid="{E9F4219E-81F9-4707-8457-B245E3579ECE}"/>
    <cellStyle name="40% - Accent1 15 2 3 4" xfId="30612" xr:uid="{1D0D75DC-71D3-4D5A-A432-7250EB32E79E}"/>
    <cellStyle name="40% - Accent1 15 2 4" xfId="11175" xr:uid="{00000000-0005-0000-0000-0000462C0000}"/>
    <cellStyle name="40% - Accent1 15 2 4 2" xfId="35024" xr:uid="{C7A8B9BC-E9B4-43CB-B1CA-F66F65EFA689}"/>
    <cellStyle name="40% - Accent1 15 2 5" xfId="19130" xr:uid="{00000000-0005-0000-0000-0000472C0000}"/>
    <cellStyle name="40% - Accent1 15 2 5 2" xfId="42962" xr:uid="{D378FD8F-89A6-40A6-9899-278B1FC9935A}"/>
    <cellStyle name="40% - Accent1 15 2 6" xfId="27082" xr:uid="{56809605-6280-47BE-8549-17CACF5CF16A}"/>
    <cellStyle name="40% - Accent1 15 2_Exh G" xfId="2722" xr:uid="{00000000-0005-0000-0000-0000482C0000}"/>
    <cellStyle name="40% - Accent1 15 3" xfId="4028" xr:uid="{00000000-0005-0000-0000-0000492C0000}"/>
    <cellStyle name="40% - Accent1 15 3 2" xfId="7620" xr:uid="{00000000-0005-0000-0000-00004A2C0000}"/>
    <cellStyle name="40% - Accent1 15 3 2 2" xfId="15591" xr:uid="{00000000-0005-0000-0000-00004B2C0000}"/>
    <cellStyle name="40% - Accent1 15 3 2 2 2" xfId="39433" xr:uid="{16CAD086-41A9-4C27-8B95-114874055D5E}"/>
    <cellStyle name="40% - Accent1 15 3 2 3" xfId="23537" xr:uid="{00000000-0005-0000-0000-00004C2C0000}"/>
    <cellStyle name="40% - Accent1 15 3 2 3 2" xfId="47369" xr:uid="{0107536A-0690-4202-BFCB-9379610E04D7}"/>
    <cellStyle name="40% - Accent1 15 3 2 4" xfId="31492" xr:uid="{A3F455AE-CBDC-408C-A72B-053E0BB5DBBC}"/>
    <cellStyle name="40% - Accent1 15 3 3" xfId="12053" xr:uid="{00000000-0005-0000-0000-00004D2C0000}"/>
    <cellStyle name="40% - Accent1 15 3 3 2" xfId="35902" xr:uid="{262C24FD-BB2C-4C88-A74A-C5A1A6A4A6D3}"/>
    <cellStyle name="40% - Accent1 15 3 4" xfId="20008" xr:uid="{00000000-0005-0000-0000-00004E2C0000}"/>
    <cellStyle name="40% - Accent1 15 3 4 2" xfId="43840" xr:uid="{6F821D85-9449-420A-A8A9-64C90BB1A60F}"/>
    <cellStyle name="40% - Accent1 15 3 5" xfId="27961" xr:uid="{11BD0E81-6AE7-4154-947F-BE63E406033D}"/>
    <cellStyle name="40% - Accent1 15 4" xfId="5848" xr:uid="{00000000-0005-0000-0000-00004F2C0000}"/>
    <cellStyle name="40% - Accent1 15 4 2" xfId="13832" xr:uid="{00000000-0005-0000-0000-0000502C0000}"/>
    <cellStyle name="40% - Accent1 15 4 2 2" xfId="37675" xr:uid="{FF5750B6-D2B9-44AA-B3F4-4C7C19BCB453}"/>
    <cellStyle name="40% - Accent1 15 4 3" xfId="21780" xr:uid="{00000000-0005-0000-0000-0000512C0000}"/>
    <cellStyle name="40% - Accent1 15 4 3 2" xfId="45612" xr:uid="{29CF4D4B-F595-458D-A290-30F21567EBCA}"/>
    <cellStyle name="40% - Accent1 15 4 4" xfId="29734" xr:uid="{5AE558DE-1ABC-4090-905C-DEA91AABD99F}"/>
    <cellStyle name="40% - Accent1 15 5" xfId="9401" xr:uid="{00000000-0005-0000-0000-0000522C0000}"/>
    <cellStyle name="40% - Accent1 15 5 2" xfId="17359" xr:uid="{00000000-0005-0000-0000-0000532C0000}"/>
    <cellStyle name="40% - Accent1 15 5 2 2" xfId="41199" xr:uid="{37F492D2-8795-497B-935A-EE660BE3BDAC}"/>
    <cellStyle name="40% - Accent1 15 5 3" xfId="25303" xr:uid="{00000000-0005-0000-0000-0000542C0000}"/>
    <cellStyle name="40% - Accent1 15 5 3 2" xfId="49135" xr:uid="{FF7B33A9-B8F9-4F13-82A8-23F7CA0F7303}"/>
    <cellStyle name="40% - Accent1 15 5 4" xfId="33258" xr:uid="{9F02433F-DDE1-4FC3-8653-E23ECD7FFE52}"/>
    <cellStyle name="40% - Accent1 15 6" xfId="10297" xr:uid="{00000000-0005-0000-0000-0000552C0000}"/>
    <cellStyle name="40% - Accent1 15 6 2" xfId="34146" xr:uid="{191DAD3F-13FD-49AE-AFCA-04F11651161F}"/>
    <cellStyle name="40% - Accent1 15 7" xfId="18252" xr:uid="{00000000-0005-0000-0000-0000562C0000}"/>
    <cellStyle name="40% - Accent1 15 7 2" xfId="42084" xr:uid="{7BC7A201-E81E-436D-912E-B87F238F071D}"/>
    <cellStyle name="40% - Accent1 15 8" xfId="26204" xr:uid="{9B276D86-3300-44BA-A76E-CD41A95133E9}"/>
    <cellStyle name="40% - Accent1 15_Exh G" xfId="2721" xr:uid="{00000000-0005-0000-0000-0000572C0000}"/>
    <cellStyle name="40% - Accent1 16" xfId="849" xr:uid="{00000000-0005-0000-0000-0000582C0000}"/>
    <cellStyle name="40% - Accent1 16 2" xfId="1788" xr:uid="{00000000-0005-0000-0000-0000592C0000}"/>
    <cellStyle name="40% - Accent1 16 2 2" xfId="5309" xr:uid="{00000000-0005-0000-0000-00005A2C0000}"/>
    <cellStyle name="40% - Accent1 16 2 2 2" xfId="8900" xr:uid="{00000000-0005-0000-0000-00005B2C0000}"/>
    <cellStyle name="40% - Accent1 16 2 2 2 2" xfId="16871" xr:uid="{00000000-0005-0000-0000-00005C2C0000}"/>
    <cellStyle name="40% - Accent1 16 2 2 2 2 2" xfId="40713" xr:uid="{BDA3AD83-B70F-4F43-BB89-1BB6A0A24151}"/>
    <cellStyle name="40% - Accent1 16 2 2 2 3" xfId="24817" xr:uid="{00000000-0005-0000-0000-00005D2C0000}"/>
    <cellStyle name="40% - Accent1 16 2 2 2 3 2" xfId="48649" xr:uid="{D68596D9-1B98-4744-9277-D7CDF3A420C6}"/>
    <cellStyle name="40% - Accent1 16 2 2 2 4" xfId="32772" xr:uid="{2B22B5F0-F5B7-46BD-A6B6-3B658CACA9D0}"/>
    <cellStyle name="40% - Accent1 16 2 2 3" xfId="13333" xr:uid="{00000000-0005-0000-0000-00005E2C0000}"/>
    <cellStyle name="40% - Accent1 16 2 2 3 2" xfId="37182" xr:uid="{ED6E0A12-2EE4-4917-8F91-675EAA2FD57F}"/>
    <cellStyle name="40% - Accent1 16 2 2 4" xfId="21288" xr:uid="{00000000-0005-0000-0000-00005F2C0000}"/>
    <cellStyle name="40% - Accent1 16 2 2 4 2" xfId="45120" xr:uid="{3CAF8FA1-45D9-4E8B-AA97-2554821E23BC}"/>
    <cellStyle name="40% - Accent1 16 2 2 5" xfId="29241" xr:uid="{9138E89D-4FA7-4F62-B2E0-A2158E565352}"/>
    <cellStyle name="40% - Accent1 16 2 3" xfId="7141" xr:uid="{00000000-0005-0000-0000-0000602C0000}"/>
    <cellStyle name="40% - Accent1 16 2 3 2" xfId="15113" xr:uid="{00000000-0005-0000-0000-0000612C0000}"/>
    <cellStyle name="40% - Accent1 16 2 3 2 2" xfId="38955" xr:uid="{181B0488-8C22-4C5F-B165-3748A9164E1D}"/>
    <cellStyle name="40% - Accent1 16 2 3 3" xfId="23060" xr:uid="{00000000-0005-0000-0000-0000622C0000}"/>
    <cellStyle name="40% - Accent1 16 2 3 3 2" xfId="46892" xr:uid="{2BAF3631-2A74-4826-B483-2969F52B9540}"/>
    <cellStyle name="40% - Accent1 16 2 3 4" xfId="31014" xr:uid="{388DD64B-C506-43F4-85D1-86F3A8E53484}"/>
    <cellStyle name="40% - Accent1 16 2 4" xfId="11577" xr:uid="{00000000-0005-0000-0000-0000632C0000}"/>
    <cellStyle name="40% - Accent1 16 2 4 2" xfId="35426" xr:uid="{1516234B-CB44-4BEF-9AA4-5BC6755DCC13}"/>
    <cellStyle name="40% - Accent1 16 2 5" xfId="19532" xr:uid="{00000000-0005-0000-0000-0000642C0000}"/>
    <cellStyle name="40% - Accent1 16 2 5 2" xfId="43364" xr:uid="{BAFD9109-A23A-4D63-AACD-437CDDFE50BF}"/>
    <cellStyle name="40% - Accent1 16 2 6" xfId="27484" xr:uid="{14DF08FB-BEFB-48C4-A424-F6CC309BB486}"/>
    <cellStyle name="40% - Accent1 16 2_Exh G" xfId="2724" xr:uid="{00000000-0005-0000-0000-0000652C0000}"/>
    <cellStyle name="40% - Accent1 16 3" xfId="4430" xr:uid="{00000000-0005-0000-0000-0000662C0000}"/>
    <cellStyle name="40% - Accent1 16 3 2" xfId="8022" xr:uid="{00000000-0005-0000-0000-0000672C0000}"/>
    <cellStyle name="40% - Accent1 16 3 2 2" xfId="15993" xr:uid="{00000000-0005-0000-0000-0000682C0000}"/>
    <cellStyle name="40% - Accent1 16 3 2 2 2" xfId="39835" xr:uid="{76F9FDC3-428D-4505-BA8A-F1BCA474EFD4}"/>
    <cellStyle name="40% - Accent1 16 3 2 3" xfId="23939" xr:uid="{00000000-0005-0000-0000-0000692C0000}"/>
    <cellStyle name="40% - Accent1 16 3 2 3 2" xfId="47771" xr:uid="{E1946B75-2B22-4B79-920D-701672505D72}"/>
    <cellStyle name="40% - Accent1 16 3 2 4" xfId="31894" xr:uid="{15735860-4B34-4A1C-95BD-78F126C5BD71}"/>
    <cellStyle name="40% - Accent1 16 3 3" xfId="12455" xr:uid="{00000000-0005-0000-0000-00006A2C0000}"/>
    <cellStyle name="40% - Accent1 16 3 3 2" xfId="36304" xr:uid="{FE58CD97-308E-4379-94C1-C0811BABB086}"/>
    <cellStyle name="40% - Accent1 16 3 4" xfId="20410" xr:uid="{00000000-0005-0000-0000-00006B2C0000}"/>
    <cellStyle name="40% - Accent1 16 3 4 2" xfId="44242" xr:uid="{760FE7AF-AA9C-4E2D-9C63-76E31CF739A8}"/>
    <cellStyle name="40% - Accent1 16 3 5" xfId="28363" xr:uid="{6303C5F3-14B1-428A-92FA-66B630D9E254}"/>
    <cellStyle name="40% - Accent1 16 4" xfId="6260" xr:uid="{00000000-0005-0000-0000-00006C2C0000}"/>
    <cellStyle name="40% - Accent1 16 4 2" xfId="14235" xr:uid="{00000000-0005-0000-0000-00006D2C0000}"/>
    <cellStyle name="40% - Accent1 16 4 2 2" xfId="38077" xr:uid="{F31DF934-7BD8-4DC4-954B-36A90F6D3F59}"/>
    <cellStyle name="40% - Accent1 16 4 3" xfId="22182" xr:uid="{00000000-0005-0000-0000-00006E2C0000}"/>
    <cellStyle name="40% - Accent1 16 4 3 2" xfId="46014" xr:uid="{19D5F308-2A65-45D2-BA27-92CABBAB9782}"/>
    <cellStyle name="40% - Accent1 16 4 4" xfId="30136" xr:uid="{C1EE49B1-FDDD-4588-B10D-CD409EA67CA5}"/>
    <cellStyle name="40% - Accent1 16 5" xfId="9803" xr:uid="{00000000-0005-0000-0000-00006F2C0000}"/>
    <cellStyle name="40% - Accent1 16 5 2" xfId="17761" xr:uid="{00000000-0005-0000-0000-0000702C0000}"/>
    <cellStyle name="40% - Accent1 16 5 2 2" xfId="41601" xr:uid="{D9B9C7A5-9966-4013-9091-F9A790769131}"/>
    <cellStyle name="40% - Accent1 16 5 3" xfId="25705" xr:uid="{00000000-0005-0000-0000-0000712C0000}"/>
    <cellStyle name="40% - Accent1 16 5 3 2" xfId="49537" xr:uid="{56CDD400-1462-4761-8A98-5A30DD595B0F}"/>
    <cellStyle name="40% - Accent1 16 5 4" xfId="33660" xr:uid="{C2040136-54C9-4348-B630-747902CA282D}"/>
    <cellStyle name="40% - Accent1 16 6" xfId="10699" xr:uid="{00000000-0005-0000-0000-0000722C0000}"/>
    <cellStyle name="40% - Accent1 16 6 2" xfId="34548" xr:uid="{9395CB6F-39AF-46E2-A8AC-64EE253BF0F3}"/>
    <cellStyle name="40% - Accent1 16 7" xfId="18654" xr:uid="{00000000-0005-0000-0000-0000732C0000}"/>
    <cellStyle name="40% - Accent1 16 7 2" xfId="42486" xr:uid="{BB338D1B-8588-4F78-B6FF-18B520B13581}"/>
    <cellStyle name="40% - Accent1 16 8" xfId="26606" xr:uid="{93757296-1B7D-4A97-BBCA-7BF3E233B89E}"/>
    <cellStyle name="40% - Accent1 16_Exh G" xfId="2723" xr:uid="{00000000-0005-0000-0000-0000742C0000}"/>
    <cellStyle name="40% - Accent1 17" xfId="49795" xr:uid="{F62B029B-2D75-4EA3-A495-2FD429FA3D0B}"/>
    <cellStyle name="40% - Accent1 2" xfId="350" xr:uid="{00000000-0005-0000-0000-0000752C0000}"/>
    <cellStyle name="40% - Accent1 2 10" xfId="18253" xr:uid="{00000000-0005-0000-0000-0000762C0000}"/>
    <cellStyle name="40% - Accent1 2 10 2" xfId="42085" xr:uid="{977A785D-7E1A-4420-9A37-56574E0845A5}"/>
    <cellStyle name="40% - Accent1 2 11" xfId="26205" xr:uid="{0E1EBE02-0BD4-41C5-B0C1-36196ED8AC60}"/>
    <cellStyle name="40% - Accent1 2 12" xfId="49780" xr:uid="{66CA3E8F-B26B-4EC7-BF6A-1F1190FF6009}"/>
    <cellStyle name="40% - Accent1 2 13" xfId="49808" xr:uid="{A53EC18E-CC7F-4DF8-8627-8B66CCBC3A52}"/>
    <cellStyle name="40% - Accent1 2 2" xfId="351" xr:uid="{00000000-0005-0000-0000-0000772C0000}"/>
    <cellStyle name="40% - Accent1 2 2 10" xfId="26206" xr:uid="{0A10AB0A-3A14-4FC4-83C6-3BF3A9CBA005}"/>
    <cellStyle name="40% - Accent1 2 2 2" xfId="352" xr:uid="{00000000-0005-0000-0000-0000782C0000}"/>
    <cellStyle name="40% - Accent1 2 2 2 2" xfId="1380" xr:uid="{00000000-0005-0000-0000-0000792C0000}"/>
    <cellStyle name="40% - Accent1 2 2 2 2 2" xfId="4910" xr:uid="{00000000-0005-0000-0000-00007A2C0000}"/>
    <cellStyle name="40% - Accent1 2 2 2 2 2 2" xfId="8501" xr:uid="{00000000-0005-0000-0000-00007B2C0000}"/>
    <cellStyle name="40% - Accent1 2 2 2 2 2 2 2" xfId="16472" xr:uid="{00000000-0005-0000-0000-00007C2C0000}"/>
    <cellStyle name="40% - Accent1 2 2 2 2 2 2 2 2" xfId="40314" xr:uid="{73DC8F9D-43EE-4863-B051-0CD679B2D440}"/>
    <cellStyle name="40% - Accent1 2 2 2 2 2 2 3" xfId="24418" xr:uid="{00000000-0005-0000-0000-00007D2C0000}"/>
    <cellStyle name="40% - Accent1 2 2 2 2 2 2 3 2" xfId="48250" xr:uid="{609B6C0F-02F6-4743-AA7A-643F5BCF5D55}"/>
    <cellStyle name="40% - Accent1 2 2 2 2 2 2 4" xfId="32373" xr:uid="{8B5E97B2-B179-4158-9D78-3E1363963983}"/>
    <cellStyle name="40% - Accent1 2 2 2 2 2 3" xfId="12934" xr:uid="{00000000-0005-0000-0000-00007E2C0000}"/>
    <cellStyle name="40% - Accent1 2 2 2 2 2 3 2" xfId="36783" xr:uid="{F7394FB2-AA0B-4B82-A871-0023C5885FCC}"/>
    <cellStyle name="40% - Accent1 2 2 2 2 2 4" xfId="20889" xr:uid="{00000000-0005-0000-0000-00007F2C0000}"/>
    <cellStyle name="40% - Accent1 2 2 2 2 2 4 2" xfId="44721" xr:uid="{A0985960-0589-4939-B507-8553835F61E3}"/>
    <cellStyle name="40% - Accent1 2 2 2 2 2 5" xfId="28842" xr:uid="{CF61C1C8-1BCB-4097-B56D-AD73ACA5BCFE}"/>
    <cellStyle name="40% - Accent1 2 2 2 2 3" xfId="6742" xr:uid="{00000000-0005-0000-0000-0000802C0000}"/>
    <cellStyle name="40% - Accent1 2 2 2 2 3 2" xfId="14714" xr:uid="{00000000-0005-0000-0000-0000812C0000}"/>
    <cellStyle name="40% - Accent1 2 2 2 2 3 2 2" xfId="38556" xr:uid="{AAF99EFC-14A8-4DE7-ABBC-F93ACCBCFA84}"/>
    <cellStyle name="40% - Accent1 2 2 2 2 3 3" xfId="22661" xr:uid="{00000000-0005-0000-0000-0000822C0000}"/>
    <cellStyle name="40% - Accent1 2 2 2 2 3 3 2" xfId="46493" xr:uid="{5E6F2646-8CD3-403D-8B1A-CD018AC21D5E}"/>
    <cellStyle name="40% - Accent1 2 2 2 2 3 4" xfId="30615" xr:uid="{1C032694-F522-4434-B4B2-324AFA85D45E}"/>
    <cellStyle name="40% - Accent1 2 2 2 2 4" xfId="11178" xr:uid="{00000000-0005-0000-0000-0000832C0000}"/>
    <cellStyle name="40% - Accent1 2 2 2 2 4 2" xfId="35027" xr:uid="{49E3AEDE-4255-491A-9067-99ADFEAFE7F8}"/>
    <cellStyle name="40% - Accent1 2 2 2 2 5" xfId="19133" xr:uid="{00000000-0005-0000-0000-0000842C0000}"/>
    <cellStyle name="40% - Accent1 2 2 2 2 5 2" xfId="42965" xr:uid="{8BE7E400-0611-48E1-9A90-2C00DDD011B8}"/>
    <cellStyle name="40% - Accent1 2 2 2 2 6" xfId="27085" xr:uid="{0284CE80-A8FA-4E16-A180-09D811D1205F}"/>
    <cellStyle name="40% - Accent1 2 2 2 2_Exh G" xfId="2728" xr:uid="{00000000-0005-0000-0000-0000852C0000}"/>
    <cellStyle name="40% - Accent1 2 2 2 3" xfId="4031" xr:uid="{00000000-0005-0000-0000-0000862C0000}"/>
    <cellStyle name="40% - Accent1 2 2 2 3 2" xfId="7623" xr:uid="{00000000-0005-0000-0000-0000872C0000}"/>
    <cellStyle name="40% - Accent1 2 2 2 3 2 2" xfId="15594" xr:uid="{00000000-0005-0000-0000-0000882C0000}"/>
    <cellStyle name="40% - Accent1 2 2 2 3 2 2 2" xfId="39436" xr:uid="{63C7BDBC-46D0-407A-B61B-A7E814CCBCA3}"/>
    <cellStyle name="40% - Accent1 2 2 2 3 2 3" xfId="23540" xr:uid="{00000000-0005-0000-0000-0000892C0000}"/>
    <cellStyle name="40% - Accent1 2 2 2 3 2 3 2" xfId="47372" xr:uid="{53AF6A8B-B18D-4434-B212-DDBEF374AC58}"/>
    <cellStyle name="40% - Accent1 2 2 2 3 2 4" xfId="31495" xr:uid="{68318727-33F9-4661-B6B7-BADC011E2A68}"/>
    <cellStyle name="40% - Accent1 2 2 2 3 3" xfId="12056" xr:uid="{00000000-0005-0000-0000-00008A2C0000}"/>
    <cellStyle name="40% - Accent1 2 2 2 3 3 2" xfId="35905" xr:uid="{7CFA1C96-52D3-4505-AD09-E07230AC468C}"/>
    <cellStyle name="40% - Accent1 2 2 2 3 4" xfId="20011" xr:uid="{00000000-0005-0000-0000-00008B2C0000}"/>
    <cellStyle name="40% - Accent1 2 2 2 3 4 2" xfId="43843" xr:uid="{3338609B-1654-4BAF-A6E0-20B51748507D}"/>
    <cellStyle name="40% - Accent1 2 2 2 3 5" xfId="27964" xr:uid="{0F2E3E79-1D71-42E7-9E49-523AD37003C4}"/>
    <cellStyle name="40% - Accent1 2 2 2 4" xfId="5851" xr:uid="{00000000-0005-0000-0000-00008C2C0000}"/>
    <cellStyle name="40% - Accent1 2 2 2 4 2" xfId="13835" xr:uid="{00000000-0005-0000-0000-00008D2C0000}"/>
    <cellStyle name="40% - Accent1 2 2 2 4 2 2" xfId="37678" xr:uid="{AD0FD8DA-3AE1-455F-A46E-63C117E428B4}"/>
    <cellStyle name="40% - Accent1 2 2 2 4 3" xfId="21783" xr:uid="{00000000-0005-0000-0000-00008E2C0000}"/>
    <cellStyle name="40% - Accent1 2 2 2 4 3 2" xfId="45615" xr:uid="{DBE5E248-B6FD-434F-ABB6-A01EA7C3086D}"/>
    <cellStyle name="40% - Accent1 2 2 2 4 4" xfId="29737" xr:uid="{FBD27365-D8AF-49B7-B61F-B5FB92D90EB4}"/>
    <cellStyle name="40% - Accent1 2 2 2 5" xfId="9404" xr:uid="{00000000-0005-0000-0000-00008F2C0000}"/>
    <cellStyle name="40% - Accent1 2 2 2 5 2" xfId="17362" xr:uid="{00000000-0005-0000-0000-0000902C0000}"/>
    <cellStyle name="40% - Accent1 2 2 2 5 2 2" xfId="41202" xr:uid="{5808E865-6DCF-4CBF-BBBF-9A4A7C639EB5}"/>
    <cellStyle name="40% - Accent1 2 2 2 5 3" xfId="25306" xr:uid="{00000000-0005-0000-0000-0000912C0000}"/>
    <cellStyle name="40% - Accent1 2 2 2 5 3 2" xfId="49138" xr:uid="{8E081AEC-D255-4910-A767-711ED9356DFB}"/>
    <cellStyle name="40% - Accent1 2 2 2 5 4" xfId="33261" xr:uid="{6C23E0DD-0A23-4878-8C45-9A1602483715}"/>
    <cellStyle name="40% - Accent1 2 2 2 6" xfId="10300" xr:uid="{00000000-0005-0000-0000-0000922C0000}"/>
    <cellStyle name="40% - Accent1 2 2 2 6 2" xfId="34149" xr:uid="{5328FD38-4A62-410B-B220-54DD361D75D9}"/>
    <cellStyle name="40% - Accent1 2 2 2 7" xfId="18255" xr:uid="{00000000-0005-0000-0000-0000932C0000}"/>
    <cellStyle name="40% - Accent1 2 2 2 7 2" xfId="42087" xr:uid="{E179B083-87FE-4891-A60C-AC96395D2EE1}"/>
    <cellStyle name="40% - Accent1 2 2 2 8" xfId="26207" xr:uid="{9E723558-6757-4FF8-B654-84DBFDCA30CE}"/>
    <cellStyle name="40% - Accent1 2 2 2_Exh G" xfId="2727" xr:uid="{00000000-0005-0000-0000-0000942C0000}"/>
    <cellStyle name="40% - Accent1 2 2 3" xfId="936" xr:uid="{00000000-0005-0000-0000-0000952C0000}"/>
    <cellStyle name="40% - Accent1 2 2 3 2" xfId="1860" xr:uid="{00000000-0005-0000-0000-0000962C0000}"/>
    <cellStyle name="40% - Accent1 2 2 3 2 2" xfId="5378" xr:uid="{00000000-0005-0000-0000-0000972C0000}"/>
    <cellStyle name="40% - Accent1 2 2 3 2 2 2" xfId="8969" xr:uid="{00000000-0005-0000-0000-0000982C0000}"/>
    <cellStyle name="40% - Accent1 2 2 3 2 2 2 2" xfId="16940" xr:uid="{00000000-0005-0000-0000-0000992C0000}"/>
    <cellStyle name="40% - Accent1 2 2 3 2 2 2 2 2" xfId="40782" xr:uid="{15C69D2B-78AC-4D23-9AFE-D513B91983FF}"/>
    <cellStyle name="40% - Accent1 2 2 3 2 2 2 3" xfId="24886" xr:uid="{00000000-0005-0000-0000-00009A2C0000}"/>
    <cellStyle name="40% - Accent1 2 2 3 2 2 2 3 2" xfId="48718" xr:uid="{039F0B0F-E2BE-40E9-9BAF-AB42684D6112}"/>
    <cellStyle name="40% - Accent1 2 2 3 2 2 2 4" xfId="32841" xr:uid="{67425376-C95E-4A34-9B27-469F4166CB15}"/>
    <cellStyle name="40% - Accent1 2 2 3 2 2 3" xfId="13402" xr:uid="{00000000-0005-0000-0000-00009B2C0000}"/>
    <cellStyle name="40% - Accent1 2 2 3 2 2 3 2" xfId="37251" xr:uid="{F9F5C719-745E-40ED-A4A7-64CEBAB09DC7}"/>
    <cellStyle name="40% - Accent1 2 2 3 2 2 4" xfId="21357" xr:uid="{00000000-0005-0000-0000-00009C2C0000}"/>
    <cellStyle name="40% - Accent1 2 2 3 2 2 4 2" xfId="45189" xr:uid="{46FA57D9-2B93-462E-A69D-31C84F014876}"/>
    <cellStyle name="40% - Accent1 2 2 3 2 2 5" xfId="29310" xr:uid="{0C9F0C35-1A91-451F-A549-B0D5D4F136EB}"/>
    <cellStyle name="40% - Accent1 2 2 3 2 3" xfId="7210" xr:uid="{00000000-0005-0000-0000-00009D2C0000}"/>
    <cellStyle name="40% - Accent1 2 2 3 2 3 2" xfId="15182" xr:uid="{00000000-0005-0000-0000-00009E2C0000}"/>
    <cellStyle name="40% - Accent1 2 2 3 2 3 2 2" xfId="39024" xr:uid="{2CE79B7C-77F6-4E2F-97DB-1663DD9A9990}"/>
    <cellStyle name="40% - Accent1 2 2 3 2 3 3" xfId="23129" xr:uid="{00000000-0005-0000-0000-00009F2C0000}"/>
    <cellStyle name="40% - Accent1 2 2 3 2 3 3 2" xfId="46961" xr:uid="{65298026-349D-48DA-AEA8-011FC29016DF}"/>
    <cellStyle name="40% - Accent1 2 2 3 2 3 4" xfId="31083" xr:uid="{9456E5B2-9A4B-4592-B99D-3DBC11622587}"/>
    <cellStyle name="40% - Accent1 2 2 3 2 4" xfId="11646" xr:uid="{00000000-0005-0000-0000-0000A02C0000}"/>
    <cellStyle name="40% - Accent1 2 2 3 2 4 2" xfId="35495" xr:uid="{6E55C69F-1634-47D5-A24B-E41922C1D6F5}"/>
    <cellStyle name="40% - Accent1 2 2 3 2 5" xfId="19601" xr:uid="{00000000-0005-0000-0000-0000A12C0000}"/>
    <cellStyle name="40% - Accent1 2 2 3 2 5 2" xfId="43433" xr:uid="{F00EB269-7251-4A18-81D5-17378E74F437}"/>
    <cellStyle name="40% - Accent1 2 2 3 2 6" xfId="27553" xr:uid="{C197DF5A-1D7D-44B7-BEC8-EB47401EBD3D}"/>
    <cellStyle name="40% - Accent1 2 2 3 2_Exh G" xfId="2730" xr:uid="{00000000-0005-0000-0000-0000A22C0000}"/>
    <cellStyle name="40% - Accent1 2 2 3 3" xfId="4499" xr:uid="{00000000-0005-0000-0000-0000A32C0000}"/>
    <cellStyle name="40% - Accent1 2 2 3 3 2" xfId="8091" xr:uid="{00000000-0005-0000-0000-0000A42C0000}"/>
    <cellStyle name="40% - Accent1 2 2 3 3 2 2" xfId="16062" xr:uid="{00000000-0005-0000-0000-0000A52C0000}"/>
    <cellStyle name="40% - Accent1 2 2 3 3 2 2 2" xfId="39904" xr:uid="{6F0D5655-87EA-449E-9115-3F4C00493823}"/>
    <cellStyle name="40% - Accent1 2 2 3 3 2 3" xfId="24008" xr:uid="{00000000-0005-0000-0000-0000A62C0000}"/>
    <cellStyle name="40% - Accent1 2 2 3 3 2 3 2" xfId="47840" xr:uid="{E0A2C749-1B1B-4252-AAE2-DA90B9039D17}"/>
    <cellStyle name="40% - Accent1 2 2 3 3 2 4" xfId="31963" xr:uid="{43A50C59-F4CB-43A7-809D-5C402294D968}"/>
    <cellStyle name="40% - Accent1 2 2 3 3 3" xfId="12524" xr:uid="{00000000-0005-0000-0000-0000A72C0000}"/>
    <cellStyle name="40% - Accent1 2 2 3 3 3 2" xfId="36373" xr:uid="{2A39C872-F05C-46AA-A8D8-A265A81235ED}"/>
    <cellStyle name="40% - Accent1 2 2 3 3 4" xfId="20479" xr:uid="{00000000-0005-0000-0000-0000A82C0000}"/>
    <cellStyle name="40% - Accent1 2 2 3 3 4 2" xfId="44311" xr:uid="{C028AA8E-DDF4-4E8C-940B-B908D79D6B13}"/>
    <cellStyle name="40% - Accent1 2 2 3 3 5" xfId="28432" xr:uid="{D1E05FD3-AF8C-456D-8346-01B1A083F685}"/>
    <cellStyle name="40% - Accent1 2 2 3 4" xfId="6329" xr:uid="{00000000-0005-0000-0000-0000A92C0000}"/>
    <cellStyle name="40% - Accent1 2 2 3 4 2" xfId="14304" xr:uid="{00000000-0005-0000-0000-0000AA2C0000}"/>
    <cellStyle name="40% - Accent1 2 2 3 4 2 2" xfId="38146" xr:uid="{E4D871E8-3A49-42DF-A92C-F8F0CD564831}"/>
    <cellStyle name="40% - Accent1 2 2 3 4 3" xfId="22251" xr:uid="{00000000-0005-0000-0000-0000AB2C0000}"/>
    <cellStyle name="40% - Accent1 2 2 3 4 3 2" xfId="46083" xr:uid="{C777410C-E9B4-4C84-ACBB-D1B4FCB3A4E0}"/>
    <cellStyle name="40% - Accent1 2 2 3 4 4" xfId="30205" xr:uid="{382517D4-B22A-45E1-9774-EC414D2E6E5D}"/>
    <cellStyle name="40% - Accent1 2 2 3 5" xfId="9872" xr:uid="{00000000-0005-0000-0000-0000AC2C0000}"/>
    <cellStyle name="40% - Accent1 2 2 3 5 2" xfId="17830" xr:uid="{00000000-0005-0000-0000-0000AD2C0000}"/>
    <cellStyle name="40% - Accent1 2 2 3 5 2 2" xfId="41670" xr:uid="{28AC4830-8C47-4D15-9C1D-70EC0C88731D}"/>
    <cellStyle name="40% - Accent1 2 2 3 5 3" xfId="25774" xr:uid="{00000000-0005-0000-0000-0000AE2C0000}"/>
    <cellStyle name="40% - Accent1 2 2 3 5 3 2" xfId="49606" xr:uid="{B533BB4B-67B5-44E3-84CD-5B4CC7AD6376}"/>
    <cellStyle name="40% - Accent1 2 2 3 5 4" xfId="33729" xr:uid="{3AD98191-B249-4C17-A562-2582C03686EA}"/>
    <cellStyle name="40% - Accent1 2 2 3 6" xfId="10768" xr:uid="{00000000-0005-0000-0000-0000AF2C0000}"/>
    <cellStyle name="40% - Accent1 2 2 3 6 2" xfId="34617" xr:uid="{C67CF8C9-8D3C-4B92-B7F0-D2D9C2AD45E9}"/>
    <cellStyle name="40% - Accent1 2 2 3 7" xfId="18723" xr:uid="{00000000-0005-0000-0000-0000B02C0000}"/>
    <cellStyle name="40% - Accent1 2 2 3 7 2" xfId="42555" xr:uid="{E75C1605-18EF-421B-A0A8-1FFB7140EF72}"/>
    <cellStyle name="40% - Accent1 2 2 3 8" xfId="26675" xr:uid="{614F831D-5383-4317-AAA9-049DD108E6CC}"/>
    <cellStyle name="40% - Accent1 2 2 3_Exh G" xfId="2729" xr:uid="{00000000-0005-0000-0000-0000B12C0000}"/>
    <cellStyle name="40% - Accent1 2 2 4" xfId="1379" xr:uid="{00000000-0005-0000-0000-0000B22C0000}"/>
    <cellStyle name="40% - Accent1 2 2 4 2" xfId="4909" xr:uid="{00000000-0005-0000-0000-0000B32C0000}"/>
    <cellStyle name="40% - Accent1 2 2 4 2 2" xfId="8500" xr:uid="{00000000-0005-0000-0000-0000B42C0000}"/>
    <cellStyle name="40% - Accent1 2 2 4 2 2 2" xfId="16471" xr:uid="{00000000-0005-0000-0000-0000B52C0000}"/>
    <cellStyle name="40% - Accent1 2 2 4 2 2 2 2" xfId="40313" xr:uid="{4BF54455-5F3E-4760-ACDD-D25CA2B1CB13}"/>
    <cellStyle name="40% - Accent1 2 2 4 2 2 3" xfId="24417" xr:uid="{00000000-0005-0000-0000-0000B62C0000}"/>
    <cellStyle name="40% - Accent1 2 2 4 2 2 3 2" xfId="48249" xr:uid="{77949361-AA27-4F0D-9790-BBA17FFE3984}"/>
    <cellStyle name="40% - Accent1 2 2 4 2 2 4" xfId="32372" xr:uid="{CA307BA6-4D4E-4665-95B2-01B448330ADB}"/>
    <cellStyle name="40% - Accent1 2 2 4 2 3" xfId="12933" xr:uid="{00000000-0005-0000-0000-0000B72C0000}"/>
    <cellStyle name="40% - Accent1 2 2 4 2 3 2" xfId="36782" xr:uid="{423081FC-47A4-4FCF-8133-B2F3750EADCE}"/>
    <cellStyle name="40% - Accent1 2 2 4 2 4" xfId="20888" xr:uid="{00000000-0005-0000-0000-0000B82C0000}"/>
    <cellStyle name="40% - Accent1 2 2 4 2 4 2" xfId="44720" xr:uid="{344BC026-D3DB-456A-B2F3-91528EC4752B}"/>
    <cellStyle name="40% - Accent1 2 2 4 2 5" xfId="28841" xr:uid="{2224D63E-658F-4169-A496-9FD4772157B8}"/>
    <cellStyle name="40% - Accent1 2 2 4 3" xfId="6741" xr:uid="{00000000-0005-0000-0000-0000B92C0000}"/>
    <cellStyle name="40% - Accent1 2 2 4 3 2" xfId="14713" xr:uid="{00000000-0005-0000-0000-0000BA2C0000}"/>
    <cellStyle name="40% - Accent1 2 2 4 3 2 2" xfId="38555" xr:uid="{EF2EFAF5-5EC9-4B8E-8DBE-54EB2FA7E59E}"/>
    <cellStyle name="40% - Accent1 2 2 4 3 3" xfId="22660" xr:uid="{00000000-0005-0000-0000-0000BB2C0000}"/>
    <cellStyle name="40% - Accent1 2 2 4 3 3 2" xfId="46492" xr:uid="{DB4BEFE8-9081-476B-A8FF-33A4553A914A}"/>
    <cellStyle name="40% - Accent1 2 2 4 3 4" xfId="30614" xr:uid="{45F5C74C-6060-4E53-8A3E-89260327CF62}"/>
    <cellStyle name="40% - Accent1 2 2 4 4" xfId="11177" xr:uid="{00000000-0005-0000-0000-0000BC2C0000}"/>
    <cellStyle name="40% - Accent1 2 2 4 4 2" xfId="35026" xr:uid="{DF9DAB48-CBE0-4BE5-BE75-3D1FAC954F6B}"/>
    <cellStyle name="40% - Accent1 2 2 4 5" xfId="19132" xr:uid="{00000000-0005-0000-0000-0000BD2C0000}"/>
    <cellStyle name="40% - Accent1 2 2 4 5 2" xfId="42964" xr:uid="{4953AAE8-A257-4F1D-890C-A79BC3CDD497}"/>
    <cellStyle name="40% - Accent1 2 2 4 6" xfId="27084" xr:uid="{D95B14F9-C74F-4058-B498-3CD9CE7A76AF}"/>
    <cellStyle name="40% - Accent1 2 2 4_Exh G" xfId="2731" xr:uid="{00000000-0005-0000-0000-0000BE2C0000}"/>
    <cellStyle name="40% - Accent1 2 2 5" xfId="4030" xr:uid="{00000000-0005-0000-0000-0000BF2C0000}"/>
    <cellStyle name="40% - Accent1 2 2 5 2" xfId="7622" xr:uid="{00000000-0005-0000-0000-0000C02C0000}"/>
    <cellStyle name="40% - Accent1 2 2 5 2 2" xfId="15593" xr:uid="{00000000-0005-0000-0000-0000C12C0000}"/>
    <cellStyle name="40% - Accent1 2 2 5 2 2 2" xfId="39435" xr:uid="{A164E0E7-4003-4900-8CB6-CB21B869BA53}"/>
    <cellStyle name="40% - Accent1 2 2 5 2 3" xfId="23539" xr:uid="{00000000-0005-0000-0000-0000C22C0000}"/>
    <cellStyle name="40% - Accent1 2 2 5 2 3 2" xfId="47371" xr:uid="{BA5A37CD-B9FB-4506-AF7D-3235E0EA5FE2}"/>
    <cellStyle name="40% - Accent1 2 2 5 2 4" xfId="31494" xr:uid="{645AE1CC-A63F-411C-8C54-889B58992848}"/>
    <cellStyle name="40% - Accent1 2 2 5 3" xfId="12055" xr:uid="{00000000-0005-0000-0000-0000C32C0000}"/>
    <cellStyle name="40% - Accent1 2 2 5 3 2" xfId="35904" xr:uid="{731929CF-9A2A-4609-B3E7-E112E7F4DCD6}"/>
    <cellStyle name="40% - Accent1 2 2 5 4" xfId="20010" xr:uid="{00000000-0005-0000-0000-0000C42C0000}"/>
    <cellStyle name="40% - Accent1 2 2 5 4 2" xfId="43842" xr:uid="{100E1568-8F7A-419C-B258-AA345BACB3EF}"/>
    <cellStyle name="40% - Accent1 2 2 5 5" xfId="27963" xr:uid="{31DED3D8-1D5E-4ADE-9557-DAC1F73F99C5}"/>
    <cellStyle name="40% - Accent1 2 2 6" xfId="5850" xr:uid="{00000000-0005-0000-0000-0000C52C0000}"/>
    <cellStyle name="40% - Accent1 2 2 6 2" xfId="13834" xr:uid="{00000000-0005-0000-0000-0000C62C0000}"/>
    <cellStyle name="40% - Accent1 2 2 6 2 2" xfId="37677" xr:uid="{C7C4BC27-C8E9-43DA-BB16-304E8D8F67D9}"/>
    <cellStyle name="40% - Accent1 2 2 6 3" xfId="21782" xr:uid="{00000000-0005-0000-0000-0000C72C0000}"/>
    <cellStyle name="40% - Accent1 2 2 6 3 2" xfId="45614" xr:uid="{3564730E-FBA5-4024-9BCA-A4D6BAFF5700}"/>
    <cellStyle name="40% - Accent1 2 2 6 4" xfId="29736" xr:uid="{7D639023-78C7-464C-B327-0702B8E195E5}"/>
    <cellStyle name="40% - Accent1 2 2 7" xfId="9403" xr:uid="{00000000-0005-0000-0000-0000C82C0000}"/>
    <cellStyle name="40% - Accent1 2 2 7 2" xfId="17361" xr:uid="{00000000-0005-0000-0000-0000C92C0000}"/>
    <cellStyle name="40% - Accent1 2 2 7 2 2" xfId="41201" xr:uid="{F071217C-9C56-41E6-9C04-32EE34787C3B}"/>
    <cellStyle name="40% - Accent1 2 2 7 3" xfId="25305" xr:uid="{00000000-0005-0000-0000-0000CA2C0000}"/>
    <cellStyle name="40% - Accent1 2 2 7 3 2" xfId="49137" xr:uid="{9E23E0EC-72F4-4748-A75E-51FBF6BD6658}"/>
    <cellStyle name="40% - Accent1 2 2 7 4" xfId="33260" xr:uid="{24595C46-9E0B-42D3-B7B6-D7359349BE73}"/>
    <cellStyle name="40% - Accent1 2 2 8" xfId="10299" xr:uid="{00000000-0005-0000-0000-0000CB2C0000}"/>
    <cellStyle name="40% - Accent1 2 2 8 2" xfId="34148" xr:uid="{D00B3D6A-4729-4416-B559-549DE79DF24C}"/>
    <cellStyle name="40% - Accent1 2 2 9" xfId="18254" xr:uid="{00000000-0005-0000-0000-0000CC2C0000}"/>
    <cellStyle name="40% - Accent1 2 2 9 2" xfId="42086" xr:uid="{95D3C290-F605-469B-88D9-075C21F70EDF}"/>
    <cellStyle name="40% - Accent1 2 2_Exh G" xfId="2726" xr:uid="{00000000-0005-0000-0000-0000CD2C0000}"/>
    <cellStyle name="40% - Accent1 2 3" xfId="353" xr:uid="{00000000-0005-0000-0000-0000CE2C0000}"/>
    <cellStyle name="40% - Accent1 2 3 2" xfId="1381" xr:uid="{00000000-0005-0000-0000-0000CF2C0000}"/>
    <cellStyle name="40% - Accent1 2 3 2 2" xfId="4911" xr:uid="{00000000-0005-0000-0000-0000D02C0000}"/>
    <cellStyle name="40% - Accent1 2 3 2 2 2" xfId="8502" xr:uid="{00000000-0005-0000-0000-0000D12C0000}"/>
    <cellStyle name="40% - Accent1 2 3 2 2 2 2" xfId="16473" xr:uid="{00000000-0005-0000-0000-0000D22C0000}"/>
    <cellStyle name="40% - Accent1 2 3 2 2 2 2 2" xfId="40315" xr:uid="{4AC5A39D-CCD1-49CE-BD7F-F111F02C9247}"/>
    <cellStyle name="40% - Accent1 2 3 2 2 2 3" xfId="24419" xr:uid="{00000000-0005-0000-0000-0000D32C0000}"/>
    <cellStyle name="40% - Accent1 2 3 2 2 2 3 2" xfId="48251" xr:uid="{4D6CFA55-217E-4B03-BEFA-23D6205012E4}"/>
    <cellStyle name="40% - Accent1 2 3 2 2 2 4" xfId="32374" xr:uid="{47ABF898-3DFE-41C5-A405-23AF8A80DF5B}"/>
    <cellStyle name="40% - Accent1 2 3 2 2 3" xfId="12935" xr:uid="{00000000-0005-0000-0000-0000D42C0000}"/>
    <cellStyle name="40% - Accent1 2 3 2 2 3 2" xfId="36784" xr:uid="{FFAEA65E-CF18-4BA4-992A-00B2651F94A1}"/>
    <cellStyle name="40% - Accent1 2 3 2 2 4" xfId="20890" xr:uid="{00000000-0005-0000-0000-0000D52C0000}"/>
    <cellStyle name="40% - Accent1 2 3 2 2 4 2" xfId="44722" xr:uid="{800E9F0E-A474-421F-8FBC-0BB27C22EC44}"/>
    <cellStyle name="40% - Accent1 2 3 2 2 5" xfId="28843" xr:uid="{5D3129B5-FED4-4181-93A4-1E7C4807809F}"/>
    <cellStyle name="40% - Accent1 2 3 2 3" xfId="6743" xr:uid="{00000000-0005-0000-0000-0000D62C0000}"/>
    <cellStyle name="40% - Accent1 2 3 2 3 2" xfId="14715" xr:uid="{00000000-0005-0000-0000-0000D72C0000}"/>
    <cellStyle name="40% - Accent1 2 3 2 3 2 2" xfId="38557" xr:uid="{A2DCBEA8-CF83-44B2-A466-2A2A32622394}"/>
    <cellStyle name="40% - Accent1 2 3 2 3 3" xfId="22662" xr:uid="{00000000-0005-0000-0000-0000D82C0000}"/>
    <cellStyle name="40% - Accent1 2 3 2 3 3 2" xfId="46494" xr:uid="{82AFC694-C51A-44CE-A307-346459974571}"/>
    <cellStyle name="40% - Accent1 2 3 2 3 4" xfId="30616" xr:uid="{61F3638A-7158-440F-9180-6387E3AC084C}"/>
    <cellStyle name="40% - Accent1 2 3 2 4" xfId="11179" xr:uid="{00000000-0005-0000-0000-0000D92C0000}"/>
    <cellStyle name="40% - Accent1 2 3 2 4 2" xfId="35028" xr:uid="{17EFE260-7258-432E-A585-F09C4F87D4D2}"/>
    <cellStyle name="40% - Accent1 2 3 2 5" xfId="19134" xr:uid="{00000000-0005-0000-0000-0000DA2C0000}"/>
    <cellStyle name="40% - Accent1 2 3 2 5 2" xfId="42966" xr:uid="{3A17A93B-466B-4DE5-B7DE-C9C5F4A8EDC7}"/>
    <cellStyle name="40% - Accent1 2 3 2 6" xfId="27086" xr:uid="{439B6B20-5785-4A04-898A-2BDB922BEE5A}"/>
    <cellStyle name="40% - Accent1 2 3 2_Exh G" xfId="2733" xr:uid="{00000000-0005-0000-0000-0000DB2C0000}"/>
    <cellStyle name="40% - Accent1 2 3 3" xfId="4032" xr:uid="{00000000-0005-0000-0000-0000DC2C0000}"/>
    <cellStyle name="40% - Accent1 2 3 3 2" xfId="7624" xr:uid="{00000000-0005-0000-0000-0000DD2C0000}"/>
    <cellStyle name="40% - Accent1 2 3 3 2 2" xfId="15595" xr:uid="{00000000-0005-0000-0000-0000DE2C0000}"/>
    <cellStyle name="40% - Accent1 2 3 3 2 2 2" xfId="39437" xr:uid="{56DD4A44-CEC1-427B-8D6D-CC36DE74B5E0}"/>
    <cellStyle name="40% - Accent1 2 3 3 2 3" xfId="23541" xr:uid="{00000000-0005-0000-0000-0000DF2C0000}"/>
    <cellStyle name="40% - Accent1 2 3 3 2 3 2" xfId="47373" xr:uid="{E2EDE807-DB96-41C4-A7DB-B6EF9A0F1A5B}"/>
    <cellStyle name="40% - Accent1 2 3 3 2 4" xfId="31496" xr:uid="{B9BFB996-C473-4BAA-9608-4B88D6B1B538}"/>
    <cellStyle name="40% - Accent1 2 3 3 3" xfId="12057" xr:uid="{00000000-0005-0000-0000-0000E02C0000}"/>
    <cellStyle name="40% - Accent1 2 3 3 3 2" xfId="35906" xr:uid="{1CA11FD2-503E-4556-82E9-16563AE323E1}"/>
    <cellStyle name="40% - Accent1 2 3 3 4" xfId="20012" xr:uid="{00000000-0005-0000-0000-0000E12C0000}"/>
    <cellStyle name="40% - Accent1 2 3 3 4 2" xfId="43844" xr:uid="{B0631AD2-6FD1-4A57-A11F-41F4ED1378ED}"/>
    <cellStyle name="40% - Accent1 2 3 3 5" xfId="27965" xr:uid="{AF5E5581-3248-4DDC-80E4-C4C8A88F4681}"/>
    <cellStyle name="40% - Accent1 2 3 4" xfId="5852" xr:uid="{00000000-0005-0000-0000-0000E22C0000}"/>
    <cellStyle name="40% - Accent1 2 3 4 2" xfId="13836" xr:uid="{00000000-0005-0000-0000-0000E32C0000}"/>
    <cellStyle name="40% - Accent1 2 3 4 2 2" xfId="37679" xr:uid="{C0B27A94-24FF-4BA8-9DBC-EC3A96717CB6}"/>
    <cellStyle name="40% - Accent1 2 3 4 3" xfId="21784" xr:uid="{00000000-0005-0000-0000-0000E42C0000}"/>
    <cellStyle name="40% - Accent1 2 3 4 3 2" xfId="45616" xr:uid="{9B3F45A9-C6B8-4983-BD00-A2AF887D86A8}"/>
    <cellStyle name="40% - Accent1 2 3 4 4" xfId="29738" xr:uid="{FB740005-0D37-4533-BFEA-92888D295D8D}"/>
    <cellStyle name="40% - Accent1 2 3 5" xfId="9405" xr:uid="{00000000-0005-0000-0000-0000E52C0000}"/>
    <cellStyle name="40% - Accent1 2 3 5 2" xfId="17363" xr:uid="{00000000-0005-0000-0000-0000E62C0000}"/>
    <cellStyle name="40% - Accent1 2 3 5 2 2" xfId="41203" xr:uid="{7F65118C-23EB-4D17-B5C1-DDC5E5A6101C}"/>
    <cellStyle name="40% - Accent1 2 3 5 3" xfId="25307" xr:uid="{00000000-0005-0000-0000-0000E72C0000}"/>
    <cellStyle name="40% - Accent1 2 3 5 3 2" xfId="49139" xr:uid="{6524D961-FB1A-49DB-A1ED-6B72689D20EF}"/>
    <cellStyle name="40% - Accent1 2 3 5 4" xfId="33262" xr:uid="{CB185479-B5FE-4F80-9C4A-3D0E530AEE97}"/>
    <cellStyle name="40% - Accent1 2 3 6" xfId="10301" xr:uid="{00000000-0005-0000-0000-0000E82C0000}"/>
    <cellStyle name="40% - Accent1 2 3 6 2" xfId="34150" xr:uid="{842DCBD2-DE86-4166-A753-59680648CD62}"/>
    <cellStyle name="40% - Accent1 2 3 7" xfId="18256" xr:uid="{00000000-0005-0000-0000-0000E92C0000}"/>
    <cellStyle name="40% - Accent1 2 3 7 2" xfId="42088" xr:uid="{832354F9-5CB6-4A17-AB3F-5F4F5B7A7A6B}"/>
    <cellStyle name="40% - Accent1 2 3 8" xfId="26208" xr:uid="{82C4D182-E95A-4227-B298-0165B19EFE69}"/>
    <cellStyle name="40% - Accent1 2 3_Exh G" xfId="2732" xr:uid="{00000000-0005-0000-0000-0000EA2C0000}"/>
    <cellStyle name="40% - Accent1 2 4" xfId="935" xr:uid="{00000000-0005-0000-0000-0000EB2C0000}"/>
    <cellStyle name="40% - Accent1 2 4 2" xfId="1859" xr:uid="{00000000-0005-0000-0000-0000EC2C0000}"/>
    <cellStyle name="40% - Accent1 2 4 2 2" xfId="5377" xr:uid="{00000000-0005-0000-0000-0000ED2C0000}"/>
    <cellStyle name="40% - Accent1 2 4 2 2 2" xfId="8968" xr:uid="{00000000-0005-0000-0000-0000EE2C0000}"/>
    <cellStyle name="40% - Accent1 2 4 2 2 2 2" xfId="16939" xr:uid="{00000000-0005-0000-0000-0000EF2C0000}"/>
    <cellStyle name="40% - Accent1 2 4 2 2 2 2 2" xfId="40781" xr:uid="{E2805DD0-D875-40B3-BF73-32280A812AFC}"/>
    <cellStyle name="40% - Accent1 2 4 2 2 2 3" xfId="24885" xr:uid="{00000000-0005-0000-0000-0000F02C0000}"/>
    <cellStyle name="40% - Accent1 2 4 2 2 2 3 2" xfId="48717" xr:uid="{C195C0DB-5D42-4A2A-AACD-544AFDD5C4CF}"/>
    <cellStyle name="40% - Accent1 2 4 2 2 2 4" xfId="32840" xr:uid="{AC895517-82EF-4642-912C-C1C46EF23E09}"/>
    <cellStyle name="40% - Accent1 2 4 2 2 3" xfId="13401" xr:uid="{00000000-0005-0000-0000-0000F12C0000}"/>
    <cellStyle name="40% - Accent1 2 4 2 2 3 2" xfId="37250" xr:uid="{A3697657-0A53-4B46-A025-B5CDB51384ED}"/>
    <cellStyle name="40% - Accent1 2 4 2 2 4" xfId="21356" xr:uid="{00000000-0005-0000-0000-0000F22C0000}"/>
    <cellStyle name="40% - Accent1 2 4 2 2 4 2" xfId="45188" xr:uid="{338650BC-75D9-4F64-B88B-06EF92EC38E3}"/>
    <cellStyle name="40% - Accent1 2 4 2 2 5" xfId="29309" xr:uid="{F5B1FAFD-017E-4C5D-9DEE-17C87094B1BB}"/>
    <cellStyle name="40% - Accent1 2 4 2 3" xfId="7209" xr:uid="{00000000-0005-0000-0000-0000F32C0000}"/>
    <cellStyle name="40% - Accent1 2 4 2 3 2" xfId="15181" xr:uid="{00000000-0005-0000-0000-0000F42C0000}"/>
    <cellStyle name="40% - Accent1 2 4 2 3 2 2" xfId="39023" xr:uid="{6B3AEA35-CADC-4B6F-8C80-01781D86B410}"/>
    <cellStyle name="40% - Accent1 2 4 2 3 3" xfId="23128" xr:uid="{00000000-0005-0000-0000-0000F52C0000}"/>
    <cellStyle name="40% - Accent1 2 4 2 3 3 2" xfId="46960" xr:uid="{9EA6AC17-90EB-48C6-BD5A-9B6937841F89}"/>
    <cellStyle name="40% - Accent1 2 4 2 3 4" xfId="31082" xr:uid="{D113E044-F1A6-40D2-915B-0A6D6A04F0E6}"/>
    <cellStyle name="40% - Accent1 2 4 2 4" xfId="11645" xr:uid="{00000000-0005-0000-0000-0000F62C0000}"/>
    <cellStyle name="40% - Accent1 2 4 2 4 2" xfId="35494" xr:uid="{4660386E-F682-409B-8A73-622D7308067B}"/>
    <cellStyle name="40% - Accent1 2 4 2 5" xfId="19600" xr:uid="{00000000-0005-0000-0000-0000F72C0000}"/>
    <cellStyle name="40% - Accent1 2 4 2 5 2" xfId="43432" xr:uid="{6C189DFC-C655-4883-A281-86216C2AF2E3}"/>
    <cellStyle name="40% - Accent1 2 4 2 6" xfId="27552" xr:uid="{104D462D-DFBB-4AF8-8A6A-19DBE29BBF46}"/>
    <cellStyle name="40% - Accent1 2 4 2_Exh G" xfId="2735" xr:uid="{00000000-0005-0000-0000-0000F82C0000}"/>
    <cellStyle name="40% - Accent1 2 4 3" xfId="4498" xr:uid="{00000000-0005-0000-0000-0000F92C0000}"/>
    <cellStyle name="40% - Accent1 2 4 3 2" xfId="8090" xr:uid="{00000000-0005-0000-0000-0000FA2C0000}"/>
    <cellStyle name="40% - Accent1 2 4 3 2 2" xfId="16061" xr:uid="{00000000-0005-0000-0000-0000FB2C0000}"/>
    <cellStyle name="40% - Accent1 2 4 3 2 2 2" xfId="39903" xr:uid="{4CC5670A-CABE-497B-A6F9-4782F26EDD43}"/>
    <cellStyle name="40% - Accent1 2 4 3 2 3" xfId="24007" xr:uid="{00000000-0005-0000-0000-0000FC2C0000}"/>
    <cellStyle name="40% - Accent1 2 4 3 2 3 2" xfId="47839" xr:uid="{9ADEFC88-6287-4D09-8F23-6BAA8C80B732}"/>
    <cellStyle name="40% - Accent1 2 4 3 2 4" xfId="31962" xr:uid="{5C43613E-5674-4463-981F-A9AA4F11FE1E}"/>
    <cellStyle name="40% - Accent1 2 4 3 3" xfId="12523" xr:uid="{00000000-0005-0000-0000-0000FD2C0000}"/>
    <cellStyle name="40% - Accent1 2 4 3 3 2" xfId="36372" xr:uid="{33096C8B-5706-4468-86CA-7069AB58F090}"/>
    <cellStyle name="40% - Accent1 2 4 3 4" xfId="20478" xr:uid="{00000000-0005-0000-0000-0000FE2C0000}"/>
    <cellStyle name="40% - Accent1 2 4 3 4 2" xfId="44310" xr:uid="{D09BF769-2839-492F-A660-3E5D9BA1B09B}"/>
    <cellStyle name="40% - Accent1 2 4 3 5" xfId="28431" xr:uid="{A0BC90DF-81B5-42A0-BFDD-16F9BAC19644}"/>
    <cellStyle name="40% - Accent1 2 4 4" xfId="6328" xr:uid="{00000000-0005-0000-0000-0000FF2C0000}"/>
    <cellStyle name="40% - Accent1 2 4 4 2" xfId="14303" xr:uid="{00000000-0005-0000-0000-0000002D0000}"/>
    <cellStyle name="40% - Accent1 2 4 4 2 2" xfId="38145" xr:uid="{7D640BFB-5485-46BA-86DF-4F8B25C549E5}"/>
    <cellStyle name="40% - Accent1 2 4 4 3" xfId="22250" xr:uid="{00000000-0005-0000-0000-0000012D0000}"/>
    <cellStyle name="40% - Accent1 2 4 4 3 2" xfId="46082" xr:uid="{2E67F8FA-A1DD-490E-8EA8-A224B7E953A0}"/>
    <cellStyle name="40% - Accent1 2 4 4 4" xfId="30204" xr:uid="{AEABD62A-FF14-4816-83A7-0B7F3568CA46}"/>
    <cellStyle name="40% - Accent1 2 4 5" xfId="9871" xr:uid="{00000000-0005-0000-0000-0000022D0000}"/>
    <cellStyle name="40% - Accent1 2 4 5 2" xfId="17829" xr:uid="{00000000-0005-0000-0000-0000032D0000}"/>
    <cellStyle name="40% - Accent1 2 4 5 2 2" xfId="41669" xr:uid="{9EA3B90F-9B56-4E0D-9937-3C4E663D1AB9}"/>
    <cellStyle name="40% - Accent1 2 4 5 3" xfId="25773" xr:uid="{00000000-0005-0000-0000-0000042D0000}"/>
    <cellStyle name="40% - Accent1 2 4 5 3 2" xfId="49605" xr:uid="{FEC2F1B7-1368-4B40-9098-E0408BBD2C55}"/>
    <cellStyle name="40% - Accent1 2 4 5 4" xfId="33728" xr:uid="{E74E56E1-A150-456B-9362-7FF9AE7811C8}"/>
    <cellStyle name="40% - Accent1 2 4 6" xfId="10767" xr:uid="{00000000-0005-0000-0000-0000052D0000}"/>
    <cellStyle name="40% - Accent1 2 4 6 2" xfId="34616" xr:uid="{D38C5D60-780B-43DD-984D-A31C134B2EBA}"/>
    <cellStyle name="40% - Accent1 2 4 7" xfId="18722" xr:uid="{00000000-0005-0000-0000-0000062D0000}"/>
    <cellStyle name="40% - Accent1 2 4 7 2" xfId="42554" xr:uid="{F4D4B247-BBFF-4CEA-9E7D-43C9EA99A49B}"/>
    <cellStyle name="40% - Accent1 2 4 8" xfId="26674" xr:uid="{DF807AC7-99FD-4FDB-8120-30FC3297EA11}"/>
    <cellStyle name="40% - Accent1 2 4_Exh G" xfId="2734" xr:uid="{00000000-0005-0000-0000-0000072D0000}"/>
    <cellStyle name="40% - Accent1 2 5" xfId="1378" xr:uid="{00000000-0005-0000-0000-0000082D0000}"/>
    <cellStyle name="40% - Accent1 2 5 2" xfId="4908" xr:uid="{00000000-0005-0000-0000-0000092D0000}"/>
    <cellStyle name="40% - Accent1 2 5 2 2" xfId="8499" xr:uid="{00000000-0005-0000-0000-00000A2D0000}"/>
    <cellStyle name="40% - Accent1 2 5 2 2 2" xfId="16470" xr:uid="{00000000-0005-0000-0000-00000B2D0000}"/>
    <cellStyle name="40% - Accent1 2 5 2 2 2 2" xfId="40312" xr:uid="{74A3950C-FBE9-4573-95E1-1228E5AEDEB8}"/>
    <cellStyle name="40% - Accent1 2 5 2 2 3" xfId="24416" xr:uid="{00000000-0005-0000-0000-00000C2D0000}"/>
    <cellStyle name="40% - Accent1 2 5 2 2 3 2" xfId="48248" xr:uid="{BAAF404A-3C6B-4D6E-A137-C70453F01DC6}"/>
    <cellStyle name="40% - Accent1 2 5 2 2 4" xfId="32371" xr:uid="{014AB447-6EF0-46A3-8C30-D5D53040C517}"/>
    <cellStyle name="40% - Accent1 2 5 2 3" xfId="12932" xr:uid="{00000000-0005-0000-0000-00000D2D0000}"/>
    <cellStyle name="40% - Accent1 2 5 2 3 2" xfId="36781" xr:uid="{5C2C2DA5-1AE5-4D7C-8EBA-FEB8BBA2428C}"/>
    <cellStyle name="40% - Accent1 2 5 2 4" xfId="20887" xr:uid="{00000000-0005-0000-0000-00000E2D0000}"/>
    <cellStyle name="40% - Accent1 2 5 2 4 2" xfId="44719" xr:uid="{351BD091-F07B-4525-A1C3-551A4EBB5BFA}"/>
    <cellStyle name="40% - Accent1 2 5 2 5" xfId="28840" xr:uid="{D049232C-3FB8-47BE-965B-A604CAFE569F}"/>
    <cellStyle name="40% - Accent1 2 5 3" xfId="6740" xr:uid="{00000000-0005-0000-0000-00000F2D0000}"/>
    <cellStyle name="40% - Accent1 2 5 3 2" xfId="14712" xr:uid="{00000000-0005-0000-0000-0000102D0000}"/>
    <cellStyle name="40% - Accent1 2 5 3 2 2" xfId="38554" xr:uid="{64CAA785-04E5-486F-A681-83AAAF05C9CA}"/>
    <cellStyle name="40% - Accent1 2 5 3 3" xfId="22659" xr:uid="{00000000-0005-0000-0000-0000112D0000}"/>
    <cellStyle name="40% - Accent1 2 5 3 3 2" xfId="46491" xr:uid="{912742DF-BEFF-4848-A55A-85557EDEDF44}"/>
    <cellStyle name="40% - Accent1 2 5 3 4" xfId="30613" xr:uid="{329BDD89-B03D-4F15-9DA5-CBC2C9545DC3}"/>
    <cellStyle name="40% - Accent1 2 5 4" xfId="11176" xr:uid="{00000000-0005-0000-0000-0000122D0000}"/>
    <cellStyle name="40% - Accent1 2 5 4 2" xfId="35025" xr:uid="{12104F93-CE7C-438A-8D07-D4C77F4A7DA2}"/>
    <cellStyle name="40% - Accent1 2 5 5" xfId="19131" xr:uid="{00000000-0005-0000-0000-0000132D0000}"/>
    <cellStyle name="40% - Accent1 2 5 5 2" xfId="42963" xr:uid="{533F61F8-B202-4A98-8A7E-37F2893587C8}"/>
    <cellStyle name="40% - Accent1 2 5 6" xfId="27083" xr:uid="{DDF796E7-485C-4136-B4F9-710D79ED7078}"/>
    <cellStyle name="40% - Accent1 2 5_Exh G" xfId="2736" xr:uid="{00000000-0005-0000-0000-0000142D0000}"/>
    <cellStyle name="40% - Accent1 2 6" xfId="4029" xr:uid="{00000000-0005-0000-0000-0000152D0000}"/>
    <cellStyle name="40% - Accent1 2 6 2" xfId="7621" xr:uid="{00000000-0005-0000-0000-0000162D0000}"/>
    <cellStyle name="40% - Accent1 2 6 2 2" xfId="15592" xr:uid="{00000000-0005-0000-0000-0000172D0000}"/>
    <cellStyle name="40% - Accent1 2 6 2 2 2" xfId="39434" xr:uid="{B792BE06-CC4E-4D1D-B616-D8CCE526F7CA}"/>
    <cellStyle name="40% - Accent1 2 6 2 3" xfId="23538" xr:uid="{00000000-0005-0000-0000-0000182D0000}"/>
    <cellStyle name="40% - Accent1 2 6 2 3 2" xfId="47370" xr:uid="{C8118BCF-A7AA-42FA-A5A8-588414C10F1E}"/>
    <cellStyle name="40% - Accent1 2 6 2 4" xfId="31493" xr:uid="{5A32E3BF-35BB-480A-BC39-708879533978}"/>
    <cellStyle name="40% - Accent1 2 6 3" xfId="12054" xr:uid="{00000000-0005-0000-0000-0000192D0000}"/>
    <cellStyle name="40% - Accent1 2 6 3 2" xfId="35903" xr:uid="{C122EF4B-0D62-4104-B277-F6FD161F9DEC}"/>
    <cellStyle name="40% - Accent1 2 6 4" xfId="20009" xr:uid="{00000000-0005-0000-0000-00001A2D0000}"/>
    <cellStyle name="40% - Accent1 2 6 4 2" xfId="43841" xr:uid="{DD1275EA-D7FB-42F2-A87A-F6CA65A9ECD3}"/>
    <cellStyle name="40% - Accent1 2 6 5" xfId="27962" xr:uid="{2CAB883E-B7B3-4916-8056-51C170FB4FBB}"/>
    <cellStyle name="40% - Accent1 2 7" xfId="5849" xr:uid="{00000000-0005-0000-0000-00001B2D0000}"/>
    <cellStyle name="40% - Accent1 2 7 2" xfId="13833" xr:uid="{00000000-0005-0000-0000-00001C2D0000}"/>
    <cellStyle name="40% - Accent1 2 7 2 2" xfId="37676" xr:uid="{BAE988B5-D8EC-4CF6-AA53-57E94D906C12}"/>
    <cellStyle name="40% - Accent1 2 7 3" xfId="21781" xr:uid="{00000000-0005-0000-0000-00001D2D0000}"/>
    <cellStyle name="40% - Accent1 2 7 3 2" xfId="45613" xr:uid="{B70C3ED4-0576-444C-B1F0-051709DFA9F1}"/>
    <cellStyle name="40% - Accent1 2 7 4" xfId="29735" xr:uid="{B8E42D8F-247F-4A38-AA89-4651D8ADA0F5}"/>
    <cellStyle name="40% - Accent1 2 8" xfId="9402" xr:uid="{00000000-0005-0000-0000-00001E2D0000}"/>
    <cellStyle name="40% - Accent1 2 8 2" xfId="17360" xr:uid="{00000000-0005-0000-0000-00001F2D0000}"/>
    <cellStyle name="40% - Accent1 2 8 2 2" xfId="41200" xr:uid="{140C7031-2A99-4536-81E1-D225B0E11382}"/>
    <cellStyle name="40% - Accent1 2 8 3" xfId="25304" xr:uid="{00000000-0005-0000-0000-0000202D0000}"/>
    <cellStyle name="40% - Accent1 2 8 3 2" xfId="49136" xr:uid="{BBA62C54-1A18-42A8-BA90-3A4D40862FF2}"/>
    <cellStyle name="40% - Accent1 2 8 4" xfId="33259" xr:uid="{29A7BCA3-F14A-46C7-B789-FD0500C70594}"/>
    <cellStyle name="40% - Accent1 2 9" xfId="10298" xr:uid="{00000000-0005-0000-0000-0000212D0000}"/>
    <cellStyle name="40% - Accent1 2 9 2" xfId="34147" xr:uid="{A996F5DC-EAC5-48D0-A68C-E82FF2325CDD}"/>
    <cellStyle name="40% - Accent1 2_Exh G" xfId="2725" xr:uid="{00000000-0005-0000-0000-0000222D0000}"/>
    <cellStyle name="40% - Accent1 3" xfId="354" xr:uid="{00000000-0005-0000-0000-0000232D0000}"/>
    <cellStyle name="40% - Accent1 3 10" xfId="18257" xr:uid="{00000000-0005-0000-0000-0000242D0000}"/>
    <cellStyle name="40% - Accent1 3 10 2" xfId="42089" xr:uid="{88C32D16-5971-4C4B-8DFD-6946D9487CA6}"/>
    <cellStyle name="40% - Accent1 3 11" xfId="26209" xr:uid="{587504AA-860A-4CE1-AA97-B67049AD925F}"/>
    <cellStyle name="40% - Accent1 3 12" xfId="49766" xr:uid="{34093A2A-A300-4429-974F-9F9A80591ECC}"/>
    <cellStyle name="40% - Accent1 3 13" xfId="49820" xr:uid="{85D4948B-FEB0-46FC-8349-D362A10CEA58}"/>
    <cellStyle name="40% - Accent1 3 2" xfId="355" xr:uid="{00000000-0005-0000-0000-0000252D0000}"/>
    <cellStyle name="40% - Accent1 3 2 10" xfId="26210" xr:uid="{EBAC224A-35DC-4BC7-B830-0EBF099B6ADA}"/>
    <cellStyle name="40% - Accent1 3 2 2" xfId="356" xr:uid="{00000000-0005-0000-0000-0000262D0000}"/>
    <cellStyle name="40% - Accent1 3 2 2 2" xfId="1384" xr:uid="{00000000-0005-0000-0000-0000272D0000}"/>
    <cellStyle name="40% - Accent1 3 2 2 2 2" xfId="4914" xr:uid="{00000000-0005-0000-0000-0000282D0000}"/>
    <cellStyle name="40% - Accent1 3 2 2 2 2 2" xfId="8505" xr:uid="{00000000-0005-0000-0000-0000292D0000}"/>
    <cellStyle name="40% - Accent1 3 2 2 2 2 2 2" xfId="16476" xr:uid="{00000000-0005-0000-0000-00002A2D0000}"/>
    <cellStyle name="40% - Accent1 3 2 2 2 2 2 2 2" xfId="40318" xr:uid="{1B84F009-46D3-4B9C-9B82-450BE6C034CB}"/>
    <cellStyle name="40% - Accent1 3 2 2 2 2 2 3" xfId="24422" xr:uid="{00000000-0005-0000-0000-00002B2D0000}"/>
    <cellStyle name="40% - Accent1 3 2 2 2 2 2 3 2" xfId="48254" xr:uid="{2ED907B4-E874-4F69-9C17-25E662F1C834}"/>
    <cellStyle name="40% - Accent1 3 2 2 2 2 2 4" xfId="32377" xr:uid="{89F82CFA-B49B-4240-B81A-A8095C79748F}"/>
    <cellStyle name="40% - Accent1 3 2 2 2 2 3" xfId="12938" xr:uid="{00000000-0005-0000-0000-00002C2D0000}"/>
    <cellStyle name="40% - Accent1 3 2 2 2 2 3 2" xfId="36787" xr:uid="{12A2F608-A1C5-40A8-833C-69E76E8A454F}"/>
    <cellStyle name="40% - Accent1 3 2 2 2 2 4" xfId="20893" xr:uid="{00000000-0005-0000-0000-00002D2D0000}"/>
    <cellStyle name="40% - Accent1 3 2 2 2 2 4 2" xfId="44725" xr:uid="{7698659B-5138-485E-8124-DDD3E7C615BD}"/>
    <cellStyle name="40% - Accent1 3 2 2 2 2 5" xfId="28846" xr:uid="{8C4C99AC-EB55-4613-923C-048751FDB322}"/>
    <cellStyle name="40% - Accent1 3 2 2 2 3" xfId="6746" xr:uid="{00000000-0005-0000-0000-00002E2D0000}"/>
    <cellStyle name="40% - Accent1 3 2 2 2 3 2" xfId="14718" xr:uid="{00000000-0005-0000-0000-00002F2D0000}"/>
    <cellStyle name="40% - Accent1 3 2 2 2 3 2 2" xfId="38560" xr:uid="{CF35FBA3-ED4D-4F3F-AC08-EAD147C6F3F1}"/>
    <cellStyle name="40% - Accent1 3 2 2 2 3 3" xfId="22665" xr:uid="{00000000-0005-0000-0000-0000302D0000}"/>
    <cellStyle name="40% - Accent1 3 2 2 2 3 3 2" xfId="46497" xr:uid="{A27232BD-FFC3-4EAC-822D-1195D9F59E6F}"/>
    <cellStyle name="40% - Accent1 3 2 2 2 3 4" xfId="30619" xr:uid="{4D59CA00-2E3A-45E0-AF4D-2CFE255904BC}"/>
    <cellStyle name="40% - Accent1 3 2 2 2 4" xfId="11182" xr:uid="{00000000-0005-0000-0000-0000312D0000}"/>
    <cellStyle name="40% - Accent1 3 2 2 2 4 2" xfId="35031" xr:uid="{07FF9199-51F0-487D-884C-DEC6B161FCF9}"/>
    <cellStyle name="40% - Accent1 3 2 2 2 5" xfId="19137" xr:uid="{00000000-0005-0000-0000-0000322D0000}"/>
    <cellStyle name="40% - Accent1 3 2 2 2 5 2" xfId="42969" xr:uid="{1544F5E1-3429-417D-8E49-21E91E364CA1}"/>
    <cellStyle name="40% - Accent1 3 2 2 2 6" xfId="27089" xr:uid="{30BC1510-2BB2-4EC2-A2C0-33B3D57377A9}"/>
    <cellStyle name="40% - Accent1 3 2 2 2_Exh G" xfId="2740" xr:uid="{00000000-0005-0000-0000-0000332D0000}"/>
    <cellStyle name="40% - Accent1 3 2 2 3" xfId="4035" xr:uid="{00000000-0005-0000-0000-0000342D0000}"/>
    <cellStyle name="40% - Accent1 3 2 2 3 2" xfId="7627" xr:uid="{00000000-0005-0000-0000-0000352D0000}"/>
    <cellStyle name="40% - Accent1 3 2 2 3 2 2" xfId="15598" xr:uid="{00000000-0005-0000-0000-0000362D0000}"/>
    <cellStyle name="40% - Accent1 3 2 2 3 2 2 2" xfId="39440" xr:uid="{48613444-DD92-4FFD-8147-E38297EF34E4}"/>
    <cellStyle name="40% - Accent1 3 2 2 3 2 3" xfId="23544" xr:uid="{00000000-0005-0000-0000-0000372D0000}"/>
    <cellStyle name="40% - Accent1 3 2 2 3 2 3 2" xfId="47376" xr:uid="{E6F69653-F3C2-4EAE-941C-8DEE2DE58CF4}"/>
    <cellStyle name="40% - Accent1 3 2 2 3 2 4" xfId="31499" xr:uid="{4BDA52B5-2745-4D79-9426-164153F6FB25}"/>
    <cellStyle name="40% - Accent1 3 2 2 3 3" xfId="12060" xr:uid="{00000000-0005-0000-0000-0000382D0000}"/>
    <cellStyle name="40% - Accent1 3 2 2 3 3 2" xfId="35909" xr:uid="{03F010E2-7632-4041-B1D6-D64D6E86A8C1}"/>
    <cellStyle name="40% - Accent1 3 2 2 3 4" xfId="20015" xr:uid="{00000000-0005-0000-0000-0000392D0000}"/>
    <cellStyle name="40% - Accent1 3 2 2 3 4 2" xfId="43847" xr:uid="{98D4BB7D-C5D2-485B-B9F7-6E90BEA2E3BC}"/>
    <cellStyle name="40% - Accent1 3 2 2 3 5" xfId="27968" xr:uid="{9C8DAAB8-901C-42C8-AD94-BFC913D821F7}"/>
    <cellStyle name="40% - Accent1 3 2 2 4" xfId="5855" xr:uid="{00000000-0005-0000-0000-00003A2D0000}"/>
    <cellStyle name="40% - Accent1 3 2 2 4 2" xfId="13839" xr:uid="{00000000-0005-0000-0000-00003B2D0000}"/>
    <cellStyle name="40% - Accent1 3 2 2 4 2 2" xfId="37682" xr:uid="{9015B360-B329-4886-B159-CC98935CB3AD}"/>
    <cellStyle name="40% - Accent1 3 2 2 4 3" xfId="21787" xr:uid="{00000000-0005-0000-0000-00003C2D0000}"/>
    <cellStyle name="40% - Accent1 3 2 2 4 3 2" xfId="45619" xr:uid="{28EC0654-D760-4872-B044-873EB809538C}"/>
    <cellStyle name="40% - Accent1 3 2 2 4 4" xfId="29741" xr:uid="{D5DA0317-4D11-46CF-BF07-BE8772ADAE52}"/>
    <cellStyle name="40% - Accent1 3 2 2 5" xfId="9408" xr:uid="{00000000-0005-0000-0000-00003D2D0000}"/>
    <cellStyle name="40% - Accent1 3 2 2 5 2" xfId="17366" xr:uid="{00000000-0005-0000-0000-00003E2D0000}"/>
    <cellStyle name="40% - Accent1 3 2 2 5 2 2" xfId="41206" xr:uid="{FFE76FC4-6D0D-432D-AEA9-E21BF85716B6}"/>
    <cellStyle name="40% - Accent1 3 2 2 5 3" xfId="25310" xr:uid="{00000000-0005-0000-0000-00003F2D0000}"/>
    <cellStyle name="40% - Accent1 3 2 2 5 3 2" xfId="49142" xr:uid="{75AB7AF5-C4CF-4CB9-824A-02042987E14A}"/>
    <cellStyle name="40% - Accent1 3 2 2 5 4" xfId="33265" xr:uid="{CEF26250-63AD-490E-918E-94DF426A666A}"/>
    <cellStyle name="40% - Accent1 3 2 2 6" xfId="10304" xr:uid="{00000000-0005-0000-0000-0000402D0000}"/>
    <cellStyle name="40% - Accent1 3 2 2 6 2" xfId="34153" xr:uid="{C4B7241E-78C8-4D17-B178-4E2915326DF3}"/>
    <cellStyle name="40% - Accent1 3 2 2 7" xfId="18259" xr:uid="{00000000-0005-0000-0000-0000412D0000}"/>
    <cellStyle name="40% - Accent1 3 2 2 7 2" xfId="42091" xr:uid="{2FD9524D-FF7E-4ABF-A09D-9F4432B91753}"/>
    <cellStyle name="40% - Accent1 3 2 2 8" xfId="26211" xr:uid="{9C55BED7-993E-4716-9775-5312C730C485}"/>
    <cellStyle name="40% - Accent1 3 2 2_Exh G" xfId="2739" xr:uid="{00000000-0005-0000-0000-0000422D0000}"/>
    <cellStyle name="40% - Accent1 3 2 3" xfId="938" xr:uid="{00000000-0005-0000-0000-0000432D0000}"/>
    <cellStyle name="40% - Accent1 3 2 3 2" xfId="1862" xr:uid="{00000000-0005-0000-0000-0000442D0000}"/>
    <cellStyle name="40% - Accent1 3 2 3 2 2" xfId="5380" xr:uid="{00000000-0005-0000-0000-0000452D0000}"/>
    <cellStyle name="40% - Accent1 3 2 3 2 2 2" xfId="8971" xr:uid="{00000000-0005-0000-0000-0000462D0000}"/>
    <cellStyle name="40% - Accent1 3 2 3 2 2 2 2" xfId="16942" xr:uid="{00000000-0005-0000-0000-0000472D0000}"/>
    <cellStyle name="40% - Accent1 3 2 3 2 2 2 2 2" xfId="40784" xr:uid="{5EBEFC2F-BEF6-4D76-AFC6-45EE919096A3}"/>
    <cellStyle name="40% - Accent1 3 2 3 2 2 2 3" xfId="24888" xr:uid="{00000000-0005-0000-0000-0000482D0000}"/>
    <cellStyle name="40% - Accent1 3 2 3 2 2 2 3 2" xfId="48720" xr:uid="{8A8A27D3-A09C-4699-8AA2-36772E1CEAD6}"/>
    <cellStyle name="40% - Accent1 3 2 3 2 2 2 4" xfId="32843" xr:uid="{8D1DCE2C-C87B-4763-B9C4-B7A07AB80492}"/>
    <cellStyle name="40% - Accent1 3 2 3 2 2 3" xfId="13404" xr:uid="{00000000-0005-0000-0000-0000492D0000}"/>
    <cellStyle name="40% - Accent1 3 2 3 2 2 3 2" xfId="37253" xr:uid="{81169A6C-3786-4F94-A37F-D853F72DE638}"/>
    <cellStyle name="40% - Accent1 3 2 3 2 2 4" xfId="21359" xr:uid="{00000000-0005-0000-0000-00004A2D0000}"/>
    <cellStyle name="40% - Accent1 3 2 3 2 2 4 2" xfId="45191" xr:uid="{C0EC95CE-48A7-4F77-8F01-1257370E64E8}"/>
    <cellStyle name="40% - Accent1 3 2 3 2 2 5" xfId="29312" xr:uid="{20BC84A7-320A-4865-B2EF-833B168C5FF5}"/>
    <cellStyle name="40% - Accent1 3 2 3 2 3" xfId="7212" xr:uid="{00000000-0005-0000-0000-00004B2D0000}"/>
    <cellStyle name="40% - Accent1 3 2 3 2 3 2" xfId="15184" xr:uid="{00000000-0005-0000-0000-00004C2D0000}"/>
    <cellStyle name="40% - Accent1 3 2 3 2 3 2 2" xfId="39026" xr:uid="{CE8FFF50-5F40-4041-964F-8A5F0549AD41}"/>
    <cellStyle name="40% - Accent1 3 2 3 2 3 3" xfId="23131" xr:uid="{00000000-0005-0000-0000-00004D2D0000}"/>
    <cellStyle name="40% - Accent1 3 2 3 2 3 3 2" xfId="46963" xr:uid="{E1D17043-33D0-4E70-BFE4-9FF924C22F60}"/>
    <cellStyle name="40% - Accent1 3 2 3 2 3 4" xfId="31085" xr:uid="{7CA370E5-E760-4273-9237-E8B532DEC16D}"/>
    <cellStyle name="40% - Accent1 3 2 3 2 4" xfId="11648" xr:uid="{00000000-0005-0000-0000-00004E2D0000}"/>
    <cellStyle name="40% - Accent1 3 2 3 2 4 2" xfId="35497" xr:uid="{F12AC818-AB6D-4951-A4D0-2930292F81E3}"/>
    <cellStyle name="40% - Accent1 3 2 3 2 5" xfId="19603" xr:uid="{00000000-0005-0000-0000-00004F2D0000}"/>
    <cellStyle name="40% - Accent1 3 2 3 2 5 2" xfId="43435" xr:uid="{9C475DFA-B467-451A-9D70-AE2CEA8B3B07}"/>
    <cellStyle name="40% - Accent1 3 2 3 2 6" xfId="27555" xr:uid="{B190624C-B93E-432E-BE21-8B04185F777D}"/>
    <cellStyle name="40% - Accent1 3 2 3 2_Exh G" xfId="2742" xr:uid="{00000000-0005-0000-0000-0000502D0000}"/>
    <cellStyle name="40% - Accent1 3 2 3 3" xfId="4501" xr:uid="{00000000-0005-0000-0000-0000512D0000}"/>
    <cellStyle name="40% - Accent1 3 2 3 3 2" xfId="8093" xr:uid="{00000000-0005-0000-0000-0000522D0000}"/>
    <cellStyle name="40% - Accent1 3 2 3 3 2 2" xfId="16064" xr:uid="{00000000-0005-0000-0000-0000532D0000}"/>
    <cellStyle name="40% - Accent1 3 2 3 3 2 2 2" xfId="39906" xr:uid="{200EAF5F-B82E-45AA-ABEF-3462BD908670}"/>
    <cellStyle name="40% - Accent1 3 2 3 3 2 3" xfId="24010" xr:uid="{00000000-0005-0000-0000-0000542D0000}"/>
    <cellStyle name="40% - Accent1 3 2 3 3 2 3 2" xfId="47842" xr:uid="{77CFC545-EEE5-4B57-B851-8E311C4DEF0E}"/>
    <cellStyle name="40% - Accent1 3 2 3 3 2 4" xfId="31965" xr:uid="{F0042D81-9855-4DDF-9332-0AC3CA6634DC}"/>
    <cellStyle name="40% - Accent1 3 2 3 3 3" xfId="12526" xr:uid="{00000000-0005-0000-0000-0000552D0000}"/>
    <cellStyle name="40% - Accent1 3 2 3 3 3 2" xfId="36375" xr:uid="{BE573B63-CC58-4C52-983D-2E9B991115A8}"/>
    <cellStyle name="40% - Accent1 3 2 3 3 4" xfId="20481" xr:uid="{00000000-0005-0000-0000-0000562D0000}"/>
    <cellStyle name="40% - Accent1 3 2 3 3 4 2" xfId="44313" xr:uid="{ADF40F6C-26DA-464B-B863-FBAEC2E20D88}"/>
    <cellStyle name="40% - Accent1 3 2 3 3 5" xfId="28434" xr:uid="{355F20B2-9E9C-4995-90F0-DA8F98910A9A}"/>
    <cellStyle name="40% - Accent1 3 2 3 4" xfId="6331" xr:uid="{00000000-0005-0000-0000-0000572D0000}"/>
    <cellStyle name="40% - Accent1 3 2 3 4 2" xfId="14306" xr:uid="{00000000-0005-0000-0000-0000582D0000}"/>
    <cellStyle name="40% - Accent1 3 2 3 4 2 2" xfId="38148" xr:uid="{58623540-7BBE-4F9F-8727-5B280FBF73C6}"/>
    <cellStyle name="40% - Accent1 3 2 3 4 3" xfId="22253" xr:uid="{00000000-0005-0000-0000-0000592D0000}"/>
    <cellStyle name="40% - Accent1 3 2 3 4 3 2" xfId="46085" xr:uid="{CE73E067-4857-4A89-B6CC-D371A0913A96}"/>
    <cellStyle name="40% - Accent1 3 2 3 4 4" xfId="30207" xr:uid="{21499C75-151F-475C-8166-914AF7DCB9E3}"/>
    <cellStyle name="40% - Accent1 3 2 3 5" xfId="9874" xr:uid="{00000000-0005-0000-0000-00005A2D0000}"/>
    <cellStyle name="40% - Accent1 3 2 3 5 2" xfId="17832" xr:uid="{00000000-0005-0000-0000-00005B2D0000}"/>
    <cellStyle name="40% - Accent1 3 2 3 5 2 2" xfId="41672" xr:uid="{6DE21360-93B6-4F5E-B0E8-07BA860112C1}"/>
    <cellStyle name="40% - Accent1 3 2 3 5 3" xfId="25776" xr:uid="{00000000-0005-0000-0000-00005C2D0000}"/>
    <cellStyle name="40% - Accent1 3 2 3 5 3 2" xfId="49608" xr:uid="{B28FEFDC-502E-408E-AC0F-1DD3FA67BE96}"/>
    <cellStyle name="40% - Accent1 3 2 3 5 4" xfId="33731" xr:uid="{63011B49-2722-4B15-B321-BDD931C4AA24}"/>
    <cellStyle name="40% - Accent1 3 2 3 6" xfId="10770" xr:uid="{00000000-0005-0000-0000-00005D2D0000}"/>
    <cellStyle name="40% - Accent1 3 2 3 6 2" xfId="34619" xr:uid="{37EB3A90-266C-4FF9-B74E-50601EAB8189}"/>
    <cellStyle name="40% - Accent1 3 2 3 7" xfId="18725" xr:uid="{00000000-0005-0000-0000-00005E2D0000}"/>
    <cellStyle name="40% - Accent1 3 2 3 7 2" xfId="42557" xr:uid="{C4123015-F521-4875-AF9D-0D0C7789D42A}"/>
    <cellStyle name="40% - Accent1 3 2 3 8" xfId="26677" xr:uid="{39BD6A0A-48E1-4627-A722-3550D5DF3882}"/>
    <cellStyle name="40% - Accent1 3 2 3_Exh G" xfId="2741" xr:uid="{00000000-0005-0000-0000-00005F2D0000}"/>
    <cellStyle name="40% - Accent1 3 2 4" xfId="1383" xr:uid="{00000000-0005-0000-0000-0000602D0000}"/>
    <cellStyle name="40% - Accent1 3 2 4 2" xfId="4913" xr:uid="{00000000-0005-0000-0000-0000612D0000}"/>
    <cellStyle name="40% - Accent1 3 2 4 2 2" xfId="8504" xr:uid="{00000000-0005-0000-0000-0000622D0000}"/>
    <cellStyle name="40% - Accent1 3 2 4 2 2 2" xfId="16475" xr:uid="{00000000-0005-0000-0000-0000632D0000}"/>
    <cellStyle name="40% - Accent1 3 2 4 2 2 2 2" xfId="40317" xr:uid="{A1A35BBF-E95C-4266-90E2-569A767726B5}"/>
    <cellStyle name="40% - Accent1 3 2 4 2 2 3" xfId="24421" xr:uid="{00000000-0005-0000-0000-0000642D0000}"/>
    <cellStyle name="40% - Accent1 3 2 4 2 2 3 2" xfId="48253" xr:uid="{46C514AA-54AA-41AF-B169-48B3A0EA8559}"/>
    <cellStyle name="40% - Accent1 3 2 4 2 2 4" xfId="32376" xr:uid="{4A21F1F5-7D6A-4594-BAD3-7D7903FA2B33}"/>
    <cellStyle name="40% - Accent1 3 2 4 2 3" xfId="12937" xr:uid="{00000000-0005-0000-0000-0000652D0000}"/>
    <cellStyle name="40% - Accent1 3 2 4 2 3 2" xfId="36786" xr:uid="{FAB703B1-17D2-4D90-BB84-C1F5C2074D63}"/>
    <cellStyle name="40% - Accent1 3 2 4 2 4" xfId="20892" xr:uid="{00000000-0005-0000-0000-0000662D0000}"/>
    <cellStyle name="40% - Accent1 3 2 4 2 4 2" xfId="44724" xr:uid="{D659DF6F-3586-4EEC-955F-A60057483875}"/>
    <cellStyle name="40% - Accent1 3 2 4 2 5" xfId="28845" xr:uid="{223F746E-C271-4DC7-ABE2-FD7D53284333}"/>
    <cellStyle name="40% - Accent1 3 2 4 3" xfId="6745" xr:uid="{00000000-0005-0000-0000-0000672D0000}"/>
    <cellStyle name="40% - Accent1 3 2 4 3 2" xfId="14717" xr:uid="{00000000-0005-0000-0000-0000682D0000}"/>
    <cellStyle name="40% - Accent1 3 2 4 3 2 2" xfId="38559" xr:uid="{A1F36158-457C-4645-BA6F-F6E13730E914}"/>
    <cellStyle name="40% - Accent1 3 2 4 3 3" xfId="22664" xr:uid="{00000000-0005-0000-0000-0000692D0000}"/>
    <cellStyle name="40% - Accent1 3 2 4 3 3 2" xfId="46496" xr:uid="{84ABB91C-A01D-4474-8AE2-4925A96CD893}"/>
    <cellStyle name="40% - Accent1 3 2 4 3 4" xfId="30618" xr:uid="{71C4C0BE-B1D6-4E92-81ED-8F9A7BFAFF53}"/>
    <cellStyle name="40% - Accent1 3 2 4 4" xfId="11181" xr:uid="{00000000-0005-0000-0000-00006A2D0000}"/>
    <cellStyle name="40% - Accent1 3 2 4 4 2" xfId="35030" xr:uid="{DD052BB1-2228-4F34-9BD0-401D5CD6183B}"/>
    <cellStyle name="40% - Accent1 3 2 4 5" xfId="19136" xr:uid="{00000000-0005-0000-0000-00006B2D0000}"/>
    <cellStyle name="40% - Accent1 3 2 4 5 2" xfId="42968" xr:uid="{B2BE58B9-311B-4791-AA87-BB4FDA1754AF}"/>
    <cellStyle name="40% - Accent1 3 2 4 6" xfId="27088" xr:uid="{911C2561-74B2-41EF-9225-90A9CE4E6883}"/>
    <cellStyle name="40% - Accent1 3 2 4_Exh G" xfId="2743" xr:uid="{00000000-0005-0000-0000-00006C2D0000}"/>
    <cellStyle name="40% - Accent1 3 2 5" xfId="4034" xr:uid="{00000000-0005-0000-0000-00006D2D0000}"/>
    <cellStyle name="40% - Accent1 3 2 5 2" xfId="7626" xr:uid="{00000000-0005-0000-0000-00006E2D0000}"/>
    <cellStyle name="40% - Accent1 3 2 5 2 2" xfId="15597" xr:uid="{00000000-0005-0000-0000-00006F2D0000}"/>
    <cellStyle name="40% - Accent1 3 2 5 2 2 2" xfId="39439" xr:uid="{1305FEEB-183B-4D5B-945E-E33E6480239B}"/>
    <cellStyle name="40% - Accent1 3 2 5 2 3" xfId="23543" xr:uid="{00000000-0005-0000-0000-0000702D0000}"/>
    <cellStyle name="40% - Accent1 3 2 5 2 3 2" xfId="47375" xr:uid="{CD491F91-050D-4076-B07E-06E201527D52}"/>
    <cellStyle name="40% - Accent1 3 2 5 2 4" xfId="31498" xr:uid="{DE605829-E4F4-4CB1-973F-1034E8AF58AB}"/>
    <cellStyle name="40% - Accent1 3 2 5 3" xfId="12059" xr:uid="{00000000-0005-0000-0000-0000712D0000}"/>
    <cellStyle name="40% - Accent1 3 2 5 3 2" xfId="35908" xr:uid="{5A7B483D-B51D-4F49-9989-152DA224FE30}"/>
    <cellStyle name="40% - Accent1 3 2 5 4" xfId="20014" xr:uid="{00000000-0005-0000-0000-0000722D0000}"/>
    <cellStyle name="40% - Accent1 3 2 5 4 2" xfId="43846" xr:uid="{996FA5D6-C0FB-4087-B19E-55B401D3F2CB}"/>
    <cellStyle name="40% - Accent1 3 2 5 5" xfId="27967" xr:uid="{03774E48-0DD5-4B7F-9F9B-ED7BAD10889B}"/>
    <cellStyle name="40% - Accent1 3 2 6" xfId="5854" xr:uid="{00000000-0005-0000-0000-0000732D0000}"/>
    <cellStyle name="40% - Accent1 3 2 6 2" xfId="13838" xr:uid="{00000000-0005-0000-0000-0000742D0000}"/>
    <cellStyle name="40% - Accent1 3 2 6 2 2" xfId="37681" xr:uid="{D691E5D1-542E-4627-B282-0CCBCB4FDF68}"/>
    <cellStyle name="40% - Accent1 3 2 6 3" xfId="21786" xr:uid="{00000000-0005-0000-0000-0000752D0000}"/>
    <cellStyle name="40% - Accent1 3 2 6 3 2" xfId="45618" xr:uid="{B66CEC74-4656-43C8-A25E-C11E21E1C6B2}"/>
    <cellStyle name="40% - Accent1 3 2 6 4" xfId="29740" xr:uid="{84651C8D-7811-46ED-A218-CCAAC7277116}"/>
    <cellStyle name="40% - Accent1 3 2 7" xfId="9407" xr:uid="{00000000-0005-0000-0000-0000762D0000}"/>
    <cellStyle name="40% - Accent1 3 2 7 2" xfId="17365" xr:uid="{00000000-0005-0000-0000-0000772D0000}"/>
    <cellStyle name="40% - Accent1 3 2 7 2 2" xfId="41205" xr:uid="{29D5CF39-77CC-45B2-B433-E66321D78269}"/>
    <cellStyle name="40% - Accent1 3 2 7 3" xfId="25309" xr:uid="{00000000-0005-0000-0000-0000782D0000}"/>
    <cellStyle name="40% - Accent1 3 2 7 3 2" xfId="49141" xr:uid="{09BD13D0-3638-40D7-81B5-BA731B8876A2}"/>
    <cellStyle name="40% - Accent1 3 2 7 4" xfId="33264" xr:uid="{C1769E09-9795-4E34-937A-6DDCB3678013}"/>
    <cellStyle name="40% - Accent1 3 2 8" xfId="10303" xr:uid="{00000000-0005-0000-0000-0000792D0000}"/>
    <cellStyle name="40% - Accent1 3 2 8 2" xfId="34152" xr:uid="{27423313-5AEC-40D0-9E27-653BD0E05433}"/>
    <cellStyle name="40% - Accent1 3 2 9" xfId="18258" xr:uid="{00000000-0005-0000-0000-00007A2D0000}"/>
    <cellStyle name="40% - Accent1 3 2 9 2" xfId="42090" xr:uid="{FA58AF15-72A5-4699-AF03-CAFF0D65A0DE}"/>
    <cellStyle name="40% - Accent1 3 2_Exh G" xfId="2738" xr:uid="{00000000-0005-0000-0000-00007B2D0000}"/>
    <cellStyle name="40% - Accent1 3 3" xfId="357" xr:uid="{00000000-0005-0000-0000-00007C2D0000}"/>
    <cellStyle name="40% - Accent1 3 3 2" xfId="1385" xr:uid="{00000000-0005-0000-0000-00007D2D0000}"/>
    <cellStyle name="40% - Accent1 3 3 2 2" xfId="4915" xr:uid="{00000000-0005-0000-0000-00007E2D0000}"/>
    <cellStyle name="40% - Accent1 3 3 2 2 2" xfId="8506" xr:uid="{00000000-0005-0000-0000-00007F2D0000}"/>
    <cellStyle name="40% - Accent1 3 3 2 2 2 2" xfId="16477" xr:uid="{00000000-0005-0000-0000-0000802D0000}"/>
    <cellStyle name="40% - Accent1 3 3 2 2 2 2 2" xfId="40319" xr:uid="{584C3C52-0C16-409A-965A-7FE42C100283}"/>
    <cellStyle name="40% - Accent1 3 3 2 2 2 3" xfId="24423" xr:uid="{00000000-0005-0000-0000-0000812D0000}"/>
    <cellStyle name="40% - Accent1 3 3 2 2 2 3 2" xfId="48255" xr:uid="{65D8EE60-F0EC-443B-9036-EBCE3D271CC5}"/>
    <cellStyle name="40% - Accent1 3 3 2 2 2 4" xfId="32378" xr:uid="{99D626EA-6C2B-42AF-8184-9A6EC87003BB}"/>
    <cellStyle name="40% - Accent1 3 3 2 2 3" xfId="12939" xr:uid="{00000000-0005-0000-0000-0000822D0000}"/>
    <cellStyle name="40% - Accent1 3 3 2 2 3 2" xfId="36788" xr:uid="{EF9DE3C2-F4AD-4E8A-B318-94C6F49C4BA8}"/>
    <cellStyle name="40% - Accent1 3 3 2 2 4" xfId="20894" xr:uid="{00000000-0005-0000-0000-0000832D0000}"/>
    <cellStyle name="40% - Accent1 3 3 2 2 4 2" xfId="44726" xr:uid="{30492CD0-239B-4AAB-9A82-589FBAB50742}"/>
    <cellStyle name="40% - Accent1 3 3 2 2 5" xfId="28847" xr:uid="{F947C933-8137-4C67-B2EE-C2717CBF02C5}"/>
    <cellStyle name="40% - Accent1 3 3 2 3" xfId="6747" xr:uid="{00000000-0005-0000-0000-0000842D0000}"/>
    <cellStyle name="40% - Accent1 3 3 2 3 2" xfId="14719" xr:uid="{00000000-0005-0000-0000-0000852D0000}"/>
    <cellStyle name="40% - Accent1 3 3 2 3 2 2" xfId="38561" xr:uid="{F41A71F8-475D-4712-9756-93DAED59E69D}"/>
    <cellStyle name="40% - Accent1 3 3 2 3 3" xfId="22666" xr:uid="{00000000-0005-0000-0000-0000862D0000}"/>
    <cellStyle name="40% - Accent1 3 3 2 3 3 2" xfId="46498" xr:uid="{A45FAF35-71CB-46D3-ABF0-651CF43D909B}"/>
    <cellStyle name="40% - Accent1 3 3 2 3 4" xfId="30620" xr:uid="{A6CC9E63-7762-490E-A6B3-7A9508A936EC}"/>
    <cellStyle name="40% - Accent1 3 3 2 4" xfId="11183" xr:uid="{00000000-0005-0000-0000-0000872D0000}"/>
    <cellStyle name="40% - Accent1 3 3 2 4 2" xfId="35032" xr:uid="{DBB99E6F-1EE4-46A1-B3A2-0787FD9070DC}"/>
    <cellStyle name="40% - Accent1 3 3 2 5" xfId="19138" xr:uid="{00000000-0005-0000-0000-0000882D0000}"/>
    <cellStyle name="40% - Accent1 3 3 2 5 2" xfId="42970" xr:uid="{24E0397E-98BA-47D1-ADBC-55CE122D16BE}"/>
    <cellStyle name="40% - Accent1 3 3 2 6" xfId="27090" xr:uid="{C03D9A8C-F32B-4A10-BE25-F4AAE1E8FCB3}"/>
    <cellStyle name="40% - Accent1 3 3 2_Exh G" xfId="2745" xr:uid="{00000000-0005-0000-0000-0000892D0000}"/>
    <cellStyle name="40% - Accent1 3 3 3" xfId="4036" xr:uid="{00000000-0005-0000-0000-00008A2D0000}"/>
    <cellStyle name="40% - Accent1 3 3 3 2" xfId="7628" xr:uid="{00000000-0005-0000-0000-00008B2D0000}"/>
    <cellStyle name="40% - Accent1 3 3 3 2 2" xfId="15599" xr:uid="{00000000-0005-0000-0000-00008C2D0000}"/>
    <cellStyle name="40% - Accent1 3 3 3 2 2 2" xfId="39441" xr:uid="{79E09D26-696B-47F4-BBBB-88845AFA6867}"/>
    <cellStyle name="40% - Accent1 3 3 3 2 3" xfId="23545" xr:uid="{00000000-0005-0000-0000-00008D2D0000}"/>
    <cellStyle name="40% - Accent1 3 3 3 2 3 2" xfId="47377" xr:uid="{F8683A3D-1B7D-4BD3-8744-F3FEA3C23DD0}"/>
    <cellStyle name="40% - Accent1 3 3 3 2 4" xfId="31500" xr:uid="{42415DEB-1B4B-4DCC-9B38-D1079496AD4F}"/>
    <cellStyle name="40% - Accent1 3 3 3 3" xfId="12061" xr:uid="{00000000-0005-0000-0000-00008E2D0000}"/>
    <cellStyle name="40% - Accent1 3 3 3 3 2" xfId="35910" xr:uid="{D8B016D9-6C3B-42EC-8F3C-991D9FA17865}"/>
    <cellStyle name="40% - Accent1 3 3 3 4" xfId="20016" xr:uid="{00000000-0005-0000-0000-00008F2D0000}"/>
    <cellStyle name="40% - Accent1 3 3 3 4 2" xfId="43848" xr:uid="{EA46A27D-9B92-4291-937B-5FE11C7B0ABC}"/>
    <cellStyle name="40% - Accent1 3 3 3 5" xfId="27969" xr:uid="{D7EFB852-95F3-453A-A833-25DA5A5B51D9}"/>
    <cellStyle name="40% - Accent1 3 3 4" xfId="5856" xr:uid="{00000000-0005-0000-0000-0000902D0000}"/>
    <cellStyle name="40% - Accent1 3 3 4 2" xfId="13840" xr:uid="{00000000-0005-0000-0000-0000912D0000}"/>
    <cellStyle name="40% - Accent1 3 3 4 2 2" xfId="37683" xr:uid="{0F1AEE26-3850-461E-9603-757E41337158}"/>
    <cellStyle name="40% - Accent1 3 3 4 3" xfId="21788" xr:uid="{00000000-0005-0000-0000-0000922D0000}"/>
    <cellStyle name="40% - Accent1 3 3 4 3 2" xfId="45620" xr:uid="{C386CC1F-32B4-4BF2-900F-E88B7DA05FB5}"/>
    <cellStyle name="40% - Accent1 3 3 4 4" xfId="29742" xr:uid="{A7202E34-C479-4E30-86E2-8FD8305A19CD}"/>
    <cellStyle name="40% - Accent1 3 3 5" xfId="9409" xr:uid="{00000000-0005-0000-0000-0000932D0000}"/>
    <cellStyle name="40% - Accent1 3 3 5 2" xfId="17367" xr:uid="{00000000-0005-0000-0000-0000942D0000}"/>
    <cellStyle name="40% - Accent1 3 3 5 2 2" xfId="41207" xr:uid="{F2644C69-4741-450C-AD4B-B09FC6E70790}"/>
    <cellStyle name="40% - Accent1 3 3 5 3" xfId="25311" xr:uid="{00000000-0005-0000-0000-0000952D0000}"/>
    <cellStyle name="40% - Accent1 3 3 5 3 2" xfId="49143" xr:uid="{BCB9E334-FD30-43D9-84A2-D9CCBFF4F2BC}"/>
    <cellStyle name="40% - Accent1 3 3 5 4" xfId="33266" xr:uid="{1B52AFD7-09E3-4634-B01B-F8EC4DCCF005}"/>
    <cellStyle name="40% - Accent1 3 3 6" xfId="10305" xr:uid="{00000000-0005-0000-0000-0000962D0000}"/>
    <cellStyle name="40% - Accent1 3 3 6 2" xfId="34154" xr:uid="{E1218658-787F-45C2-9627-8071954AAEC3}"/>
    <cellStyle name="40% - Accent1 3 3 7" xfId="18260" xr:uid="{00000000-0005-0000-0000-0000972D0000}"/>
    <cellStyle name="40% - Accent1 3 3 7 2" xfId="42092" xr:uid="{9AB5EAE9-1490-4785-B312-44A76872FB04}"/>
    <cellStyle name="40% - Accent1 3 3 8" xfId="26212" xr:uid="{2D6D9324-9CE0-40E9-AEE0-E419C374848C}"/>
    <cellStyle name="40% - Accent1 3 3_Exh G" xfId="2744" xr:uid="{00000000-0005-0000-0000-0000982D0000}"/>
    <cellStyle name="40% - Accent1 3 4" xfId="937" xr:uid="{00000000-0005-0000-0000-0000992D0000}"/>
    <cellStyle name="40% - Accent1 3 4 2" xfId="1861" xr:uid="{00000000-0005-0000-0000-00009A2D0000}"/>
    <cellStyle name="40% - Accent1 3 4 2 2" xfId="5379" xr:uid="{00000000-0005-0000-0000-00009B2D0000}"/>
    <cellStyle name="40% - Accent1 3 4 2 2 2" xfId="8970" xr:uid="{00000000-0005-0000-0000-00009C2D0000}"/>
    <cellStyle name="40% - Accent1 3 4 2 2 2 2" xfId="16941" xr:uid="{00000000-0005-0000-0000-00009D2D0000}"/>
    <cellStyle name="40% - Accent1 3 4 2 2 2 2 2" xfId="40783" xr:uid="{6FBF1E98-0074-46F1-ADD9-BA006423EF54}"/>
    <cellStyle name="40% - Accent1 3 4 2 2 2 3" xfId="24887" xr:uid="{00000000-0005-0000-0000-00009E2D0000}"/>
    <cellStyle name="40% - Accent1 3 4 2 2 2 3 2" xfId="48719" xr:uid="{7ABBA43A-1678-4536-BBDF-3718C02CF574}"/>
    <cellStyle name="40% - Accent1 3 4 2 2 2 4" xfId="32842" xr:uid="{C0385E11-40AE-49FE-9238-CA623A610BEF}"/>
    <cellStyle name="40% - Accent1 3 4 2 2 3" xfId="13403" xr:uid="{00000000-0005-0000-0000-00009F2D0000}"/>
    <cellStyle name="40% - Accent1 3 4 2 2 3 2" xfId="37252" xr:uid="{8670B94E-A858-4F99-A1ED-9B5A5D948892}"/>
    <cellStyle name="40% - Accent1 3 4 2 2 4" xfId="21358" xr:uid="{00000000-0005-0000-0000-0000A02D0000}"/>
    <cellStyle name="40% - Accent1 3 4 2 2 4 2" xfId="45190" xr:uid="{4CDE5AD1-AD1A-435C-AC30-E63BC1271A34}"/>
    <cellStyle name="40% - Accent1 3 4 2 2 5" xfId="29311" xr:uid="{62019A35-F96E-45BA-B411-0DEADE4B9E89}"/>
    <cellStyle name="40% - Accent1 3 4 2 3" xfId="7211" xr:uid="{00000000-0005-0000-0000-0000A12D0000}"/>
    <cellStyle name="40% - Accent1 3 4 2 3 2" xfId="15183" xr:uid="{00000000-0005-0000-0000-0000A22D0000}"/>
    <cellStyle name="40% - Accent1 3 4 2 3 2 2" xfId="39025" xr:uid="{41FD417C-A19C-4935-84D2-976DACC764F9}"/>
    <cellStyle name="40% - Accent1 3 4 2 3 3" xfId="23130" xr:uid="{00000000-0005-0000-0000-0000A32D0000}"/>
    <cellStyle name="40% - Accent1 3 4 2 3 3 2" xfId="46962" xr:uid="{ECE9C300-67ED-4DD4-AB4F-98114E123789}"/>
    <cellStyle name="40% - Accent1 3 4 2 3 4" xfId="31084" xr:uid="{BC9706C4-7AE8-4302-B5FD-4CDC6D1F9FE2}"/>
    <cellStyle name="40% - Accent1 3 4 2 4" xfId="11647" xr:uid="{00000000-0005-0000-0000-0000A42D0000}"/>
    <cellStyle name="40% - Accent1 3 4 2 4 2" xfId="35496" xr:uid="{3F98A41A-7BFB-4613-8C02-6E3F8311C6B9}"/>
    <cellStyle name="40% - Accent1 3 4 2 5" xfId="19602" xr:uid="{00000000-0005-0000-0000-0000A52D0000}"/>
    <cellStyle name="40% - Accent1 3 4 2 5 2" xfId="43434" xr:uid="{8E3C614C-6E70-4090-BEC3-E2A859910B58}"/>
    <cellStyle name="40% - Accent1 3 4 2 6" xfId="27554" xr:uid="{05286C57-5520-485C-AF3B-9717EEDAA293}"/>
    <cellStyle name="40% - Accent1 3 4 2_Exh G" xfId="2747" xr:uid="{00000000-0005-0000-0000-0000A62D0000}"/>
    <cellStyle name="40% - Accent1 3 4 3" xfId="4500" xr:uid="{00000000-0005-0000-0000-0000A72D0000}"/>
    <cellStyle name="40% - Accent1 3 4 3 2" xfId="8092" xr:uid="{00000000-0005-0000-0000-0000A82D0000}"/>
    <cellStyle name="40% - Accent1 3 4 3 2 2" xfId="16063" xr:uid="{00000000-0005-0000-0000-0000A92D0000}"/>
    <cellStyle name="40% - Accent1 3 4 3 2 2 2" xfId="39905" xr:uid="{6BD43D99-8694-48DE-8C5F-C99CCA82E35F}"/>
    <cellStyle name="40% - Accent1 3 4 3 2 3" xfId="24009" xr:uid="{00000000-0005-0000-0000-0000AA2D0000}"/>
    <cellStyle name="40% - Accent1 3 4 3 2 3 2" xfId="47841" xr:uid="{95663CA1-3DD9-4C30-9BC0-8A4477FD7F2A}"/>
    <cellStyle name="40% - Accent1 3 4 3 2 4" xfId="31964" xr:uid="{34C4626E-7B0C-4FC1-8A57-740462920607}"/>
    <cellStyle name="40% - Accent1 3 4 3 3" xfId="12525" xr:uid="{00000000-0005-0000-0000-0000AB2D0000}"/>
    <cellStyle name="40% - Accent1 3 4 3 3 2" xfId="36374" xr:uid="{57B18111-FF1D-49A0-BD2C-1F201888B762}"/>
    <cellStyle name="40% - Accent1 3 4 3 4" xfId="20480" xr:uid="{00000000-0005-0000-0000-0000AC2D0000}"/>
    <cellStyle name="40% - Accent1 3 4 3 4 2" xfId="44312" xr:uid="{E8E7EC87-44AC-41DA-BFA5-463508C742BD}"/>
    <cellStyle name="40% - Accent1 3 4 3 5" xfId="28433" xr:uid="{09402F69-0857-4837-B74E-4B63330AC02D}"/>
    <cellStyle name="40% - Accent1 3 4 4" xfId="6330" xr:uid="{00000000-0005-0000-0000-0000AD2D0000}"/>
    <cellStyle name="40% - Accent1 3 4 4 2" xfId="14305" xr:uid="{00000000-0005-0000-0000-0000AE2D0000}"/>
    <cellStyle name="40% - Accent1 3 4 4 2 2" xfId="38147" xr:uid="{64FD70A4-16DD-4290-BEDD-68739FB33186}"/>
    <cellStyle name="40% - Accent1 3 4 4 3" xfId="22252" xr:uid="{00000000-0005-0000-0000-0000AF2D0000}"/>
    <cellStyle name="40% - Accent1 3 4 4 3 2" xfId="46084" xr:uid="{F64494CC-A1A1-4E08-BE0C-65600BCCF2DF}"/>
    <cellStyle name="40% - Accent1 3 4 4 4" xfId="30206" xr:uid="{841DD8F1-BB7F-448F-AA1C-F15B082ACBDE}"/>
    <cellStyle name="40% - Accent1 3 4 5" xfId="9873" xr:uid="{00000000-0005-0000-0000-0000B02D0000}"/>
    <cellStyle name="40% - Accent1 3 4 5 2" xfId="17831" xr:uid="{00000000-0005-0000-0000-0000B12D0000}"/>
    <cellStyle name="40% - Accent1 3 4 5 2 2" xfId="41671" xr:uid="{5D8CFFE1-F21D-43A9-B66D-44C37E8000DE}"/>
    <cellStyle name="40% - Accent1 3 4 5 3" xfId="25775" xr:uid="{00000000-0005-0000-0000-0000B22D0000}"/>
    <cellStyle name="40% - Accent1 3 4 5 3 2" xfId="49607" xr:uid="{ED0D97D0-04CC-48E2-BD14-2A155BAE28E3}"/>
    <cellStyle name="40% - Accent1 3 4 5 4" xfId="33730" xr:uid="{F5635F5A-F038-4B70-83FB-D76554079F2B}"/>
    <cellStyle name="40% - Accent1 3 4 6" xfId="10769" xr:uid="{00000000-0005-0000-0000-0000B32D0000}"/>
    <cellStyle name="40% - Accent1 3 4 6 2" xfId="34618" xr:uid="{C6D59F08-827E-4B6F-AB7E-7BE64CB51246}"/>
    <cellStyle name="40% - Accent1 3 4 7" xfId="18724" xr:uid="{00000000-0005-0000-0000-0000B42D0000}"/>
    <cellStyle name="40% - Accent1 3 4 7 2" xfId="42556" xr:uid="{59DCD510-355A-4969-9B56-8D98430EDB48}"/>
    <cellStyle name="40% - Accent1 3 4 8" xfId="26676" xr:uid="{85C57848-8A07-48C3-8104-E9B8432E1E5C}"/>
    <cellStyle name="40% - Accent1 3 4_Exh G" xfId="2746" xr:uid="{00000000-0005-0000-0000-0000B52D0000}"/>
    <cellStyle name="40% - Accent1 3 5" xfId="1382" xr:uid="{00000000-0005-0000-0000-0000B62D0000}"/>
    <cellStyle name="40% - Accent1 3 5 2" xfId="4912" xr:uid="{00000000-0005-0000-0000-0000B72D0000}"/>
    <cellStyle name="40% - Accent1 3 5 2 2" xfId="8503" xr:uid="{00000000-0005-0000-0000-0000B82D0000}"/>
    <cellStyle name="40% - Accent1 3 5 2 2 2" xfId="16474" xr:uid="{00000000-0005-0000-0000-0000B92D0000}"/>
    <cellStyle name="40% - Accent1 3 5 2 2 2 2" xfId="40316" xr:uid="{96E98865-13E9-4DEB-9ABC-49BA54A13E00}"/>
    <cellStyle name="40% - Accent1 3 5 2 2 3" xfId="24420" xr:uid="{00000000-0005-0000-0000-0000BA2D0000}"/>
    <cellStyle name="40% - Accent1 3 5 2 2 3 2" xfId="48252" xr:uid="{2B2BA2B6-34AB-47BF-93F4-6F8C7DF8DEAD}"/>
    <cellStyle name="40% - Accent1 3 5 2 2 4" xfId="32375" xr:uid="{78F21633-CF99-44E1-B240-8724776F01FE}"/>
    <cellStyle name="40% - Accent1 3 5 2 3" xfId="12936" xr:uid="{00000000-0005-0000-0000-0000BB2D0000}"/>
    <cellStyle name="40% - Accent1 3 5 2 3 2" xfId="36785" xr:uid="{129C7091-FBA7-4624-80A5-8BC14A598963}"/>
    <cellStyle name="40% - Accent1 3 5 2 4" xfId="20891" xr:uid="{00000000-0005-0000-0000-0000BC2D0000}"/>
    <cellStyle name="40% - Accent1 3 5 2 4 2" xfId="44723" xr:uid="{CBD34E86-C4C5-4F20-A7EF-5948AF305AE3}"/>
    <cellStyle name="40% - Accent1 3 5 2 5" xfId="28844" xr:uid="{222B21B9-C44E-49B6-A8F5-75F6F2BE4FDD}"/>
    <cellStyle name="40% - Accent1 3 5 3" xfId="6744" xr:uid="{00000000-0005-0000-0000-0000BD2D0000}"/>
    <cellStyle name="40% - Accent1 3 5 3 2" xfId="14716" xr:uid="{00000000-0005-0000-0000-0000BE2D0000}"/>
    <cellStyle name="40% - Accent1 3 5 3 2 2" xfId="38558" xr:uid="{79B0E28B-FB72-4FBF-8B23-937390502E7D}"/>
    <cellStyle name="40% - Accent1 3 5 3 3" xfId="22663" xr:uid="{00000000-0005-0000-0000-0000BF2D0000}"/>
    <cellStyle name="40% - Accent1 3 5 3 3 2" xfId="46495" xr:uid="{8E6DBFC6-7BB6-45F9-8840-2206044CD22C}"/>
    <cellStyle name="40% - Accent1 3 5 3 4" xfId="30617" xr:uid="{BA42FBF4-DAE6-4B7B-8FEB-CE795F888D67}"/>
    <cellStyle name="40% - Accent1 3 5 4" xfId="11180" xr:uid="{00000000-0005-0000-0000-0000C02D0000}"/>
    <cellStyle name="40% - Accent1 3 5 4 2" xfId="35029" xr:uid="{BCD8DCBC-A337-4995-A1D4-84D4918A361E}"/>
    <cellStyle name="40% - Accent1 3 5 5" xfId="19135" xr:uid="{00000000-0005-0000-0000-0000C12D0000}"/>
    <cellStyle name="40% - Accent1 3 5 5 2" xfId="42967" xr:uid="{5245C401-50B5-472F-80EF-0C6B4412B233}"/>
    <cellStyle name="40% - Accent1 3 5 6" xfId="27087" xr:uid="{212B60BE-A1BA-4213-83C3-AB6B2566FF04}"/>
    <cellStyle name="40% - Accent1 3 5_Exh G" xfId="2748" xr:uid="{00000000-0005-0000-0000-0000C22D0000}"/>
    <cellStyle name="40% - Accent1 3 6" xfId="4033" xr:uid="{00000000-0005-0000-0000-0000C32D0000}"/>
    <cellStyle name="40% - Accent1 3 6 2" xfId="7625" xr:uid="{00000000-0005-0000-0000-0000C42D0000}"/>
    <cellStyle name="40% - Accent1 3 6 2 2" xfId="15596" xr:uid="{00000000-0005-0000-0000-0000C52D0000}"/>
    <cellStyle name="40% - Accent1 3 6 2 2 2" xfId="39438" xr:uid="{2DC37F72-BCB7-4D4D-A52B-B30BDF51FED1}"/>
    <cellStyle name="40% - Accent1 3 6 2 3" xfId="23542" xr:uid="{00000000-0005-0000-0000-0000C62D0000}"/>
    <cellStyle name="40% - Accent1 3 6 2 3 2" xfId="47374" xr:uid="{95E90F13-CA42-4E54-B6AB-CB010524C264}"/>
    <cellStyle name="40% - Accent1 3 6 2 4" xfId="31497" xr:uid="{97077011-9633-48B8-9DA2-1E47EFD735C2}"/>
    <cellStyle name="40% - Accent1 3 6 3" xfId="12058" xr:uid="{00000000-0005-0000-0000-0000C72D0000}"/>
    <cellStyle name="40% - Accent1 3 6 3 2" xfId="35907" xr:uid="{3FBD26EE-29D5-4BC4-821C-EFB693C1EE7A}"/>
    <cellStyle name="40% - Accent1 3 6 4" xfId="20013" xr:uid="{00000000-0005-0000-0000-0000C82D0000}"/>
    <cellStyle name="40% - Accent1 3 6 4 2" xfId="43845" xr:uid="{257D5ECE-F275-4AC4-BBBD-1E980390E22A}"/>
    <cellStyle name="40% - Accent1 3 6 5" xfId="27966" xr:uid="{7E33A8C5-71E3-48C4-A120-76B6D9248237}"/>
    <cellStyle name="40% - Accent1 3 7" xfId="5853" xr:uid="{00000000-0005-0000-0000-0000C92D0000}"/>
    <cellStyle name="40% - Accent1 3 7 2" xfId="13837" xr:uid="{00000000-0005-0000-0000-0000CA2D0000}"/>
    <cellStyle name="40% - Accent1 3 7 2 2" xfId="37680" xr:uid="{4C5AC106-C6C1-49F0-A533-21E706182D81}"/>
    <cellStyle name="40% - Accent1 3 7 3" xfId="21785" xr:uid="{00000000-0005-0000-0000-0000CB2D0000}"/>
    <cellStyle name="40% - Accent1 3 7 3 2" xfId="45617" xr:uid="{C638BD45-4FA8-4211-90AE-61B877CDC055}"/>
    <cellStyle name="40% - Accent1 3 7 4" xfId="29739" xr:uid="{552B31A6-D9F6-43C1-AB4C-D8EEBC45434F}"/>
    <cellStyle name="40% - Accent1 3 8" xfId="9406" xr:uid="{00000000-0005-0000-0000-0000CC2D0000}"/>
    <cellStyle name="40% - Accent1 3 8 2" xfId="17364" xr:uid="{00000000-0005-0000-0000-0000CD2D0000}"/>
    <cellStyle name="40% - Accent1 3 8 2 2" xfId="41204" xr:uid="{E4D7E7C7-6166-48A1-B5C6-620BE0AD07B7}"/>
    <cellStyle name="40% - Accent1 3 8 3" xfId="25308" xr:uid="{00000000-0005-0000-0000-0000CE2D0000}"/>
    <cellStyle name="40% - Accent1 3 8 3 2" xfId="49140" xr:uid="{5AAFBB25-3EB0-4D38-A097-578BF9A95E24}"/>
    <cellStyle name="40% - Accent1 3 8 4" xfId="33263" xr:uid="{EF5DDF55-5736-4512-814C-B78AC3A65628}"/>
    <cellStyle name="40% - Accent1 3 9" xfId="10302" xr:uid="{00000000-0005-0000-0000-0000CF2D0000}"/>
    <cellStyle name="40% - Accent1 3 9 2" xfId="34151" xr:uid="{38EAD4C6-63BD-4CF3-B78C-1B57243D54F1}"/>
    <cellStyle name="40% - Accent1 3_Exh G" xfId="2737" xr:uid="{00000000-0005-0000-0000-0000D02D0000}"/>
    <cellStyle name="40% - Accent1 4" xfId="358" xr:uid="{00000000-0005-0000-0000-0000D12D0000}"/>
    <cellStyle name="40% - Accent1 4 10" xfId="18261" xr:uid="{00000000-0005-0000-0000-0000D22D0000}"/>
    <cellStyle name="40% - Accent1 4 10 2" xfId="42093" xr:uid="{8AB15C74-AEAA-458F-A9EA-519AE586F2E7}"/>
    <cellStyle name="40% - Accent1 4 11" xfId="26213" xr:uid="{750D5D7C-7EEB-49C4-B581-8A36F7DCDDBD}"/>
    <cellStyle name="40% - Accent1 4 2" xfId="359" xr:uid="{00000000-0005-0000-0000-0000D32D0000}"/>
    <cellStyle name="40% - Accent1 4 2 10" xfId="26214" xr:uid="{4A756F2B-4B97-400E-BC73-BBDB5BD234E1}"/>
    <cellStyle name="40% - Accent1 4 2 2" xfId="360" xr:uid="{00000000-0005-0000-0000-0000D42D0000}"/>
    <cellStyle name="40% - Accent1 4 2 2 2" xfId="1388" xr:uid="{00000000-0005-0000-0000-0000D52D0000}"/>
    <cellStyle name="40% - Accent1 4 2 2 2 2" xfId="4918" xr:uid="{00000000-0005-0000-0000-0000D62D0000}"/>
    <cellStyle name="40% - Accent1 4 2 2 2 2 2" xfId="8509" xr:uid="{00000000-0005-0000-0000-0000D72D0000}"/>
    <cellStyle name="40% - Accent1 4 2 2 2 2 2 2" xfId="16480" xr:uid="{00000000-0005-0000-0000-0000D82D0000}"/>
    <cellStyle name="40% - Accent1 4 2 2 2 2 2 2 2" xfId="40322" xr:uid="{242E1FD1-E23D-4818-9140-0BBEF439BF71}"/>
    <cellStyle name="40% - Accent1 4 2 2 2 2 2 3" xfId="24426" xr:uid="{00000000-0005-0000-0000-0000D92D0000}"/>
    <cellStyle name="40% - Accent1 4 2 2 2 2 2 3 2" xfId="48258" xr:uid="{965EFBFA-C294-4660-863E-C98E1F9FCD83}"/>
    <cellStyle name="40% - Accent1 4 2 2 2 2 2 4" xfId="32381" xr:uid="{B1F199D4-886F-4611-A1DB-CBE549BF9B09}"/>
    <cellStyle name="40% - Accent1 4 2 2 2 2 3" xfId="12942" xr:uid="{00000000-0005-0000-0000-0000DA2D0000}"/>
    <cellStyle name="40% - Accent1 4 2 2 2 2 3 2" xfId="36791" xr:uid="{97267764-E862-4918-B927-5359F7D91A7C}"/>
    <cellStyle name="40% - Accent1 4 2 2 2 2 4" xfId="20897" xr:uid="{00000000-0005-0000-0000-0000DB2D0000}"/>
    <cellStyle name="40% - Accent1 4 2 2 2 2 4 2" xfId="44729" xr:uid="{6A01973C-56BE-4B88-B719-9005B98FB088}"/>
    <cellStyle name="40% - Accent1 4 2 2 2 2 5" xfId="28850" xr:uid="{96AB3F70-B792-4D9E-8650-D7FE5A7986F2}"/>
    <cellStyle name="40% - Accent1 4 2 2 2 3" xfId="6750" xr:uid="{00000000-0005-0000-0000-0000DC2D0000}"/>
    <cellStyle name="40% - Accent1 4 2 2 2 3 2" xfId="14722" xr:uid="{00000000-0005-0000-0000-0000DD2D0000}"/>
    <cellStyle name="40% - Accent1 4 2 2 2 3 2 2" xfId="38564" xr:uid="{B872B6CA-F118-4C7F-8989-55E94AD9FF8C}"/>
    <cellStyle name="40% - Accent1 4 2 2 2 3 3" xfId="22669" xr:uid="{00000000-0005-0000-0000-0000DE2D0000}"/>
    <cellStyle name="40% - Accent1 4 2 2 2 3 3 2" xfId="46501" xr:uid="{09E7D144-8013-427D-9359-7C106394A61E}"/>
    <cellStyle name="40% - Accent1 4 2 2 2 3 4" xfId="30623" xr:uid="{D141B549-795A-4126-96E8-8A0DDD484E7F}"/>
    <cellStyle name="40% - Accent1 4 2 2 2 4" xfId="11186" xr:uid="{00000000-0005-0000-0000-0000DF2D0000}"/>
    <cellStyle name="40% - Accent1 4 2 2 2 4 2" xfId="35035" xr:uid="{BD5728BD-B8F3-48E7-B59E-E616301BAD5B}"/>
    <cellStyle name="40% - Accent1 4 2 2 2 5" xfId="19141" xr:uid="{00000000-0005-0000-0000-0000E02D0000}"/>
    <cellStyle name="40% - Accent1 4 2 2 2 5 2" xfId="42973" xr:uid="{4C40201F-628A-4445-B812-9F10BF159FCE}"/>
    <cellStyle name="40% - Accent1 4 2 2 2 6" xfId="27093" xr:uid="{796FB32C-CF4B-4F0E-AD1C-6E2104588A9A}"/>
    <cellStyle name="40% - Accent1 4 2 2 2_Exh G" xfId="2752" xr:uid="{00000000-0005-0000-0000-0000E12D0000}"/>
    <cellStyle name="40% - Accent1 4 2 2 3" xfId="4039" xr:uid="{00000000-0005-0000-0000-0000E22D0000}"/>
    <cellStyle name="40% - Accent1 4 2 2 3 2" xfId="7631" xr:uid="{00000000-0005-0000-0000-0000E32D0000}"/>
    <cellStyle name="40% - Accent1 4 2 2 3 2 2" xfId="15602" xr:uid="{00000000-0005-0000-0000-0000E42D0000}"/>
    <cellStyle name="40% - Accent1 4 2 2 3 2 2 2" xfId="39444" xr:uid="{D690EB5E-9A85-47FD-BDFC-E8E6EFC2595C}"/>
    <cellStyle name="40% - Accent1 4 2 2 3 2 3" xfId="23548" xr:uid="{00000000-0005-0000-0000-0000E52D0000}"/>
    <cellStyle name="40% - Accent1 4 2 2 3 2 3 2" xfId="47380" xr:uid="{A9BBFAD7-0BF5-44E6-88EC-4BE247BF0636}"/>
    <cellStyle name="40% - Accent1 4 2 2 3 2 4" xfId="31503" xr:uid="{048A9DA3-CA25-4FD4-AF2C-B3D34C1CB7A9}"/>
    <cellStyle name="40% - Accent1 4 2 2 3 3" xfId="12064" xr:uid="{00000000-0005-0000-0000-0000E62D0000}"/>
    <cellStyle name="40% - Accent1 4 2 2 3 3 2" xfId="35913" xr:uid="{7DDA4D61-68C3-421F-BEB0-F54257C8111D}"/>
    <cellStyle name="40% - Accent1 4 2 2 3 4" xfId="20019" xr:uid="{00000000-0005-0000-0000-0000E72D0000}"/>
    <cellStyle name="40% - Accent1 4 2 2 3 4 2" xfId="43851" xr:uid="{764C200E-D4F9-4158-86B9-925F318A4B29}"/>
    <cellStyle name="40% - Accent1 4 2 2 3 5" xfId="27972" xr:uid="{D105AEAF-6D8D-4CF6-BEAA-C063581B220E}"/>
    <cellStyle name="40% - Accent1 4 2 2 4" xfId="5859" xr:uid="{00000000-0005-0000-0000-0000E82D0000}"/>
    <cellStyle name="40% - Accent1 4 2 2 4 2" xfId="13843" xr:uid="{00000000-0005-0000-0000-0000E92D0000}"/>
    <cellStyle name="40% - Accent1 4 2 2 4 2 2" xfId="37686" xr:uid="{BA0696AE-68C9-4111-81DC-9BDB71D6B44F}"/>
    <cellStyle name="40% - Accent1 4 2 2 4 3" xfId="21791" xr:uid="{00000000-0005-0000-0000-0000EA2D0000}"/>
    <cellStyle name="40% - Accent1 4 2 2 4 3 2" xfId="45623" xr:uid="{9077A030-72D1-4B36-878B-DCF54212709E}"/>
    <cellStyle name="40% - Accent1 4 2 2 4 4" xfId="29745" xr:uid="{5A207929-B19B-4F04-9CAE-CE69B5232082}"/>
    <cellStyle name="40% - Accent1 4 2 2 5" xfId="9412" xr:uid="{00000000-0005-0000-0000-0000EB2D0000}"/>
    <cellStyle name="40% - Accent1 4 2 2 5 2" xfId="17370" xr:uid="{00000000-0005-0000-0000-0000EC2D0000}"/>
    <cellStyle name="40% - Accent1 4 2 2 5 2 2" xfId="41210" xr:uid="{B0615243-E162-4491-B598-91165C860A14}"/>
    <cellStyle name="40% - Accent1 4 2 2 5 3" xfId="25314" xr:uid="{00000000-0005-0000-0000-0000ED2D0000}"/>
    <cellStyle name="40% - Accent1 4 2 2 5 3 2" xfId="49146" xr:uid="{C1B08A9D-2024-4477-8EF2-5BAB9E25E503}"/>
    <cellStyle name="40% - Accent1 4 2 2 5 4" xfId="33269" xr:uid="{ED428F9D-61B9-48BD-923F-6EE2D6FD7534}"/>
    <cellStyle name="40% - Accent1 4 2 2 6" xfId="10308" xr:uid="{00000000-0005-0000-0000-0000EE2D0000}"/>
    <cellStyle name="40% - Accent1 4 2 2 6 2" xfId="34157" xr:uid="{7C6BA1F5-6F29-49C1-8D1D-D8EC6A463ED0}"/>
    <cellStyle name="40% - Accent1 4 2 2 7" xfId="18263" xr:uid="{00000000-0005-0000-0000-0000EF2D0000}"/>
    <cellStyle name="40% - Accent1 4 2 2 7 2" xfId="42095" xr:uid="{35814A27-E2F4-4930-85C8-53F9AF0CF823}"/>
    <cellStyle name="40% - Accent1 4 2 2 8" xfId="26215" xr:uid="{06DE5383-C15B-4576-9B52-0C4A020DB0B7}"/>
    <cellStyle name="40% - Accent1 4 2 2_Exh G" xfId="2751" xr:uid="{00000000-0005-0000-0000-0000F02D0000}"/>
    <cellStyle name="40% - Accent1 4 2 3" xfId="940" xr:uid="{00000000-0005-0000-0000-0000F12D0000}"/>
    <cellStyle name="40% - Accent1 4 2 3 2" xfId="1864" xr:uid="{00000000-0005-0000-0000-0000F22D0000}"/>
    <cellStyle name="40% - Accent1 4 2 3 2 2" xfId="5382" xr:uid="{00000000-0005-0000-0000-0000F32D0000}"/>
    <cellStyle name="40% - Accent1 4 2 3 2 2 2" xfId="8973" xr:uid="{00000000-0005-0000-0000-0000F42D0000}"/>
    <cellStyle name="40% - Accent1 4 2 3 2 2 2 2" xfId="16944" xr:uid="{00000000-0005-0000-0000-0000F52D0000}"/>
    <cellStyle name="40% - Accent1 4 2 3 2 2 2 2 2" xfId="40786" xr:uid="{BA74C154-7103-4433-B716-39BC7890A004}"/>
    <cellStyle name="40% - Accent1 4 2 3 2 2 2 3" xfId="24890" xr:uid="{00000000-0005-0000-0000-0000F62D0000}"/>
    <cellStyle name="40% - Accent1 4 2 3 2 2 2 3 2" xfId="48722" xr:uid="{89D27DEC-A00A-4427-9208-383F4EAA5907}"/>
    <cellStyle name="40% - Accent1 4 2 3 2 2 2 4" xfId="32845" xr:uid="{DA76F6C7-D01E-4223-A593-512DFF23C284}"/>
    <cellStyle name="40% - Accent1 4 2 3 2 2 3" xfId="13406" xr:uid="{00000000-0005-0000-0000-0000F72D0000}"/>
    <cellStyle name="40% - Accent1 4 2 3 2 2 3 2" xfId="37255" xr:uid="{FE974967-0BB9-46EE-880A-F34338778318}"/>
    <cellStyle name="40% - Accent1 4 2 3 2 2 4" xfId="21361" xr:uid="{00000000-0005-0000-0000-0000F82D0000}"/>
    <cellStyle name="40% - Accent1 4 2 3 2 2 4 2" xfId="45193" xr:uid="{B03827E6-60B0-4B45-83C8-428F99A6F442}"/>
    <cellStyle name="40% - Accent1 4 2 3 2 2 5" xfId="29314" xr:uid="{780792B0-658F-47E4-8F65-3218E51446C4}"/>
    <cellStyle name="40% - Accent1 4 2 3 2 3" xfId="7214" xr:uid="{00000000-0005-0000-0000-0000F92D0000}"/>
    <cellStyle name="40% - Accent1 4 2 3 2 3 2" xfId="15186" xr:uid="{00000000-0005-0000-0000-0000FA2D0000}"/>
    <cellStyle name="40% - Accent1 4 2 3 2 3 2 2" xfId="39028" xr:uid="{7494817D-0FCF-4E82-B752-50B126306D4D}"/>
    <cellStyle name="40% - Accent1 4 2 3 2 3 3" xfId="23133" xr:uid="{00000000-0005-0000-0000-0000FB2D0000}"/>
    <cellStyle name="40% - Accent1 4 2 3 2 3 3 2" xfId="46965" xr:uid="{F387AFEE-E81A-4462-9946-EE64431D5142}"/>
    <cellStyle name="40% - Accent1 4 2 3 2 3 4" xfId="31087" xr:uid="{89029B58-7336-4388-B77D-F4086C221E27}"/>
    <cellStyle name="40% - Accent1 4 2 3 2 4" xfId="11650" xr:uid="{00000000-0005-0000-0000-0000FC2D0000}"/>
    <cellStyle name="40% - Accent1 4 2 3 2 4 2" xfId="35499" xr:uid="{E2697938-79BB-4E72-86FC-BD091412A515}"/>
    <cellStyle name="40% - Accent1 4 2 3 2 5" xfId="19605" xr:uid="{00000000-0005-0000-0000-0000FD2D0000}"/>
    <cellStyle name="40% - Accent1 4 2 3 2 5 2" xfId="43437" xr:uid="{7B2532D6-3776-48EE-A474-5A9F5B4E99FD}"/>
    <cellStyle name="40% - Accent1 4 2 3 2 6" xfId="27557" xr:uid="{0770A697-E642-421D-A78F-71797DAFD94F}"/>
    <cellStyle name="40% - Accent1 4 2 3 2_Exh G" xfId="2754" xr:uid="{00000000-0005-0000-0000-0000FE2D0000}"/>
    <cellStyle name="40% - Accent1 4 2 3 3" xfId="4503" xr:uid="{00000000-0005-0000-0000-0000FF2D0000}"/>
    <cellStyle name="40% - Accent1 4 2 3 3 2" xfId="8095" xr:uid="{00000000-0005-0000-0000-0000002E0000}"/>
    <cellStyle name="40% - Accent1 4 2 3 3 2 2" xfId="16066" xr:uid="{00000000-0005-0000-0000-0000012E0000}"/>
    <cellStyle name="40% - Accent1 4 2 3 3 2 2 2" xfId="39908" xr:uid="{A6672A79-CE17-4691-AD23-AA823F35264F}"/>
    <cellStyle name="40% - Accent1 4 2 3 3 2 3" xfId="24012" xr:uid="{00000000-0005-0000-0000-0000022E0000}"/>
    <cellStyle name="40% - Accent1 4 2 3 3 2 3 2" xfId="47844" xr:uid="{5CEFF0E0-5002-40DC-8C91-DDC39957427A}"/>
    <cellStyle name="40% - Accent1 4 2 3 3 2 4" xfId="31967" xr:uid="{2A86A202-6738-4F9A-AE5B-DDD59C39B1AE}"/>
    <cellStyle name="40% - Accent1 4 2 3 3 3" xfId="12528" xr:uid="{00000000-0005-0000-0000-0000032E0000}"/>
    <cellStyle name="40% - Accent1 4 2 3 3 3 2" xfId="36377" xr:uid="{3D46C1ED-D87E-44EB-A621-46E43EA2254A}"/>
    <cellStyle name="40% - Accent1 4 2 3 3 4" xfId="20483" xr:uid="{00000000-0005-0000-0000-0000042E0000}"/>
    <cellStyle name="40% - Accent1 4 2 3 3 4 2" xfId="44315" xr:uid="{8A92B07D-3FF5-42CC-9782-FA425A4BD7E0}"/>
    <cellStyle name="40% - Accent1 4 2 3 3 5" xfId="28436" xr:uid="{3810349B-4995-466E-8F39-5C0C14AE11C2}"/>
    <cellStyle name="40% - Accent1 4 2 3 4" xfId="6333" xr:uid="{00000000-0005-0000-0000-0000052E0000}"/>
    <cellStyle name="40% - Accent1 4 2 3 4 2" xfId="14308" xr:uid="{00000000-0005-0000-0000-0000062E0000}"/>
    <cellStyle name="40% - Accent1 4 2 3 4 2 2" xfId="38150" xr:uid="{37407FB6-3AA7-456A-8A9B-F3618843E56D}"/>
    <cellStyle name="40% - Accent1 4 2 3 4 3" xfId="22255" xr:uid="{00000000-0005-0000-0000-0000072E0000}"/>
    <cellStyle name="40% - Accent1 4 2 3 4 3 2" xfId="46087" xr:uid="{9A73861C-9F6B-4B89-BFBF-14AF5C4D13B0}"/>
    <cellStyle name="40% - Accent1 4 2 3 4 4" xfId="30209" xr:uid="{37C72442-5273-4220-A16F-A508023CD240}"/>
    <cellStyle name="40% - Accent1 4 2 3 5" xfId="9876" xr:uid="{00000000-0005-0000-0000-0000082E0000}"/>
    <cellStyle name="40% - Accent1 4 2 3 5 2" xfId="17834" xr:uid="{00000000-0005-0000-0000-0000092E0000}"/>
    <cellStyle name="40% - Accent1 4 2 3 5 2 2" xfId="41674" xr:uid="{20A4B931-5517-42FC-9A6D-FD0273012774}"/>
    <cellStyle name="40% - Accent1 4 2 3 5 3" xfId="25778" xr:uid="{00000000-0005-0000-0000-00000A2E0000}"/>
    <cellStyle name="40% - Accent1 4 2 3 5 3 2" xfId="49610" xr:uid="{8723D959-6323-4E56-BC39-941CE8CCF797}"/>
    <cellStyle name="40% - Accent1 4 2 3 5 4" xfId="33733" xr:uid="{DE6D472E-4B81-4E31-873F-F6F9D6A40A0B}"/>
    <cellStyle name="40% - Accent1 4 2 3 6" xfId="10772" xr:uid="{00000000-0005-0000-0000-00000B2E0000}"/>
    <cellStyle name="40% - Accent1 4 2 3 6 2" xfId="34621" xr:uid="{432EDFCA-AE75-46F9-B257-A0FAA0488A7A}"/>
    <cellStyle name="40% - Accent1 4 2 3 7" xfId="18727" xr:uid="{00000000-0005-0000-0000-00000C2E0000}"/>
    <cellStyle name="40% - Accent1 4 2 3 7 2" xfId="42559" xr:uid="{75993D4F-524E-4600-AE43-DA532F9D6EE2}"/>
    <cellStyle name="40% - Accent1 4 2 3 8" xfId="26679" xr:uid="{E176C70B-2EC5-4CD1-AF72-932273EA3A8C}"/>
    <cellStyle name="40% - Accent1 4 2 3_Exh G" xfId="2753" xr:uid="{00000000-0005-0000-0000-00000D2E0000}"/>
    <cellStyle name="40% - Accent1 4 2 4" xfId="1387" xr:uid="{00000000-0005-0000-0000-00000E2E0000}"/>
    <cellStyle name="40% - Accent1 4 2 4 2" xfId="4917" xr:uid="{00000000-0005-0000-0000-00000F2E0000}"/>
    <cellStyle name="40% - Accent1 4 2 4 2 2" xfId="8508" xr:uid="{00000000-0005-0000-0000-0000102E0000}"/>
    <cellStyle name="40% - Accent1 4 2 4 2 2 2" xfId="16479" xr:uid="{00000000-0005-0000-0000-0000112E0000}"/>
    <cellStyle name="40% - Accent1 4 2 4 2 2 2 2" xfId="40321" xr:uid="{DE614F41-0484-402E-AC64-A92A0ADEB7E0}"/>
    <cellStyle name="40% - Accent1 4 2 4 2 2 3" xfId="24425" xr:uid="{00000000-0005-0000-0000-0000122E0000}"/>
    <cellStyle name="40% - Accent1 4 2 4 2 2 3 2" xfId="48257" xr:uid="{F89DC565-FCC4-4163-8A42-503E687FB310}"/>
    <cellStyle name="40% - Accent1 4 2 4 2 2 4" xfId="32380" xr:uid="{57FCEB0F-85A0-44E3-90B1-D1BE9EB4AE51}"/>
    <cellStyle name="40% - Accent1 4 2 4 2 3" xfId="12941" xr:uid="{00000000-0005-0000-0000-0000132E0000}"/>
    <cellStyle name="40% - Accent1 4 2 4 2 3 2" xfId="36790" xr:uid="{507BF25F-D043-4C99-9DCC-F409E2130C63}"/>
    <cellStyle name="40% - Accent1 4 2 4 2 4" xfId="20896" xr:uid="{00000000-0005-0000-0000-0000142E0000}"/>
    <cellStyle name="40% - Accent1 4 2 4 2 4 2" xfId="44728" xr:uid="{AA7C9970-76D0-4EF0-8B40-817C2AEEE2B3}"/>
    <cellStyle name="40% - Accent1 4 2 4 2 5" xfId="28849" xr:uid="{2B39030B-EA7A-4D01-948C-62F047DE1924}"/>
    <cellStyle name="40% - Accent1 4 2 4 3" xfId="6749" xr:uid="{00000000-0005-0000-0000-0000152E0000}"/>
    <cellStyle name="40% - Accent1 4 2 4 3 2" xfId="14721" xr:uid="{00000000-0005-0000-0000-0000162E0000}"/>
    <cellStyle name="40% - Accent1 4 2 4 3 2 2" xfId="38563" xr:uid="{8AECF963-F808-4E3D-88E1-EE9F5855BC08}"/>
    <cellStyle name="40% - Accent1 4 2 4 3 3" xfId="22668" xr:uid="{00000000-0005-0000-0000-0000172E0000}"/>
    <cellStyle name="40% - Accent1 4 2 4 3 3 2" xfId="46500" xr:uid="{2F53A9EC-ABFE-4566-A9FF-E3E2878EA027}"/>
    <cellStyle name="40% - Accent1 4 2 4 3 4" xfId="30622" xr:uid="{959E1A58-262D-43B3-9921-40B95C224F75}"/>
    <cellStyle name="40% - Accent1 4 2 4 4" xfId="11185" xr:uid="{00000000-0005-0000-0000-0000182E0000}"/>
    <cellStyle name="40% - Accent1 4 2 4 4 2" xfId="35034" xr:uid="{95409BC9-59E7-472E-A9B4-D9D006776F68}"/>
    <cellStyle name="40% - Accent1 4 2 4 5" xfId="19140" xr:uid="{00000000-0005-0000-0000-0000192E0000}"/>
    <cellStyle name="40% - Accent1 4 2 4 5 2" xfId="42972" xr:uid="{F8B644B3-82F3-480B-A17F-701FEB90D326}"/>
    <cellStyle name="40% - Accent1 4 2 4 6" xfId="27092" xr:uid="{E43C0CBB-B236-48BF-BF60-18F1066BEE66}"/>
    <cellStyle name="40% - Accent1 4 2 4_Exh G" xfId="2755" xr:uid="{00000000-0005-0000-0000-00001A2E0000}"/>
    <cellStyle name="40% - Accent1 4 2 5" xfId="4038" xr:uid="{00000000-0005-0000-0000-00001B2E0000}"/>
    <cellStyle name="40% - Accent1 4 2 5 2" xfId="7630" xr:uid="{00000000-0005-0000-0000-00001C2E0000}"/>
    <cellStyle name="40% - Accent1 4 2 5 2 2" xfId="15601" xr:uid="{00000000-0005-0000-0000-00001D2E0000}"/>
    <cellStyle name="40% - Accent1 4 2 5 2 2 2" xfId="39443" xr:uid="{F26C1010-5465-475B-AF59-19F4ADEE4921}"/>
    <cellStyle name="40% - Accent1 4 2 5 2 3" xfId="23547" xr:uid="{00000000-0005-0000-0000-00001E2E0000}"/>
    <cellStyle name="40% - Accent1 4 2 5 2 3 2" xfId="47379" xr:uid="{8E808D66-AF9C-465A-927B-2E8F7762AAED}"/>
    <cellStyle name="40% - Accent1 4 2 5 2 4" xfId="31502" xr:uid="{3324368B-B4D1-4968-B34D-A42492F2602A}"/>
    <cellStyle name="40% - Accent1 4 2 5 3" xfId="12063" xr:uid="{00000000-0005-0000-0000-00001F2E0000}"/>
    <cellStyle name="40% - Accent1 4 2 5 3 2" xfId="35912" xr:uid="{8D2FAF3A-06CC-4CD2-90FE-C9E901652FAC}"/>
    <cellStyle name="40% - Accent1 4 2 5 4" xfId="20018" xr:uid="{00000000-0005-0000-0000-0000202E0000}"/>
    <cellStyle name="40% - Accent1 4 2 5 4 2" xfId="43850" xr:uid="{C268BE00-760D-4387-9E82-23EE1089E69A}"/>
    <cellStyle name="40% - Accent1 4 2 5 5" xfId="27971" xr:uid="{19F21882-8FDD-4BA4-8C6C-923B0743E8CD}"/>
    <cellStyle name="40% - Accent1 4 2 6" xfId="5858" xr:uid="{00000000-0005-0000-0000-0000212E0000}"/>
    <cellStyle name="40% - Accent1 4 2 6 2" xfId="13842" xr:uid="{00000000-0005-0000-0000-0000222E0000}"/>
    <cellStyle name="40% - Accent1 4 2 6 2 2" xfId="37685" xr:uid="{887CB0D3-608B-4868-8AF3-B1C1988BADE4}"/>
    <cellStyle name="40% - Accent1 4 2 6 3" xfId="21790" xr:uid="{00000000-0005-0000-0000-0000232E0000}"/>
    <cellStyle name="40% - Accent1 4 2 6 3 2" xfId="45622" xr:uid="{90EA8E07-242F-4CA2-A817-DCA2A2830981}"/>
    <cellStyle name="40% - Accent1 4 2 6 4" xfId="29744" xr:uid="{0DCF0552-A1AA-482E-B339-1E5021DC2C21}"/>
    <cellStyle name="40% - Accent1 4 2 7" xfId="9411" xr:uid="{00000000-0005-0000-0000-0000242E0000}"/>
    <cellStyle name="40% - Accent1 4 2 7 2" xfId="17369" xr:uid="{00000000-0005-0000-0000-0000252E0000}"/>
    <cellStyle name="40% - Accent1 4 2 7 2 2" xfId="41209" xr:uid="{C5AD02D6-0264-4501-AFA9-E4549A413A97}"/>
    <cellStyle name="40% - Accent1 4 2 7 3" xfId="25313" xr:uid="{00000000-0005-0000-0000-0000262E0000}"/>
    <cellStyle name="40% - Accent1 4 2 7 3 2" xfId="49145" xr:uid="{6A062312-3F21-4188-A123-15BB377BE11B}"/>
    <cellStyle name="40% - Accent1 4 2 7 4" xfId="33268" xr:uid="{53E24515-2577-4A80-B67E-7C7B693296CB}"/>
    <cellStyle name="40% - Accent1 4 2 8" xfId="10307" xr:uid="{00000000-0005-0000-0000-0000272E0000}"/>
    <cellStyle name="40% - Accent1 4 2 8 2" xfId="34156" xr:uid="{AEAB8B87-5C69-4B89-9C8E-80CBFBF0FFD1}"/>
    <cellStyle name="40% - Accent1 4 2 9" xfId="18262" xr:uid="{00000000-0005-0000-0000-0000282E0000}"/>
    <cellStyle name="40% - Accent1 4 2 9 2" xfId="42094" xr:uid="{B67FC8CD-DEF5-43E8-BEE3-1ECB60534B49}"/>
    <cellStyle name="40% - Accent1 4 2_Exh G" xfId="2750" xr:uid="{00000000-0005-0000-0000-0000292E0000}"/>
    <cellStyle name="40% - Accent1 4 3" xfId="361" xr:uid="{00000000-0005-0000-0000-00002A2E0000}"/>
    <cellStyle name="40% - Accent1 4 3 2" xfId="1389" xr:uid="{00000000-0005-0000-0000-00002B2E0000}"/>
    <cellStyle name="40% - Accent1 4 3 2 2" xfId="4919" xr:uid="{00000000-0005-0000-0000-00002C2E0000}"/>
    <cellStyle name="40% - Accent1 4 3 2 2 2" xfId="8510" xr:uid="{00000000-0005-0000-0000-00002D2E0000}"/>
    <cellStyle name="40% - Accent1 4 3 2 2 2 2" xfId="16481" xr:uid="{00000000-0005-0000-0000-00002E2E0000}"/>
    <cellStyle name="40% - Accent1 4 3 2 2 2 2 2" xfId="40323" xr:uid="{536A271F-543D-4409-B31D-B59435BAFDB1}"/>
    <cellStyle name="40% - Accent1 4 3 2 2 2 3" xfId="24427" xr:uid="{00000000-0005-0000-0000-00002F2E0000}"/>
    <cellStyle name="40% - Accent1 4 3 2 2 2 3 2" xfId="48259" xr:uid="{F0C7C8F1-1F87-427E-8B38-D959408BFDE5}"/>
    <cellStyle name="40% - Accent1 4 3 2 2 2 4" xfId="32382" xr:uid="{0FA2EF1E-F6FC-4619-BAB8-15585FB12429}"/>
    <cellStyle name="40% - Accent1 4 3 2 2 3" xfId="12943" xr:uid="{00000000-0005-0000-0000-0000302E0000}"/>
    <cellStyle name="40% - Accent1 4 3 2 2 3 2" xfId="36792" xr:uid="{65907683-7A6D-4D08-904B-AA454B0BADB2}"/>
    <cellStyle name="40% - Accent1 4 3 2 2 4" xfId="20898" xr:uid="{00000000-0005-0000-0000-0000312E0000}"/>
    <cellStyle name="40% - Accent1 4 3 2 2 4 2" xfId="44730" xr:uid="{FA7F0B4A-B57E-4D83-BB2B-04993C413684}"/>
    <cellStyle name="40% - Accent1 4 3 2 2 5" xfId="28851" xr:uid="{335449B1-6F48-49B6-92A2-3114C844F136}"/>
    <cellStyle name="40% - Accent1 4 3 2 3" xfId="6751" xr:uid="{00000000-0005-0000-0000-0000322E0000}"/>
    <cellStyle name="40% - Accent1 4 3 2 3 2" xfId="14723" xr:uid="{00000000-0005-0000-0000-0000332E0000}"/>
    <cellStyle name="40% - Accent1 4 3 2 3 2 2" xfId="38565" xr:uid="{C19B7709-DA43-4DA1-B94C-502BF4E3E94F}"/>
    <cellStyle name="40% - Accent1 4 3 2 3 3" xfId="22670" xr:uid="{00000000-0005-0000-0000-0000342E0000}"/>
    <cellStyle name="40% - Accent1 4 3 2 3 3 2" xfId="46502" xr:uid="{5D0A5B88-A36E-45B3-8852-79B3BA4C96C1}"/>
    <cellStyle name="40% - Accent1 4 3 2 3 4" xfId="30624" xr:uid="{14A330B1-CDD3-4561-AFB6-5DA2AC71F00C}"/>
    <cellStyle name="40% - Accent1 4 3 2 4" xfId="11187" xr:uid="{00000000-0005-0000-0000-0000352E0000}"/>
    <cellStyle name="40% - Accent1 4 3 2 4 2" xfId="35036" xr:uid="{4D0261E2-C4D8-43A0-A460-B525B5890B6C}"/>
    <cellStyle name="40% - Accent1 4 3 2 5" xfId="19142" xr:uid="{00000000-0005-0000-0000-0000362E0000}"/>
    <cellStyle name="40% - Accent1 4 3 2 5 2" xfId="42974" xr:uid="{78B9C065-7E76-4F75-8E11-496F24BE5F18}"/>
    <cellStyle name="40% - Accent1 4 3 2 6" xfId="27094" xr:uid="{CAFC2F7B-0732-4835-BA6A-99424F8AADB2}"/>
    <cellStyle name="40% - Accent1 4 3 2_Exh G" xfId="2757" xr:uid="{00000000-0005-0000-0000-0000372E0000}"/>
    <cellStyle name="40% - Accent1 4 3 3" xfId="4040" xr:uid="{00000000-0005-0000-0000-0000382E0000}"/>
    <cellStyle name="40% - Accent1 4 3 3 2" xfId="7632" xr:uid="{00000000-0005-0000-0000-0000392E0000}"/>
    <cellStyle name="40% - Accent1 4 3 3 2 2" xfId="15603" xr:uid="{00000000-0005-0000-0000-00003A2E0000}"/>
    <cellStyle name="40% - Accent1 4 3 3 2 2 2" xfId="39445" xr:uid="{690D1705-C8C5-4DC3-BCBA-30883A46ECD1}"/>
    <cellStyle name="40% - Accent1 4 3 3 2 3" xfId="23549" xr:uid="{00000000-0005-0000-0000-00003B2E0000}"/>
    <cellStyle name="40% - Accent1 4 3 3 2 3 2" xfId="47381" xr:uid="{C2AB2407-CA94-4A6A-8CD7-F272CB75FBD3}"/>
    <cellStyle name="40% - Accent1 4 3 3 2 4" xfId="31504" xr:uid="{53190FCB-D0CD-45F8-84DA-206983EB8FC1}"/>
    <cellStyle name="40% - Accent1 4 3 3 3" xfId="12065" xr:uid="{00000000-0005-0000-0000-00003C2E0000}"/>
    <cellStyle name="40% - Accent1 4 3 3 3 2" xfId="35914" xr:uid="{B2A79AE5-6C89-471A-BE34-4DB5D61C7D99}"/>
    <cellStyle name="40% - Accent1 4 3 3 4" xfId="20020" xr:uid="{00000000-0005-0000-0000-00003D2E0000}"/>
    <cellStyle name="40% - Accent1 4 3 3 4 2" xfId="43852" xr:uid="{E51E97BB-53F5-4D3D-908C-C5BB9746FD63}"/>
    <cellStyle name="40% - Accent1 4 3 3 5" xfId="27973" xr:uid="{4A369DAE-A063-488A-A6C4-8838E2614A12}"/>
    <cellStyle name="40% - Accent1 4 3 4" xfId="5860" xr:uid="{00000000-0005-0000-0000-00003E2E0000}"/>
    <cellStyle name="40% - Accent1 4 3 4 2" xfId="13844" xr:uid="{00000000-0005-0000-0000-00003F2E0000}"/>
    <cellStyle name="40% - Accent1 4 3 4 2 2" xfId="37687" xr:uid="{E078E483-C919-4923-B9C0-AFF8A4FF89A3}"/>
    <cellStyle name="40% - Accent1 4 3 4 3" xfId="21792" xr:uid="{00000000-0005-0000-0000-0000402E0000}"/>
    <cellStyle name="40% - Accent1 4 3 4 3 2" xfId="45624" xr:uid="{4C34C3EE-CEE3-4BF3-AF31-5F028028578A}"/>
    <cellStyle name="40% - Accent1 4 3 4 4" xfId="29746" xr:uid="{92BDD455-9D8B-42DD-9DC8-1C4F543B5ED3}"/>
    <cellStyle name="40% - Accent1 4 3 5" xfId="9413" xr:uid="{00000000-0005-0000-0000-0000412E0000}"/>
    <cellStyle name="40% - Accent1 4 3 5 2" xfId="17371" xr:uid="{00000000-0005-0000-0000-0000422E0000}"/>
    <cellStyle name="40% - Accent1 4 3 5 2 2" xfId="41211" xr:uid="{2E3575A6-2DA7-4EF0-BD0D-BC5F963C699C}"/>
    <cellStyle name="40% - Accent1 4 3 5 3" xfId="25315" xr:uid="{00000000-0005-0000-0000-0000432E0000}"/>
    <cellStyle name="40% - Accent1 4 3 5 3 2" xfId="49147" xr:uid="{C0D9BF74-E0F3-44C2-9186-BCA693BBF73F}"/>
    <cellStyle name="40% - Accent1 4 3 5 4" xfId="33270" xr:uid="{CD442C0A-E488-4BD6-89FC-A37335286641}"/>
    <cellStyle name="40% - Accent1 4 3 6" xfId="10309" xr:uid="{00000000-0005-0000-0000-0000442E0000}"/>
    <cellStyle name="40% - Accent1 4 3 6 2" xfId="34158" xr:uid="{6846EB11-7B8A-480C-BC02-E372CAC40817}"/>
    <cellStyle name="40% - Accent1 4 3 7" xfId="18264" xr:uid="{00000000-0005-0000-0000-0000452E0000}"/>
    <cellStyle name="40% - Accent1 4 3 7 2" xfId="42096" xr:uid="{23EB82AA-FFE9-47C4-920B-2EDFB66AA567}"/>
    <cellStyle name="40% - Accent1 4 3 8" xfId="26216" xr:uid="{36D311BC-E08E-4CFC-982A-C9E0C0B6D79D}"/>
    <cellStyle name="40% - Accent1 4 3_Exh G" xfId="2756" xr:uid="{00000000-0005-0000-0000-0000462E0000}"/>
    <cellStyle name="40% - Accent1 4 4" xfId="939" xr:uid="{00000000-0005-0000-0000-0000472E0000}"/>
    <cellStyle name="40% - Accent1 4 4 2" xfId="1863" xr:uid="{00000000-0005-0000-0000-0000482E0000}"/>
    <cellStyle name="40% - Accent1 4 4 2 2" xfId="5381" xr:uid="{00000000-0005-0000-0000-0000492E0000}"/>
    <cellStyle name="40% - Accent1 4 4 2 2 2" xfId="8972" xr:uid="{00000000-0005-0000-0000-00004A2E0000}"/>
    <cellStyle name="40% - Accent1 4 4 2 2 2 2" xfId="16943" xr:uid="{00000000-0005-0000-0000-00004B2E0000}"/>
    <cellStyle name="40% - Accent1 4 4 2 2 2 2 2" xfId="40785" xr:uid="{E6E8E236-40BB-4726-B84F-F124374FDEBB}"/>
    <cellStyle name="40% - Accent1 4 4 2 2 2 3" xfId="24889" xr:uid="{00000000-0005-0000-0000-00004C2E0000}"/>
    <cellStyle name="40% - Accent1 4 4 2 2 2 3 2" xfId="48721" xr:uid="{A37742AD-5489-4722-A6DA-234F32F4B073}"/>
    <cellStyle name="40% - Accent1 4 4 2 2 2 4" xfId="32844" xr:uid="{C3320492-3870-431D-B251-DF2036E52574}"/>
    <cellStyle name="40% - Accent1 4 4 2 2 3" xfId="13405" xr:uid="{00000000-0005-0000-0000-00004D2E0000}"/>
    <cellStyle name="40% - Accent1 4 4 2 2 3 2" xfId="37254" xr:uid="{B16FA946-76B7-4A89-9B61-D99483A81340}"/>
    <cellStyle name="40% - Accent1 4 4 2 2 4" xfId="21360" xr:uid="{00000000-0005-0000-0000-00004E2E0000}"/>
    <cellStyle name="40% - Accent1 4 4 2 2 4 2" xfId="45192" xr:uid="{5BB486CB-37C5-45F8-A978-E76CC03437C3}"/>
    <cellStyle name="40% - Accent1 4 4 2 2 5" xfId="29313" xr:uid="{098A8C1B-C58C-4A59-A6FA-2A334844D991}"/>
    <cellStyle name="40% - Accent1 4 4 2 3" xfId="7213" xr:uid="{00000000-0005-0000-0000-00004F2E0000}"/>
    <cellStyle name="40% - Accent1 4 4 2 3 2" xfId="15185" xr:uid="{00000000-0005-0000-0000-0000502E0000}"/>
    <cellStyle name="40% - Accent1 4 4 2 3 2 2" xfId="39027" xr:uid="{092C8516-78E6-47E0-8497-5068FC50BDCE}"/>
    <cellStyle name="40% - Accent1 4 4 2 3 3" xfId="23132" xr:uid="{00000000-0005-0000-0000-0000512E0000}"/>
    <cellStyle name="40% - Accent1 4 4 2 3 3 2" xfId="46964" xr:uid="{34666B23-A0A7-479E-A358-2AB24D2D4A11}"/>
    <cellStyle name="40% - Accent1 4 4 2 3 4" xfId="31086" xr:uid="{9142E8FA-C98B-4107-ABD9-A37ED2444869}"/>
    <cellStyle name="40% - Accent1 4 4 2 4" xfId="11649" xr:uid="{00000000-0005-0000-0000-0000522E0000}"/>
    <cellStyle name="40% - Accent1 4 4 2 4 2" xfId="35498" xr:uid="{8212AC0F-A038-4BDD-B84B-0A9A2EF0DA54}"/>
    <cellStyle name="40% - Accent1 4 4 2 5" xfId="19604" xr:uid="{00000000-0005-0000-0000-0000532E0000}"/>
    <cellStyle name="40% - Accent1 4 4 2 5 2" xfId="43436" xr:uid="{03103247-18A5-440C-AD3A-45B93AE7BE26}"/>
    <cellStyle name="40% - Accent1 4 4 2 6" xfId="27556" xr:uid="{E815F873-8BA9-4F89-9D6C-82812B6F377F}"/>
    <cellStyle name="40% - Accent1 4 4 2_Exh G" xfId="2759" xr:uid="{00000000-0005-0000-0000-0000542E0000}"/>
    <cellStyle name="40% - Accent1 4 4 3" xfId="4502" xr:uid="{00000000-0005-0000-0000-0000552E0000}"/>
    <cellStyle name="40% - Accent1 4 4 3 2" xfId="8094" xr:uid="{00000000-0005-0000-0000-0000562E0000}"/>
    <cellStyle name="40% - Accent1 4 4 3 2 2" xfId="16065" xr:uid="{00000000-0005-0000-0000-0000572E0000}"/>
    <cellStyle name="40% - Accent1 4 4 3 2 2 2" xfId="39907" xr:uid="{B2C196D1-65F1-4893-BCB7-30300D1A157D}"/>
    <cellStyle name="40% - Accent1 4 4 3 2 3" xfId="24011" xr:uid="{00000000-0005-0000-0000-0000582E0000}"/>
    <cellStyle name="40% - Accent1 4 4 3 2 3 2" xfId="47843" xr:uid="{95FAD7BF-99D7-42A8-B6B1-89BC4C2D312F}"/>
    <cellStyle name="40% - Accent1 4 4 3 2 4" xfId="31966" xr:uid="{D53EB632-64B0-4958-A2BB-1C51FF73D898}"/>
    <cellStyle name="40% - Accent1 4 4 3 3" xfId="12527" xr:uid="{00000000-0005-0000-0000-0000592E0000}"/>
    <cellStyle name="40% - Accent1 4 4 3 3 2" xfId="36376" xr:uid="{055659CA-8167-4D7F-B2CD-30551B20C691}"/>
    <cellStyle name="40% - Accent1 4 4 3 4" xfId="20482" xr:uid="{00000000-0005-0000-0000-00005A2E0000}"/>
    <cellStyle name="40% - Accent1 4 4 3 4 2" xfId="44314" xr:uid="{8DCC20A4-073A-4C8D-BFC5-D3A4C10AFFFF}"/>
    <cellStyle name="40% - Accent1 4 4 3 5" xfId="28435" xr:uid="{6CF82CDA-F9B5-42A5-883C-8CBC43457C29}"/>
    <cellStyle name="40% - Accent1 4 4 4" xfId="6332" xr:uid="{00000000-0005-0000-0000-00005B2E0000}"/>
    <cellStyle name="40% - Accent1 4 4 4 2" xfId="14307" xr:uid="{00000000-0005-0000-0000-00005C2E0000}"/>
    <cellStyle name="40% - Accent1 4 4 4 2 2" xfId="38149" xr:uid="{21E27E65-AA14-497C-ABF1-E1AF8E6A3D56}"/>
    <cellStyle name="40% - Accent1 4 4 4 3" xfId="22254" xr:uid="{00000000-0005-0000-0000-00005D2E0000}"/>
    <cellStyle name="40% - Accent1 4 4 4 3 2" xfId="46086" xr:uid="{83AA426B-5484-4FA0-97E6-F1E7E63B6CBE}"/>
    <cellStyle name="40% - Accent1 4 4 4 4" xfId="30208" xr:uid="{EA3D3C94-7964-4F85-B46C-D649283AA7C6}"/>
    <cellStyle name="40% - Accent1 4 4 5" xfId="9875" xr:uid="{00000000-0005-0000-0000-00005E2E0000}"/>
    <cellStyle name="40% - Accent1 4 4 5 2" xfId="17833" xr:uid="{00000000-0005-0000-0000-00005F2E0000}"/>
    <cellStyle name="40% - Accent1 4 4 5 2 2" xfId="41673" xr:uid="{507062B6-03BF-4645-A596-228B01A8693A}"/>
    <cellStyle name="40% - Accent1 4 4 5 3" xfId="25777" xr:uid="{00000000-0005-0000-0000-0000602E0000}"/>
    <cellStyle name="40% - Accent1 4 4 5 3 2" xfId="49609" xr:uid="{18E0BEF4-2F7B-4838-8EED-880877BF93F2}"/>
    <cellStyle name="40% - Accent1 4 4 5 4" xfId="33732" xr:uid="{7C54996E-1D7B-4DEF-92A9-E40A4F74D535}"/>
    <cellStyle name="40% - Accent1 4 4 6" xfId="10771" xr:uid="{00000000-0005-0000-0000-0000612E0000}"/>
    <cellStyle name="40% - Accent1 4 4 6 2" xfId="34620" xr:uid="{254A172E-5334-450B-A63D-31FE5B27D008}"/>
    <cellStyle name="40% - Accent1 4 4 7" xfId="18726" xr:uid="{00000000-0005-0000-0000-0000622E0000}"/>
    <cellStyle name="40% - Accent1 4 4 7 2" xfId="42558" xr:uid="{E7D9F90F-3622-47A1-8CDE-955B79377083}"/>
    <cellStyle name="40% - Accent1 4 4 8" xfId="26678" xr:uid="{5EAD28B1-9781-46B9-9D19-FBBB3A9B205C}"/>
    <cellStyle name="40% - Accent1 4 4_Exh G" xfId="2758" xr:uid="{00000000-0005-0000-0000-0000632E0000}"/>
    <cellStyle name="40% - Accent1 4 5" xfId="1386" xr:uid="{00000000-0005-0000-0000-0000642E0000}"/>
    <cellStyle name="40% - Accent1 4 5 2" xfId="4916" xr:uid="{00000000-0005-0000-0000-0000652E0000}"/>
    <cellStyle name="40% - Accent1 4 5 2 2" xfId="8507" xr:uid="{00000000-0005-0000-0000-0000662E0000}"/>
    <cellStyle name="40% - Accent1 4 5 2 2 2" xfId="16478" xr:uid="{00000000-0005-0000-0000-0000672E0000}"/>
    <cellStyle name="40% - Accent1 4 5 2 2 2 2" xfId="40320" xr:uid="{645BE98A-6A27-4A17-9710-7BBFDA86C655}"/>
    <cellStyle name="40% - Accent1 4 5 2 2 3" xfId="24424" xr:uid="{00000000-0005-0000-0000-0000682E0000}"/>
    <cellStyle name="40% - Accent1 4 5 2 2 3 2" xfId="48256" xr:uid="{9EF3FD99-0CF0-4F3E-87A4-824355921F43}"/>
    <cellStyle name="40% - Accent1 4 5 2 2 4" xfId="32379" xr:uid="{06F119AF-A864-40C2-BECE-B91898B2AE74}"/>
    <cellStyle name="40% - Accent1 4 5 2 3" xfId="12940" xr:uid="{00000000-0005-0000-0000-0000692E0000}"/>
    <cellStyle name="40% - Accent1 4 5 2 3 2" xfId="36789" xr:uid="{92A76402-2096-4816-9A31-5A010897CB07}"/>
    <cellStyle name="40% - Accent1 4 5 2 4" xfId="20895" xr:uid="{00000000-0005-0000-0000-00006A2E0000}"/>
    <cellStyle name="40% - Accent1 4 5 2 4 2" xfId="44727" xr:uid="{90A2F6B3-3B39-41B0-9E8C-AB4DD771BEA2}"/>
    <cellStyle name="40% - Accent1 4 5 2 5" xfId="28848" xr:uid="{DAAA31D3-AE92-4B06-AC91-BD03709AD2E1}"/>
    <cellStyle name="40% - Accent1 4 5 3" xfId="6748" xr:uid="{00000000-0005-0000-0000-00006B2E0000}"/>
    <cellStyle name="40% - Accent1 4 5 3 2" xfId="14720" xr:uid="{00000000-0005-0000-0000-00006C2E0000}"/>
    <cellStyle name="40% - Accent1 4 5 3 2 2" xfId="38562" xr:uid="{A2FE45BB-7E9A-4D2B-8546-96A4CAD33C9D}"/>
    <cellStyle name="40% - Accent1 4 5 3 3" xfId="22667" xr:uid="{00000000-0005-0000-0000-00006D2E0000}"/>
    <cellStyle name="40% - Accent1 4 5 3 3 2" xfId="46499" xr:uid="{D8F56105-58EE-4F0F-9FE0-0A65A2E24ABE}"/>
    <cellStyle name="40% - Accent1 4 5 3 4" xfId="30621" xr:uid="{6D92D145-F404-4F35-90BB-BC227FD6E4B4}"/>
    <cellStyle name="40% - Accent1 4 5 4" xfId="11184" xr:uid="{00000000-0005-0000-0000-00006E2E0000}"/>
    <cellStyle name="40% - Accent1 4 5 4 2" xfId="35033" xr:uid="{3E357D49-7853-4D32-836B-82F350AE6801}"/>
    <cellStyle name="40% - Accent1 4 5 5" xfId="19139" xr:uid="{00000000-0005-0000-0000-00006F2E0000}"/>
    <cellStyle name="40% - Accent1 4 5 5 2" xfId="42971" xr:uid="{EACB39D7-5217-4831-AD49-F9DC2F5F97AD}"/>
    <cellStyle name="40% - Accent1 4 5 6" xfId="27091" xr:uid="{F00368F9-6D2D-40B9-8F63-F63AF290A5B5}"/>
    <cellStyle name="40% - Accent1 4 5_Exh G" xfId="2760" xr:uid="{00000000-0005-0000-0000-0000702E0000}"/>
    <cellStyle name="40% - Accent1 4 6" xfId="4037" xr:uid="{00000000-0005-0000-0000-0000712E0000}"/>
    <cellStyle name="40% - Accent1 4 6 2" xfId="7629" xr:uid="{00000000-0005-0000-0000-0000722E0000}"/>
    <cellStyle name="40% - Accent1 4 6 2 2" xfId="15600" xr:uid="{00000000-0005-0000-0000-0000732E0000}"/>
    <cellStyle name="40% - Accent1 4 6 2 2 2" xfId="39442" xr:uid="{20CC9A01-8956-4D2D-8B28-A0914A621B3D}"/>
    <cellStyle name="40% - Accent1 4 6 2 3" xfId="23546" xr:uid="{00000000-0005-0000-0000-0000742E0000}"/>
    <cellStyle name="40% - Accent1 4 6 2 3 2" xfId="47378" xr:uid="{DBD9B328-26E6-48B2-AE4F-DDCF2A988F52}"/>
    <cellStyle name="40% - Accent1 4 6 2 4" xfId="31501" xr:uid="{1AB7D069-6FCC-49EA-84E4-0BE6A5FF60DE}"/>
    <cellStyle name="40% - Accent1 4 6 3" xfId="12062" xr:uid="{00000000-0005-0000-0000-0000752E0000}"/>
    <cellStyle name="40% - Accent1 4 6 3 2" xfId="35911" xr:uid="{E2A8BE3C-1477-4B25-BDB5-9D16FB95E2B1}"/>
    <cellStyle name="40% - Accent1 4 6 4" xfId="20017" xr:uid="{00000000-0005-0000-0000-0000762E0000}"/>
    <cellStyle name="40% - Accent1 4 6 4 2" xfId="43849" xr:uid="{BE732CDC-20E6-4B2F-8236-627734D3001F}"/>
    <cellStyle name="40% - Accent1 4 6 5" xfId="27970" xr:uid="{58873098-1ABD-4519-8347-D26F06E07AE5}"/>
    <cellStyle name="40% - Accent1 4 7" xfId="5857" xr:uid="{00000000-0005-0000-0000-0000772E0000}"/>
    <cellStyle name="40% - Accent1 4 7 2" xfId="13841" xr:uid="{00000000-0005-0000-0000-0000782E0000}"/>
    <cellStyle name="40% - Accent1 4 7 2 2" xfId="37684" xr:uid="{0289BFCC-3215-4E91-8488-E5CEC9E00E68}"/>
    <cellStyle name="40% - Accent1 4 7 3" xfId="21789" xr:uid="{00000000-0005-0000-0000-0000792E0000}"/>
    <cellStyle name="40% - Accent1 4 7 3 2" xfId="45621" xr:uid="{B1A24B12-36B5-4CC1-95F9-DCA4F584B335}"/>
    <cellStyle name="40% - Accent1 4 7 4" xfId="29743" xr:uid="{953970AC-1FC7-40D3-A431-CF479C8CE656}"/>
    <cellStyle name="40% - Accent1 4 8" xfId="9410" xr:uid="{00000000-0005-0000-0000-00007A2E0000}"/>
    <cellStyle name="40% - Accent1 4 8 2" xfId="17368" xr:uid="{00000000-0005-0000-0000-00007B2E0000}"/>
    <cellStyle name="40% - Accent1 4 8 2 2" xfId="41208" xr:uid="{BA53BECC-8812-4974-B269-86A5B7958161}"/>
    <cellStyle name="40% - Accent1 4 8 3" xfId="25312" xr:uid="{00000000-0005-0000-0000-00007C2E0000}"/>
    <cellStyle name="40% - Accent1 4 8 3 2" xfId="49144" xr:uid="{2D791C13-06D2-496A-895B-37F861461450}"/>
    <cellStyle name="40% - Accent1 4 8 4" xfId="33267" xr:uid="{2EBE095F-F217-483F-B12E-F8E012449002}"/>
    <cellStyle name="40% - Accent1 4 9" xfId="10306" xr:uid="{00000000-0005-0000-0000-00007D2E0000}"/>
    <cellStyle name="40% - Accent1 4 9 2" xfId="34155" xr:uid="{189B4545-46EA-415D-8AD3-65D83B56AB38}"/>
    <cellStyle name="40% - Accent1 4_Exh G" xfId="2749" xr:uid="{00000000-0005-0000-0000-00007E2E0000}"/>
    <cellStyle name="40% - Accent1 5" xfId="362" xr:uid="{00000000-0005-0000-0000-00007F2E0000}"/>
    <cellStyle name="40% - Accent1 5 10" xfId="18265" xr:uid="{00000000-0005-0000-0000-0000802E0000}"/>
    <cellStyle name="40% - Accent1 5 10 2" xfId="42097" xr:uid="{01F4F4E9-2C8A-4B6A-817F-AA85FA0A317F}"/>
    <cellStyle name="40% - Accent1 5 11" xfId="26217" xr:uid="{3E2D2862-BCF1-44D8-AFD2-47F9DA801A61}"/>
    <cellStyle name="40% - Accent1 5 2" xfId="363" xr:uid="{00000000-0005-0000-0000-0000812E0000}"/>
    <cellStyle name="40% - Accent1 5 2 2" xfId="364" xr:uid="{00000000-0005-0000-0000-0000822E0000}"/>
    <cellStyle name="40% - Accent1 5 2 2 2" xfId="1392" xr:uid="{00000000-0005-0000-0000-0000832E0000}"/>
    <cellStyle name="40% - Accent1 5 2 2 2 2" xfId="4922" xr:uid="{00000000-0005-0000-0000-0000842E0000}"/>
    <cellStyle name="40% - Accent1 5 2 2 2 2 2" xfId="8513" xr:uid="{00000000-0005-0000-0000-0000852E0000}"/>
    <cellStyle name="40% - Accent1 5 2 2 2 2 2 2" xfId="16484" xr:uid="{00000000-0005-0000-0000-0000862E0000}"/>
    <cellStyle name="40% - Accent1 5 2 2 2 2 2 2 2" xfId="40326" xr:uid="{2508485F-A3CE-4453-9CBC-1AA8E0AADCDD}"/>
    <cellStyle name="40% - Accent1 5 2 2 2 2 2 3" xfId="24430" xr:uid="{00000000-0005-0000-0000-0000872E0000}"/>
    <cellStyle name="40% - Accent1 5 2 2 2 2 2 3 2" xfId="48262" xr:uid="{A37DE64E-3212-4574-883D-2DE6DE690DE6}"/>
    <cellStyle name="40% - Accent1 5 2 2 2 2 2 4" xfId="32385" xr:uid="{3D5C5B1F-BB32-4CAA-B1D3-E54D480447A1}"/>
    <cellStyle name="40% - Accent1 5 2 2 2 2 3" xfId="12946" xr:uid="{00000000-0005-0000-0000-0000882E0000}"/>
    <cellStyle name="40% - Accent1 5 2 2 2 2 3 2" xfId="36795" xr:uid="{F88321C1-57BA-4FE2-B93A-174383120218}"/>
    <cellStyle name="40% - Accent1 5 2 2 2 2 4" xfId="20901" xr:uid="{00000000-0005-0000-0000-0000892E0000}"/>
    <cellStyle name="40% - Accent1 5 2 2 2 2 4 2" xfId="44733" xr:uid="{AFFFE151-ECD5-4E8C-AF1A-9404FEA22DCF}"/>
    <cellStyle name="40% - Accent1 5 2 2 2 2 5" xfId="28854" xr:uid="{E14CA00E-FDFC-4CB8-8CE0-F63BAC25F73D}"/>
    <cellStyle name="40% - Accent1 5 2 2 2 3" xfId="6754" xr:uid="{00000000-0005-0000-0000-00008A2E0000}"/>
    <cellStyle name="40% - Accent1 5 2 2 2 3 2" xfId="14726" xr:uid="{00000000-0005-0000-0000-00008B2E0000}"/>
    <cellStyle name="40% - Accent1 5 2 2 2 3 2 2" xfId="38568" xr:uid="{61CE1602-69AE-46D1-B502-D21CE6083237}"/>
    <cellStyle name="40% - Accent1 5 2 2 2 3 3" xfId="22673" xr:uid="{00000000-0005-0000-0000-00008C2E0000}"/>
    <cellStyle name="40% - Accent1 5 2 2 2 3 3 2" xfId="46505" xr:uid="{8C06057F-D167-420F-87D8-2F4AC31A3FF1}"/>
    <cellStyle name="40% - Accent1 5 2 2 2 3 4" xfId="30627" xr:uid="{815232B2-8814-4AA3-BEE7-B75F5D1C033B}"/>
    <cellStyle name="40% - Accent1 5 2 2 2 4" xfId="11190" xr:uid="{00000000-0005-0000-0000-00008D2E0000}"/>
    <cellStyle name="40% - Accent1 5 2 2 2 4 2" xfId="35039" xr:uid="{DD301944-B1A2-4817-9107-0168C0694FA1}"/>
    <cellStyle name="40% - Accent1 5 2 2 2 5" xfId="19145" xr:uid="{00000000-0005-0000-0000-00008E2E0000}"/>
    <cellStyle name="40% - Accent1 5 2 2 2 5 2" xfId="42977" xr:uid="{89A8E27E-A606-4308-B5F6-8E92C893C0D8}"/>
    <cellStyle name="40% - Accent1 5 2 2 2 6" xfId="27097" xr:uid="{D5BB6DD6-696B-4E75-9F5F-9C5E652959C5}"/>
    <cellStyle name="40% - Accent1 5 2 2 2_Exh G" xfId="2764" xr:uid="{00000000-0005-0000-0000-00008F2E0000}"/>
    <cellStyle name="40% - Accent1 5 2 2 3" xfId="4043" xr:uid="{00000000-0005-0000-0000-0000902E0000}"/>
    <cellStyle name="40% - Accent1 5 2 2 3 2" xfId="7635" xr:uid="{00000000-0005-0000-0000-0000912E0000}"/>
    <cellStyle name="40% - Accent1 5 2 2 3 2 2" xfId="15606" xr:uid="{00000000-0005-0000-0000-0000922E0000}"/>
    <cellStyle name="40% - Accent1 5 2 2 3 2 2 2" xfId="39448" xr:uid="{5C2C05F7-1B20-4DF5-99A6-4A1B64D11236}"/>
    <cellStyle name="40% - Accent1 5 2 2 3 2 3" xfId="23552" xr:uid="{00000000-0005-0000-0000-0000932E0000}"/>
    <cellStyle name="40% - Accent1 5 2 2 3 2 3 2" xfId="47384" xr:uid="{334AFC2A-DF68-4DC6-98EE-2BA67069D327}"/>
    <cellStyle name="40% - Accent1 5 2 2 3 2 4" xfId="31507" xr:uid="{D984C4BD-A65E-4290-A911-736F42B42529}"/>
    <cellStyle name="40% - Accent1 5 2 2 3 3" xfId="12068" xr:uid="{00000000-0005-0000-0000-0000942E0000}"/>
    <cellStyle name="40% - Accent1 5 2 2 3 3 2" xfId="35917" xr:uid="{B680CDB2-B350-47EF-B41C-66EABF19228C}"/>
    <cellStyle name="40% - Accent1 5 2 2 3 4" xfId="20023" xr:uid="{00000000-0005-0000-0000-0000952E0000}"/>
    <cellStyle name="40% - Accent1 5 2 2 3 4 2" xfId="43855" xr:uid="{F181AA89-64D1-47F5-96AA-1ABE9A545A73}"/>
    <cellStyle name="40% - Accent1 5 2 2 3 5" xfId="27976" xr:uid="{DC1BA4A8-315F-429C-B6FA-E4A083115144}"/>
    <cellStyle name="40% - Accent1 5 2 2 4" xfId="5863" xr:uid="{00000000-0005-0000-0000-0000962E0000}"/>
    <cellStyle name="40% - Accent1 5 2 2 4 2" xfId="13847" xr:uid="{00000000-0005-0000-0000-0000972E0000}"/>
    <cellStyle name="40% - Accent1 5 2 2 4 2 2" xfId="37690" xr:uid="{4A50FA0D-0B47-4BDC-90D9-21315BC3C464}"/>
    <cellStyle name="40% - Accent1 5 2 2 4 3" xfId="21795" xr:uid="{00000000-0005-0000-0000-0000982E0000}"/>
    <cellStyle name="40% - Accent1 5 2 2 4 3 2" xfId="45627" xr:uid="{74F3709B-4CFB-4EAC-B12F-A039AD656A22}"/>
    <cellStyle name="40% - Accent1 5 2 2 4 4" xfId="29749" xr:uid="{CB8B9D45-FD90-436D-8E11-F7A6BE5634D6}"/>
    <cellStyle name="40% - Accent1 5 2 2 5" xfId="9416" xr:uid="{00000000-0005-0000-0000-0000992E0000}"/>
    <cellStyle name="40% - Accent1 5 2 2 5 2" xfId="17374" xr:uid="{00000000-0005-0000-0000-00009A2E0000}"/>
    <cellStyle name="40% - Accent1 5 2 2 5 2 2" xfId="41214" xr:uid="{487B1BD4-22E6-476B-905E-F99BA9D1C104}"/>
    <cellStyle name="40% - Accent1 5 2 2 5 3" xfId="25318" xr:uid="{00000000-0005-0000-0000-00009B2E0000}"/>
    <cellStyle name="40% - Accent1 5 2 2 5 3 2" xfId="49150" xr:uid="{B275C0A5-F7B1-48A8-A2D4-251A7522D530}"/>
    <cellStyle name="40% - Accent1 5 2 2 5 4" xfId="33273" xr:uid="{27D407DA-05C5-4CAA-87CF-BAC485089E78}"/>
    <cellStyle name="40% - Accent1 5 2 2 6" xfId="10312" xr:uid="{00000000-0005-0000-0000-00009C2E0000}"/>
    <cellStyle name="40% - Accent1 5 2 2 6 2" xfId="34161" xr:uid="{E704F2AE-7A23-48D0-916E-8745D19C4B29}"/>
    <cellStyle name="40% - Accent1 5 2 2 7" xfId="18267" xr:uid="{00000000-0005-0000-0000-00009D2E0000}"/>
    <cellStyle name="40% - Accent1 5 2 2 7 2" xfId="42099" xr:uid="{10B116BA-FB23-43C2-894D-F3854BD50355}"/>
    <cellStyle name="40% - Accent1 5 2 2 8" xfId="26219" xr:uid="{53981D6C-8D2D-4C15-B7BF-8A9EB1BD10D7}"/>
    <cellStyle name="40% - Accent1 5 2 2_Exh G" xfId="2763" xr:uid="{00000000-0005-0000-0000-00009E2E0000}"/>
    <cellStyle name="40% - Accent1 5 2 3" xfId="1391" xr:uid="{00000000-0005-0000-0000-00009F2E0000}"/>
    <cellStyle name="40% - Accent1 5 2 3 2" xfId="4921" xr:uid="{00000000-0005-0000-0000-0000A02E0000}"/>
    <cellStyle name="40% - Accent1 5 2 3 2 2" xfId="8512" xr:uid="{00000000-0005-0000-0000-0000A12E0000}"/>
    <cellStyle name="40% - Accent1 5 2 3 2 2 2" xfId="16483" xr:uid="{00000000-0005-0000-0000-0000A22E0000}"/>
    <cellStyle name="40% - Accent1 5 2 3 2 2 2 2" xfId="40325" xr:uid="{D250D782-485D-486D-98A8-443314C1BA2E}"/>
    <cellStyle name="40% - Accent1 5 2 3 2 2 3" xfId="24429" xr:uid="{00000000-0005-0000-0000-0000A32E0000}"/>
    <cellStyle name="40% - Accent1 5 2 3 2 2 3 2" xfId="48261" xr:uid="{9900F258-0238-4626-B471-7FFA090B73BC}"/>
    <cellStyle name="40% - Accent1 5 2 3 2 2 4" xfId="32384" xr:uid="{941CC0DD-AAD2-4A16-A0AD-FEEC7496341B}"/>
    <cellStyle name="40% - Accent1 5 2 3 2 3" xfId="12945" xr:uid="{00000000-0005-0000-0000-0000A42E0000}"/>
    <cellStyle name="40% - Accent1 5 2 3 2 3 2" xfId="36794" xr:uid="{BDB88805-38DE-48A1-841E-ABB47F0199E1}"/>
    <cellStyle name="40% - Accent1 5 2 3 2 4" xfId="20900" xr:uid="{00000000-0005-0000-0000-0000A52E0000}"/>
    <cellStyle name="40% - Accent1 5 2 3 2 4 2" xfId="44732" xr:uid="{F059FBBC-BA5A-468D-9CD5-D453CC1E4C93}"/>
    <cellStyle name="40% - Accent1 5 2 3 2 5" xfId="28853" xr:uid="{34C9EB77-90D3-4D8A-BB1C-2261E9E01F64}"/>
    <cellStyle name="40% - Accent1 5 2 3 3" xfId="6753" xr:uid="{00000000-0005-0000-0000-0000A62E0000}"/>
    <cellStyle name="40% - Accent1 5 2 3 3 2" xfId="14725" xr:uid="{00000000-0005-0000-0000-0000A72E0000}"/>
    <cellStyle name="40% - Accent1 5 2 3 3 2 2" xfId="38567" xr:uid="{E28C3894-F66F-4E0C-A2BB-59C74E332390}"/>
    <cellStyle name="40% - Accent1 5 2 3 3 3" xfId="22672" xr:uid="{00000000-0005-0000-0000-0000A82E0000}"/>
    <cellStyle name="40% - Accent1 5 2 3 3 3 2" xfId="46504" xr:uid="{5ED532F1-90FD-467E-A14D-0B6B68A2CB8A}"/>
    <cellStyle name="40% - Accent1 5 2 3 3 4" xfId="30626" xr:uid="{F97E0FC2-CC84-42CB-8859-5F27551FF6D5}"/>
    <cellStyle name="40% - Accent1 5 2 3 4" xfId="11189" xr:uid="{00000000-0005-0000-0000-0000A92E0000}"/>
    <cellStyle name="40% - Accent1 5 2 3 4 2" xfId="35038" xr:uid="{9100B6CE-6F0F-4B9A-9912-C04791EFE787}"/>
    <cellStyle name="40% - Accent1 5 2 3 5" xfId="19144" xr:uid="{00000000-0005-0000-0000-0000AA2E0000}"/>
    <cellStyle name="40% - Accent1 5 2 3 5 2" xfId="42976" xr:uid="{6625E04A-0907-4FD5-927A-E8CBC89EF147}"/>
    <cellStyle name="40% - Accent1 5 2 3 6" xfId="27096" xr:uid="{8AECC54F-AF48-45D1-8874-63681877E384}"/>
    <cellStyle name="40% - Accent1 5 2 3_Exh G" xfId="2765" xr:uid="{00000000-0005-0000-0000-0000AB2E0000}"/>
    <cellStyle name="40% - Accent1 5 2 4" xfId="4042" xr:uid="{00000000-0005-0000-0000-0000AC2E0000}"/>
    <cellStyle name="40% - Accent1 5 2 4 2" xfId="7634" xr:uid="{00000000-0005-0000-0000-0000AD2E0000}"/>
    <cellStyle name="40% - Accent1 5 2 4 2 2" xfId="15605" xr:uid="{00000000-0005-0000-0000-0000AE2E0000}"/>
    <cellStyle name="40% - Accent1 5 2 4 2 2 2" xfId="39447" xr:uid="{6B5BA506-D687-4134-888E-FA2582C4A157}"/>
    <cellStyle name="40% - Accent1 5 2 4 2 3" xfId="23551" xr:uid="{00000000-0005-0000-0000-0000AF2E0000}"/>
    <cellStyle name="40% - Accent1 5 2 4 2 3 2" xfId="47383" xr:uid="{4AFF1FE8-576D-4797-9009-9FD5847CD806}"/>
    <cellStyle name="40% - Accent1 5 2 4 2 4" xfId="31506" xr:uid="{EEBF150D-FF6F-42D0-A0AF-1C54BCBDCB3D}"/>
    <cellStyle name="40% - Accent1 5 2 4 3" xfId="12067" xr:uid="{00000000-0005-0000-0000-0000B02E0000}"/>
    <cellStyle name="40% - Accent1 5 2 4 3 2" xfId="35916" xr:uid="{789EC3E7-FF82-43F3-8DDC-06E18AF3F859}"/>
    <cellStyle name="40% - Accent1 5 2 4 4" xfId="20022" xr:uid="{00000000-0005-0000-0000-0000B12E0000}"/>
    <cellStyle name="40% - Accent1 5 2 4 4 2" xfId="43854" xr:uid="{FD8D4ED7-D546-4A0B-812E-8E33648036B5}"/>
    <cellStyle name="40% - Accent1 5 2 4 5" xfId="27975" xr:uid="{59D6C5B1-8603-49F9-BDFA-CB4CC12E4D2E}"/>
    <cellStyle name="40% - Accent1 5 2 5" xfId="5862" xr:uid="{00000000-0005-0000-0000-0000B22E0000}"/>
    <cellStyle name="40% - Accent1 5 2 5 2" xfId="13846" xr:uid="{00000000-0005-0000-0000-0000B32E0000}"/>
    <cellStyle name="40% - Accent1 5 2 5 2 2" xfId="37689" xr:uid="{59D547DA-22CB-4564-86C7-98D89F43E31F}"/>
    <cellStyle name="40% - Accent1 5 2 5 3" xfId="21794" xr:uid="{00000000-0005-0000-0000-0000B42E0000}"/>
    <cellStyle name="40% - Accent1 5 2 5 3 2" xfId="45626" xr:uid="{C908F712-56B5-428E-B555-1F8DC455E356}"/>
    <cellStyle name="40% - Accent1 5 2 5 4" xfId="29748" xr:uid="{84210EDF-0144-47D3-9A8A-FE55BB2C41EE}"/>
    <cellStyle name="40% - Accent1 5 2 6" xfId="9415" xr:uid="{00000000-0005-0000-0000-0000B52E0000}"/>
    <cellStyle name="40% - Accent1 5 2 6 2" xfId="17373" xr:uid="{00000000-0005-0000-0000-0000B62E0000}"/>
    <cellStyle name="40% - Accent1 5 2 6 2 2" xfId="41213" xr:uid="{9F9D731C-D837-4499-8888-FF288244D49A}"/>
    <cellStyle name="40% - Accent1 5 2 6 3" xfId="25317" xr:uid="{00000000-0005-0000-0000-0000B72E0000}"/>
    <cellStyle name="40% - Accent1 5 2 6 3 2" xfId="49149" xr:uid="{D442D805-D557-4AA2-ADDA-4A9B814F16BE}"/>
    <cellStyle name="40% - Accent1 5 2 6 4" xfId="33272" xr:uid="{DA928D3B-0184-4AF9-B809-C6B75FC2DB26}"/>
    <cellStyle name="40% - Accent1 5 2 7" xfId="10311" xr:uid="{00000000-0005-0000-0000-0000B82E0000}"/>
    <cellStyle name="40% - Accent1 5 2 7 2" xfId="34160" xr:uid="{CEB2E7A2-71BF-40D8-A471-F8B32EDF8E9B}"/>
    <cellStyle name="40% - Accent1 5 2 8" xfId="18266" xr:uid="{00000000-0005-0000-0000-0000B92E0000}"/>
    <cellStyle name="40% - Accent1 5 2 8 2" xfId="42098" xr:uid="{FC16A562-D81D-4897-94B3-C64F68D5E21F}"/>
    <cellStyle name="40% - Accent1 5 2 9" xfId="26218" xr:uid="{23FBD593-B2C3-4B76-B74D-82F22799244E}"/>
    <cellStyle name="40% - Accent1 5 2_Exh G" xfId="2762" xr:uid="{00000000-0005-0000-0000-0000BA2E0000}"/>
    <cellStyle name="40% - Accent1 5 3" xfId="365" xr:uid="{00000000-0005-0000-0000-0000BB2E0000}"/>
    <cellStyle name="40% - Accent1 5 3 2" xfId="1393" xr:uid="{00000000-0005-0000-0000-0000BC2E0000}"/>
    <cellStyle name="40% - Accent1 5 3 2 2" xfId="4923" xr:uid="{00000000-0005-0000-0000-0000BD2E0000}"/>
    <cellStyle name="40% - Accent1 5 3 2 2 2" xfId="8514" xr:uid="{00000000-0005-0000-0000-0000BE2E0000}"/>
    <cellStyle name="40% - Accent1 5 3 2 2 2 2" xfId="16485" xr:uid="{00000000-0005-0000-0000-0000BF2E0000}"/>
    <cellStyle name="40% - Accent1 5 3 2 2 2 2 2" xfId="40327" xr:uid="{11A33C1D-45C6-4DE0-87FA-9FC2E8E39D72}"/>
    <cellStyle name="40% - Accent1 5 3 2 2 2 3" xfId="24431" xr:uid="{00000000-0005-0000-0000-0000C02E0000}"/>
    <cellStyle name="40% - Accent1 5 3 2 2 2 3 2" xfId="48263" xr:uid="{85D3537A-0B44-4FFC-8E02-EE52A4FCE494}"/>
    <cellStyle name="40% - Accent1 5 3 2 2 2 4" xfId="32386" xr:uid="{053FE0F7-C99E-48A0-943E-E0991D8B4B02}"/>
    <cellStyle name="40% - Accent1 5 3 2 2 3" xfId="12947" xr:uid="{00000000-0005-0000-0000-0000C12E0000}"/>
    <cellStyle name="40% - Accent1 5 3 2 2 3 2" xfId="36796" xr:uid="{BC775E4D-7D5D-48CB-BCD7-1832D3D07107}"/>
    <cellStyle name="40% - Accent1 5 3 2 2 4" xfId="20902" xr:uid="{00000000-0005-0000-0000-0000C22E0000}"/>
    <cellStyle name="40% - Accent1 5 3 2 2 4 2" xfId="44734" xr:uid="{33702BE0-6950-4A3F-92C6-9B7537B30F85}"/>
    <cellStyle name="40% - Accent1 5 3 2 2 5" xfId="28855" xr:uid="{B407B614-9737-474F-8BCC-4936E3E5A462}"/>
    <cellStyle name="40% - Accent1 5 3 2 3" xfId="6755" xr:uid="{00000000-0005-0000-0000-0000C32E0000}"/>
    <cellStyle name="40% - Accent1 5 3 2 3 2" xfId="14727" xr:uid="{00000000-0005-0000-0000-0000C42E0000}"/>
    <cellStyle name="40% - Accent1 5 3 2 3 2 2" xfId="38569" xr:uid="{F042BBCD-5713-4858-8CEA-2328BD8F3D0D}"/>
    <cellStyle name="40% - Accent1 5 3 2 3 3" xfId="22674" xr:uid="{00000000-0005-0000-0000-0000C52E0000}"/>
    <cellStyle name="40% - Accent1 5 3 2 3 3 2" xfId="46506" xr:uid="{A2EC85A6-A42C-41B8-96C5-7283383A36A5}"/>
    <cellStyle name="40% - Accent1 5 3 2 3 4" xfId="30628" xr:uid="{A891E4CB-F708-40DB-89F8-253B3F6303DA}"/>
    <cellStyle name="40% - Accent1 5 3 2 4" xfId="11191" xr:uid="{00000000-0005-0000-0000-0000C62E0000}"/>
    <cellStyle name="40% - Accent1 5 3 2 4 2" xfId="35040" xr:uid="{434C9D12-FC52-43B0-8F1B-012F0E0170B7}"/>
    <cellStyle name="40% - Accent1 5 3 2 5" xfId="19146" xr:uid="{00000000-0005-0000-0000-0000C72E0000}"/>
    <cellStyle name="40% - Accent1 5 3 2 5 2" xfId="42978" xr:uid="{B77DE411-839D-497D-9AEB-E7289F1C3F90}"/>
    <cellStyle name="40% - Accent1 5 3 2 6" xfId="27098" xr:uid="{D3867ECB-FA62-4B31-B4A7-ED04810A0700}"/>
    <cellStyle name="40% - Accent1 5 3 2_Exh G" xfId="2767" xr:uid="{00000000-0005-0000-0000-0000C82E0000}"/>
    <cellStyle name="40% - Accent1 5 3 3" xfId="4044" xr:uid="{00000000-0005-0000-0000-0000C92E0000}"/>
    <cellStyle name="40% - Accent1 5 3 3 2" xfId="7636" xr:uid="{00000000-0005-0000-0000-0000CA2E0000}"/>
    <cellStyle name="40% - Accent1 5 3 3 2 2" xfId="15607" xr:uid="{00000000-0005-0000-0000-0000CB2E0000}"/>
    <cellStyle name="40% - Accent1 5 3 3 2 2 2" xfId="39449" xr:uid="{A176755F-1834-473A-84CE-C94E0BEFA8F2}"/>
    <cellStyle name="40% - Accent1 5 3 3 2 3" xfId="23553" xr:uid="{00000000-0005-0000-0000-0000CC2E0000}"/>
    <cellStyle name="40% - Accent1 5 3 3 2 3 2" xfId="47385" xr:uid="{DE8541A8-6D39-4ADF-873D-92FDADAE9CC4}"/>
    <cellStyle name="40% - Accent1 5 3 3 2 4" xfId="31508" xr:uid="{63CA9B91-17D0-4C20-8B84-66DEC9E1B83C}"/>
    <cellStyle name="40% - Accent1 5 3 3 3" xfId="12069" xr:uid="{00000000-0005-0000-0000-0000CD2E0000}"/>
    <cellStyle name="40% - Accent1 5 3 3 3 2" xfId="35918" xr:uid="{346F5927-E2B3-4664-A63E-9622E63F25EF}"/>
    <cellStyle name="40% - Accent1 5 3 3 4" xfId="20024" xr:uid="{00000000-0005-0000-0000-0000CE2E0000}"/>
    <cellStyle name="40% - Accent1 5 3 3 4 2" xfId="43856" xr:uid="{BB0F6024-9901-4E23-8905-953B39B43161}"/>
    <cellStyle name="40% - Accent1 5 3 3 5" xfId="27977" xr:uid="{CFD10AEB-929B-40B8-A39B-2F7C30BA8926}"/>
    <cellStyle name="40% - Accent1 5 3 4" xfId="5864" xr:uid="{00000000-0005-0000-0000-0000CF2E0000}"/>
    <cellStyle name="40% - Accent1 5 3 4 2" xfId="13848" xr:uid="{00000000-0005-0000-0000-0000D02E0000}"/>
    <cellStyle name="40% - Accent1 5 3 4 2 2" xfId="37691" xr:uid="{54D762D1-B5EE-479E-8704-B41ACACD5538}"/>
    <cellStyle name="40% - Accent1 5 3 4 3" xfId="21796" xr:uid="{00000000-0005-0000-0000-0000D12E0000}"/>
    <cellStyle name="40% - Accent1 5 3 4 3 2" xfId="45628" xr:uid="{608EA2AC-8103-434C-8176-E81B0DF05720}"/>
    <cellStyle name="40% - Accent1 5 3 4 4" xfId="29750" xr:uid="{D09A6F61-31AC-4ACF-B8E7-6B0A67A25A75}"/>
    <cellStyle name="40% - Accent1 5 3 5" xfId="9417" xr:uid="{00000000-0005-0000-0000-0000D22E0000}"/>
    <cellStyle name="40% - Accent1 5 3 5 2" xfId="17375" xr:uid="{00000000-0005-0000-0000-0000D32E0000}"/>
    <cellStyle name="40% - Accent1 5 3 5 2 2" xfId="41215" xr:uid="{F4CEBC43-242E-49F8-99E4-40CFBF4A54DC}"/>
    <cellStyle name="40% - Accent1 5 3 5 3" xfId="25319" xr:uid="{00000000-0005-0000-0000-0000D42E0000}"/>
    <cellStyle name="40% - Accent1 5 3 5 3 2" xfId="49151" xr:uid="{BBBF79D8-DB7A-4CC7-BA6B-96674FDA6A49}"/>
    <cellStyle name="40% - Accent1 5 3 5 4" xfId="33274" xr:uid="{58599FE1-72A3-4960-9BDE-9C83581A301E}"/>
    <cellStyle name="40% - Accent1 5 3 6" xfId="10313" xr:uid="{00000000-0005-0000-0000-0000D52E0000}"/>
    <cellStyle name="40% - Accent1 5 3 6 2" xfId="34162" xr:uid="{359E711F-C798-4964-975A-F9E1AF0861D9}"/>
    <cellStyle name="40% - Accent1 5 3 7" xfId="18268" xr:uid="{00000000-0005-0000-0000-0000D62E0000}"/>
    <cellStyle name="40% - Accent1 5 3 7 2" xfId="42100" xr:uid="{4030924A-D653-4633-B82B-E79CA8256BD6}"/>
    <cellStyle name="40% - Accent1 5 3 8" xfId="26220" xr:uid="{3B0F06B3-0BEE-4863-B00D-E2255432EE67}"/>
    <cellStyle name="40% - Accent1 5 3_Exh G" xfId="2766" xr:uid="{00000000-0005-0000-0000-0000D72E0000}"/>
    <cellStyle name="40% - Accent1 5 4" xfId="941" xr:uid="{00000000-0005-0000-0000-0000D82E0000}"/>
    <cellStyle name="40% - Accent1 5 5" xfId="1390" xr:uid="{00000000-0005-0000-0000-0000D92E0000}"/>
    <cellStyle name="40% - Accent1 5 5 2" xfId="4920" xr:uid="{00000000-0005-0000-0000-0000DA2E0000}"/>
    <cellStyle name="40% - Accent1 5 5 2 2" xfId="8511" xr:uid="{00000000-0005-0000-0000-0000DB2E0000}"/>
    <cellStyle name="40% - Accent1 5 5 2 2 2" xfId="16482" xr:uid="{00000000-0005-0000-0000-0000DC2E0000}"/>
    <cellStyle name="40% - Accent1 5 5 2 2 2 2" xfId="40324" xr:uid="{36CEDC68-12A5-4B72-9A6A-53DAEDED9C2C}"/>
    <cellStyle name="40% - Accent1 5 5 2 2 3" xfId="24428" xr:uid="{00000000-0005-0000-0000-0000DD2E0000}"/>
    <cellStyle name="40% - Accent1 5 5 2 2 3 2" xfId="48260" xr:uid="{1E760814-20A7-4074-B7A3-1A30BEE885E1}"/>
    <cellStyle name="40% - Accent1 5 5 2 2 4" xfId="32383" xr:uid="{49F314B7-B1A0-475D-917E-F3C9A8812EB6}"/>
    <cellStyle name="40% - Accent1 5 5 2 3" xfId="12944" xr:uid="{00000000-0005-0000-0000-0000DE2E0000}"/>
    <cellStyle name="40% - Accent1 5 5 2 3 2" xfId="36793" xr:uid="{24CD4924-0E86-484B-A67B-D24AC5BFDBC5}"/>
    <cellStyle name="40% - Accent1 5 5 2 4" xfId="20899" xr:uid="{00000000-0005-0000-0000-0000DF2E0000}"/>
    <cellStyle name="40% - Accent1 5 5 2 4 2" xfId="44731" xr:uid="{95013CCA-9176-4A4C-A811-90C2366608A6}"/>
    <cellStyle name="40% - Accent1 5 5 2 5" xfId="28852" xr:uid="{6F520B5E-A157-42A5-9B0A-CF790BF87FC9}"/>
    <cellStyle name="40% - Accent1 5 5 3" xfId="6752" xr:uid="{00000000-0005-0000-0000-0000E02E0000}"/>
    <cellStyle name="40% - Accent1 5 5 3 2" xfId="14724" xr:uid="{00000000-0005-0000-0000-0000E12E0000}"/>
    <cellStyle name="40% - Accent1 5 5 3 2 2" xfId="38566" xr:uid="{36AB0AD2-F1B1-482F-8734-21BBAD35C5A9}"/>
    <cellStyle name="40% - Accent1 5 5 3 3" xfId="22671" xr:uid="{00000000-0005-0000-0000-0000E22E0000}"/>
    <cellStyle name="40% - Accent1 5 5 3 3 2" xfId="46503" xr:uid="{1A278394-03F9-4FF5-A7BC-ADEAE49301C3}"/>
    <cellStyle name="40% - Accent1 5 5 3 4" xfId="30625" xr:uid="{2C4E6CB4-1594-4A4A-9B15-976B558FE67F}"/>
    <cellStyle name="40% - Accent1 5 5 4" xfId="11188" xr:uid="{00000000-0005-0000-0000-0000E32E0000}"/>
    <cellStyle name="40% - Accent1 5 5 4 2" xfId="35037" xr:uid="{B3B28095-3B56-414B-9D25-22DCCC453E45}"/>
    <cellStyle name="40% - Accent1 5 5 5" xfId="19143" xr:uid="{00000000-0005-0000-0000-0000E42E0000}"/>
    <cellStyle name="40% - Accent1 5 5 5 2" xfId="42975" xr:uid="{B40B2060-A5C9-4ED0-880F-CEA031418059}"/>
    <cellStyle name="40% - Accent1 5 5 6" xfId="27095" xr:uid="{46DAD5B6-F2F8-4FB4-892B-2A46B4DA5EC0}"/>
    <cellStyle name="40% - Accent1 5 5_Exh G" xfId="2768" xr:uid="{00000000-0005-0000-0000-0000E52E0000}"/>
    <cellStyle name="40% - Accent1 5 6" xfId="4041" xr:uid="{00000000-0005-0000-0000-0000E62E0000}"/>
    <cellStyle name="40% - Accent1 5 6 2" xfId="7633" xr:uid="{00000000-0005-0000-0000-0000E72E0000}"/>
    <cellStyle name="40% - Accent1 5 6 2 2" xfId="15604" xr:uid="{00000000-0005-0000-0000-0000E82E0000}"/>
    <cellStyle name="40% - Accent1 5 6 2 2 2" xfId="39446" xr:uid="{1A443F87-C9AE-4238-A799-A7882F736195}"/>
    <cellStyle name="40% - Accent1 5 6 2 3" xfId="23550" xr:uid="{00000000-0005-0000-0000-0000E92E0000}"/>
    <cellStyle name="40% - Accent1 5 6 2 3 2" xfId="47382" xr:uid="{F13255E1-84A3-42BF-858C-96A247EAE233}"/>
    <cellStyle name="40% - Accent1 5 6 2 4" xfId="31505" xr:uid="{27BC6B4A-934E-449A-A58A-7E999C2CC6BE}"/>
    <cellStyle name="40% - Accent1 5 6 3" xfId="12066" xr:uid="{00000000-0005-0000-0000-0000EA2E0000}"/>
    <cellStyle name="40% - Accent1 5 6 3 2" xfId="35915" xr:uid="{5981ED9D-431A-46DD-9E48-1E38403598B0}"/>
    <cellStyle name="40% - Accent1 5 6 4" xfId="20021" xr:uid="{00000000-0005-0000-0000-0000EB2E0000}"/>
    <cellStyle name="40% - Accent1 5 6 4 2" xfId="43853" xr:uid="{0F9540B6-26AE-4D28-8FE7-D863561E0BEB}"/>
    <cellStyle name="40% - Accent1 5 6 5" xfId="27974" xr:uid="{7DF4760F-50C8-4DF4-B25A-A7603E28017D}"/>
    <cellStyle name="40% - Accent1 5 7" xfId="5861" xr:uid="{00000000-0005-0000-0000-0000EC2E0000}"/>
    <cellStyle name="40% - Accent1 5 7 2" xfId="13845" xr:uid="{00000000-0005-0000-0000-0000ED2E0000}"/>
    <cellStyle name="40% - Accent1 5 7 2 2" xfId="37688" xr:uid="{6A2FD171-0F7F-4051-A44D-05166A58B37D}"/>
    <cellStyle name="40% - Accent1 5 7 3" xfId="21793" xr:uid="{00000000-0005-0000-0000-0000EE2E0000}"/>
    <cellStyle name="40% - Accent1 5 7 3 2" xfId="45625" xr:uid="{0EE8F377-33FA-47FD-890A-09DD29DD105A}"/>
    <cellStyle name="40% - Accent1 5 7 4" xfId="29747" xr:uid="{784AECE5-B836-46F6-A9B8-C513E875867E}"/>
    <cellStyle name="40% - Accent1 5 8" xfId="9414" xr:uid="{00000000-0005-0000-0000-0000EF2E0000}"/>
    <cellStyle name="40% - Accent1 5 8 2" xfId="17372" xr:uid="{00000000-0005-0000-0000-0000F02E0000}"/>
    <cellStyle name="40% - Accent1 5 8 2 2" xfId="41212" xr:uid="{22CAE963-E888-4849-986A-98AFD5A3584C}"/>
    <cellStyle name="40% - Accent1 5 8 3" xfId="25316" xr:uid="{00000000-0005-0000-0000-0000F12E0000}"/>
    <cellStyle name="40% - Accent1 5 8 3 2" xfId="49148" xr:uid="{7D567A1B-03F9-4FCA-8081-A5FAA5C38647}"/>
    <cellStyle name="40% - Accent1 5 8 4" xfId="33271" xr:uid="{32DAD950-42A4-45BA-AE05-DB86469521EF}"/>
    <cellStyle name="40% - Accent1 5 9" xfId="10310" xr:uid="{00000000-0005-0000-0000-0000F22E0000}"/>
    <cellStyle name="40% - Accent1 5 9 2" xfId="34159" xr:uid="{BBE2AC31-B422-4C6D-8E13-73F6D27293DE}"/>
    <cellStyle name="40% - Accent1 5_Exh G" xfId="2761" xr:uid="{00000000-0005-0000-0000-0000F32E0000}"/>
    <cellStyle name="40% - Accent1 6" xfId="366" xr:uid="{00000000-0005-0000-0000-0000F42E0000}"/>
    <cellStyle name="40% - Accent1 6 10" xfId="18269" xr:uid="{00000000-0005-0000-0000-0000F52E0000}"/>
    <cellStyle name="40% - Accent1 6 10 2" xfId="42101" xr:uid="{769835FB-5D85-4BA3-BAF4-FFB4F617A079}"/>
    <cellStyle name="40% - Accent1 6 11" xfId="26221" xr:uid="{1290CE6C-3977-40B2-A088-6BC32C3DCA04}"/>
    <cellStyle name="40% - Accent1 6 2" xfId="367" xr:uid="{00000000-0005-0000-0000-0000F62E0000}"/>
    <cellStyle name="40% - Accent1 6 2 2" xfId="368" xr:uid="{00000000-0005-0000-0000-0000F72E0000}"/>
    <cellStyle name="40% - Accent1 6 2 2 2" xfId="1396" xr:uid="{00000000-0005-0000-0000-0000F82E0000}"/>
    <cellStyle name="40% - Accent1 6 2 2 2 2" xfId="4926" xr:uid="{00000000-0005-0000-0000-0000F92E0000}"/>
    <cellStyle name="40% - Accent1 6 2 2 2 2 2" xfId="8517" xr:uid="{00000000-0005-0000-0000-0000FA2E0000}"/>
    <cellStyle name="40% - Accent1 6 2 2 2 2 2 2" xfId="16488" xr:uid="{00000000-0005-0000-0000-0000FB2E0000}"/>
    <cellStyle name="40% - Accent1 6 2 2 2 2 2 2 2" xfId="40330" xr:uid="{08F3D843-4992-4C50-AE68-E97B12661B3C}"/>
    <cellStyle name="40% - Accent1 6 2 2 2 2 2 3" xfId="24434" xr:uid="{00000000-0005-0000-0000-0000FC2E0000}"/>
    <cellStyle name="40% - Accent1 6 2 2 2 2 2 3 2" xfId="48266" xr:uid="{24165676-590E-4748-B565-7A4AB09EB3F7}"/>
    <cellStyle name="40% - Accent1 6 2 2 2 2 2 4" xfId="32389" xr:uid="{D2EBD335-41F9-46BF-BB71-B27C82B8ADBB}"/>
    <cellStyle name="40% - Accent1 6 2 2 2 2 3" xfId="12950" xr:uid="{00000000-0005-0000-0000-0000FD2E0000}"/>
    <cellStyle name="40% - Accent1 6 2 2 2 2 3 2" xfId="36799" xr:uid="{89B47A14-7ED2-4282-8550-6861EE1A9E8B}"/>
    <cellStyle name="40% - Accent1 6 2 2 2 2 4" xfId="20905" xr:uid="{00000000-0005-0000-0000-0000FE2E0000}"/>
    <cellStyle name="40% - Accent1 6 2 2 2 2 4 2" xfId="44737" xr:uid="{A29841A7-7939-4DEB-AA46-3CB5BCFEF811}"/>
    <cellStyle name="40% - Accent1 6 2 2 2 2 5" xfId="28858" xr:uid="{15A2F49B-45D3-4FB4-952E-C8F8F18BD97A}"/>
    <cellStyle name="40% - Accent1 6 2 2 2 3" xfId="6758" xr:uid="{00000000-0005-0000-0000-0000FF2E0000}"/>
    <cellStyle name="40% - Accent1 6 2 2 2 3 2" xfId="14730" xr:uid="{00000000-0005-0000-0000-0000002F0000}"/>
    <cellStyle name="40% - Accent1 6 2 2 2 3 2 2" xfId="38572" xr:uid="{10B51212-913A-42AA-AC2B-FFE319CE2207}"/>
    <cellStyle name="40% - Accent1 6 2 2 2 3 3" xfId="22677" xr:uid="{00000000-0005-0000-0000-0000012F0000}"/>
    <cellStyle name="40% - Accent1 6 2 2 2 3 3 2" xfId="46509" xr:uid="{BFBA8F70-8029-4C01-BBC0-A345EDF8BA2F}"/>
    <cellStyle name="40% - Accent1 6 2 2 2 3 4" xfId="30631" xr:uid="{00BCC8B4-9AA5-4563-AF33-0E69BFEF9F53}"/>
    <cellStyle name="40% - Accent1 6 2 2 2 4" xfId="11194" xr:uid="{00000000-0005-0000-0000-0000022F0000}"/>
    <cellStyle name="40% - Accent1 6 2 2 2 4 2" xfId="35043" xr:uid="{C418CFCB-1C1B-49CA-AAE9-A641680B9A38}"/>
    <cellStyle name="40% - Accent1 6 2 2 2 5" xfId="19149" xr:uid="{00000000-0005-0000-0000-0000032F0000}"/>
    <cellStyle name="40% - Accent1 6 2 2 2 5 2" xfId="42981" xr:uid="{943A7728-21E6-4EA3-B5E8-7401725A9E0A}"/>
    <cellStyle name="40% - Accent1 6 2 2 2 6" xfId="27101" xr:uid="{755098E7-A70E-4ADC-94EC-8AA44BA2C3A8}"/>
    <cellStyle name="40% - Accent1 6 2 2 2_Exh G" xfId="2772" xr:uid="{00000000-0005-0000-0000-0000042F0000}"/>
    <cellStyle name="40% - Accent1 6 2 2 3" xfId="4047" xr:uid="{00000000-0005-0000-0000-0000052F0000}"/>
    <cellStyle name="40% - Accent1 6 2 2 3 2" xfId="7639" xr:uid="{00000000-0005-0000-0000-0000062F0000}"/>
    <cellStyle name="40% - Accent1 6 2 2 3 2 2" xfId="15610" xr:uid="{00000000-0005-0000-0000-0000072F0000}"/>
    <cellStyle name="40% - Accent1 6 2 2 3 2 2 2" xfId="39452" xr:uid="{51058B5B-F48F-49EC-8A8D-90F49FABA408}"/>
    <cellStyle name="40% - Accent1 6 2 2 3 2 3" xfId="23556" xr:uid="{00000000-0005-0000-0000-0000082F0000}"/>
    <cellStyle name="40% - Accent1 6 2 2 3 2 3 2" xfId="47388" xr:uid="{CCE743CC-34D4-401D-9DC2-6D4652201B10}"/>
    <cellStyle name="40% - Accent1 6 2 2 3 2 4" xfId="31511" xr:uid="{81B8AE2F-2EDF-467A-BAEE-33F96D5CAB13}"/>
    <cellStyle name="40% - Accent1 6 2 2 3 3" xfId="12072" xr:uid="{00000000-0005-0000-0000-0000092F0000}"/>
    <cellStyle name="40% - Accent1 6 2 2 3 3 2" xfId="35921" xr:uid="{03AEBBEB-3AE2-4F59-8EFD-9BB6AC2D430F}"/>
    <cellStyle name="40% - Accent1 6 2 2 3 4" xfId="20027" xr:uid="{00000000-0005-0000-0000-00000A2F0000}"/>
    <cellStyle name="40% - Accent1 6 2 2 3 4 2" xfId="43859" xr:uid="{EB75DBA3-FBBE-44DD-AD08-EF2BA9A73E42}"/>
    <cellStyle name="40% - Accent1 6 2 2 3 5" xfId="27980" xr:uid="{CFD88E28-C820-4F66-885A-C9BF429E0B33}"/>
    <cellStyle name="40% - Accent1 6 2 2 4" xfId="5867" xr:uid="{00000000-0005-0000-0000-00000B2F0000}"/>
    <cellStyle name="40% - Accent1 6 2 2 4 2" xfId="13851" xr:uid="{00000000-0005-0000-0000-00000C2F0000}"/>
    <cellStyle name="40% - Accent1 6 2 2 4 2 2" xfId="37694" xr:uid="{5F836CF0-2084-4E6F-AB4D-C26E578B29DE}"/>
    <cellStyle name="40% - Accent1 6 2 2 4 3" xfId="21799" xr:uid="{00000000-0005-0000-0000-00000D2F0000}"/>
    <cellStyle name="40% - Accent1 6 2 2 4 3 2" xfId="45631" xr:uid="{9D14FBB3-E740-4648-B379-422409D8F3E7}"/>
    <cellStyle name="40% - Accent1 6 2 2 4 4" xfId="29753" xr:uid="{46A1B738-E2EC-497E-8096-A9CC3CBAE9DC}"/>
    <cellStyle name="40% - Accent1 6 2 2 5" xfId="9420" xr:uid="{00000000-0005-0000-0000-00000E2F0000}"/>
    <cellStyle name="40% - Accent1 6 2 2 5 2" xfId="17378" xr:uid="{00000000-0005-0000-0000-00000F2F0000}"/>
    <cellStyle name="40% - Accent1 6 2 2 5 2 2" xfId="41218" xr:uid="{384DE552-3A39-4A04-98E3-E4D2363725B0}"/>
    <cellStyle name="40% - Accent1 6 2 2 5 3" xfId="25322" xr:uid="{00000000-0005-0000-0000-0000102F0000}"/>
    <cellStyle name="40% - Accent1 6 2 2 5 3 2" xfId="49154" xr:uid="{14586BC5-B774-4E2D-857A-FCC9859E4432}"/>
    <cellStyle name="40% - Accent1 6 2 2 5 4" xfId="33277" xr:uid="{4856417E-4D69-4C32-9356-EC357413493F}"/>
    <cellStyle name="40% - Accent1 6 2 2 6" xfId="10316" xr:uid="{00000000-0005-0000-0000-0000112F0000}"/>
    <cellStyle name="40% - Accent1 6 2 2 6 2" xfId="34165" xr:uid="{A92F9718-B87A-489E-870D-15B0429A35AB}"/>
    <cellStyle name="40% - Accent1 6 2 2 7" xfId="18271" xr:uid="{00000000-0005-0000-0000-0000122F0000}"/>
    <cellStyle name="40% - Accent1 6 2 2 7 2" xfId="42103" xr:uid="{9C885E48-C015-4362-A67A-924EF27AF863}"/>
    <cellStyle name="40% - Accent1 6 2 2 8" xfId="26223" xr:uid="{50A2F7F8-E172-40F2-AB70-39B3C69A7A65}"/>
    <cellStyle name="40% - Accent1 6 2 2_Exh G" xfId="2771" xr:uid="{00000000-0005-0000-0000-0000132F0000}"/>
    <cellStyle name="40% - Accent1 6 2 3" xfId="1395" xr:uid="{00000000-0005-0000-0000-0000142F0000}"/>
    <cellStyle name="40% - Accent1 6 2 3 2" xfId="4925" xr:uid="{00000000-0005-0000-0000-0000152F0000}"/>
    <cellStyle name="40% - Accent1 6 2 3 2 2" xfId="8516" xr:uid="{00000000-0005-0000-0000-0000162F0000}"/>
    <cellStyle name="40% - Accent1 6 2 3 2 2 2" xfId="16487" xr:uid="{00000000-0005-0000-0000-0000172F0000}"/>
    <cellStyle name="40% - Accent1 6 2 3 2 2 2 2" xfId="40329" xr:uid="{E8D0498F-A3E3-4E1B-A17A-44CD3A4E6133}"/>
    <cellStyle name="40% - Accent1 6 2 3 2 2 3" xfId="24433" xr:uid="{00000000-0005-0000-0000-0000182F0000}"/>
    <cellStyle name="40% - Accent1 6 2 3 2 2 3 2" xfId="48265" xr:uid="{46C0B77A-ECC8-4E0B-91B7-24CB148803FA}"/>
    <cellStyle name="40% - Accent1 6 2 3 2 2 4" xfId="32388" xr:uid="{C6F75F4C-30C5-43D0-B067-EA46D60034A9}"/>
    <cellStyle name="40% - Accent1 6 2 3 2 3" xfId="12949" xr:uid="{00000000-0005-0000-0000-0000192F0000}"/>
    <cellStyle name="40% - Accent1 6 2 3 2 3 2" xfId="36798" xr:uid="{DB4E80FF-F9A2-4968-BE64-5C08391BC36F}"/>
    <cellStyle name="40% - Accent1 6 2 3 2 4" xfId="20904" xr:uid="{00000000-0005-0000-0000-00001A2F0000}"/>
    <cellStyle name="40% - Accent1 6 2 3 2 4 2" xfId="44736" xr:uid="{2EDB33D8-E642-4FF7-B352-9FDF84DD8101}"/>
    <cellStyle name="40% - Accent1 6 2 3 2 5" xfId="28857" xr:uid="{A1486206-C284-432D-BC00-520D5B918A92}"/>
    <cellStyle name="40% - Accent1 6 2 3 3" xfId="6757" xr:uid="{00000000-0005-0000-0000-00001B2F0000}"/>
    <cellStyle name="40% - Accent1 6 2 3 3 2" xfId="14729" xr:uid="{00000000-0005-0000-0000-00001C2F0000}"/>
    <cellStyle name="40% - Accent1 6 2 3 3 2 2" xfId="38571" xr:uid="{3192AEF7-DC3F-44E9-A3BD-84808CA0C207}"/>
    <cellStyle name="40% - Accent1 6 2 3 3 3" xfId="22676" xr:uid="{00000000-0005-0000-0000-00001D2F0000}"/>
    <cellStyle name="40% - Accent1 6 2 3 3 3 2" xfId="46508" xr:uid="{6ABFAFEC-00B7-4766-A48C-9973A830E405}"/>
    <cellStyle name="40% - Accent1 6 2 3 3 4" xfId="30630" xr:uid="{DDF5B369-E0CA-40D4-BA87-0ED0591CB036}"/>
    <cellStyle name="40% - Accent1 6 2 3 4" xfId="11193" xr:uid="{00000000-0005-0000-0000-00001E2F0000}"/>
    <cellStyle name="40% - Accent1 6 2 3 4 2" xfId="35042" xr:uid="{38970C70-7EC6-427F-8197-B6F376B6A6D7}"/>
    <cellStyle name="40% - Accent1 6 2 3 5" xfId="19148" xr:uid="{00000000-0005-0000-0000-00001F2F0000}"/>
    <cellStyle name="40% - Accent1 6 2 3 5 2" xfId="42980" xr:uid="{54754EAC-2451-4789-A565-6877648BCCE8}"/>
    <cellStyle name="40% - Accent1 6 2 3 6" xfId="27100" xr:uid="{3066E9B9-1BDD-46F0-94C8-9CEF0EC4D582}"/>
    <cellStyle name="40% - Accent1 6 2 3_Exh G" xfId="2773" xr:uid="{00000000-0005-0000-0000-0000202F0000}"/>
    <cellStyle name="40% - Accent1 6 2 4" xfId="4046" xr:uid="{00000000-0005-0000-0000-0000212F0000}"/>
    <cellStyle name="40% - Accent1 6 2 4 2" xfId="7638" xr:uid="{00000000-0005-0000-0000-0000222F0000}"/>
    <cellStyle name="40% - Accent1 6 2 4 2 2" xfId="15609" xr:uid="{00000000-0005-0000-0000-0000232F0000}"/>
    <cellStyle name="40% - Accent1 6 2 4 2 2 2" xfId="39451" xr:uid="{EF45BC71-A624-4FC5-9671-3910BE96DD8D}"/>
    <cellStyle name="40% - Accent1 6 2 4 2 3" xfId="23555" xr:uid="{00000000-0005-0000-0000-0000242F0000}"/>
    <cellStyle name="40% - Accent1 6 2 4 2 3 2" xfId="47387" xr:uid="{632D7022-4871-4540-B5BA-63DFBD04B403}"/>
    <cellStyle name="40% - Accent1 6 2 4 2 4" xfId="31510" xr:uid="{37B1711E-31C9-4605-9514-FC897292E15D}"/>
    <cellStyle name="40% - Accent1 6 2 4 3" xfId="12071" xr:uid="{00000000-0005-0000-0000-0000252F0000}"/>
    <cellStyle name="40% - Accent1 6 2 4 3 2" xfId="35920" xr:uid="{0CB5D87C-6128-4C7F-B649-0F15EF948B7A}"/>
    <cellStyle name="40% - Accent1 6 2 4 4" xfId="20026" xr:uid="{00000000-0005-0000-0000-0000262F0000}"/>
    <cellStyle name="40% - Accent1 6 2 4 4 2" xfId="43858" xr:uid="{57C0C074-527F-4664-AFDC-FA59F5FC036C}"/>
    <cellStyle name="40% - Accent1 6 2 4 5" xfId="27979" xr:uid="{1E6B25A3-D776-4FD8-894E-7B2D00DB8FBB}"/>
    <cellStyle name="40% - Accent1 6 2 5" xfId="5866" xr:uid="{00000000-0005-0000-0000-0000272F0000}"/>
    <cellStyle name="40% - Accent1 6 2 5 2" xfId="13850" xr:uid="{00000000-0005-0000-0000-0000282F0000}"/>
    <cellStyle name="40% - Accent1 6 2 5 2 2" xfId="37693" xr:uid="{429D6043-526D-42B1-8E15-F3B62C27B46B}"/>
    <cellStyle name="40% - Accent1 6 2 5 3" xfId="21798" xr:uid="{00000000-0005-0000-0000-0000292F0000}"/>
    <cellStyle name="40% - Accent1 6 2 5 3 2" xfId="45630" xr:uid="{59D94D09-996A-4672-8937-53C2BC6D71B6}"/>
    <cellStyle name="40% - Accent1 6 2 5 4" xfId="29752" xr:uid="{16B14BE7-290B-437C-9A8E-C025A9BB5D4F}"/>
    <cellStyle name="40% - Accent1 6 2 6" xfId="9419" xr:uid="{00000000-0005-0000-0000-00002A2F0000}"/>
    <cellStyle name="40% - Accent1 6 2 6 2" xfId="17377" xr:uid="{00000000-0005-0000-0000-00002B2F0000}"/>
    <cellStyle name="40% - Accent1 6 2 6 2 2" xfId="41217" xr:uid="{0C377E07-5437-4E66-8AEC-BDA1134C5602}"/>
    <cellStyle name="40% - Accent1 6 2 6 3" xfId="25321" xr:uid="{00000000-0005-0000-0000-00002C2F0000}"/>
    <cellStyle name="40% - Accent1 6 2 6 3 2" xfId="49153" xr:uid="{060567FA-3FA4-47CC-B62F-714CCD3EE24C}"/>
    <cellStyle name="40% - Accent1 6 2 6 4" xfId="33276" xr:uid="{69CD1718-6826-42C4-B581-178BDAB4C472}"/>
    <cellStyle name="40% - Accent1 6 2 7" xfId="10315" xr:uid="{00000000-0005-0000-0000-00002D2F0000}"/>
    <cellStyle name="40% - Accent1 6 2 7 2" xfId="34164" xr:uid="{AAC11601-E4E7-4FF0-9882-6B5E563456AB}"/>
    <cellStyle name="40% - Accent1 6 2 8" xfId="18270" xr:uid="{00000000-0005-0000-0000-00002E2F0000}"/>
    <cellStyle name="40% - Accent1 6 2 8 2" xfId="42102" xr:uid="{DC18E639-CB9C-4F36-842D-108DA31068C1}"/>
    <cellStyle name="40% - Accent1 6 2 9" xfId="26222" xr:uid="{38358CD0-79D3-4C85-8378-021639193085}"/>
    <cellStyle name="40% - Accent1 6 2_Exh G" xfId="2770" xr:uid="{00000000-0005-0000-0000-00002F2F0000}"/>
    <cellStyle name="40% - Accent1 6 3" xfId="369" xr:uid="{00000000-0005-0000-0000-0000302F0000}"/>
    <cellStyle name="40% - Accent1 6 3 2" xfId="1397" xr:uid="{00000000-0005-0000-0000-0000312F0000}"/>
    <cellStyle name="40% - Accent1 6 3 2 2" xfId="4927" xr:uid="{00000000-0005-0000-0000-0000322F0000}"/>
    <cellStyle name="40% - Accent1 6 3 2 2 2" xfId="8518" xr:uid="{00000000-0005-0000-0000-0000332F0000}"/>
    <cellStyle name="40% - Accent1 6 3 2 2 2 2" xfId="16489" xr:uid="{00000000-0005-0000-0000-0000342F0000}"/>
    <cellStyle name="40% - Accent1 6 3 2 2 2 2 2" xfId="40331" xr:uid="{C765C4C1-0763-4354-941E-B6A380495E25}"/>
    <cellStyle name="40% - Accent1 6 3 2 2 2 3" xfId="24435" xr:uid="{00000000-0005-0000-0000-0000352F0000}"/>
    <cellStyle name="40% - Accent1 6 3 2 2 2 3 2" xfId="48267" xr:uid="{08F36231-25E1-4EB1-8A07-960A5E12DE04}"/>
    <cellStyle name="40% - Accent1 6 3 2 2 2 4" xfId="32390" xr:uid="{75B9D8D3-F206-4F93-978F-E84C8FFE0583}"/>
    <cellStyle name="40% - Accent1 6 3 2 2 3" xfId="12951" xr:uid="{00000000-0005-0000-0000-0000362F0000}"/>
    <cellStyle name="40% - Accent1 6 3 2 2 3 2" xfId="36800" xr:uid="{BB8AB448-6627-4F07-9DE9-7183CD1930F8}"/>
    <cellStyle name="40% - Accent1 6 3 2 2 4" xfId="20906" xr:uid="{00000000-0005-0000-0000-0000372F0000}"/>
    <cellStyle name="40% - Accent1 6 3 2 2 4 2" xfId="44738" xr:uid="{1AE41137-1480-40E4-987A-B729FBE5176E}"/>
    <cellStyle name="40% - Accent1 6 3 2 2 5" xfId="28859" xr:uid="{4E76B35E-A1BB-44DD-A3CA-0CD70D04CF9F}"/>
    <cellStyle name="40% - Accent1 6 3 2 3" xfId="6759" xr:uid="{00000000-0005-0000-0000-0000382F0000}"/>
    <cellStyle name="40% - Accent1 6 3 2 3 2" xfId="14731" xr:uid="{00000000-0005-0000-0000-0000392F0000}"/>
    <cellStyle name="40% - Accent1 6 3 2 3 2 2" xfId="38573" xr:uid="{EE2A08C6-C5B9-412D-870F-B0D3A8FA4E94}"/>
    <cellStyle name="40% - Accent1 6 3 2 3 3" xfId="22678" xr:uid="{00000000-0005-0000-0000-00003A2F0000}"/>
    <cellStyle name="40% - Accent1 6 3 2 3 3 2" xfId="46510" xr:uid="{FEC16893-1828-4654-AA1B-6AEBE84ADCC7}"/>
    <cellStyle name="40% - Accent1 6 3 2 3 4" xfId="30632" xr:uid="{5213D39F-F804-4720-817F-D38B44326748}"/>
    <cellStyle name="40% - Accent1 6 3 2 4" xfId="11195" xr:uid="{00000000-0005-0000-0000-00003B2F0000}"/>
    <cellStyle name="40% - Accent1 6 3 2 4 2" xfId="35044" xr:uid="{783F3393-1D60-4039-A09B-D57C4A13C53D}"/>
    <cellStyle name="40% - Accent1 6 3 2 5" xfId="19150" xr:uid="{00000000-0005-0000-0000-00003C2F0000}"/>
    <cellStyle name="40% - Accent1 6 3 2 5 2" xfId="42982" xr:uid="{C0E21CB3-0127-4972-8884-BEEBB2BBD8F4}"/>
    <cellStyle name="40% - Accent1 6 3 2 6" xfId="27102" xr:uid="{72D6B13B-7E14-4B72-ADB0-9A93F980D968}"/>
    <cellStyle name="40% - Accent1 6 3 2_Exh G" xfId="2775" xr:uid="{00000000-0005-0000-0000-00003D2F0000}"/>
    <cellStyle name="40% - Accent1 6 3 3" xfId="4048" xr:uid="{00000000-0005-0000-0000-00003E2F0000}"/>
    <cellStyle name="40% - Accent1 6 3 3 2" xfId="7640" xr:uid="{00000000-0005-0000-0000-00003F2F0000}"/>
    <cellStyle name="40% - Accent1 6 3 3 2 2" xfId="15611" xr:uid="{00000000-0005-0000-0000-0000402F0000}"/>
    <cellStyle name="40% - Accent1 6 3 3 2 2 2" xfId="39453" xr:uid="{A278CE57-4EEC-40B9-8F3D-0EF900191B92}"/>
    <cellStyle name="40% - Accent1 6 3 3 2 3" xfId="23557" xr:uid="{00000000-0005-0000-0000-0000412F0000}"/>
    <cellStyle name="40% - Accent1 6 3 3 2 3 2" xfId="47389" xr:uid="{A9567D96-AAF4-478A-B104-BD63A850A888}"/>
    <cellStyle name="40% - Accent1 6 3 3 2 4" xfId="31512" xr:uid="{28DF08D9-FE50-4B5C-8B32-BED07B4032EA}"/>
    <cellStyle name="40% - Accent1 6 3 3 3" xfId="12073" xr:uid="{00000000-0005-0000-0000-0000422F0000}"/>
    <cellStyle name="40% - Accent1 6 3 3 3 2" xfId="35922" xr:uid="{12318782-E4D2-46FD-9DF3-5F6B756E4BFE}"/>
    <cellStyle name="40% - Accent1 6 3 3 4" xfId="20028" xr:uid="{00000000-0005-0000-0000-0000432F0000}"/>
    <cellStyle name="40% - Accent1 6 3 3 4 2" xfId="43860" xr:uid="{1FEE03AC-A323-4A55-9C3F-A8A990630FD9}"/>
    <cellStyle name="40% - Accent1 6 3 3 5" xfId="27981" xr:uid="{AF708728-A341-46E4-B897-B55CFC195D0F}"/>
    <cellStyle name="40% - Accent1 6 3 4" xfId="5868" xr:uid="{00000000-0005-0000-0000-0000442F0000}"/>
    <cellStyle name="40% - Accent1 6 3 4 2" xfId="13852" xr:uid="{00000000-0005-0000-0000-0000452F0000}"/>
    <cellStyle name="40% - Accent1 6 3 4 2 2" xfId="37695" xr:uid="{38FBE330-78F3-4A6B-98BE-78B7BE92C893}"/>
    <cellStyle name="40% - Accent1 6 3 4 3" xfId="21800" xr:uid="{00000000-0005-0000-0000-0000462F0000}"/>
    <cellStyle name="40% - Accent1 6 3 4 3 2" xfId="45632" xr:uid="{CBFFC2CF-09CF-4AD6-B8F2-B655E9CCD410}"/>
    <cellStyle name="40% - Accent1 6 3 4 4" xfId="29754" xr:uid="{81D4DB5B-F73D-4E7A-BAD4-514041B8C0C2}"/>
    <cellStyle name="40% - Accent1 6 3 5" xfId="9421" xr:uid="{00000000-0005-0000-0000-0000472F0000}"/>
    <cellStyle name="40% - Accent1 6 3 5 2" xfId="17379" xr:uid="{00000000-0005-0000-0000-0000482F0000}"/>
    <cellStyle name="40% - Accent1 6 3 5 2 2" xfId="41219" xr:uid="{B2B02C9D-92DC-4C39-B18C-8F18B500FB7F}"/>
    <cellStyle name="40% - Accent1 6 3 5 3" xfId="25323" xr:uid="{00000000-0005-0000-0000-0000492F0000}"/>
    <cellStyle name="40% - Accent1 6 3 5 3 2" xfId="49155" xr:uid="{3B6488A3-F01D-4A97-8B5F-B2E3CC955450}"/>
    <cellStyle name="40% - Accent1 6 3 5 4" xfId="33278" xr:uid="{CCD72E50-77E4-443C-AD6D-659F39325586}"/>
    <cellStyle name="40% - Accent1 6 3 6" xfId="10317" xr:uid="{00000000-0005-0000-0000-00004A2F0000}"/>
    <cellStyle name="40% - Accent1 6 3 6 2" xfId="34166" xr:uid="{773E0663-F552-428A-B6CE-BFCB838763D7}"/>
    <cellStyle name="40% - Accent1 6 3 7" xfId="18272" xr:uid="{00000000-0005-0000-0000-00004B2F0000}"/>
    <cellStyle name="40% - Accent1 6 3 7 2" xfId="42104" xr:uid="{75DA7F7F-139D-4039-B273-25CCB1EA3713}"/>
    <cellStyle name="40% - Accent1 6 3 8" xfId="26224" xr:uid="{9B09B36D-FE45-4760-9C20-6CC2A42D6E3B}"/>
    <cellStyle name="40% - Accent1 6 3_Exh G" xfId="2774" xr:uid="{00000000-0005-0000-0000-00004C2F0000}"/>
    <cellStyle name="40% - Accent1 6 4" xfId="942" xr:uid="{00000000-0005-0000-0000-00004D2F0000}"/>
    <cellStyle name="40% - Accent1 6 4 2" xfId="1865" xr:uid="{00000000-0005-0000-0000-00004E2F0000}"/>
    <cellStyle name="40% - Accent1 6 4 2 2" xfId="5383" xr:uid="{00000000-0005-0000-0000-00004F2F0000}"/>
    <cellStyle name="40% - Accent1 6 4 2 2 2" xfId="8974" xr:uid="{00000000-0005-0000-0000-0000502F0000}"/>
    <cellStyle name="40% - Accent1 6 4 2 2 2 2" xfId="16945" xr:uid="{00000000-0005-0000-0000-0000512F0000}"/>
    <cellStyle name="40% - Accent1 6 4 2 2 2 2 2" xfId="40787" xr:uid="{CB095D38-F243-4AF7-A3CD-BE122729CFFB}"/>
    <cellStyle name="40% - Accent1 6 4 2 2 2 3" xfId="24891" xr:uid="{00000000-0005-0000-0000-0000522F0000}"/>
    <cellStyle name="40% - Accent1 6 4 2 2 2 3 2" xfId="48723" xr:uid="{1C0EBC5D-FDA3-4E7A-8DFA-F461FCA92F96}"/>
    <cellStyle name="40% - Accent1 6 4 2 2 2 4" xfId="32846" xr:uid="{82BEE7CF-C99F-417F-966A-054B5EEA6AF7}"/>
    <cellStyle name="40% - Accent1 6 4 2 2 3" xfId="13407" xr:uid="{00000000-0005-0000-0000-0000532F0000}"/>
    <cellStyle name="40% - Accent1 6 4 2 2 3 2" xfId="37256" xr:uid="{9DC4CBDF-D100-4141-BEC4-80E28E82032A}"/>
    <cellStyle name="40% - Accent1 6 4 2 2 4" xfId="21362" xr:uid="{00000000-0005-0000-0000-0000542F0000}"/>
    <cellStyle name="40% - Accent1 6 4 2 2 4 2" xfId="45194" xr:uid="{18EF369A-6823-4377-911E-C8E6105A7C3C}"/>
    <cellStyle name="40% - Accent1 6 4 2 2 5" xfId="29315" xr:uid="{AC4FC301-F194-4DF0-BB97-6F2645E770F8}"/>
    <cellStyle name="40% - Accent1 6 4 2 3" xfId="7215" xr:uid="{00000000-0005-0000-0000-0000552F0000}"/>
    <cellStyle name="40% - Accent1 6 4 2 3 2" xfId="15187" xr:uid="{00000000-0005-0000-0000-0000562F0000}"/>
    <cellStyle name="40% - Accent1 6 4 2 3 2 2" xfId="39029" xr:uid="{1CB0C28F-39F2-446D-A5AA-6E270934FE03}"/>
    <cellStyle name="40% - Accent1 6 4 2 3 3" xfId="23134" xr:uid="{00000000-0005-0000-0000-0000572F0000}"/>
    <cellStyle name="40% - Accent1 6 4 2 3 3 2" xfId="46966" xr:uid="{29EC3FC3-3642-4152-920B-56F23E29D19C}"/>
    <cellStyle name="40% - Accent1 6 4 2 3 4" xfId="31088" xr:uid="{17A82E82-D023-46F2-9BD5-4BECB147AEB8}"/>
    <cellStyle name="40% - Accent1 6 4 2 4" xfId="11651" xr:uid="{00000000-0005-0000-0000-0000582F0000}"/>
    <cellStyle name="40% - Accent1 6 4 2 4 2" xfId="35500" xr:uid="{ED20B045-B3E2-44D8-AD0B-BC01CBC1EE7D}"/>
    <cellStyle name="40% - Accent1 6 4 2 5" xfId="19606" xr:uid="{00000000-0005-0000-0000-0000592F0000}"/>
    <cellStyle name="40% - Accent1 6 4 2 5 2" xfId="43438" xr:uid="{17FDF412-0E70-4E34-9213-3CC0CFC5C179}"/>
    <cellStyle name="40% - Accent1 6 4 2 6" xfId="27558" xr:uid="{45546952-982B-4914-93A8-BB0E9704A001}"/>
    <cellStyle name="40% - Accent1 6 4 2_Exh G" xfId="2777" xr:uid="{00000000-0005-0000-0000-00005A2F0000}"/>
    <cellStyle name="40% - Accent1 6 4 3" xfId="4504" xr:uid="{00000000-0005-0000-0000-00005B2F0000}"/>
    <cellStyle name="40% - Accent1 6 4 3 2" xfId="8096" xr:uid="{00000000-0005-0000-0000-00005C2F0000}"/>
    <cellStyle name="40% - Accent1 6 4 3 2 2" xfId="16067" xr:uid="{00000000-0005-0000-0000-00005D2F0000}"/>
    <cellStyle name="40% - Accent1 6 4 3 2 2 2" xfId="39909" xr:uid="{A3B3597A-04E6-4F60-BF60-091F3505F740}"/>
    <cellStyle name="40% - Accent1 6 4 3 2 3" xfId="24013" xr:uid="{00000000-0005-0000-0000-00005E2F0000}"/>
    <cellStyle name="40% - Accent1 6 4 3 2 3 2" xfId="47845" xr:uid="{C87DE1C1-8770-4524-AE80-B93A1D3432E8}"/>
    <cellStyle name="40% - Accent1 6 4 3 2 4" xfId="31968" xr:uid="{0532C933-7319-4394-AC64-69E5D4E286BB}"/>
    <cellStyle name="40% - Accent1 6 4 3 3" xfId="12529" xr:uid="{00000000-0005-0000-0000-00005F2F0000}"/>
    <cellStyle name="40% - Accent1 6 4 3 3 2" xfId="36378" xr:uid="{799ABBB2-41D3-4AAB-B49C-F0546F918DEE}"/>
    <cellStyle name="40% - Accent1 6 4 3 4" xfId="20484" xr:uid="{00000000-0005-0000-0000-0000602F0000}"/>
    <cellStyle name="40% - Accent1 6 4 3 4 2" xfId="44316" xr:uid="{A6D5AE44-0393-4FEA-BB67-B97B0D7E3FC0}"/>
    <cellStyle name="40% - Accent1 6 4 3 5" xfId="28437" xr:uid="{08A7036E-0F31-43FA-BFE7-E010803E9D52}"/>
    <cellStyle name="40% - Accent1 6 4 4" xfId="6334" xr:uid="{00000000-0005-0000-0000-0000612F0000}"/>
    <cellStyle name="40% - Accent1 6 4 4 2" xfId="14309" xr:uid="{00000000-0005-0000-0000-0000622F0000}"/>
    <cellStyle name="40% - Accent1 6 4 4 2 2" xfId="38151" xr:uid="{B64EF137-4BA2-428E-BB9B-EFDED5BA76CD}"/>
    <cellStyle name="40% - Accent1 6 4 4 3" xfId="22256" xr:uid="{00000000-0005-0000-0000-0000632F0000}"/>
    <cellStyle name="40% - Accent1 6 4 4 3 2" xfId="46088" xr:uid="{731FB91A-4C0B-48D8-8006-607FCA105353}"/>
    <cellStyle name="40% - Accent1 6 4 4 4" xfId="30210" xr:uid="{0D3D74D9-FB89-4C18-9A32-5947339F6877}"/>
    <cellStyle name="40% - Accent1 6 4 5" xfId="9877" xr:uid="{00000000-0005-0000-0000-0000642F0000}"/>
    <cellStyle name="40% - Accent1 6 4 5 2" xfId="17835" xr:uid="{00000000-0005-0000-0000-0000652F0000}"/>
    <cellStyle name="40% - Accent1 6 4 5 2 2" xfId="41675" xr:uid="{F5980E09-00DE-428B-A90F-20E81B8A6ACF}"/>
    <cellStyle name="40% - Accent1 6 4 5 3" xfId="25779" xr:uid="{00000000-0005-0000-0000-0000662F0000}"/>
    <cellStyle name="40% - Accent1 6 4 5 3 2" xfId="49611" xr:uid="{78F3F4BA-E3BD-494F-8EF3-B6F08E6F9CDE}"/>
    <cellStyle name="40% - Accent1 6 4 5 4" xfId="33734" xr:uid="{CD7FE1EF-029D-463A-ABE7-78202C743018}"/>
    <cellStyle name="40% - Accent1 6 4 6" xfId="10773" xr:uid="{00000000-0005-0000-0000-0000672F0000}"/>
    <cellStyle name="40% - Accent1 6 4 6 2" xfId="34622" xr:uid="{BD031F8B-49FE-48F0-9040-8DA03589A265}"/>
    <cellStyle name="40% - Accent1 6 4 7" xfId="18728" xr:uid="{00000000-0005-0000-0000-0000682F0000}"/>
    <cellStyle name="40% - Accent1 6 4 7 2" xfId="42560" xr:uid="{F21D494D-739B-4432-A526-60FEB8640C49}"/>
    <cellStyle name="40% - Accent1 6 4 8" xfId="26680" xr:uid="{F8977E6E-B283-435F-B891-2EE9420801C7}"/>
    <cellStyle name="40% - Accent1 6 4_Exh G" xfId="2776" xr:uid="{00000000-0005-0000-0000-0000692F0000}"/>
    <cellStyle name="40% - Accent1 6 5" xfId="1394" xr:uid="{00000000-0005-0000-0000-00006A2F0000}"/>
    <cellStyle name="40% - Accent1 6 5 2" xfId="4924" xr:uid="{00000000-0005-0000-0000-00006B2F0000}"/>
    <cellStyle name="40% - Accent1 6 5 2 2" xfId="8515" xr:uid="{00000000-0005-0000-0000-00006C2F0000}"/>
    <cellStyle name="40% - Accent1 6 5 2 2 2" xfId="16486" xr:uid="{00000000-0005-0000-0000-00006D2F0000}"/>
    <cellStyle name="40% - Accent1 6 5 2 2 2 2" xfId="40328" xr:uid="{CEA25DE3-6EEC-4724-A5ED-CEF3C51203D3}"/>
    <cellStyle name="40% - Accent1 6 5 2 2 3" xfId="24432" xr:uid="{00000000-0005-0000-0000-00006E2F0000}"/>
    <cellStyle name="40% - Accent1 6 5 2 2 3 2" xfId="48264" xr:uid="{76D948FF-DD78-4925-BEA0-F95DCBDA1048}"/>
    <cellStyle name="40% - Accent1 6 5 2 2 4" xfId="32387" xr:uid="{EDBEFC8F-766D-4473-AD95-6473C1B58F8D}"/>
    <cellStyle name="40% - Accent1 6 5 2 3" xfId="12948" xr:uid="{00000000-0005-0000-0000-00006F2F0000}"/>
    <cellStyle name="40% - Accent1 6 5 2 3 2" xfId="36797" xr:uid="{BAC3017F-F69A-4C82-AF75-35E727964171}"/>
    <cellStyle name="40% - Accent1 6 5 2 4" xfId="20903" xr:uid="{00000000-0005-0000-0000-0000702F0000}"/>
    <cellStyle name="40% - Accent1 6 5 2 4 2" xfId="44735" xr:uid="{E58880CE-68B5-436C-AF00-5E932077917F}"/>
    <cellStyle name="40% - Accent1 6 5 2 5" xfId="28856" xr:uid="{5B00FBC7-A66B-46AC-9348-7BF69BD9E31F}"/>
    <cellStyle name="40% - Accent1 6 5 3" xfId="6756" xr:uid="{00000000-0005-0000-0000-0000712F0000}"/>
    <cellStyle name="40% - Accent1 6 5 3 2" xfId="14728" xr:uid="{00000000-0005-0000-0000-0000722F0000}"/>
    <cellStyle name="40% - Accent1 6 5 3 2 2" xfId="38570" xr:uid="{1E31BD73-CAE5-478C-B434-A037D39E8234}"/>
    <cellStyle name="40% - Accent1 6 5 3 3" xfId="22675" xr:uid="{00000000-0005-0000-0000-0000732F0000}"/>
    <cellStyle name="40% - Accent1 6 5 3 3 2" xfId="46507" xr:uid="{60DFBAD2-F1AA-4D1B-AB07-66414541AA80}"/>
    <cellStyle name="40% - Accent1 6 5 3 4" xfId="30629" xr:uid="{CA03DD28-E29D-4BA0-AC68-79C9A6ACFAB3}"/>
    <cellStyle name="40% - Accent1 6 5 4" xfId="11192" xr:uid="{00000000-0005-0000-0000-0000742F0000}"/>
    <cellStyle name="40% - Accent1 6 5 4 2" xfId="35041" xr:uid="{42EC2E90-EC9C-4A48-85A8-E3D04C8406F5}"/>
    <cellStyle name="40% - Accent1 6 5 5" xfId="19147" xr:uid="{00000000-0005-0000-0000-0000752F0000}"/>
    <cellStyle name="40% - Accent1 6 5 5 2" xfId="42979" xr:uid="{79AC903A-222B-4E15-B089-C6D23526F035}"/>
    <cellStyle name="40% - Accent1 6 5 6" xfId="27099" xr:uid="{DAFB9171-B860-4421-AEE6-BF5FF2B9D04F}"/>
    <cellStyle name="40% - Accent1 6 5_Exh G" xfId="2778" xr:uid="{00000000-0005-0000-0000-0000762F0000}"/>
    <cellStyle name="40% - Accent1 6 6" xfId="4045" xr:uid="{00000000-0005-0000-0000-0000772F0000}"/>
    <cellStyle name="40% - Accent1 6 6 2" xfId="7637" xr:uid="{00000000-0005-0000-0000-0000782F0000}"/>
    <cellStyle name="40% - Accent1 6 6 2 2" xfId="15608" xr:uid="{00000000-0005-0000-0000-0000792F0000}"/>
    <cellStyle name="40% - Accent1 6 6 2 2 2" xfId="39450" xr:uid="{BB75E6FF-46AD-4249-9E03-1E49CF3725B2}"/>
    <cellStyle name="40% - Accent1 6 6 2 3" xfId="23554" xr:uid="{00000000-0005-0000-0000-00007A2F0000}"/>
    <cellStyle name="40% - Accent1 6 6 2 3 2" xfId="47386" xr:uid="{60AE9956-4A0C-4090-AA5C-FF0797256BCF}"/>
    <cellStyle name="40% - Accent1 6 6 2 4" xfId="31509" xr:uid="{35A1A161-C946-4605-BE15-CE0EAC2BC1B7}"/>
    <cellStyle name="40% - Accent1 6 6 3" xfId="12070" xr:uid="{00000000-0005-0000-0000-00007B2F0000}"/>
    <cellStyle name="40% - Accent1 6 6 3 2" xfId="35919" xr:uid="{A5EC3ABF-93B5-4753-9492-32FE013EF1D3}"/>
    <cellStyle name="40% - Accent1 6 6 4" xfId="20025" xr:uid="{00000000-0005-0000-0000-00007C2F0000}"/>
    <cellStyle name="40% - Accent1 6 6 4 2" xfId="43857" xr:uid="{EDFDD3C5-5420-4D64-9C2A-D3B261171101}"/>
    <cellStyle name="40% - Accent1 6 6 5" xfId="27978" xr:uid="{768FF12A-9D2D-46DC-91ED-03DF85B22E5A}"/>
    <cellStyle name="40% - Accent1 6 7" xfId="5865" xr:uid="{00000000-0005-0000-0000-00007D2F0000}"/>
    <cellStyle name="40% - Accent1 6 7 2" xfId="13849" xr:uid="{00000000-0005-0000-0000-00007E2F0000}"/>
    <cellStyle name="40% - Accent1 6 7 2 2" xfId="37692" xr:uid="{08822FDA-43D9-496B-B568-E14753DE377E}"/>
    <cellStyle name="40% - Accent1 6 7 3" xfId="21797" xr:uid="{00000000-0005-0000-0000-00007F2F0000}"/>
    <cellStyle name="40% - Accent1 6 7 3 2" xfId="45629" xr:uid="{7199EA37-B727-4BEB-8037-7995345DC5CC}"/>
    <cellStyle name="40% - Accent1 6 7 4" xfId="29751" xr:uid="{2EA9FF7F-919E-4D06-ACA1-A149F9A6F3B7}"/>
    <cellStyle name="40% - Accent1 6 8" xfId="9418" xr:uid="{00000000-0005-0000-0000-0000802F0000}"/>
    <cellStyle name="40% - Accent1 6 8 2" xfId="17376" xr:uid="{00000000-0005-0000-0000-0000812F0000}"/>
    <cellStyle name="40% - Accent1 6 8 2 2" xfId="41216" xr:uid="{8D765EB7-DE71-4257-B8DF-35701911C447}"/>
    <cellStyle name="40% - Accent1 6 8 3" xfId="25320" xr:uid="{00000000-0005-0000-0000-0000822F0000}"/>
    <cellStyle name="40% - Accent1 6 8 3 2" xfId="49152" xr:uid="{20574385-3667-4FBF-9BD2-64032B754705}"/>
    <cellStyle name="40% - Accent1 6 8 4" xfId="33275" xr:uid="{302F824E-5BDA-4812-BE1C-34578F78DB86}"/>
    <cellStyle name="40% - Accent1 6 9" xfId="10314" xr:uid="{00000000-0005-0000-0000-0000832F0000}"/>
    <cellStyle name="40% - Accent1 6 9 2" xfId="34163" xr:uid="{765FA042-6963-4605-BDA5-D20E8A011D31}"/>
    <cellStyle name="40% - Accent1 6_Exh G" xfId="2769" xr:uid="{00000000-0005-0000-0000-0000842F0000}"/>
    <cellStyle name="40% - Accent1 7" xfId="370" xr:uid="{00000000-0005-0000-0000-0000852F0000}"/>
    <cellStyle name="40% - Accent1 7 10" xfId="18273" xr:uid="{00000000-0005-0000-0000-0000862F0000}"/>
    <cellStyle name="40% - Accent1 7 10 2" xfId="42105" xr:uid="{AB40678D-EFD6-4529-95E8-B1739955B758}"/>
    <cellStyle name="40% - Accent1 7 11" xfId="26225" xr:uid="{7C3F01A5-EAE4-48D4-AFFE-B03E467AFC55}"/>
    <cellStyle name="40% - Accent1 7 2" xfId="371" xr:uid="{00000000-0005-0000-0000-0000872F0000}"/>
    <cellStyle name="40% - Accent1 7 2 2" xfId="372" xr:uid="{00000000-0005-0000-0000-0000882F0000}"/>
    <cellStyle name="40% - Accent1 7 2 2 2" xfId="1400" xr:uid="{00000000-0005-0000-0000-0000892F0000}"/>
    <cellStyle name="40% - Accent1 7 2 2 2 2" xfId="4930" xr:uid="{00000000-0005-0000-0000-00008A2F0000}"/>
    <cellStyle name="40% - Accent1 7 2 2 2 2 2" xfId="8521" xr:uid="{00000000-0005-0000-0000-00008B2F0000}"/>
    <cellStyle name="40% - Accent1 7 2 2 2 2 2 2" xfId="16492" xr:uid="{00000000-0005-0000-0000-00008C2F0000}"/>
    <cellStyle name="40% - Accent1 7 2 2 2 2 2 2 2" xfId="40334" xr:uid="{3765AF6B-036D-4A35-A051-AD1AEFD2A27F}"/>
    <cellStyle name="40% - Accent1 7 2 2 2 2 2 3" xfId="24438" xr:uid="{00000000-0005-0000-0000-00008D2F0000}"/>
    <cellStyle name="40% - Accent1 7 2 2 2 2 2 3 2" xfId="48270" xr:uid="{52DF2C65-3B57-4212-9887-C4F47A3FDB1E}"/>
    <cellStyle name="40% - Accent1 7 2 2 2 2 2 4" xfId="32393" xr:uid="{499839C3-6453-4A90-9E4A-7DB9C443C559}"/>
    <cellStyle name="40% - Accent1 7 2 2 2 2 3" xfId="12954" xr:uid="{00000000-0005-0000-0000-00008E2F0000}"/>
    <cellStyle name="40% - Accent1 7 2 2 2 2 3 2" xfId="36803" xr:uid="{A511C1C5-14B8-4BDE-A39B-11726007EA15}"/>
    <cellStyle name="40% - Accent1 7 2 2 2 2 4" xfId="20909" xr:uid="{00000000-0005-0000-0000-00008F2F0000}"/>
    <cellStyle name="40% - Accent1 7 2 2 2 2 4 2" xfId="44741" xr:uid="{723ACAC7-9F61-40BF-8E22-DDD310817D68}"/>
    <cellStyle name="40% - Accent1 7 2 2 2 2 5" xfId="28862" xr:uid="{4FD348BD-5A76-41D0-AFEF-2598D542DE20}"/>
    <cellStyle name="40% - Accent1 7 2 2 2 3" xfId="6762" xr:uid="{00000000-0005-0000-0000-0000902F0000}"/>
    <cellStyle name="40% - Accent1 7 2 2 2 3 2" xfId="14734" xr:uid="{00000000-0005-0000-0000-0000912F0000}"/>
    <cellStyle name="40% - Accent1 7 2 2 2 3 2 2" xfId="38576" xr:uid="{8129884F-6095-49D5-B9A4-4F4C3AD2ABA9}"/>
    <cellStyle name="40% - Accent1 7 2 2 2 3 3" xfId="22681" xr:uid="{00000000-0005-0000-0000-0000922F0000}"/>
    <cellStyle name="40% - Accent1 7 2 2 2 3 3 2" xfId="46513" xr:uid="{1447A32F-8E4E-411E-973A-337143483D87}"/>
    <cellStyle name="40% - Accent1 7 2 2 2 3 4" xfId="30635" xr:uid="{911825D0-BCE8-4C76-9F92-14520F72E5BB}"/>
    <cellStyle name="40% - Accent1 7 2 2 2 4" xfId="11198" xr:uid="{00000000-0005-0000-0000-0000932F0000}"/>
    <cellStyle name="40% - Accent1 7 2 2 2 4 2" xfId="35047" xr:uid="{CA8C1AC9-129A-48F3-9238-5EDD0E7201D4}"/>
    <cellStyle name="40% - Accent1 7 2 2 2 5" xfId="19153" xr:uid="{00000000-0005-0000-0000-0000942F0000}"/>
    <cellStyle name="40% - Accent1 7 2 2 2 5 2" xfId="42985" xr:uid="{DB020B98-05AF-4605-9843-161B1E2715D1}"/>
    <cellStyle name="40% - Accent1 7 2 2 2 6" xfId="27105" xr:uid="{8B8230E6-47C0-46DE-8B33-DEF960C9E4F0}"/>
    <cellStyle name="40% - Accent1 7 2 2 2_Exh G" xfId="2782" xr:uid="{00000000-0005-0000-0000-0000952F0000}"/>
    <cellStyle name="40% - Accent1 7 2 2 3" xfId="4051" xr:uid="{00000000-0005-0000-0000-0000962F0000}"/>
    <cellStyle name="40% - Accent1 7 2 2 3 2" xfId="7643" xr:uid="{00000000-0005-0000-0000-0000972F0000}"/>
    <cellStyle name="40% - Accent1 7 2 2 3 2 2" xfId="15614" xr:uid="{00000000-0005-0000-0000-0000982F0000}"/>
    <cellStyle name="40% - Accent1 7 2 2 3 2 2 2" xfId="39456" xr:uid="{3D8A4C05-4FBF-4A0C-BBE2-1126912A5D42}"/>
    <cellStyle name="40% - Accent1 7 2 2 3 2 3" xfId="23560" xr:uid="{00000000-0005-0000-0000-0000992F0000}"/>
    <cellStyle name="40% - Accent1 7 2 2 3 2 3 2" xfId="47392" xr:uid="{0930307C-3E92-4413-A13A-475357718606}"/>
    <cellStyle name="40% - Accent1 7 2 2 3 2 4" xfId="31515" xr:uid="{4D156501-E896-443B-BD97-D3FC3123660F}"/>
    <cellStyle name="40% - Accent1 7 2 2 3 3" xfId="12076" xr:uid="{00000000-0005-0000-0000-00009A2F0000}"/>
    <cellStyle name="40% - Accent1 7 2 2 3 3 2" xfId="35925" xr:uid="{3B875F5B-7231-46F4-9AF6-A6FF7F8C7317}"/>
    <cellStyle name="40% - Accent1 7 2 2 3 4" xfId="20031" xr:uid="{00000000-0005-0000-0000-00009B2F0000}"/>
    <cellStyle name="40% - Accent1 7 2 2 3 4 2" xfId="43863" xr:uid="{EE866C20-3488-4A43-ABB7-4E99568AC367}"/>
    <cellStyle name="40% - Accent1 7 2 2 3 5" xfId="27984" xr:uid="{223A0F75-374F-4804-8C5D-F91900734973}"/>
    <cellStyle name="40% - Accent1 7 2 2 4" xfId="5871" xr:uid="{00000000-0005-0000-0000-00009C2F0000}"/>
    <cellStyle name="40% - Accent1 7 2 2 4 2" xfId="13855" xr:uid="{00000000-0005-0000-0000-00009D2F0000}"/>
    <cellStyle name="40% - Accent1 7 2 2 4 2 2" xfId="37698" xr:uid="{E378D693-B938-4F90-B525-10694D98969C}"/>
    <cellStyle name="40% - Accent1 7 2 2 4 3" xfId="21803" xr:uid="{00000000-0005-0000-0000-00009E2F0000}"/>
    <cellStyle name="40% - Accent1 7 2 2 4 3 2" xfId="45635" xr:uid="{E1812A73-CC87-4CDA-B510-D73F77AA34B8}"/>
    <cellStyle name="40% - Accent1 7 2 2 4 4" xfId="29757" xr:uid="{B1683265-1715-44BF-9B24-9D9BD1772F3F}"/>
    <cellStyle name="40% - Accent1 7 2 2 5" xfId="9424" xr:uid="{00000000-0005-0000-0000-00009F2F0000}"/>
    <cellStyle name="40% - Accent1 7 2 2 5 2" xfId="17382" xr:uid="{00000000-0005-0000-0000-0000A02F0000}"/>
    <cellStyle name="40% - Accent1 7 2 2 5 2 2" xfId="41222" xr:uid="{2918955C-F467-4F16-97FD-C791A94EA25B}"/>
    <cellStyle name="40% - Accent1 7 2 2 5 3" xfId="25326" xr:uid="{00000000-0005-0000-0000-0000A12F0000}"/>
    <cellStyle name="40% - Accent1 7 2 2 5 3 2" xfId="49158" xr:uid="{2006AF41-D9DF-4AEF-A76C-A8B0A20191BF}"/>
    <cellStyle name="40% - Accent1 7 2 2 5 4" xfId="33281" xr:uid="{4DBE0277-0141-45D4-AB7B-5D4CE3C677C6}"/>
    <cellStyle name="40% - Accent1 7 2 2 6" xfId="10320" xr:uid="{00000000-0005-0000-0000-0000A22F0000}"/>
    <cellStyle name="40% - Accent1 7 2 2 6 2" xfId="34169" xr:uid="{4F88F01D-E9C2-437B-BC66-F475E044975E}"/>
    <cellStyle name="40% - Accent1 7 2 2 7" xfId="18275" xr:uid="{00000000-0005-0000-0000-0000A32F0000}"/>
    <cellStyle name="40% - Accent1 7 2 2 7 2" xfId="42107" xr:uid="{F0B08718-9663-41BD-9AE6-3CB358899E08}"/>
    <cellStyle name="40% - Accent1 7 2 2 8" xfId="26227" xr:uid="{B4AE4DAE-D3EF-49DC-828E-1791F43B7B64}"/>
    <cellStyle name="40% - Accent1 7 2 2_Exh G" xfId="2781" xr:uid="{00000000-0005-0000-0000-0000A42F0000}"/>
    <cellStyle name="40% - Accent1 7 2 3" xfId="1399" xr:uid="{00000000-0005-0000-0000-0000A52F0000}"/>
    <cellStyle name="40% - Accent1 7 2 3 2" xfId="4929" xr:uid="{00000000-0005-0000-0000-0000A62F0000}"/>
    <cellStyle name="40% - Accent1 7 2 3 2 2" xfId="8520" xr:uid="{00000000-0005-0000-0000-0000A72F0000}"/>
    <cellStyle name="40% - Accent1 7 2 3 2 2 2" xfId="16491" xr:uid="{00000000-0005-0000-0000-0000A82F0000}"/>
    <cellStyle name="40% - Accent1 7 2 3 2 2 2 2" xfId="40333" xr:uid="{C13A8896-108E-4935-A785-9D7FC5476603}"/>
    <cellStyle name="40% - Accent1 7 2 3 2 2 3" xfId="24437" xr:uid="{00000000-0005-0000-0000-0000A92F0000}"/>
    <cellStyle name="40% - Accent1 7 2 3 2 2 3 2" xfId="48269" xr:uid="{8E466E0D-C02A-4375-9D34-6AE4828E42C7}"/>
    <cellStyle name="40% - Accent1 7 2 3 2 2 4" xfId="32392" xr:uid="{69EA0DF3-7B72-4BBF-B103-5B686D1FBA83}"/>
    <cellStyle name="40% - Accent1 7 2 3 2 3" xfId="12953" xr:uid="{00000000-0005-0000-0000-0000AA2F0000}"/>
    <cellStyle name="40% - Accent1 7 2 3 2 3 2" xfId="36802" xr:uid="{BAC6175F-6B12-4C4C-A91F-F3364A0EDDF3}"/>
    <cellStyle name="40% - Accent1 7 2 3 2 4" xfId="20908" xr:uid="{00000000-0005-0000-0000-0000AB2F0000}"/>
    <cellStyle name="40% - Accent1 7 2 3 2 4 2" xfId="44740" xr:uid="{D0E9C65A-EAD4-4115-94E4-400E83AE0571}"/>
    <cellStyle name="40% - Accent1 7 2 3 2 5" xfId="28861" xr:uid="{E3514B5F-EB70-46BA-8415-06E34D2CDF87}"/>
    <cellStyle name="40% - Accent1 7 2 3 3" xfId="6761" xr:uid="{00000000-0005-0000-0000-0000AC2F0000}"/>
    <cellStyle name="40% - Accent1 7 2 3 3 2" xfId="14733" xr:uid="{00000000-0005-0000-0000-0000AD2F0000}"/>
    <cellStyle name="40% - Accent1 7 2 3 3 2 2" xfId="38575" xr:uid="{270C4055-DC2D-485B-A9D4-4164853D2E98}"/>
    <cellStyle name="40% - Accent1 7 2 3 3 3" xfId="22680" xr:uid="{00000000-0005-0000-0000-0000AE2F0000}"/>
    <cellStyle name="40% - Accent1 7 2 3 3 3 2" xfId="46512" xr:uid="{4E4CC153-4795-48C6-BC1D-4C77FBF05E32}"/>
    <cellStyle name="40% - Accent1 7 2 3 3 4" xfId="30634" xr:uid="{8D4CFA42-1452-4C73-8DB7-1C1A3DF58600}"/>
    <cellStyle name="40% - Accent1 7 2 3 4" xfId="11197" xr:uid="{00000000-0005-0000-0000-0000AF2F0000}"/>
    <cellStyle name="40% - Accent1 7 2 3 4 2" xfId="35046" xr:uid="{862AEE47-9A0E-4A10-8B31-C669E8AC7B30}"/>
    <cellStyle name="40% - Accent1 7 2 3 5" xfId="19152" xr:uid="{00000000-0005-0000-0000-0000B02F0000}"/>
    <cellStyle name="40% - Accent1 7 2 3 5 2" xfId="42984" xr:uid="{24B87977-F41C-411C-A27B-BD48ECB94C5C}"/>
    <cellStyle name="40% - Accent1 7 2 3 6" xfId="27104" xr:uid="{BC254F71-D760-4F73-BED6-72E78C104BDC}"/>
    <cellStyle name="40% - Accent1 7 2 3_Exh G" xfId="2783" xr:uid="{00000000-0005-0000-0000-0000B12F0000}"/>
    <cellStyle name="40% - Accent1 7 2 4" xfId="4050" xr:uid="{00000000-0005-0000-0000-0000B22F0000}"/>
    <cellStyle name="40% - Accent1 7 2 4 2" xfId="7642" xr:uid="{00000000-0005-0000-0000-0000B32F0000}"/>
    <cellStyle name="40% - Accent1 7 2 4 2 2" xfId="15613" xr:uid="{00000000-0005-0000-0000-0000B42F0000}"/>
    <cellStyle name="40% - Accent1 7 2 4 2 2 2" xfId="39455" xr:uid="{1D33A179-AADE-43DF-9662-5CFD8FB61B44}"/>
    <cellStyle name="40% - Accent1 7 2 4 2 3" xfId="23559" xr:uid="{00000000-0005-0000-0000-0000B52F0000}"/>
    <cellStyle name="40% - Accent1 7 2 4 2 3 2" xfId="47391" xr:uid="{922FB618-5CCD-4CFB-AC5B-FC5389DDF471}"/>
    <cellStyle name="40% - Accent1 7 2 4 2 4" xfId="31514" xr:uid="{BCBC4A64-4B32-48C9-ADEB-730E8BC90E8D}"/>
    <cellStyle name="40% - Accent1 7 2 4 3" xfId="12075" xr:uid="{00000000-0005-0000-0000-0000B62F0000}"/>
    <cellStyle name="40% - Accent1 7 2 4 3 2" xfId="35924" xr:uid="{41EEA1D2-62B5-4654-8551-CCFA3185442C}"/>
    <cellStyle name="40% - Accent1 7 2 4 4" xfId="20030" xr:uid="{00000000-0005-0000-0000-0000B72F0000}"/>
    <cellStyle name="40% - Accent1 7 2 4 4 2" xfId="43862" xr:uid="{95C82854-FFEA-447B-9958-496431F58F4C}"/>
    <cellStyle name="40% - Accent1 7 2 4 5" xfId="27983" xr:uid="{05445E5A-EBCE-47AC-9A56-24B66B204F1F}"/>
    <cellStyle name="40% - Accent1 7 2 5" xfId="5870" xr:uid="{00000000-0005-0000-0000-0000B82F0000}"/>
    <cellStyle name="40% - Accent1 7 2 5 2" xfId="13854" xr:uid="{00000000-0005-0000-0000-0000B92F0000}"/>
    <cellStyle name="40% - Accent1 7 2 5 2 2" xfId="37697" xr:uid="{93D54CDD-F832-4BA6-8E28-A3938E43F7B2}"/>
    <cellStyle name="40% - Accent1 7 2 5 3" xfId="21802" xr:uid="{00000000-0005-0000-0000-0000BA2F0000}"/>
    <cellStyle name="40% - Accent1 7 2 5 3 2" xfId="45634" xr:uid="{EC4EC6FB-119B-4924-A9EB-71836C16B6D4}"/>
    <cellStyle name="40% - Accent1 7 2 5 4" xfId="29756" xr:uid="{CCAB4C51-C153-4037-9A28-A4BADED83127}"/>
    <cellStyle name="40% - Accent1 7 2 6" xfId="9423" xr:uid="{00000000-0005-0000-0000-0000BB2F0000}"/>
    <cellStyle name="40% - Accent1 7 2 6 2" xfId="17381" xr:uid="{00000000-0005-0000-0000-0000BC2F0000}"/>
    <cellStyle name="40% - Accent1 7 2 6 2 2" xfId="41221" xr:uid="{20A784DF-E162-4909-B210-DE0F4C0E49B4}"/>
    <cellStyle name="40% - Accent1 7 2 6 3" xfId="25325" xr:uid="{00000000-0005-0000-0000-0000BD2F0000}"/>
    <cellStyle name="40% - Accent1 7 2 6 3 2" xfId="49157" xr:uid="{B4E9DCB4-98A4-4AA8-8CC4-D0F2CB67AF0C}"/>
    <cellStyle name="40% - Accent1 7 2 6 4" xfId="33280" xr:uid="{429246A7-209F-42DB-A98C-2F8A34CCE0F5}"/>
    <cellStyle name="40% - Accent1 7 2 7" xfId="10319" xr:uid="{00000000-0005-0000-0000-0000BE2F0000}"/>
    <cellStyle name="40% - Accent1 7 2 7 2" xfId="34168" xr:uid="{B34518ED-324D-4AD3-B4E8-2277D6FC4C37}"/>
    <cellStyle name="40% - Accent1 7 2 8" xfId="18274" xr:uid="{00000000-0005-0000-0000-0000BF2F0000}"/>
    <cellStyle name="40% - Accent1 7 2 8 2" xfId="42106" xr:uid="{B65BA73D-7B31-4E7F-AADB-92BB20CCB74B}"/>
    <cellStyle name="40% - Accent1 7 2 9" xfId="26226" xr:uid="{DE5266F3-4E33-493D-B90B-276D70CCFC34}"/>
    <cellStyle name="40% - Accent1 7 2_Exh G" xfId="2780" xr:uid="{00000000-0005-0000-0000-0000C02F0000}"/>
    <cellStyle name="40% - Accent1 7 3" xfId="373" xr:uid="{00000000-0005-0000-0000-0000C12F0000}"/>
    <cellStyle name="40% - Accent1 7 3 2" xfId="1401" xr:uid="{00000000-0005-0000-0000-0000C22F0000}"/>
    <cellStyle name="40% - Accent1 7 3 2 2" xfId="4931" xr:uid="{00000000-0005-0000-0000-0000C32F0000}"/>
    <cellStyle name="40% - Accent1 7 3 2 2 2" xfId="8522" xr:uid="{00000000-0005-0000-0000-0000C42F0000}"/>
    <cellStyle name="40% - Accent1 7 3 2 2 2 2" xfId="16493" xr:uid="{00000000-0005-0000-0000-0000C52F0000}"/>
    <cellStyle name="40% - Accent1 7 3 2 2 2 2 2" xfId="40335" xr:uid="{B5C3ACB5-C3E3-4EBC-B784-52288D6F1625}"/>
    <cellStyle name="40% - Accent1 7 3 2 2 2 3" xfId="24439" xr:uid="{00000000-0005-0000-0000-0000C62F0000}"/>
    <cellStyle name="40% - Accent1 7 3 2 2 2 3 2" xfId="48271" xr:uid="{1F996818-508E-4571-B488-C33CA4D81F1B}"/>
    <cellStyle name="40% - Accent1 7 3 2 2 2 4" xfId="32394" xr:uid="{6A83E903-100D-4316-9DEE-8884C5B2BDF7}"/>
    <cellStyle name="40% - Accent1 7 3 2 2 3" xfId="12955" xr:uid="{00000000-0005-0000-0000-0000C72F0000}"/>
    <cellStyle name="40% - Accent1 7 3 2 2 3 2" xfId="36804" xr:uid="{C77267FB-84A6-4018-BCC1-216917A415AC}"/>
    <cellStyle name="40% - Accent1 7 3 2 2 4" xfId="20910" xr:uid="{00000000-0005-0000-0000-0000C82F0000}"/>
    <cellStyle name="40% - Accent1 7 3 2 2 4 2" xfId="44742" xr:uid="{67D215EA-AB56-484D-BCA5-9F492A012FAC}"/>
    <cellStyle name="40% - Accent1 7 3 2 2 5" xfId="28863" xr:uid="{6B73A0E3-0348-45EE-A11C-4FD0A573846A}"/>
    <cellStyle name="40% - Accent1 7 3 2 3" xfId="6763" xr:uid="{00000000-0005-0000-0000-0000C92F0000}"/>
    <cellStyle name="40% - Accent1 7 3 2 3 2" xfId="14735" xr:uid="{00000000-0005-0000-0000-0000CA2F0000}"/>
    <cellStyle name="40% - Accent1 7 3 2 3 2 2" xfId="38577" xr:uid="{0575661F-500B-4178-B5B7-01F6B38CC654}"/>
    <cellStyle name="40% - Accent1 7 3 2 3 3" xfId="22682" xr:uid="{00000000-0005-0000-0000-0000CB2F0000}"/>
    <cellStyle name="40% - Accent1 7 3 2 3 3 2" xfId="46514" xr:uid="{D2A43B7F-A73A-41D2-A3FD-27D835D5F01E}"/>
    <cellStyle name="40% - Accent1 7 3 2 3 4" xfId="30636" xr:uid="{57CEBD28-78CA-429B-BC98-AE8BEC13070F}"/>
    <cellStyle name="40% - Accent1 7 3 2 4" xfId="11199" xr:uid="{00000000-0005-0000-0000-0000CC2F0000}"/>
    <cellStyle name="40% - Accent1 7 3 2 4 2" xfId="35048" xr:uid="{2676DC62-603D-4632-BC31-B9AB246A3E35}"/>
    <cellStyle name="40% - Accent1 7 3 2 5" xfId="19154" xr:uid="{00000000-0005-0000-0000-0000CD2F0000}"/>
    <cellStyle name="40% - Accent1 7 3 2 5 2" xfId="42986" xr:uid="{ADCAA19B-CA15-405D-9C69-96A856D234D6}"/>
    <cellStyle name="40% - Accent1 7 3 2 6" xfId="27106" xr:uid="{024C892B-4128-4B6F-87B3-5C3A297DB6E1}"/>
    <cellStyle name="40% - Accent1 7 3 2_Exh G" xfId="2785" xr:uid="{00000000-0005-0000-0000-0000CE2F0000}"/>
    <cellStyle name="40% - Accent1 7 3 3" xfId="4052" xr:uid="{00000000-0005-0000-0000-0000CF2F0000}"/>
    <cellStyle name="40% - Accent1 7 3 3 2" xfId="7644" xr:uid="{00000000-0005-0000-0000-0000D02F0000}"/>
    <cellStyle name="40% - Accent1 7 3 3 2 2" xfId="15615" xr:uid="{00000000-0005-0000-0000-0000D12F0000}"/>
    <cellStyle name="40% - Accent1 7 3 3 2 2 2" xfId="39457" xr:uid="{61864EF7-55BC-4EC2-8AFC-C096ED0FF5CE}"/>
    <cellStyle name="40% - Accent1 7 3 3 2 3" xfId="23561" xr:uid="{00000000-0005-0000-0000-0000D22F0000}"/>
    <cellStyle name="40% - Accent1 7 3 3 2 3 2" xfId="47393" xr:uid="{ED97C0DC-3042-45D9-A0E1-EBDE19412F26}"/>
    <cellStyle name="40% - Accent1 7 3 3 2 4" xfId="31516" xr:uid="{C0D1CF80-7AFB-44FF-85C6-A3BCE71FCE6A}"/>
    <cellStyle name="40% - Accent1 7 3 3 3" xfId="12077" xr:uid="{00000000-0005-0000-0000-0000D32F0000}"/>
    <cellStyle name="40% - Accent1 7 3 3 3 2" xfId="35926" xr:uid="{3570CD8B-2658-4DFC-84EA-8A5606502974}"/>
    <cellStyle name="40% - Accent1 7 3 3 4" xfId="20032" xr:uid="{00000000-0005-0000-0000-0000D42F0000}"/>
    <cellStyle name="40% - Accent1 7 3 3 4 2" xfId="43864" xr:uid="{DD3C2A3C-CF55-4D64-9A6D-C89CED1E5824}"/>
    <cellStyle name="40% - Accent1 7 3 3 5" xfId="27985" xr:uid="{C9B52E6C-4540-493A-BABD-4BF3C9B3051E}"/>
    <cellStyle name="40% - Accent1 7 3 4" xfId="5872" xr:uid="{00000000-0005-0000-0000-0000D52F0000}"/>
    <cellStyle name="40% - Accent1 7 3 4 2" xfId="13856" xr:uid="{00000000-0005-0000-0000-0000D62F0000}"/>
    <cellStyle name="40% - Accent1 7 3 4 2 2" xfId="37699" xr:uid="{D0EFE474-88DD-40EA-B2DE-501A35D85E66}"/>
    <cellStyle name="40% - Accent1 7 3 4 3" xfId="21804" xr:uid="{00000000-0005-0000-0000-0000D72F0000}"/>
    <cellStyle name="40% - Accent1 7 3 4 3 2" xfId="45636" xr:uid="{8EF70A5D-F9D3-4680-BE01-C1939322FA24}"/>
    <cellStyle name="40% - Accent1 7 3 4 4" xfId="29758" xr:uid="{E52AD620-6FE7-4F1F-9566-73876FC872DB}"/>
    <cellStyle name="40% - Accent1 7 3 5" xfId="9425" xr:uid="{00000000-0005-0000-0000-0000D82F0000}"/>
    <cellStyle name="40% - Accent1 7 3 5 2" xfId="17383" xr:uid="{00000000-0005-0000-0000-0000D92F0000}"/>
    <cellStyle name="40% - Accent1 7 3 5 2 2" xfId="41223" xr:uid="{F2ECB5DB-C527-4AB8-9DBC-B5E2227A8949}"/>
    <cellStyle name="40% - Accent1 7 3 5 3" xfId="25327" xr:uid="{00000000-0005-0000-0000-0000DA2F0000}"/>
    <cellStyle name="40% - Accent1 7 3 5 3 2" xfId="49159" xr:uid="{5D68CD01-7296-498C-B94E-0F32B405F2E2}"/>
    <cellStyle name="40% - Accent1 7 3 5 4" xfId="33282" xr:uid="{53EA7486-B487-4F85-95FE-DEF975AF365C}"/>
    <cellStyle name="40% - Accent1 7 3 6" xfId="10321" xr:uid="{00000000-0005-0000-0000-0000DB2F0000}"/>
    <cellStyle name="40% - Accent1 7 3 6 2" xfId="34170" xr:uid="{B9778074-8B13-4D2F-892A-EA8E279FC692}"/>
    <cellStyle name="40% - Accent1 7 3 7" xfId="18276" xr:uid="{00000000-0005-0000-0000-0000DC2F0000}"/>
    <cellStyle name="40% - Accent1 7 3 7 2" xfId="42108" xr:uid="{D041DAF8-BE59-4F3A-BE4F-B0ACD418C95E}"/>
    <cellStyle name="40% - Accent1 7 3 8" xfId="26228" xr:uid="{46E3092F-91F6-4944-9EBF-BC023864170C}"/>
    <cellStyle name="40% - Accent1 7 3_Exh G" xfId="2784" xr:uid="{00000000-0005-0000-0000-0000DD2F0000}"/>
    <cellStyle name="40% - Accent1 7 4" xfId="943" xr:uid="{00000000-0005-0000-0000-0000DE2F0000}"/>
    <cellStyle name="40% - Accent1 7 4 2" xfId="1866" xr:uid="{00000000-0005-0000-0000-0000DF2F0000}"/>
    <cellStyle name="40% - Accent1 7 4 2 2" xfId="5384" xr:uid="{00000000-0005-0000-0000-0000E02F0000}"/>
    <cellStyle name="40% - Accent1 7 4 2 2 2" xfId="8975" xr:uid="{00000000-0005-0000-0000-0000E12F0000}"/>
    <cellStyle name="40% - Accent1 7 4 2 2 2 2" xfId="16946" xr:uid="{00000000-0005-0000-0000-0000E22F0000}"/>
    <cellStyle name="40% - Accent1 7 4 2 2 2 2 2" xfId="40788" xr:uid="{E9691A57-9627-4535-8D54-B6C0FABF850A}"/>
    <cellStyle name="40% - Accent1 7 4 2 2 2 3" xfId="24892" xr:uid="{00000000-0005-0000-0000-0000E32F0000}"/>
    <cellStyle name="40% - Accent1 7 4 2 2 2 3 2" xfId="48724" xr:uid="{69726ABB-7CC1-41CE-90C3-892212B7AC01}"/>
    <cellStyle name="40% - Accent1 7 4 2 2 2 4" xfId="32847" xr:uid="{00B2F538-9D91-4C2D-B3C2-54DF90C4EE4C}"/>
    <cellStyle name="40% - Accent1 7 4 2 2 3" xfId="13408" xr:uid="{00000000-0005-0000-0000-0000E42F0000}"/>
    <cellStyle name="40% - Accent1 7 4 2 2 3 2" xfId="37257" xr:uid="{0526B4B3-C4D6-4D61-A6E0-75FB99ABE195}"/>
    <cellStyle name="40% - Accent1 7 4 2 2 4" xfId="21363" xr:uid="{00000000-0005-0000-0000-0000E52F0000}"/>
    <cellStyle name="40% - Accent1 7 4 2 2 4 2" xfId="45195" xr:uid="{F44DE658-F7CA-40E7-943E-618D95C162B4}"/>
    <cellStyle name="40% - Accent1 7 4 2 2 5" xfId="29316" xr:uid="{FF22AE25-C995-4F09-8358-64CF3AE156C3}"/>
    <cellStyle name="40% - Accent1 7 4 2 3" xfId="7216" xr:uid="{00000000-0005-0000-0000-0000E62F0000}"/>
    <cellStyle name="40% - Accent1 7 4 2 3 2" xfId="15188" xr:uid="{00000000-0005-0000-0000-0000E72F0000}"/>
    <cellStyle name="40% - Accent1 7 4 2 3 2 2" xfId="39030" xr:uid="{FB3053A4-2019-41AA-88D8-0880455A1AB4}"/>
    <cellStyle name="40% - Accent1 7 4 2 3 3" xfId="23135" xr:uid="{00000000-0005-0000-0000-0000E82F0000}"/>
    <cellStyle name="40% - Accent1 7 4 2 3 3 2" xfId="46967" xr:uid="{5A93C4C8-9D94-451B-880D-10219DE78FB3}"/>
    <cellStyle name="40% - Accent1 7 4 2 3 4" xfId="31089" xr:uid="{C9E256E3-4C40-4795-9131-6FAF95901102}"/>
    <cellStyle name="40% - Accent1 7 4 2 4" xfId="11652" xr:uid="{00000000-0005-0000-0000-0000E92F0000}"/>
    <cellStyle name="40% - Accent1 7 4 2 4 2" xfId="35501" xr:uid="{2AA9BA0C-C934-4D51-9488-59135739F590}"/>
    <cellStyle name="40% - Accent1 7 4 2 5" xfId="19607" xr:uid="{00000000-0005-0000-0000-0000EA2F0000}"/>
    <cellStyle name="40% - Accent1 7 4 2 5 2" xfId="43439" xr:uid="{A3622C76-745E-49A1-B4CA-26B38D55777A}"/>
    <cellStyle name="40% - Accent1 7 4 2 6" xfId="27559" xr:uid="{8455785E-0000-452C-8266-40527382C981}"/>
    <cellStyle name="40% - Accent1 7 4 2_Exh G" xfId="2787" xr:uid="{00000000-0005-0000-0000-0000EB2F0000}"/>
    <cellStyle name="40% - Accent1 7 4 3" xfId="4505" xr:uid="{00000000-0005-0000-0000-0000EC2F0000}"/>
    <cellStyle name="40% - Accent1 7 4 3 2" xfId="8097" xr:uid="{00000000-0005-0000-0000-0000ED2F0000}"/>
    <cellStyle name="40% - Accent1 7 4 3 2 2" xfId="16068" xr:uid="{00000000-0005-0000-0000-0000EE2F0000}"/>
    <cellStyle name="40% - Accent1 7 4 3 2 2 2" xfId="39910" xr:uid="{DAD69624-4401-42A3-88BB-38A36572A825}"/>
    <cellStyle name="40% - Accent1 7 4 3 2 3" xfId="24014" xr:uid="{00000000-0005-0000-0000-0000EF2F0000}"/>
    <cellStyle name="40% - Accent1 7 4 3 2 3 2" xfId="47846" xr:uid="{8364CC05-77A6-4C36-A8FA-63C81AB011AE}"/>
    <cellStyle name="40% - Accent1 7 4 3 2 4" xfId="31969" xr:uid="{90A8C2A0-0649-480C-9A42-9F0C2C322FB5}"/>
    <cellStyle name="40% - Accent1 7 4 3 3" xfId="12530" xr:uid="{00000000-0005-0000-0000-0000F02F0000}"/>
    <cellStyle name="40% - Accent1 7 4 3 3 2" xfId="36379" xr:uid="{F8804E91-921A-42FF-A66A-59479324249E}"/>
    <cellStyle name="40% - Accent1 7 4 3 4" xfId="20485" xr:uid="{00000000-0005-0000-0000-0000F12F0000}"/>
    <cellStyle name="40% - Accent1 7 4 3 4 2" xfId="44317" xr:uid="{0AB69A17-A30E-405A-8FDD-CCC8A2C8DF5E}"/>
    <cellStyle name="40% - Accent1 7 4 3 5" xfId="28438" xr:uid="{C9462C7B-24D4-4462-BD9C-5A2C248B668E}"/>
    <cellStyle name="40% - Accent1 7 4 4" xfId="6335" xr:uid="{00000000-0005-0000-0000-0000F22F0000}"/>
    <cellStyle name="40% - Accent1 7 4 4 2" xfId="14310" xr:uid="{00000000-0005-0000-0000-0000F32F0000}"/>
    <cellStyle name="40% - Accent1 7 4 4 2 2" xfId="38152" xr:uid="{C4516035-CDBE-4DD2-95F3-41EE5CC2538D}"/>
    <cellStyle name="40% - Accent1 7 4 4 3" xfId="22257" xr:uid="{00000000-0005-0000-0000-0000F42F0000}"/>
    <cellStyle name="40% - Accent1 7 4 4 3 2" xfId="46089" xr:uid="{AEA68594-2866-459F-BC5B-DB0E6282767A}"/>
    <cellStyle name="40% - Accent1 7 4 4 4" xfId="30211" xr:uid="{9781B242-9102-4829-BEC6-2B106A524EC3}"/>
    <cellStyle name="40% - Accent1 7 4 5" xfId="9878" xr:uid="{00000000-0005-0000-0000-0000F52F0000}"/>
    <cellStyle name="40% - Accent1 7 4 5 2" xfId="17836" xr:uid="{00000000-0005-0000-0000-0000F62F0000}"/>
    <cellStyle name="40% - Accent1 7 4 5 2 2" xfId="41676" xr:uid="{E790F68F-FE11-4FA3-922F-CD648221BED5}"/>
    <cellStyle name="40% - Accent1 7 4 5 3" xfId="25780" xr:uid="{00000000-0005-0000-0000-0000F72F0000}"/>
    <cellStyle name="40% - Accent1 7 4 5 3 2" xfId="49612" xr:uid="{B46665E3-697D-4F41-9DD7-690606D007BD}"/>
    <cellStyle name="40% - Accent1 7 4 5 4" xfId="33735" xr:uid="{45232DC9-389C-48AB-9F12-B5DFF279D121}"/>
    <cellStyle name="40% - Accent1 7 4 6" xfId="10774" xr:uid="{00000000-0005-0000-0000-0000F82F0000}"/>
    <cellStyle name="40% - Accent1 7 4 6 2" xfId="34623" xr:uid="{86D2C246-F41D-4FCE-A924-27D1490C4D9C}"/>
    <cellStyle name="40% - Accent1 7 4 7" xfId="18729" xr:uid="{00000000-0005-0000-0000-0000F92F0000}"/>
    <cellStyle name="40% - Accent1 7 4 7 2" xfId="42561" xr:uid="{2225217F-42A7-4AD1-8DD2-421D36377C86}"/>
    <cellStyle name="40% - Accent1 7 4 8" xfId="26681" xr:uid="{A33E810F-ECC5-4609-B628-5CD8338BE898}"/>
    <cellStyle name="40% - Accent1 7 4_Exh G" xfId="2786" xr:uid="{00000000-0005-0000-0000-0000FA2F0000}"/>
    <cellStyle name="40% - Accent1 7 5" xfId="1398" xr:uid="{00000000-0005-0000-0000-0000FB2F0000}"/>
    <cellStyle name="40% - Accent1 7 5 2" xfId="4928" xr:uid="{00000000-0005-0000-0000-0000FC2F0000}"/>
    <cellStyle name="40% - Accent1 7 5 2 2" xfId="8519" xr:uid="{00000000-0005-0000-0000-0000FD2F0000}"/>
    <cellStyle name="40% - Accent1 7 5 2 2 2" xfId="16490" xr:uid="{00000000-0005-0000-0000-0000FE2F0000}"/>
    <cellStyle name="40% - Accent1 7 5 2 2 2 2" xfId="40332" xr:uid="{99E4B688-CE2E-4089-A2D1-4378CAD98FF7}"/>
    <cellStyle name="40% - Accent1 7 5 2 2 3" xfId="24436" xr:uid="{00000000-0005-0000-0000-0000FF2F0000}"/>
    <cellStyle name="40% - Accent1 7 5 2 2 3 2" xfId="48268" xr:uid="{5DA6DE2D-7E88-4F9B-B30C-6FEC9AD36940}"/>
    <cellStyle name="40% - Accent1 7 5 2 2 4" xfId="32391" xr:uid="{95C4825C-07FB-496F-99D6-0280C2A10CCC}"/>
    <cellStyle name="40% - Accent1 7 5 2 3" xfId="12952" xr:uid="{00000000-0005-0000-0000-000000300000}"/>
    <cellStyle name="40% - Accent1 7 5 2 3 2" xfId="36801" xr:uid="{C7DF71ED-D639-4048-A64C-42B72D91A852}"/>
    <cellStyle name="40% - Accent1 7 5 2 4" xfId="20907" xr:uid="{00000000-0005-0000-0000-000001300000}"/>
    <cellStyle name="40% - Accent1 7 5 2 4 2" xfId="44739" xr:uid="{62DFDD5A-EFAD-4A59-B83F-32813481286E}"/>
    <cellStyle name="40% - Accent1 7 5 2 5" xfId="28860" xr:uid="{927D2F6C-5B5B-4EB2-B97D-89D78D01F57A}"/>
    <cellStyle name="40% - Accent1 7 5 3" xfId="6760" xr:uid="{00000000-0005-0000-0000-000002300000}"/>
    <cellStyle name="40% - Accent1 7 5 3 2" xfId="14732" xr:uid="{00000000-0005-0000-0000-000003300000}"/>
    <cellStyle name="40% - Accent1 7 5 3 2 2" xfId="38574" xr:uid="{F36744F5-0E5E-45DE-A69F-E99680EB2E78}"/>
    <cellStyle name="40% - Accent1 7 5 3 3" xfId="22679" xr:uid="{00000000-0005-0000-0000-000004300000}"/>
    <cellStyle name="40% - Accent1 7 5 3 3 2" xfId="46511" xr:uid="{30A37CE0-B149-42AA-9702-4D1A483EC496}"/>
    <cellStyle name="40% - Accent1 7 5 3 4" xfId="30633" xr:uid="{87C56FFB-2952-4042-A29E-B666B9D999FA}"/>
    <cellStyle name="40% - Accent1 7 5 4" xfId="11196" xr:uid="{00000000-0005-0000-0000-000005300000}"/>
    <cellStyle name="40% - Accent1 7 5 4 2" xfId="35045" xr:uid="{04C0D183-D727-41BC-A292-9D43D8F708E9}"/>
    <cellStyle name="40% - Accent1 7 5 5" xfId="19151" xr:uid="{00000000-0005-0000-0000-000006300000}"/>
    <cellStyle name="40% - Accent1 7 5 5 2" xfId="42983" xr:uid="{A88485A5-477C-45DB-9FAD-FD5138E3F8DA}"/>
    <cellStyle name="40% - Accent1 7 5 6" xfId="27103" xr:uid="{3071FA92-174A-4237-A578-46B18B696F7D}"/>
    <cellStyle name="40% - Accent1 7 5_Exh G" xfId="2788" xr:uid="{00000000-0005-0000-0000-000007300000}"/>
    <cellStyle name="40% - Accent1 7 6" xfId="4049" xr:uid="{00000000-0005-0000-0000-000008300000}"/>
    <cellStyle name="40% - Accent1 7 6 2" xfId="7641" xr:uid="{00000000-0005-0000-0000-000009300000}"/>
    <cellStyle name="40% - Accent1 7 6 2 2" xfId="15612" xr:uid="{00000000-0005-0000-0000-00000A300000}"/>
    <cellStyle name="40% - Accent1 7 6 2 2 2" xfId="39454" xr:uid="{680DC8CD-0F93-4ABA-BB24-1A1CF1CFB8EF}"/>
    <cellStyle name="40% - Accent1 7 6 2 3" xfId="23558" xr:uid="{00000000-0005-0000-0000-00000B300000}"/>
    <cellStyle name="40% - Accent1 7 6 2 3 2" xfId="47390" xr:uid="{4DC35A4D-A74B-482A-A6A0-E2F6209FC7E6}"/>
    <cellStyle name="40% - Accent1 7 6 2 4" xfId="31513" xr:uid="{3B62271B-B06D-4331-8935-68FDD318E037}"/>
    <cellStyle name="40% - Accent1 7 6 3" xfId="12074" xr:uid="{00000000-0005-0000-0000-00000C300000}"/>
    <cellStyle name="40% - Accent1 7 6 3 2" xfId="35923" xr:uid="{F56C15DA-A8CC-49AB-A2FB-BD26E6BB7345}"/>
    <cellStyle name="40% - Accent1 7 6 4" xfId="20029" xr:uid="{00000000-0005-0000-0000-00000D300000}"/>
    <cellStyle name="40% - Accent1 7 6 4 2" xfId="43861" xr:uid="{C7CEE2E6-195B-42F2-9B5F-4CB54EF750D3}"/>
    <cellStyle name="40% - Accent1 7 6 5" xfId="27982" xr:uid="{A9CF2F5F-50BC-4E7B-A926-3BF299BE6A7C}"/>
    <cellStyle name="40% - Accent1 7 7" xfId="5869" xr:uid="{00000000-0005-0000-0000-00000E300000}"/>
    <cellStyle name="40% - Accent1 7 7 2" xfId="13853" xr:uid="{00000000-0005-0000-0000-00000F300000}"/>
    <cellStyle name="40% - Accent1 7 7 2 2" xfId="37696" xr:uid="{C21F1211-2E41-447A-ACE6-802B7B8E47FA}"/>
    <cellStyle name="40% - Accent1 7 7 3" xfId="21801" xr:uid="{00000000-0005-0000-0000-000010300000}"/>
    <cellStyle name="40% - Accent1 7 7 3 2" xfId="45633" xr:uid="{F728B920-F414-4332-A54B-D27A5065BF79}"/>
    <cellStyle name="40% - Accent1 7 7 4" xfId="29755" xr:uid="{67D6529B-6B80-4B5C-966B-8DB356D75BC3}"/>
    <cellStyle name="40% - Accent1 7 8" xfId="9422" xr:uid="{00000000-0005-0000-0000-000011300000}"/>
    <cellStyle name="40% - Accent1 7 8 2" xfId="17380" xr:uid="{00000000-0005-0000-0000-000012300000}"/>
    <cellStyle name="40% - Accent1 7 8 2 2" xfId="41220" xr:uid="{6BD6D598-B248-44AC-9478-260B009F13E4}"/>
    <cellStyle name="40% - Accent1 7 8 3" xfId="25324" xr:uid="{00000000-0005-0000-0000-000013300000}"/>
    <cellStyle name="40% - Accent1 7 8 3 2" xfId="49156" xr:uid="{692949AF-DAD8-42FF-81E1-E89E09EFFDC6}"/>
    <cellStyle name="40% - Accent1 7 8 4" xfId="33279" xr:uid="{6D7B633B-00A5-4564-B494-43B122A0BB1D}"/>
    <cellStyle name="40% - Accent1 7 9" xfId="10318" xr:uid="{00000000-0005-0000-0000-000014300000}"/>
    <cellStyle name="40% - Accent1 7 9 2" xfId="34167" xr:uid="{95D793BA-0F4F-4D0E-BFB4-546F76914CF1}"/>
    <cellStyle name="40% - Accent1 7_Exh G" xfId="2779" xr:uid="{00000000-0005-0000-0000-000015300000}"/>
    <cellStyle name="40% - Accent1 8" xfId="374" xr:uid="{00000000-0005-0000-0000-000016300000}"/>
    <cellStyle name="40% - Accent1 8 10" xfId="18277" xr:uid="{00000000-0005-0000-0000-000017300000}"/>
    <cellStyle name="40% - Accent1 8 10 2" xfId="42109" xr:uid="{54AB38C7-35DE-456C-84F2-D2D3CE75D0FA}"/>
    <cellStyle name="40% - Accent1 8 11" xfId="26229" xr:uid="{4218CD80-979F-442D-B0AA-E23BD441405F}"/>
    <cellStyle name="40% - Accent1 8 2" xfId="375" xr:uid="{00000000-0005-0000-0000-000018300000}"/>
    <cellStyle name="40% - Accent1 8 2 2" xfId="376" xr:uid="{00000000-0005-0000-0000-000019300000}"/>
    <cellStyle name="40% - Accent1 8 2 2 2" xfId="1404" xr:uid="{00000000-0005-0000-0000-00001A300000}"/>
    <cellStyle name="40% - Accent1 8 2 2 2 2" xfId="4934" xr:uid="{00000000-0005-0000-0000-00001B300000}"/>
    <cellStyle name="40% - Accent1 8 2 2 2 2 2" xfId="8525" xr:uid="{00000000-0005-0000-0000-00001C300000}"/>
    <cellStyle name="40% - Accent1 8 2 2 2 2 2 2" xfId="16496" xr:uid="{00000000-0005-0000-0000-00001D300000}"/>
    <cellStyle name="40% - Accent1 8 2 2 2 2 2 2 2" xfId="40338" xr:uid="{ADAAE90E-B37E-420D-885F-DCC66DBC9A22}"/>
    <cellStyle name="40% - Accent1 8 2 2 2 2 2 3" xfId="24442" xr:uid="{00000000-0005-0000-0000-00001E300000}"/>
    <cellStyle name="40% - Accent1 8 2 2 2 2 2 3 2" xfId="48274" xr:uid="{937E099C-3110-4E7F-BD02-BECC4DE2B000}"/>
    <cellStyle name="40% - Accent1 8 2 2 2 2 2 4" xfId="32397" xr:uid="{DDA6A8DC-2AED-4CAD-BD7E-F674947FCCBB}"/>
    <cellStyle name="40% - Accent1 8 2 2 2 2 3" xfId="12958" xr:uid="{00000000-0005-0000-0000-00001F300000}"/>
    <cellStyle name="40% - Accent1 8 2 2 2 2 3 2" xfId="36807" xr:uid="{C62AFB69-0D48-48B8-AC56-2A31821C53EA}"/>
    <cellStyle name="40% - Accent1 8 2 2 2 2 4" xfId="20913" xr:uid="{00000000-0005-0000-0000-000020300000}"/>
    <cellStyle name="40% - Accent1 8 2 2 2 2 4 2" xfId="44745" xr:uid="{1F3232A7-F2A8-4E4D-A997-EA5F1125CAFD}"/>
    <cellStyle name="40% - Accent1 8 2 2 2 2 5" xfId="28866" xr:uid="{749E4322-F9C8-4EE6-9AF7-66563EF3BBB3}"/>
    <cellStyle name="40% - Accent1 8 2 2 2 3" xfId="6766" xr:uid="{00000000-0005-0000-0000-000021300000}"/>
    <cellStyle name="40% - Accent1 8 2 2 2 3 2" xfId="14738" xr:uid="{00000000-0005-0000-0000-000022300000}"/>
    <cellStyle name="40% - Accent1 8 2 2 2 3 2 2" xfId="38580" xr:uid="{3F27D284-5EA2-44A7-B30F-9B54125AEBD6}"/>
    <cellStyle name="40% - Accent1 8 2 2 2 3 3" xfId="22685" xr:uid="{00000000-0005-0000-0000-000023300000}"/>
    <cellStyle name="40% - Accent1 8 2 2 2 3 3 2" xfId="46517" xr:uid="{82DD645C-9690-432C-9B99-C38E5165510A}"/>
    <cellStyle name="40% - Accent1 8 2 2 2 3 4" xfId="30639" xr:uid="{A19F2797-7B59-4A6B-9582-1C62F1FA598D}"/>
    <cellStyle name="40% - Accent1 8 2 2 2 4" xfId="11202" xr:uid="{00000000-0005-0000-0000-000024300000}"/>
    <cellStyle name="40% - Accent1 8 2 2 2 4 2" xfId="35051" xr:uid="{7053428A-BFA8-4AB5-BFEB-E80BE69094C4}"/>
    <cellStyle name="40% - Accent1 8 2 2 2 5" xfId="19157" xr:uid="{00000000-0005-0000-0000-000025300000}"/>
    <cellStyle name="40% - Accent1 8 2 2 2 5 2" xfId="42989" xr:uid="{B483E2FC-20F0-4B6C-ACCE-0F586C0429A1}"/>
    <cellStyle name="40% - Accent1 8 2 2 2 6" xfId="27109" xr:uid="{A00C5AD4-A4DC-4085-951D-F40C2228B834}"/>
    <cellStyle name="40% - Accent1 8 2 2 2_Exh G" xfId="2792" xr:uid="{00000000-0005-0000-0000-000026300000}"/>
    <cellStyle name="40% - Accent1 8 2 2 3" xfId="4055" xr:uid="{00000000-0005-0000-0000-000027300000}"/>
    <cellStyle name="40% - Accent1 8 2 2 3 2" xfId="7647" xr:uid="{00000000-0005-0000-0000-000028300000}"/>
    <cellStyle name="40% - Accent1 8 2 2 3 2 2" xfId="15618" xr:uid="{00000000-0005-0000-0000-000029300000}"/>
    <cellStyle name="40% - Accent1 8 2 2 3 2 2 2" xfId="39460" xr:uid="{9B57358F-92FD-4064-BAB8-A395E5F693D9}"/>
    <cellStyle name="40% - Accent1 8 2 2 3 2 3" xfId="23564" xr:uid="{00000000-0005-0000-0000-00002A300000}"/>
    <cellStyle name="40% - Accent1 8 2 2 3 2 3 2" xfId="47396" xr:uid="{89A31828-C488-4854-99F2-0A8A4E0F155E}"/>
    <cellStyle name="40% - Accent1 8 2 2 3 2 4" xfId="31519" xr:uid="{EED5357F-D327-42C1-A859-B5AA26AB426F}"/>
    <cellStyle name="40% - Accent1 8 2 2 3 3" xfId="12080" xr:uid="{00000000-0005-0000-0000-00002B300000}"/>
    <cellStyle name="40% - Accent1 8 2 2 3 3 2" xfId="35929" xr:uid="{2267A184-1F84-4B66-8627-54F1641A03E7}"/>
    <cellStyle name="40% - Accent1 8 2 2 3 4" xfId="20035" xr:uid="{00000000-0005-0000-0000-00002C300000}"/>
    <cellStyle name="40% - Accent1 8 2 2 3 4 2" xfId="43867" xr:uid="{3F1AD32A-8AB9-4302-AB4A-ED6B097389E7}"/>
    <cellStyle name="40% - Accent1 8 2 2 3 5" xfId="27988" xr:uid="{66CC7F3A-D293-43E3-893C-733D0DF7889C}"/>
    <cellStyle name="40% - Accent1 8 2 2 4" xfId="5875" xr:uid="{00000000-0005-0000-0000-00002D300000}"/>
    <cellStyle name="40% - Accent1 8 2 2 4 2" xfId="13859" xr:uid="{00000000-0005-0000-0000-00002E300000}"/>
    <cellStyle name="40% - Accent1 8 2 2 4 2 2" xfId="37702" xr:uid="{6FDD36DF-20CF-49C5-8FB3-322C98B41A6D}"/>
    <cellStyle name="40% - Accent1 8 2 2 4 3" xfId="21807" xr:uid="{00000000-0005-0000-0000-00002F300000}"/>
    <cellStyle name="40% - Accent1 8 2 2 4 3 2" xfId="45639" xr:uid="{C6D1B22C-1E03-4DB0-ADFA-D5FAE4B364A4}"/>
    <cellStyle name="40% - Accent1 8 2 2 4 4" xfId="29761" xr:uid="{4E7159E0-461A-412E-AA78-FDA3C39F6BE0}"/>
    <cellStyle name="40% - Accent1 8 2 2 5" xfId="9428" xr:uid="{00000000-0005-0000-0000-000030300000}"/>
    <cellStyle name="40% - Accent1 8 2 2 5 2" xfId="17386" xr:uid="{00000000-0005-0000-0000-000031300000}"/>
    <cellStyle name="40% - Accent1 8 2 2 5 2 2" xfId="41226" xr:uid="{60D36C8B-EF4D-4270-86A0-BEE829663D49}"/>
    <cellStyle name="40% - Accent1 8 2 2 5 3" xfId="25330" xr:uid="{00000000-0005-0000-0000-000032300000}"/>
    <cellStyle name="40% - Accent1 8 2 2 5 3 2" xfId="49162" xr:uid="{46B86941-22AF-4242-B739-CA1B5C1326F8}"/>
    <cellStyle name="40% - Accent1 8 2 2 5 4" xfId="33285" xr:uid="{765A0FE1-F0FE-4156-BE61-077C19E06B98}"/>
    <cellStyle name="40% - Accent1 8 2 2 6" xfId="10324" xr:uid="{00000000-0005-0000-0000-000033300000}"/>
    <cellStyle name="40% - Accent1 8 2 2 6 2" xfId="34173" xr:uid="{8544415D-701A-43AB-86F2-21015B997DE6}"/>
    <cellStyle name="40% - Accent1 8 2 2 7" xfId="18279" xr:uid="{00000000-0005-0000-0000-000034300000}"/>
    <cellStyle name="40% - Accent1 8 2 2 7 2" xfId="42111" xr:uid="{C98A5181-B30F-4DF4-BE31-9902D2720B10}"/>
    <cellStyle name="40% - Accent1 8 2 2 8" xfId="26231" xr:uid="{E799A89F-C41D-4037-B881-426062704D19}"/>
    <cellStyle name="40% - Accent1 8 2 2_Exh G" xfId="2791" xr:uid="{00000000-0005-0000-0000-000035300000}"/>
    <cellStyle name="40% - Accent1 8 2 3" xfId="1403" xr:uid="{00000000-0005-0000-0000-000036300000}"/>
    <cellStyle name="40% - Accent1 8 2 3 2" xfId="4933" xr:uid="{00000000-0005-0000-0000-000037300000}"/>
    <cellStyle name="40% - Accent1 8 2 3 2 2" xfId="8524" xr:uid="{00000000-0005-0000-0000-000038300000}"/>
    <cellStyle name="40% - Accent1 8 2 3 2 2 2" xfId="16495" xr:uid="{00000000-0005-0000-0000-000039300000}"/>
    <cellStyle name="40% - Accent1 8 2 3 2 2 2 2" xfId="40337" xr:uid="{1F78E3ED-E944-4EA9-9933-931FAFB9C45D}"/>
    <cellStyle name="40% - Accent1 8 2 3 2 2 3" xfId="24441" xr:uid="{00000000-0005-0000-0000-00003A300000}"/>
    <cellStyle name="40% - Accent1 8 2 3 2 2 3 2" xfId="48273" xr:uid="{90945C7F-74BD-44B1-A788-8114E8B4269D}"/>
    <cellStyle name="40% - Accent1 8 2 3 2 2 4" xfId="32396" xr:uid="{9E349F7A-86C9-4550-BA2A-2D5FEA4FECF0}"/>
    <cellStyle name="40% - Accent1 8 2 3 2 3" xfId="12957" xr:uid="{00000000-0005-0000-0000-00003B300000}"/>
    <cellStyle name="40% - Accent1 8 2 3 2 3 2" xfId="36806" xr:uid="{078F466E-DEF9-4788-848C-F2B63FBB5E38}"/>
    <cellStyle name="40% - Accent1 8 2 3 2 4" xfId="20912" xr:uid="{00000000-0005-0000-0000-00003C300000}"/>
    <cellStyle name="40% - Accent1 8 2 3 2 4 2" xfId="44744" xr:uid="{8F7772F7-4FA4-4050-8B45-575323B7A312}"/>
    <cellStyle name="40% - Accent1 8 2 3 2 5" xfId="28865" xr:uid="{A3F74314-7A71-497C-BCA1-99A7396AA720}"/>
    <cellStyle name="40% - Accent1 8 2 3 3" xfId="6765" xr:uid="{00000000-0005-0000-0000-00003D300000}"/>
    <cellStyle name="40% - Accent1 8 2 3 3 2" xfId="14737" xr:uid="{00000000-0005-0000-0000-00003E300000}"/>
    <cellStyle name="40% - Accent1 8 2 3 3 2 2" xfId="38579" xr:uid="{289B4CFE-CF68-4C05-B1E7-29E4F337BB8E}"/>
    <cellStyle name="40% - Accent1 8 2 3 3 3" xfId="22684" xr:uid="{00000000-0005-0000-0000-00003F300000}"/>
    <cellStyle name="40% - Accent1 8 2 3 3 3 2" xfId="46516" xr:uid="{E56C9C1B-1FDD-4FA6-9D40-19176F88039B}"/>
    <cellStyle name="40% - Accent1 8 2 3 3 4" xfId="30638" xr:uid="{320119AC-DF47-4A19-B6E6-D27684A02887}"/>
    <cellStyle name="40% - Accent1 8 2 3 4" xfId="11201" xr:uid="{00000000-0005-0000-0000-000040300000}"/>
    <cellStyle name="40% - Accent1 8 2 3 4 2" xfId="35050" xr:uid="{143339A0-8104-4143-9EC9-E4F20EAA29DD}"/>
    <cellStyle name="40% - Accent1 8 2 3 5" xfId="19156" xr:uid="{00000000-0005-0000-0000-000041300000}"/>
    <cellStyle name="40% - Accent1 8 2 3 5 2" xfId="42988" xr:uid="{14C5DC56-9F36-4D10-AB95-7B7E25562108}"/>
    <cellStyle name="40% - Accent1 8 2 3 6" xfId="27108" xr:uid="{7B9079C5-BABC-4700-A3EF-9AD95C6C342E}"/>
    <cellStyle name="40% - Accent1 8 2 3_Exh G" xfId="2793" xr:uid="{00000000-0005-0000-0000-000042300000}"/>
    <cellStyle name="40% - Accent1 8 2 4" xfId="4054" xr:uid="{00000000-0005-0000-0000-000043300000}"/>
    <cellStyle name="40% - Accent1 8 2 4 2" xfId="7646" xr:uid="{00000000-0005-0000-0000-000044300000}"/>
    <cellStyle name="40% - Accent1 8 2 4 2 2" xfId="15617" xr:uid="{00000000-0005-0000-0000-000045300000}"/>
    <cellStyle name="40% - Accent1 8 2 4 2 2 2" xfId="39459" xr:uid="{C1C23CF7-66A3-4E99-ADF1-ABEFF8BDBBDC}"/>
    <cellStyle name="40% - Accent1 8 2 4 2 3" xfId="23563" xr:uid="{00000000-0005-0000-0000-000046300000}"/>
    <cellStyle name="40% - Accent1 8 2 4 2 3 2" xfId="47395" xr:uid="{108A4443-161B-4804-81F7-5C8838CA060A}"/>
    <cellStyle name="40% - Accent1 8 2 4 2 4" xfId="31518" xr:uid="{F24C8C99-6A81-425F-BB40-72794B1889FC}"/>
    <cellStyle name="40% - Accent1 8 2 4 3" xfId="12079" xr:uid="{00000000-0005-0000-0000-000047300000}"/>
    <cellStyle name="40% - Accent1 8 2 4 3 2" xfId="35928" xr:uid="{13E36A6F-DEFA-4BA5-B17F-4D3B6B2384E4}"/>
    <cellStyle name="40% - Accent1 8 2 4 4" xfId="20034" xr:uid="{00000000-0005-0000-0000-000048300000}"/>
    <cellStyle name="40% - Accent1 8 2 4 4 2" xfId="43866" xr:uid="{5378E14C-2469-44FD-B1ED-0EEE3F3DB469}"/>
    <cellStyle name="40% - Accent1 8 2 4 5" xfId="27987" xr:uid="{A06CB2E8-A280-4347-93E6-C551E1D184D6}"/>
    <cellStyle name="40% - Accent1 8 2 5" xfId="5874" xr:uid="{00000000-0005-0000-0000-000049300000}"/>
    <cellStyle name="40% - Accent1 8 2 5 2" xfId="13858" xr:uid="{00000000-0005-0000-0000-00004A300000}"/>
    <cellStyle name="40% - Accent1 8 2 5 2 2" xfId="37701" xr:uid="{21C35B2F-A9A8-45DC-968D-88A8CC31DB7C}"/>
    <cellStyle name="40% - Accent1 8 2 5 3" xfId="21806" xr:uid="{00000000-0005-0000-0000-00004B300000}"/>
    <cellStyle name="40% - Accent1 8 2 5 3 2" xfId="45638" xr:uid="{47E155CA-B11F-4DC8-B9D9-11EA6B2B12A7}"/>
    <cellStyle name="40% - Accent1 8 2 5 4" xfId="29760" xr:uid="{F1A5DFD8-A634-4A4D-AA2B-C7E16BE6FCF8}"/>
    <cellStyle name="40% - Accent1 8 2 6" xfId="9427" xr:uid="{00000000-0005-0000-0000-00004C300000}"/>
    <cellStyle name="40% - Accent1 8 2 6 2" xfId="17385" xr:uid="{00000000-0005-0000-0000-00004D300000}"/>
    <cellStyle name="40% - Accent1 8 2 6 2 2" xfId="41225" xr:uid="{C92094D0-BDAA-4204-8452-3D3DC1487A02}"/>
    <cellStyle name="40% - Accent1 8 2 6 3" xfId="25329" xr:uid="{00000000-0005-0000-0000-00004E300000}"/>
    <cellStyle name="40% - Accent1 8 2 6 3 2" xfId="49161" xr:uid="{38585C6D-4BB8-4B48-A988-95F526302608}"/>
    <cellStyle name="40% - Accent1 8 2 6 4" xfId="33284" xr:uid="{1B4F4609-BDAC-47A0-9380-385531B17D61}"/>
    <cellStyle name="40% - Accent1 8 2 7" xfId="10323" xr:uid="{00000000-0005-0000-0000-00004F300000}"/>
    <cellStyle name="40% - Accent1 8 2 7 2" xfId="34172" xr:uid="{AC45A32A-27D7-47E9-BACA-9E7F398C02E7}"/>
    <cellStyle name="40% - Accent1 8 2 8" xfId="18278" xr:uid="{00000000-0005-0000-0000-000050300000}"/>
    <cellStyle name="40% - Accent1 8 2 8 2" xfId="42110" xr:uid="{AEBEDBE5-1006-4A18-B15D-CEA51FFB48F2}"/>
    <cellStyle name="40% - Accent1 8 2 9" xfId="26230" xr:uid="{23BB4EE7-61BD-43F9-A6BD-EE02DBE8AA51}"/>
    <cellStyle name="40% - Accent1 8 2_Exh G" xfId="2790" xr:uid="{00000000-0005-0000-0000-000051300000}"/>
    <cellStyle name="40% - Accent1 8 3" xfId="377" xr:uid="{00000000-0005-0000-0000-000052300000}"/>
    <cellStyle name="40% - Accent1 8 3 2" xfId="1405" xr:uid="{00000000-0005-0000-0000-000053300000}"/>
    <cellStyle name="40% - Accent1 8 3 2 2" xfId="4935" xr:uid="{00000000-0005-0000-0000-000054300000}"/>
    <cellStyle name="40% - Accent1 8 3 2 2 2" xfId="8526" xr:uid="{00000000-0005-0000-0000-000055300000}"/>
    <cellStyle name="40% - Accent1 8 3 2 2 2 2" xfId="16497" xr:uid="{00000000-0005-0000-0000-000056300000}"/>
    <cellStyle name="40% - Accent1 8 3 2 2 2 2 2" xfId="40339" xr:uid="{EF9F887E-3826-4645-81DF-6D2144BE6552}"/>
    <cellStyle name="40% - Accent1 8 3 2 2 2 3" xfId="24443" xr:uid="{00000000-0005-0000-0000-000057300000}"/>
    <cellStyle name="40% - Accent1 8 3 2 2 2 3 2" xfId="48275" xr:uid="{488EE78C-D040-4014-9FE4-AFF997D970FF}"/>
    <cellStyle name="40% - Accent1 8 3 2 2 2 4" xfId="32398" xr:uid="{6B2122FC-9EB1-4206-B27A-514856FF48B6}"/>
    <cellStyle name="40% - Accent1 8 3 2 2 3" xfId="12959" xr:uid="{00000000-0005-0000-0000-000058300000}"/>
    <cellStyle name="40% - Accent1 8 3 2 2 3 2" xfId="36808" xr:uid="{3D5C65A2-8691-4B81-836B-79EFE5116D7A}"/>
    <cellStyle name="40% - Accent1 8 3 2 2 4" xfId="20914" xr:uid="{00000000-0005-0000-0000-000059300000}"/>
    <cellStyle name="40% - Accent1 8 3 2 2 4 2" xfId="44746" xr:uid="{676E5ADB-F583-4F51-B857-2838C7FE7080}"/>
    <cellStyle name="40% - Accent1 8 3 2 2 5" xfId="28867" xr:uid="{8DDBEA66-E229-4057-B436-0FD4FDAF2254}"/>
    <cellStyle name="40% - Accent1 8 3 2 3" xfId="6767" xr:uid="{00000000-0005-0000-0000-00005A300000}"/>
    <cellStyle name="40% - Accent1 8 3 2 3 2" xfId="14739" xr:uid="{00000000-0005-0000-0000-00005B300000}"/>
    <cellStyle name="40% - Accent1 8 3 2 3 2 2" xfId="38581" xr:uid="{2CF981BC-8805-4A4B-8624-6E3600FC2500}"/>
    <cellStyle name="40% - Accent1 8 3 2 3 3" xfId="22686" xr:uid="{00000000-0005-0000-0000-00005C300000}"/>
    <cellStyle name="40% - Accent1 8 3 2 3 3 2" xfId="46518" xr:uid="{7B8E6D45-5C7C-443B-ACAC-57B822AA5A99}"/>
    <cellStyle name="40% - Accent1 8 3 2 3 4" xfId="30640" xr:uid="{944E3D2F-8FCA-4C7A-80B4-66C988D2834A}"/>
    <cellStyle name="40% - Accent1 8 3 2 4" xfId="11203" xr:uid="{00000000-0005-0000-0000-00005D300000}"/>
    <cellStyle name="40% - Accent1 8 3 2 4 2" xfId="35052" xr:uid="{49023E62-9A02-4239-8BBD-DEE8E29AF621}"/>
    <cellStyle name="40% - Accent1 8 3 2 5" xfId="19158" xr:uid="{00000000-0005-0000-0000-00005E300000}"/>
    <cellStyle name="40% - Accent1 8 3 2 5 2" xfId="42990" xr:uid="{F830072A-38B5-44A5-9CCE-7319DE6C8125}"/>
    <cellStyle name="40% - Accent1 8 3 2 6" xfId="27110" xr:uid="{615C8D83-C62F-4E60-B335-36D3920E18F6}"/>
    <cellStyle name="40% - Accent1 8 3 2_Exh G" xfId="2795" xr:uid="{00000000-0005-0000-0000-00005F300000}"/>
    <cellStyle name="40% - Accent1 8 3 3" xfId="4056" xr:uid="{00000000-0005-0000-0000-000060300000}"/>
    <cellStyle name="40% - Accent1 8 3 3 2" xfId="7648" xr:uid="{00000000-0005-0000-0000-000061300000}"/>
    <cellStyle name="40% - Accent1 8 3 3 2 2" xfId="15619" xr:uid="{00000000-0005-0000-0000-000062300000}"/>
    <cellStyle name="40% - Accent1 8 3 3 2 2 2" xfId="39461" xr:uid="{916FCB34-6D06-4D85-A542-919413911804}"/>
    <cellStyle name="40% - Accent1 8 3 3 2 3" xfId="23565" xr:uid="{00000000-0005-0000-0000-000063300000}"/>
    <cellStyle name="40% - Accent1 8 3 3 2 3 2" xfId="47397" xr:uid="{7CA6F346-1CEE-4B64-9968-60D8BFEB178B}"/>
    <cellStyle name="40% - Accent1 8 3 3 2 4" xfId="31520" xr:uid="{3FCBF402-3243-4C1C-ADE1-FBB69BFBC891}"/>
    <cellStyle name="40% - Accent1 8 3 3 3" xfId="12081" xr:uid="{00000000-0005-0000-0000-000064300000}"/>
    <cellStyle name="40% - Accent1 8 3 3 3 2" xfId="35930" xr:uid="{762FF98B-8915-42D9-8C04-FAD0AE7AAB5D}"/>
    <cellStyle name="40% - Accent1 8 3 3 4" xfId="20036" xr:uid="{00000000-0005-0000-0000-000065300000}"/>
    <cellStyle name="40% - Accent1 8 3 3 4 2" xfId="43868" xr:uid="{DAF77472-CF62-4EC9-B46A-85B632E936D5}"/>
    <cellStyle name="40% - Accent1 8 3 3 5" xfId="27989" xr:uid="{E75A466E-9879-4253-A593-1477F6C8DD39}"/>
    <cellStyle name="40% - Accent1 8 3 4" xfId="5876" xr:uid="{00000000-0005-0000-0000-000066300000}"/>
    <cellStyle name="40% - Accent1 8 3 4 2" xfId="13860" xr:uid="{00000000-0005-0000-0000-000067300000}"/>
    <cellStyle name="40% - Accent1 8 3 4 2 2" xfId="37703" xr:uid="{FC695B15-64D1-4A23-BAD8-25454C5C9412}"/>
    <cellStyle name="40% - Accent1 8 3 4 3" xfId="21808" xr:uid="{00000000-0005-0000-0000-000068300000}"/>
    <cellStyle name="40% - Accent1 8 3 4 3 2" xfId="45640" xr:uid="{D2850EF7-C9F1-457B-B2E9-1D951128C3E8}"/>
    <cellStyle name="40% - Accent1 8 3 4 4" xfId="29762" xr:uid="{B05C3F5C-9FEB-4054-8E5D-7CB5E608E530}"/>
    <cellStyle name="40% - Accent1 8 3 5" xfId="9429" xr:uid="{00000000-0005-0000-0000-000069300000}"/>
    <cellStyle name="40% - Accent1 8 3 5 2" xfId="17387" xr:uid="{00000000-0005-0000-0000-00006A300000}"/>
    <cellStyle name="40% - Accent1 8 3 5 2 2" xfId="41227" xr:uid="{896FF0FB-1001-403B-9137-CD7A876D814D}"/>
    <cellStyle name="40% - Accent1 8 3 5 3" xfId="25331" xr:uid="{00000000-0005-0000-0000-00006B300000}"/>
    <cellStyle name="40% - Accent1 8 3 5 3 2" xfId="49163" xr:uid="{8B5D4051-20F5-47AE-9E5B-000C6BF958E0}"/>
    <cellStyle name="40% - Accent1 8 3 5 4" xfId="33286" xr:uid="{6BDE2AA5-AC0A-4E0F-9492-B9FC7A962066}"/>
    <cellStyle name="40% - Accent1 8 3 6" xfId="10325" xr:uid="{00000000-0005-0000-0000-00006C300000}"/>
    <cellStyle name="40% - Accent1 8 3 6 2" xfId="34174" xr:uid="{FA3A0F36-96CF-4696-8E30-D7C31207B100}"/>
    <cellStyle name="40% - Accent1 8 3 7" xfId="18280" xr:uid="{00000000-0005-0000-0000-00006D300000}"/>
    <cellStyle name="40% - Accent1 8 3 7 2" xfId="42112" xr:uid="{8325C306-F5C0-4A9F-978D-92AD1A17DEA9}"/>
    <cellStyle name="40% - Accent1 8 3 8" xfId="26232" xr:uid="{00DA4FF2-19E0-43ED-BB45-D5B59B0B2043}"/>
    <cellStyle name="40% - Accent1 8 3_Exh G" xfId="2794" xr:uid="{00000000-0005-0000-0000-00006E300000}"/>
    <cellStyle name="40% - Accent1 8 4" xfId="944" xr:uid="{00000000-0005-0000-0000-00006F300000}"/>
    <cellStyle name="40% - Accent1 8 4 2" xfId="1867" xr:uid="{00000000-0005-0000-0000-000070300000}"/>
    <cellStyle name="40% - Accent1 8 4 2 2" xfId="5385" xr:uid="{00000000-0005-0000-0000-000071300000}"/>
    <cellStyle name="40% - Accent1 8 4 2 2 2" xfId="8976" xr:uid="{00000000-0005-0000-0000-000072300000}"/>
    <cellStyle name="40% - Accent1 8 4 2 2 2 2" xfId="16947" xr:uid="{00000000-0005-0000-0000-000073300000}"/>
    <cellStyle name="40% - Accent1 8 4 2 2 2 2 2" xfId="40789" xr:uid="{8E3DA0EE-E811-41F4-AE02-277E51FEE4FF}"/>
    <cellStyle name="40% - Accent1 8 4 2 2 2 3" xfId="24893" xr:uid="{00000000-0005-0000-0000-000074300000}"/>
    <cellStyle name="40% - Accent1 8 4 2 2 2 3 2" xfId="48725" xr:uid="{C9AC0920-E6E7-4A17-BDF4-13C01084E926}"/>
    <cellStyle name="40% - Accent1 8 4 2 2 2 4" xfId="32848" xr:uid="{F835088F-9315-461C-8059-C87EE949500E}"/>
    <cellStyle name="40% - Accent1 8 4 2 2 3" xfId="13409" xr:uid="{00000000-0005-0000-0000-000075300000}"/>
    <cellStyle name="40% - Accent1 8 4 2 2 3 2" xfId="37258" xr:uid="{8EE8AAC2-03A4-4C3B-B8B1-001D9814884A}"/>
    <cellStyle name="40% - Accent1 8 4 2 2 4" xfId="21364" xr:uid="{00000000-0005-0000-0000-000076300000}"/>
    <cellStyle name="40% - Accent1 8 4 2 2 4 2" xfId="45196" xr:uid="{1FC5BE7B-4A6F-44CA-8F29-410AADF402F1}"/>
    <cellStyle name="40% - Accent1 8 4 2 2 5" xfId="29317" xr:uid="{E80A7F58-1738-4323-9B6B-F062F668818C}"/>
    <cellStyle name="40% - Accent1 8 4 2 3" xfId="7217" xr:uid="{00000000-0005-0000-0000-000077300000}"/>
    <cellStyle name="40% - Accent1 8 4 2 3 2" xfId="15189" xr:uid="{00000000-0005-0000-0000-000078300000}"/>
    <cellStyle name="40% - Accent1 8 4 2 3 2 2" xfId="39031" xr:uid="{074B9D04-F6F1-4A37-99AC-FBF55A38E575}"/>
    <cellStyle name="40% - Accent1 8 4 2 3 3" xfId="23136" xr:uid="{00000000-0005-0000-0000-000079300000}"/>
    <cellStyle name="40% - Accent1 8 4 2 3 3 2" xfId="46968" xr:uid="{3A495C13-483B-4E0B-9714-37ADBD5EAD00}"/>
    <cellStyle name="40% - Accent1 8 4 2 3 4" xfId="31090" xr:uid="{2EDF3F0F-E8EA-4135-9C1B-764AF8115D7B}"/>
    <cellStyle name="40% - Accent1 8 4 2 4" xfId="11653" xr:uid="{00000000-0005-0000-0000-00007A300000}"/>
    <cellStyle name="40% - Accent1 8 4 2 4 2" xfId="35502" xr:uid="{7B16A1E2-EC61-4DB7-BD98-83C0408A3BC3}"/>
    <cellStyle name="40% - Accent1 8 4 2 5" xfId="19608" xr:uid="{00000000-0005-0000-0000-00007B300000}"/>
    <cellStyle name="40% - Accent1 8 4 2 5 2" xfId="43440" xr:uid="{9D6D003E-CB94-4F01-AE28-E6300CF7978C}"/>
    <cellStyle name="40% - Accent1 8 4 2 6" xfId="27560" xr:uid="{7AC50535-928A-4F97-BF36-2673CC27B9EF}"/>
    <cellStyle name="40% - Accent1 8 4 2_Exh G" xfId="2797" xr:uid="{00000000-0005-0000-0000-00007C300000}"/>
    <cellStyle name="40% - Accent1 8 4 3" xfId="4506" xr:uid="{00000000-0005-0000-0000-00007D300000}"/>
    <cellStyle name="40% - Accent1 8 4 3 2" xfId="8098" xr:uid="{00000000-0005-0000-0000-00007E300000}"/>
    <cellStyle name="40% - Accent1 8 4 3 2 2" xfId="16069" xr:uid="{00000000-0005-0000-0000-00007F300000}"/>
    <cellStyle name="40% - Accent1 8 4 3 2 2 2" xfId="39911" xr:uid="{7935495A-FB9B-43F0-B31B-5AA0EC63459D}"/>
    <cellStyle name="40% - Accent1 8 4 3 2 3" xfId="24015" xr:uid="{00000000-0005-0000-0000-000080300000}"/>
    <cellStyle name="40% - Accent1 8 4 3 2 3 2" xfId="47847" xr:uid="{DC2B5B71-CA6A-4835-BB86-12E3C8A2B300}"/>
    <cellStyle name="40% - Accent1 8 4 3 2 4" xfId="31970" xr:uid="{4E2B78D9-1126-4BF5-8F3D-40B087712FBD}"/>
    <cellStyle name="40% - Accent1 8 4 3 3" xfId="12531" xr:uid="{00000000-0005-0000-0000-000081300000}"/>
    <cellStyle name="40% - Accent1 8 4 3 3 2" xfId="36380" xr:uid="{57FDEDBF-29E2-492B-A4FD-4F3EDBCC8293}"/>
    <cellStyle name="40% - Accent1 8 4 3 4" xfId="20486" xr:uid="{00000000-0005-0000-0000-000082300000}"/>
    <cellStyle name="40% - Accent1 8 4 3 4 2" xfId="44318" xr:uid="{F9B02860-48CF-430E-9DFA-1BFC8E26BFE3}"/>
    <cellStyle name="40% - Accent1 8 4 3 5" xfId="28439" xr:uid="{C0D60774-1ABB-4DD0-9722-E7897E92D910}"/>
    <cellStyle name="40% - Accent1 8 4 4" xfId="6336" xr:uid="{00000000-0005-0000-0000-000083300000}"/>
    <cellStyle name="40% - Accent1 8 4 4 2" xfId="14311" xr:uid="{00000000-0005-0000-0000-000084300000}"/>
    <cellStyle name="40% - Accent1 8 4 4 2 2" xfId="38153" xr:uid="{C6BE0222-9D91-4243-ABFB-AEFE6A7A7B88}"/>
    <cellStyle name="40% - Accent1 8 4 4 3" xfId="22258" xr:uid="{00000000-0005-0000-0000-000085300000}"/>
    <cellStyle name="40% - Accent1 8 4 4 3 2" xfId="46090" xr:uid="{E3F671E6-6859-416F-9125-096A821259A7}"/>
    <cellStyle name="40% - Accent1 8 4 4 4" xfId="30212" xr:uid="{9977BBA9-AA38-45BD-B3F9-6093C4E1481F}"/>
    <cellStyle name="40% - Accent1 8 4 5" xfId="9879" xr:uid="{00000000-0005-0000-0000-000086300000}"/>
    <cellStyle name="40% - Accent1 8 4 5 2" xfId="17837" xr:uid="{00000000-0005-0000-0000-000087300000}"/>
    <cellStyle name="40% - Accent1 8 4 5 2 2" xfId="41677" xr:uid="{1DAE4D89-7CCD-41AF-BEE2-A9EC467A7E89}"/>
    <cellStyle name="40% - Accent1 8 4 5 3" xfId="25781" xr:uid="{00000000-0005-0000-0000-000088300000}"/>
    <cellStyle name="40% - Accent1 8 4 5 3 2" xfId="49613" xr:uid="{B663906F-4EC6-46C6-9C5C-95AF71854391}"/>
    <cellStyle name="40% - Accent1 8 4 5 4" xfId="33736" xr:uid="{4F332C4A-9BCA-4C0C-8FFA-575E30FEF6ED}"/>
    <cellStyle name="40% - Accent1 8 4 6" xfId="10775" xr:uid="{00000000-0005-0000-0000-000089300000}"/>
    <cellStyle name="40% - Accent1 8 4 6 2" xfId="34624" xr:uid="{1D03A9BB-DF35-4C84-94E1-901F01575E13}"/>
    <cellStyle name="40% - Accent1 8 4 7" xfId="18730" xr:uid="{00000000-0005-0000-0000-00008A300000}"/>
    <cellStyle name="40% - Accent1 8 4 7 2" xfId="42562" xr:uid="{726A5D3E-DC9E-463D-BC63-0ED660229A37}"/>
    <cellStyle name="40% - Accent1 8 4 8" xfId="26682" xr:uid="{1FD7393A-393C-424F-85B0-08BB8268C313}"/>
    <cellStyle name="40% - Accent1 8 4_Exh G" xfId="2796" xr:uid="{00000000-0005-0000-0000-00008B300000}"/>
    <cellStyle name="40% - Accent1 8 5" xfId="1402" xr:uid="{00000000-0005-0000-0000-00008C300000}"/>
    <cellStyle name="40% - Accent1 8 5 2" xfId="4932" xr:uid="{00000000-0005-0000-0000-00008D300000}"/>
    <cellStyle name="40% - Accent1 8 5 2 2" xfId="8523" xr:uid="{00000000-0005-0000-0000-00008E300000}"/>
    <cellStyle name="40% - Accent1 8 5 2 2 2" xfId="16494" xr:uid="{00000000-0005-0000-0000-00008F300000}"/>
    <cellStyle name="40% - Accent1 8 5 2 2 2 2" xfId="40336" xr:uid="{B920D2EE-BFF3-44E7-80C7-20BA176B394C}"/>
    <cellStyle name="40% - Accent1 8 5 2 2 3" xfId="24440" xr:uid="{00000000-0005-0000-0000-000090300000}"/>
    <cellStyle name="40% - Accent1 8 5 2 2 3 2" xfId="48272" xr:uid="{EBD0BE0E-7899-4988-8E07-B23B7C5AA315}"/>
    <cellStyle name="40% - Accent1 8 5 2 2 4" xfId="32395" xr:uid="{1FCAB527-467E-44AA-8F66-4E61AE0293AB}"/>
    <cellStyle name="40% - Accent1 8 5 2 3" xfId="12956" xr:uid="{00000000-0005-0000-0000-000091300000}"/>
    <cellStyle name="40% - Accent1 8 5 2 3 2" xfId="36805" xr:uid="{82EB7EDB-A2F6-4721-A8A5-604CC17809EF}"/>
    <cellStyle name="40% - Accent1 8 5 2 4" xfId="20911" xr:uid="{00000000-0005-0000-0000-000092300000}"/>
    <cellStyle name="40% - Accent1 8 5 2 4 2" xfId="44743" xr:uid="{1E2CB84D-BF43-4B1B-858F-8F39A6BC5D11}"/>
    <cellStyle name="40% - Accent1 8 5 2 5" xfId="28864" xr:uid="{F8C4A08C-B175-4107-B245-6416490932C7}"/>
    <cellStyle name="40% - Accent1 8 5 3" xfId="6764" xr:uid="{00000000-0005-0000-0000-000093300000}"/>
    <cellStyle name="40% - Accent1 8 5 3 2" xfId="14736" xr:uid="{00000000-0005-0000-0000-000094300000}"/>
    <cellStyle name="40% - Accent1 8 5 3 2 2" xfId="38578" xr:uid="{C2AB691E-FB93-4530-9694-B2E9650354A5}"/>
    <cellStyle name="40% - Accent1 8 5 3 3" xfId="22683" xr:uid="{00000000-0005-0000-0000-000095300000}"/>
    <cellStyle name="40% - Accent1 8 5 3 3 2" xfId="46515" xr:uid="{47149F5A-74A2-4BA7-A412-E1FBAC7E84C2}"/>
    <cellStyle name="40% - Accent1 8 5 3 4" xfId="30637" xr:uid="{A1E4EEC2-D49F-402C-A463-73457807E4A3}"/>
    <cellStyle name="40% - Accent1 8 5 4" xfId="11200" xr:uid="{00000000-0005-0000-0000-000096300000}"/>
    <cellStyle name="40% - Accent1 8 5 4 2" xfId="35049" xr:uid="{96E4C272-3C4D-4B5F-A802-EC609DA9415C}"/>
    <cellStyle name="40% - Accent1 8 5 5" xfId="19155" xr:uid="{00000000-0005-0000-0000-000097300000}"/>
    <cellStyle name="40% - Accent1 8 5 5 2" xfId="42987" xr:uid="{A4BC06E5-0DE7-4300-BE7F-514118B71890}"/>
    <cellStyle name="40% - Accent1 8 5 6" xfId="27107" xr:uid="{EEB8136D-E031-4DD6-9BD2-FE0CA2C03459}"/>
    <cellStyle name="40% - Accent1 8 5_Exh G" xfId="2798" xr:uid="{00000000-0005-0000-0000-000098300000}"/>
    <cellStyle name="40% - Accent1 8 6" xfId="4053" xr:uid="{00000000-0005-0000-0000-000099300000}"/>
    <cellStyle name="40% - Accent1 8 6 2" xfId="7645" xr:uid="{00000000-0005-0000-0000-00009A300000}"/>
    <cellStyle name="40% - Accent1 8 6 2 2" xfId="15616" xr:uid="{00000000-0005-0000-0000-00009B300000}"/>
    <cellStyle name="40% - Accent1 8 6 2 2 2" xfId="39458" xr:uid="{46F5FBE6-5C83-4C5D-BB4C-B6CC0F8D1A5B}"/>
    <cellStyle name="40% - Accent1 8 6 2 3" xfId="23562" xr:uid="{00000000-0005-0000-0000-00009C300000}"/>
    <cellStyle name="40% - Accent1 8 6 2 3 2" xfId="47394" xr:uid="{59664B3F-0102-4C53-AD7C-0FDA7A8B2386}"/>
    <cellStyle name="40% - Accent1 8 6 2 4" xfId="31517" xr:uid="{F3D0B469-4177-4C36-90D0-26AEF084DC8B}"/>
    <cellStyle name="40% - Accent1 8 6 3" xfId="12078" xr:uid="{00000000-0005-0000-0000-00009D300000}"/>
    <cellStyle name="40% - Accent1 8 6 3 2" xfId="35927" xr:uid="{307C929C-EA15-43E4-9ECA-5666BD2DCC70}"/>
    <cellStyle name="40% - Accent1 8 6 4" xfId="20033" xr:uid="{00000000-0005-0000-0000-00009E300000}"/>
    <cellStyle name="40% - Accent1 8 6 4 2" xfId="43865" xr:uid="{E422627E-113D-41BD-9801-640F745FA920}"/>
    <cellStyle name="40% - Accent1 8 6 5" xfId="27986" xr:uid="{349307BF-E644-4379-B739-116F025D8755}"/>
    <cellStyle name="40% - Accent1 8 7" xfId="5873" xr:uid="{00000000-0005-0000-0000-00009F300000}"/>
    <cellStyle name="40% - Accent1 8 7 2" xfId="13857" xr:uid="{00000000-0005-0000-0000-0000A0300000}"/>
    <cellStyle name="40% - Accent1 8 7 2 2" xfId="37700" xr:uid="{77B3D360-76D9-4F24-9FE9-BCF58499EE1E}"/>
    <cellStyle name="40% - Accent1 8 7 3" xfId="21805" xr:uid="{00000000-0005-0000-0000-0000A1300000}"/>
    <cellStyle name="40% - Accent1 8 7 3 2" xfId="45637" xr:uid="{CAA9F9A3-A358-4D33-B041-28D05DDF5178}"/>
    <cellStyle name="40% - Accent1 8 7 4" xfId="29759" xr:uid="{D5FF8960-6330-4776-9CA6-06F6943A6F43}"/>
    <cellStyle name="40% - Accent1 8 8" xfId="9426" xr:uid="{00000000-0005-0000-0000-0000A2300000}"/>
    <cellStyle name="40% - Accent1 8 8 2" xfId="17384" xr:uid="{00000000-0005-0000-0000-0000A3300000}"/>
    <cellStyle name="40% - Accent1 8 8 2 2" xfId="41224" xr:uid="{77A8DCE7-4575-40D1-B752-7AC32E8C2FD5}"/>
    <cellStyle name="40% - Accent1 8 8 3" xfId="25328" xr:uid="{00000000-0005-0000-0000-0000A4300000}"/>
    <cellStyle name="40% - Accent1 8 8 3 2" xfId="49160" xr:uid="{3CE57328-FB64-4402-BA8B-BBF6EDD5EF50}"/>
    <cellStyle name="40% - Accent1 8 8 4" xfId="33283" xr:uid="{3DC00321-B8F8-436C-8422-FDA35F515E09}"/>
    <cellStyle name="40% - Accent1 8 9" xfId="10322" xr:uid="{00000000-0005-0000-0000-0000A5300000}"/>
    <cellStyle name="40% - Accent1 8 9 2" xfId="34171" xr:uid="{01E14FBB-C4DF-4935-BEA4-24DC65C40969}"/>
    <cellStyle name="40% - Accent1 8_Exh G" xfId="2789" xr:uid="{00000000-0005-0000-0000-0000A6300000}"/>
    <cellStyle name="40% - Accent1 9" xfId="378" xr:uid="{00000000-0005-0000-0000-0000A7300000}"/>
    <cellStyle name="40% - Accent1 9 10" xfId="18281" xr:uid="{00000000-0005-0000-0000-0000A8300000}"/>
    <cellStyle name="40% - Accent1 9 10 2" xfId="42113" xr:uid="{E89E55CA-4790-47CF-BD28-363CDFFF22C1}"/>
    <cellStyle name="40% - Accent1 9 11" xfId="26233" xr:uid="{8076E4C5-501E-4475-9357-0A3DF812CA3E}"/>
    <cellStyle name="40% - Accent1 9 2" xfId="379" xr:uid="{00000000-0005-0000-0000-0000A9300000}"/>
    <cellStyle name="40% - Accent1 9 2 2" xfId="380" xr:uid="{00000000-0005-0000-0000-0000AA300000}"/>
    <cellStyle name="40% - Accent1 9 2 2 2" xfId="1408" xr:uid="{00000000-0005-0000-0000-0000AB300000}"/>
    <cellStyle name="40% - Accent1 9 2 2 2 2" xfId="4938" xr:uid="{00000000-0005-0000-0000-0000AC300000}"/>
    <cellStyle name="40% - Accent1 9 2 2 2 2 2" xfId="8529" xr:uid="{00000000-0005-0000-0000-0000AD300000}"/>
    <cellStyle name="40% - Accent1 9 2 2 2 2 2 2" xfId="16500" xr:uid="{00000000-0005-0000-0000-0000AE300000}"/>
    <cellStyle name="40% - Accent1 9 2 2 2 2 2 2 2" xfId="40342" xr:uid="{26F7BBC4-E721-4B55-8D64-5E4FBB4027CA}"/>
    <cellStyle name="40% - Accent1 9 2 2 2 2 2 3" xfId="24446" xr:uid="{00000000-0005-0000-0000-0000AF300000}"/>
    <cellStyle name="40% - Accent1 9 2 2 2 2 2 3 2" xfId="48278" xr:uid="{1BE91D17-B5FF-4A6B-A9FA-541997928F78}"/>
    <cellStyle name="40% - Accent1 9 2 2 2 2 2 4" xfId="32401" xr:uid="{5688844A-46E6-4A62-A3EA-8C2F464B02D0}"/>
    <cellStyle name="40% - Accent1 9 2 2 2 2 3" xfId="12962" xr:uid="{00000000-0005-0000-0000-0000B0300000}"/>
    <cellStyle name="40% - Accent1 9 2 2 2 2 3 2" xfId="36811" xr:uid="{CFE5FD01-2206-44B0-8242-F3AE67B6866D}"/>
    <cellStyle name="40% - Accent1 9 2 2 2 2 4" xfId="20917" xr:uid="{00000000-0005-0000-0000-0000B1300000}"/>
    <cellStyle name="40% - Accent1 9 2 2 2 2 4 2" xfId="44749" xr:uid="{73D293F8-B16C-4F5D-8741-490622AA655D}"/>
    <cellStyle name="40% - Accent1 9 2 2 2 2 5" xfId="28870" xr:uid="{2D1C6665-7EDD-43DA-8079-E8296612CE2D}"/>
    <cellStyle name="40% - Accent1 9 2 2 2 3" xfId="6770" xr:uid="{00000000-0005-0000-0000-0000B2300000}"/>
    <cellStyle name="40% - Accent1 9 2 2 2 3 2" xfId="14742" xr:uid="{00000000-0005-0000-0000-0000B3300000}"/>
    <cellStyle name="40% - Accent1 9 2 2 2 3 2 2" xfId="38584" xr:uid="{B3E051AB-8ACB-4133-ABF3-DF7CC307D27A}"/>
    <cellStyle name="40% - Accent1 9 2 2 2 3 3" xfId="22689" xr:uid="{00000000-0005-0000-0000-0000B4300000}"/>
    <cellStyle name="40% - Accent1 9 2 2 2 3 3 2" xfId="46521" xr:uid="{2DCFE1D2-AEDF-4A10-98E4-F6B189DF6983}"/>
    <cellStyle name="40% - Accent1 9 2 2 2 3 4" xfId="30643" xr:uid="{4CDDC887-4A7E-4C54-9ED6-F207E74FCB1A}"/>
    <cellStyle name="40% - Accent1 9 2 2 2 4" xfId="11206" xr:uid="{00000000-0005-0000-0000-0000B5300000}"/>
    <cellStyle name="40% - Accent1 9 2 2 2 4 2" xfId="35055" xr:uid="{DD18F320-923B-4D77-97C7-9C80D5A4591A}"/>
    <cellStyle name="40% - Accent1 9 2 2 2 5" xfId="19161" xr:uid="{00000000-0005-0000-0000-0000B6300000}"/>
    <cellStyle name="40% - Accent1 9 2 2 2 5 2" xfId="42993" xr:uid="{0F027FAE-2658-41E5-A330-2C86006F3B1B}"/>
    <cellStyle name="40% - Accent1 9 2 2 2 6" xfId="27113" xr:uid="{99DA9D92-FCB9-4D5C-A5A5-0359CB2F3941}"/>
    <cellStyle name="40% - Accent1 9 2 2 2_Exh G" xfId="2802" xr:uid="{00000000-0005-0000-0000-0000B7300000}"/>
    <cellStyle name="40% - Accent1 9 2 2 3" xfId="4059" xr:uid="{00000000-0005-0000-0000-0000B8300000}"/>
    <cellStyle name="40% - Accent1 9 2 2 3 2" xfId="7651" xr:uid="{00000000-0005-0000-0000-0000B9300000}"/>
    <cellStyle name="40% - Accent1 9 2 2 3 2 2" xfId="15622" xr:uid="{00000000-0005-0000-0000-0000BA300000}"/>
    <cellStyle name="40% - Accent1 9 2 2 3 2 2 2" xfId="39464" xr:uid="{F23F1A05-5497-4BA5-ACEC-EC8CEA0F01DC}"/>
    <cellStyle name="40% - Accent1 9 2 2 3 2 3" xfId="23568" xr:uid="{00000000-0005-0000-0000-0000BB300000}"/>
    <cellStyle name="40% - Accent1 9 2 2 3 2 3 2" xfId="47400" xr:uid="{35443D9C-C4E7-45EE-88FB-001106F2B468}"/>
    <cellStyle name="40% - Accent1 9 2 2 3 2 4" xfId="31523" xr:uid="{0F745104-B66E-4818-B6F9-5A2B436EF85A}"/>
    <cellStyle name="40% - Accent1 9 2 2 3 3" xfId="12084" xr:uid="{00000000-0005-0000-0000-0000BC300000}"/>
    <cellStyle name="40% - Accent1 9 2 2 3 3 2" xfId="35933" xr:uid="{7FF75368-9843-4CEA-BD18-1C0BC54B40D9}"/>
    <cellStyle name="40% - Accent1 9 2 2 3 4" xfId="20039" xr:uid="{00000000-0005-0000-0000-0000BD300000}"/>
    <cellStyle name="40% - Accent1 9 2 2 3 4 2" xfId="43871" xr:uid="{E874BE79-411A-4294-A868-0971E41ABB38}"/>
    <cellStyle name="40% - Accent1 9 2 2 3 5" xfId="27992" xr:uid="{9A287B50-AEA5-44BE-9A22-E87D55884283}"/>
    <cellStyle name="40% - Accent1 9 2 2 4" xfId="5879" xr:uid="{00000000-0005-0000-0000-0000BE300000}"/>
    <cellStyle name="40% - Accent1 9 2 2 4 2" xfId="13863" xr:uid="{00000000-0005-0000-0000-0000BF300000}"/>
    <cellStyle name="40% - Accent1 9 2 2 4 2 2" xfId="37706" xr:uid="{3A180271-3B8F-44A4-A631-549F9D21F871}"/>
    <cellStyle name="40% - Accent1 9 2 2 4 3" xfId="21811" xr:uid="{00000000-0005-0000-0000-0000C0300000}"/>
    <cellStyle name="40% - Accent1 9 2 2 4 3 2" xfId="45643" xr:uid="{CB961AB9-5AC8-4E0A-B117-E63D4FC09C5D}"/>
    <cellStyle name="40% - Accent1 9 2 2 4 4" xfId="29765" xr:uid="{F23724EC-4AC0-4B3E-978E-68B7565C1705}"/>
    <cellStyle name="40% - Accent1 9 2 2 5" xfId="9432" xr:uid="{00000000-0005-0000-0000-0000C1300000}"/>
    <cellStyle name="40% - Accent1 9 2 2 5 2" xfId="17390" xr:uid="{00000000-0005-0000-0000-0000C2300000}"/>
    <cellStyle name="40% - Accent1 9 2 2 5 2 2" xfId="41230" xr:uid="{72EDE576-D215-4FF2-80DB-350FCAED9FD7}"/>
    <cellStyle name="40% - Accent1 9 2 2 5 3" xfId="25334" xr:uid="{00000000-0005-0000-0000-0000C3300000}"/>
    <cellStyle name="40% - Accent1 9 2 2 5 3 2" xfId="49166" xr:uid="{FC85BDCA-1875-4053-9A09-6990704B5EAD}"/>
    <cellStyle name="40% - Accent1 9 2 2 5 4" xfId="33289" xr:uid="{D0915BE5-C146-4327-B1C3-92DEE4421A53}"/>
    <cellStyle name="40% - Accent1 9 2 2 6" xfId="10328" xr:uid="{00000000-0005-0000-0000-0000C4300000}"/>
    <cellStyle name="40% - Accent1 9 2 2 6 2" xfId="34177" xr:uid="{B3B9F602-1852-4058-8F85-60632782098D}"/>
    <cellStyle name="40% - Accent1 9 2 2 7" xfId="18283" xr:uid="{00000000-0005-0000-0000-0000C5300000}"/>
    <cellStyle name="40% - Accent1 9 2 2 7 2" xfId="42115" xr:uid="{FCC8F664-CE01-4F5E-B036-27E2CD9B763A}"/>
    <cellStyle name="40% - Accent1 9 2 2 8" xfId="26235" xr:uid="{5B795EB7-006A-4CD5-A3AA-5B475C7FB306}"/>
    <cellStyle name="40% - Accent1 9 2 2_Exh G" xfId="2801" xr:uid="{00000000-0005-0000-0000-0000C6300000}"/>
    <cellStyle name="40% - Accent1 9 2 3" xfId="1407" xr:uid="{00000000-0005-0000-0000-0000C7300000}"/>
    <cellStyle name="40% - Accent1 9 2 3 2" xfId="4937" xr:uid="{00000000-0005-0000-0000-0000C8300000}"/>
    <cellStyle name="40% - Accent1 9 2 3 2 2" xfId="8528" xr:uid="{00000000-0005-0000-0000-0000C9300000}"/>
    <cellStyle name="40% - Accent1 9 2 3 2 2 2" xfId="16499" xr:uid="{00000000-0005-0000-0000-0000CA300000}"/>
    <cellStyle name="40% - Accent1 9 2 3 2 2 2 2" xfId="40341" xr:uid="{58535D58-14E7-45B8-AB53-3C06DAABE3D9}"/>
    <cellStyle name="40% - Accent1 9 2 3 2 2 3" xfId="24445" xr:uid="{00000000-0005-0000-0000-0000CB300000}"/>
    <cellStyle name="40% - Accent1 9 2 3 2 2 3 2" xfId="48277" xr:uid="{E9078FA2-CFCD-4B6F-9C62-3C12C5FCC708}"/>
    <cellStyle name="40% - Accent1 9 2 3 2 2 4" xfId="32400" xr:uid="{91F73C7F-BFF2-4B96-B836-FC0F80A41BF2}"/>
    <cellStyle name="40% - Accent1 9 2 3 2 3" xfId="12961" xr:uid="{00000000-0005-0000-0000-0000CC300000}"/>
    <cellStyle name="40% - Accent1 9 2 3 2 3 2" xfId="36810" xr:uid="{C0AEBE93-B110-40AF-80E3-C40EE9603A69}"/>
    <cellStyle name="40% - Accent1 9 2 3 2 4" xfId="20916" xr:uid="{00000000-0005-0000-0000-0000CD300000}"/>
    <cellStyle name="40% - Accent1 9 2 3 2 4 2" xfId="44748" xr:uid="{EFE4220B-EAE8-4BCC-A2CF-F24BF0247619}"/>
    <cellStyle name="40% - Accent1 9 2 3 2 5" xfId="28869" xr:uid="{0ADA0350-B3DD-4AD8-820D-17A0B9912091}"/>
    <cellStyle name="40% - Accent1 9 2 3 3" xfId="6769" xr:uid="{00000000-0005-0000-0000-0000CE300000}"/>
    <cellStyle name="40% - Accent1 9 2 3 3 2" xfId="14741" xr:uid="{00000000-0005-0000-0000-0000CF300000}"/>
    <cellStyle name="40% - Accent1 9 2 3 3 2 2" xfId="38583" xr:uid="{F3293531-C1EB-4EE4-A8D4-FE6A25A6EE21}"/>
    <cellStyle name="40% - Accent1 9 2 3 3 3" xfId="22688" xr:uid="{00000000-0005-0000-0000-0000D0300000}"/>
    <cellStyle name="40% - Accent1 9 2 3 3 3 2" xfId="46520" xr:uid="{8501EF98-071C-46D9-9EE0-E330E0FB6C89}"/>
    <cellStyle name="40% - Accent1 9 2 3 3 4" xfId="30642" xr:uid="{589B41E4-23F6-4576-AAB5-4E08B7C84717}"/>
    <cellStyle name="40% - Accent1 9 2 3 4" xfId="11205" xr:uid="{00000000-0005-0000-0000-0000D1300000}"/>
    <cellStyle name="40% - Accent1 9 2 3 4 2" xfId="35054" xr:uid="{F08DFADA-675F-43EF-AD62-0D3C072DE3E8}"/>
    <cellStyle name="40% - Accent1 9 2 3 5" xfId="19160" xr:uid="{00000000-0005-0000-0000-0000D2300000}"/>
    <cellStyle name="40% - Accent1 9 2 3 5 2" xfId="42992" xr:uid="{6BF80C2D-5615-4F80-9437-976DCBFE32F7}"/>
    <cellStyle name="40% - Accent1 9 2 3 6" xfId="27112" xr:uid="{9DFEF171-BE8E-4F68-B5D2-0959506B2F2F}"/>
    <cellStyle name="40% - Accent1 9 2 3_Exh G" xfId="2803" xr:uid="{00000000-0005-0000-0000-0000D3300000}"/>
    <cellStyle name="40% - Accent1 9 2 4" xfId="4058" xr:uid="{00000000-0005-0000-0000-0000D4300000}"/>
    <cellStyle name="40% - Accent1 9 2 4 2" xfId="7650" xr:uid="{00000000-0005-0000-0000-0000D5300000}"/>
    <cellStyle name="40% - Accent1 9 2 4 2 2" xfId="15621" xr:uid="{00000000-0005-0000-0000-0000D6300000}"/>
    <cellStyle name="40% - Accent1 9 2 4 2 2 2" xfId="39463" xr:uid="{5A501C1C-312C-4ABC-91FE-F8FD73F6A863}"/>
    <cellStyle name="40% - Accent1 9 2 4 2 3" xfId="23567" xr:uid="{00000000-0005-0000-0000-0000D7300000}"/>
    <cellStyle name="40% - Accent1 9 2 4 2 3 2" xfId="47399" xr:uid="{6241FE7A-616A-4F75-9E83-6B22DD56CB7B}"/>
    <cellStyle name="40% - Accent1 9 2 4 2 4" xfId="31522" xr:uid="{DAC321E0-C587-4FB7-827A-B558CC742374}"/>
    <cellStyle name="40% - Accent1 9 2 4 3" xfId="12083" xr:uid="{00000000-0005-0000-0000-0000D8300000}"/>
    <cellStyle name="40% - Accent1 9 2 4 3 2" xfId="35932" xr:uid="{B18A44BC-2B21-4935-B6B1-F2B7D892B114}"/>
    <cellStyle name="40% - Accent1 9 2 4 4" xfId="20038" xr:uid="{00000000-0005-0000-0000-0000D9300000}"/>
    <cellStyle name="40% - Accent1 9 2 4 4 2" xfId="43870" xr:uid="{3996122E-DA19-48F7-9A61-0B16885DA5C6}"/>
    <cellStyle name="40% - Accent1 9 2 4 5" xfId="27991" xr:uid="{80536FD9-2BDB-4918-8DA8-0B367E552386}"/>
    <cellStyle name="40% - Accent1 9 2 5" xfId="5878" xr:uid="{00000000-0005-0000-0000-0000DA300000}"/>
    <cellStyle name="40% - Accent1 9 2 5 2" xfId="13862" xr:uid="{00000000-0005-0000-0000-0000DB300000}"/>
    <cellStyle name="40% - Accent1 9 2 5 2 2" xfId="37705" xr:uid="{A7A46262-BB70-42C8-9F3D-544C68382FDB}"/>
    <cellStyle name="40% - Accent1 9 2 5 3" xfId="21810" xr:uid="{00000000-0005-0000-0000-0000DC300000}"/>
    <cellStyle name="40% - Accent1 9 2 5 3 2" xfId="45642" xr:uid="{794D23CC-E857-40C6-8C48-E9D2C3E35C86}"/>
    <cellStyle name="40% - Accent1 9 2 5 4" xfId="29764" xr:uid="{BE6C4805-DD78-4719-AE04-85BBF00E51D3}"/>
    <cellStyle name="40% - Accent1 9 2 6" xfId="9431" xr:uid="{00000000-0005-0000-0000-0000DD300000}"/>
    <cellStyle name="40% - Accent1 9 2 6 2" xfId="17389" xr:uid="{00000000-0005-0000-0000-0000DE300000}"/>
    <cellStyle name="40% - Accent1 9 2 6 2 2" xfId="41229" xr:uid="{653AACE2-235F-4E79-BEEF-0B0EEE2F6590}"/>
    <cellStyle name="40% - Accent1 9 2 6 3" xfId="25333" xr:uid="{00000000-0005-0000-0000-0000DF300000}"/>
    <cellStyle name="40% - Accent1 9 2 6 3 2" xfId="49165" xr:uid="{71C39451-BE25-4960-B938-72C4B21099FA}"/>
    <cellStyle name="40% - Accent1 9 2 6 4" xfId="33288" xr:uid="{37EC0304-53D5-4EA5-8060-047A0F8E5EE5}"/>
    <cellStyle name="40% - Accent1 9 2 7" xfId="10327" xr:uid="{00000000-0005-0000-0000-0000E0300000}"/>
    <cellStyle name="40% - Accent1 9 2 7 2" xfId="34176" xr:uid="{00773E69-6F72-407B-83D2-FBB7964B131C}"/>
    <cellStyle name="40% - Accent1 9 2 8" xfId="18282" xr:uid="{00000000-0005-0000-0000-0000E1300000}"/>
    <cellStyle name="40% - Accent1 9 2 8 2" xfId="42114" xr:uid="{3FF560E8-096B-4D9E-8611-39CCFC4B6735}"/>
    <cellStyle name="40% - Accent1 9 2 9" xfId="26234" xr:uid="{B5BABDE7-5841-4AA5-8EA9-7B4C70C8989D}"/>
    <cellStyle name="40% - Accent1 9 2_Exh G" xfId="2800" xr:uid="{00000000-0005-0000-0000-0000E2300000}"/>
    <cellStyle name="40% - Accent1 9 3" xfId="381" xr:uid="{00000000-0005-0000-0000-0000E3300000}"/>
    <cellStyle name="40% - Accent1 9 3 2" xfId="1409" xr:uid="{00000000-0005-0000-0000-0000E4300000}"/>
    <cellStyle name="40% - Accent1 9 3 2 2" xfId="4939" xr:uid="{00000000-0005-0000-0000-0000E5300000}"/>
    <cellStyle name="40% - Accent1 9 3 2 2 2" xfId="8530" xr:uid="{00000000-0005-0000-0000-0000E6300000}"/>
    <cellStyle name="40% - Accent1 9 3 2 2 2 2" xfId="16501" xr:uid="{00000000-0005-0000-0000-0000E7300000}"/>
    <cellStyle name="40% - Accent1 9 3 2 2 2 2 2" xfId="40343" xr:uid="{918C8713-DECA-4DD6-AA91-A9A387338C83}"/>
    <cellStyle name="40% - Accent1 9 3 2 2 2 3" xfId="24447" xr:uid="{00000000-0005-0000-0000-0000E8300000}"/>
    <cellStyle name="40% - Accent1 9 3 2 2 2 3 2" xfId="48279" xr:uid="{C4B1DCD0-413C-4230-A1B4-3F81DEF9B025}"/>
    <cellStyle name="40% - Accent1 9 3 2 2 2 4" xfId="32402" xr:uid="{74453579-10B2-4D93-9960-6E4E3D0864E3}"/>
    <cellStyle name="40% - Accent1 9 3 2 2 3" xfId="12963" xr:uid="{00000000-0005-0000-0000-0000E9300000}"/>
    <cellStyle name="40% - Accent1 9 3 2 2 3 2" xfId="36812" xr:uid="{D88B493C-4FFF-4858-917E-A7091DD78AF2}"/>
    <cellStyle name="40% - Accent1 9 3 2 2 4" xfId="20918" xr:uid="{00000000-0005-0000-0000-0000EA300000}"/>
    <cellStyle name="40% - Accent1 9 3 2 2 4 2" xfId="44750" xr:uid="{83B5BCF0-3309-4524-AC48-13CD388DB436}"/>
    <cellStyle name="40% - Accent1 9 3 2 2 5" xfId="28871" xr:uid="{F3F3A605-D532-435A-BD46-B370BE0D48C5}"/>
    <cellStyle name="40% - Accent1 9 3 2 3" xfId="6771" xr:uid="{00000000-0005-0000-0000-0000EB300000}"/>
    <cellStyle name="40% - Accent1 9 3 2 3 2" xfId="14743" xr:uid="{00000000-0005-0000-0000-0000EC300000}"/>
    <cellStyle name="40% - Accent1 9 3 2 3 2 2" xfId="38585" xr:uid="{A955FD89-13DC-4B2E-9353-AF1FDF5A91CD}"/>
    <cellStyle name="40% - Accent1 9 3 2 3 3" xfId="22690" xr:uid="{00000000-0005-0000-0000-0000ED300000}"/>
    <cellStyle name="40% - Accent1 9 3 2 3 3 2" xfId="46522" xr:uid="{4538FAE3-59B1-495B-94D5-ED044D14D474}"/>
    <cellStyle name="40% - Accent1 9 3 2 3 4" xfId="30644" xr:uid="{494E3C89-78B4-4CBE-A777-5D40A75D5D2B}"/>
    <cellStyle name="40% - Accent1 9 3 2 4" xfId="11207" xr:uid="{00000000-0005-0000-0000-0000EE300000}"/>
    <cellStyle name="40% - Accent1 9 3 2 4 2" xfId="35056" xr:uid="{E5926B42-6E4E-4545-959A-36B700150024}"/>
    <cellStyle name="40% - Accent1 9 3 2 5" xfId="19162" xr:uid="{00000000-0005-0000-0000-0000EF300000}"/>
    <cellStyle name="40% - Accent1 9 3 2 5 2" xfId="42994" xr:uid="{89D93322-450B-4593-B3C3-58A5D04A8EF9}"/>
    <cellStyle name="40% - Accent1 9 3 2 6" xfId="27114" xr:uid="{FB58C508-15CC-40A0-BF14-437D43684178}"/>
    <cellStyle name="40% - Accent1 9 3 2_Exh G" xfId="2805" xr:uid="{00000000-0005-0000-0000-0000F0300000}"/>
    <cellStyle name="40% - Accent1 9 3 3" xfId="4060" xr:uid="{00000000-0005-0000-0000-0000F1300000}"/>
    <cellStyle name="40% - Accent1 9 3 3 2" xfId="7652" xr:uid="{00000000-0005-0000-0000-0000F2300000}"/>
    <cellStyle name="40% - Accent1 9 3 3 2 2" xfId="15623" xr:uid="{00000000-0005-0000-0000-0000F3300000}"/>
    <cellStyle name="40% - Accent1 9 3 3 2 2 2" xfId="39465" xr:uid="{A0D28260-26AB-4EED-8174-0C2F8D65D970}"/>
    <cellStyle name="40% - Accent1 9 3 3 2 3" xfId="23569" xr:uid="{00000000-0005-0000-0000-0000F4300000}"/>
    <cellStyle name="40% - Accent1 9 3 3 2 3 2" xfId="47401" xr:uid="{354E712F-B684-4F54-A526-84DD6AAF59EC}"/>
    <cellStyle name="40% - Accent1 9 3 3 2 4" xfId="31524" xr:uid="{5B7E4264-CB74-4749-9CD4-6D842F401D69}"/>
    <cellStyle name="40% - Accent1 9 3 3 3" xfId="12085" xr:uid="{00000000-0005-0000-0000-0000F5300000}"/>
    <cellStyle name="40% - Accent1 9 3 3 3 2" xfId="35934" xr:uid="{111DE60A-C9C0-49C5-B2BE-5BFF295939C7}"/>
    <cellStyle name="40% - Accent1 9 3 3 4" xfId="20040" xr:uid="{00000000-0005-0000-0000-0000F6300000}"/>
    <cellStyle name="40% - Accent1 9 3 3 4 2" xfId="43872" xr:uid="{223CC62A-6EAF-411A-A665-34A14BB1FD46}"/>
    <cellStyle name="40% - Accent1 9 3 3 5" xfId="27993" xr:uid="{0680E6AA-0BCE-4402-B897-C56372CEBB23}"/>
    <cellStyle name="40% - Accent1 9 3 4" xfId="5880" xr:uid="{00000000-0005-0000-0000-0000F7300000}"/>
    <cellStyle name="40% - Accent1 9 3 4 2" xfId="13864" xr:uid="{00000000-0005-0000-0000-0000F8300000}"/>
    <cellStyle name="40% - Accent1 9 3 4 2 2" xfId="37707" xr:uid="{5C309894-0AA8-465D-B762-6D8964669234}"/>
    <cellStyle name="40% - Accent1 9 3 4 3" xfId="21812" xr:uid="{00000000-0005-0000-0000-0000F9300000}"/>
    <cellStyle name="40% - Accent1 9 3 4 3 2" xfId="45644" xr:uid="{0C6D67C7-E5C0-4997-8BCB-94325E514B05}"/>
    <cellStyle name="40% - Accent1 9 3 4 4" xfId="29766" xr:uid="{61B9AB84-9A30-4527-AACE-EC994A56B6B8}"/>
    <cellStyle name="40% - Accent1 9 3 5" xfId="9433" xr:uid="{00000000-0005-0000-0000-0000FA300000}"/>
    <cellStyle name="40% - Accent1 9 3 5 2" xfId="17391" xr:uid="{00000000-0005-0000-0000-0000FB300000}"/>
    <cellStyle name="40% - Accent1 9 3 5 2 2" xfId="41231" xr:uid="{2A5474BF-BB9C-4984-A47A-97599C088B81}"/>
    <cellStyle name="40% - Accent1 9 3 5 3" xfId="25335" xr:uid="{00000000-0005-0000-0000-0000FC300000}"/>
    <cellStyle name="40% - Accent1 9 3 5 3 2" xfId="49167" xr:uid="{94117A63-C6E3-48B0-9939-4301F70579C2}"/>
    <cellStyle name="40% - Accent1 9 3 5 4" xfId="33290" xr:uid="{57AB44DE-5ADF-4AC6-B622-35EE95E8785D}"/>
    <cellStyle name="40% - Accent1 9 3 6" xfId="10329" xr:uid="{00000000-0005-0000-0000-0000FD300000}"/>
    <cellStyle name="40% - Accent1 9 3 6 2" xfId="34178" xr:uid="{D5B65B95-148A-473E-9AE4-AD4A0920C93E}"/>
    <cellStyle name="40% - Accent1 9 3 7" xfId="18284" xr:uid="{00000000-0005-0000-0000-0000FE300000}"/>
    <cellStyle name="40% - Accent1 9 3 7 2" xfId="42116" xr:uid="{F87A3AA1-0C3F-44F6-B478-7A6574678663}"/>
    <cellStyle name="40% - Accent1 9 3 8" xfId="26236" xr:uid="{E16F6645-F1E9-48E5-9580-16ACE9FF2357}"/>
    <cellStyle name="40% - Accent1 9 3_Exh G" xfId="2804" xr:uid="{00000000-0005-0000-0000-0000FF300000}"/>
    <cellStyle name="40% - Accent1 9 4" xfId="945" xr:uid="{00000000-0005-0000-0000-000000310000}"/>
    <cellStyle name="40% - Accent1 9 4 2" xfId="1868" xr:uid="{00000000-0005-0000-0000-000001310000}"/>
    <cellStyle name="40% - Accent1 9 4 2 2" xfId="5386" xr:uid="{00000000-0005-0000-0000-000002310000}"/>
    <cellStyle name="40% - Accent1 9 4 2 2 2" xfId="8977" xr:uid="{00000000-0005-0000-0000-000003310000}"/>
    <cellStyle name="40% - Accent1 9 4 2 2 2 2" xfId="16948" xr:uid="{00000000-0005-0000-0000-000004310000}"/>
    <cellStyle name="40% - Accent1 9 4 2 2 2 2 2" xfId="40790" xr:uid="{11FC25FD-884A-4DC8-BF08-DA89CF1DA037}"/>
    <cellStyle name="40% - Accent1 9 4 2 2 2 3" xfId="24894" xr:uid="{00000000-0005-0000-0000-000005310000}"/>
    <cellStyle name="40% - Accent1 9 4 2 2 2 3 2" xfId="48726" xr:uid="{D391EB21-541A-4308-B97D-F635CE384607}"/>
    <cellStyle name="40% - Accent1 9 4 2 2 2 4" xfId="32849" xr:uid="{C1270A15-F766-465C-94A2-8F25F5F33E7E}"/>
    <cellStyle name="40% - Accent1 9 4 2 2 3" xfId="13410" xr:uid="{00000000-0005-0000-0000-000006310000}"/>
    <cellStyle name="40% - Accent1 9 4 2 2 3 2" xfId="37259" xr:uid="{18C11095-01D7-43C8-B566-86B06429095D}"/>
    <cellStyle name="40% - Accent1 9 4 2 2 4" xfId="21365" xr:uid="{00000000-0005-0000-0000-000007310000}"/>
    <cellStyle name="40% - Accent1 9 4 2 2 4 2" xfId="45197" xr:uid="{92289D83-F8F3-4318-A331-D62187D2D5D6}"/>
    <cellStyle name="40% - Accent1 9 4 2 2 5" xfId="29318" xr:uid="{21315D66-64AA-47BD-8E04-24BF215D1BF9}"/>
    <cellStyle name="40% - Accent1 9 4 2 3" xfId="7218" xr:uid="{00000000-0005-0000-0000-000008310000}"/>
    <cellStyle name="40% - Accent1 9 4 2 3 2" xfId="15190" xr:uid="{00000000-0005-0000-0000-000009310000}"/>
    <cellStyle name="40% - Accent1 9 4 2 3 2 2" xfId="39032" xr:uid="{371A63D0-AAC8-4165-B4E7-FC14B56B0963}"/>
    <cellStyle name="40% - Accent1 9 4 2 3 3" xfId="23137" xr:uid="{00000000-0005-0000-0000-00000A310000}"/>
    <cellStyle name="40% - Accent1 9 4 2 3 3 2" xfId="46969" xr:uid="{961C431E-0098-4C7C-AA7C-1FD8E9EC6D45}"/>
    <cellStyle name="40% - Accent1 9 4 2 3 4" xfId="31091" xr:uid="{7FDF2F15-FEB3-4076-A647-6F0B2F0FBE88}"/>
    <cellStyle name="40% - Accent1 9 4 2 4" xfId="11654" xr:uid="{00000000-0005-0000-0000-00000B310000}"/>
    <cellStyle name="40% - Accent1 9 4 2 4 2" xfId="35503" xr:uid="{8B94A804-0F2E-48E8-B1A6-769D0D64CEEA}"/>
    <cellStyle name="40% - Accent1 9 4 2 5" xfId="19609" xr:uid="{00000000-0005-0000-0000-00000C310000}"/>
    <cellStyle name="40% - Accent1 9 4 2 5 2" xfId="43441" xr:uid="{B2D33166-8413-4193-A17B-C20B51B90BBE}"/>
    <cellStyle name="40% - Accent1 9 4 2 6" xfId="27561" xr:uid="{78EFB29E-3191-4C1F-A937-C2688CE1048B}"/>
    <cellStyle name="40% - Accent1 9 4 2_Exh G" xfId="2807" xr:uid="{00000000-0005-0000-0000-00000D310000}"/>
    <cellStyle name="40% - Accent1 9 4 3" xfId="4507" xr:uid="{00000000-0005-0000-0000-00000E310000}"/>
    <cellStyle name="40% - Accent1 9 4 3 2" xfId="8099" xr:uid="{00000000-0005-0000-0000-00000F310000}"/>
    <cellStyle name="40% - Accent1 9 4 3 2 2" xfId="16070" xr:uid="{00000000-0005-0000-0000-000010310000}"/>
    <cellStyle name="40% - Accent1 9 4 3 2 2 2" xfId="39912" xr:uid="{5D153436-881F-41C8-BF4A-1164FF984086}"/>
    <cellStyle name="40% - Accent1 9 4 3 2 3" xfId="24016" xr:uid="{00000000-0005-0000-0000-000011310000}"/>
    <cellStyle name="40% - Accent1 9 4 3 2 3 2" xfId="47848" xr:uid="{67D25713-F313-4C9C-9646-19AB9771BF96}"/>
    <cellStyle name="40% - Accent1 9 4 3 2 4" xfId="31971" xr:uid="{0A5D79E7-0D3F-4C29-9EF3-AAAB6F213837}"/>
    <cellStyle name="40% - Accent1 9 4 3 3" xfId="12532" xr:uid="{00000000-0005-0000-0000-000012310000}"/>
    <cellStyle name="40% - Accent1 9 4 3 3 2" xfId="36381" xr:uid="{ABB93DAD-3375-4A15-A503-92C0C541EF97}"/>
    <cellStyle name="40% - Accent1 9 4 3 4" xfId="20487" xr:uid="{00000000-0005-0000-0000-000013310000}"/>
    <cellStyle name="40% - Accent1 9 4 3 4 2" xfId="44319" xr:uid="{073403F6-EF54-40A4-AE82-BEB0783D9139}"/>
    <cellStyle name="40% - Accent1 9 4 3 5" xfId="28440" xr:uid="{0F0953CA-910F-4C12-8AE5-26D9F85AC194}"/>
    <cellStyle name="40% - Accent1 9 4 4" xfId="6337" xr:uid="{00000000-0005-0000-0000-000014310000}"/>
    <cellStyle name="40% - Accent1 9 4 4 2" xfId="14312" xr:uid="{00000000-0005-0000-0000-000015310000}"/>
    <cellStyle name="40% - Accent1 9 4 4 2 2" xfId="38154" xr:uid="{21EB34FA-40B6-4D42-9A40-56FA6A6D492F}"/>
    <cellStyle name="40% - Accent1 9 4 4 3" xfId="22259" xr:uid="{00000000-0005-0000-0000-000016310000}"/>
    <cellStyle name="40% - Accent1 9 4 4 3 2" xfId="46091" xr:uid="{6D7C569B-577D-401F-A2D0-8A6EEFB0A91B}"/>
    <cellStyle name="40% - Accent1 9 4 4 4" xfId="30213" xr:uid="{16CCE5E5-D581-464C-8727-7097DE34A208}"/>
    <cellStyle name="40% - Accent1 9 4 5" xfId="9880" xr:uid="{00000000-0005-0000-0000-000017310000}"/>
    <cellStyle name="40% - Accent1 9 4 5 2" xfId="17838" xr:uid="{00000000-0005-0000-0000-000018310000}"/>
    <cellStyle name="40% - Accent1 9 4 5 2 2" xfId="41678" xr:uid="{26348C0F-A969-4633-BCFD-55F4B70602A6}"/>
    <cellStyle name="40% - Accent1 9 4 5 3" xfId="25782" xr:uid="{00000000-0005-0000-0000-000019310000}"/>
    <cellStyle name="40% - Accent1 9 4 5 3 2" xfId="49614" xr:uid="{1B51A562-58D0-4B00-9894-5EDEA50B52E5}"/>
    <cellStyle name="40% - Accent1 9 4 5 4" xfId="33737" xr:uid="{7CC01F79-2A8F-418D-AFA7-D1A644F894A2}"/>
    <cellStyle name="40% - Accent1 9 4 6" xfId="10776" xr:uid="{00000000-0005-0000-0000-00001A310000}"/>
    <cellStyle name="40% - Accent1 9 4 6 2" xfId="34625" xr:uid="{F334179B-BAE1-4189-ABE5-1CAC2409803B}"/>
    <cellStyle name="40% - Accent1 9 4 7" xfId="18731" xr:uid="{00000000-0005-0000-0000-00001B310000}"/>
    <cellStyle name="40% - Accent1 9 4 7 2" xfId="42563" xr:uid="{5A66F01F-AD71-4D5E-AAAF-B98E3C1041CB}"/>
    <cellStyle name="40% - Accent1 9 4 8" xfId="26683" xr:uid="{131CB495-061F-4EF1-B261-BAE264C0B7F9}"/>
    <cellStyle name="40% - Accent1 9 4_Exh G" xfId="2806" xr:uid="{00000000-0005-0000-0000-00001C310000}"/>
    <cellStyle name="40% - Accent1 9 5" xfId="1406" xr:uid="{00000000-0005-0000-0000-00001D310000}"/>
    <cellStyle name="40% - Accent1 9 5 2" xfId="4936" xr:uid="{00000000-0005-0000-0000-00001E310000}"/>
    <cellStyle name="40% - Accent1 9 5 2 2" xfId="8527" xr:uid="{00000000-0005-0000-0000-00001F310000}"/>
    <cellStyle name="40% - Accent1 9 5 2 2 2" xfId="16498" xr:uid="{00000000-0005-0000-0000-000020310000}"/>
    <cellStyle name="40% - Accent1 9 5 2 2 2 2" xfId="40340" xr:uid="{C5BF1FC5-A9D6-4E87-97CD-CFB05D32AE9E}"/>
    <cellStyle name="40% - Accent1 9 5 2 2 3" xfId="24444" xr:uid="{00000000-0005-0000-0000-000021310000}"/>
    <cellStyle name="40% - Accent1 9 5 2 2 3 2" xfId="48276" xr:uid="{D65A7057-A145-4D4C-B9EF-B13B93673CF4}"/>
    <cellStyle name="40% - Accent1 9 5 2 2 4" xfId="32399" xr:uid="{61587672-1201-4AE9-A386-E9C579E7EB4A}"/>
    <cellStyle name="40% - Accent1 9 5 2 3" xfId="12960" xr:uid="{00000000-0005-0000-0000-000022310000}"/>
    <cellStyle name="40% - Accent1 9 5 2 3 2" xfId="36809" xr:uid="{53B2FBA5-6614-469C-A67A-38F3282FA665}"/>
    <cellStyle name="40% - Accent1 9 5 2 4" xfId="20915" xr:uid="{00000000-0005-0000-0000-000023310000}"/>
    <cellStyle name="40% - Accent1 9 5 2 4 2" xfId="44747" xr:uid="{E91A3318-F3FE-43AE-879E-C4E564821573}"/>
    <cellStyle name="40% - Accent1 9 5 2 5" xfId="28868" xr:uid="{D16B8225-544E-4951-AD37-016708C9A0D8}"/>
    <cellStyle name="40% - Accent1 9 5 3" xfId="6768" xr:uid="{00000000-0005-0000-0000-000024310000}"/>
    <cellStyle name="40% - Accent1 9 5 3 2" xfId="14740" xr:uid="{00000000-0005-0000-0000-000025310000}"/>
    <cellStyle name="40% - Accent1 9 5 3 2 2" xfId="38582" xr:uid="{7F0D68FD-3989-41A7-A6D1-602EB3292C73}"/>
    <cellStyle name="40% - Accent1 9 5 3 3" xfId="22687" xr:uid="{00000000-0005-0000-0000-000026310000}"/>
    <cellStyle name="40% - Accent1 9 5 3 3 2" xfId="46519" xr:uid="{89909733-9E00-4B83-903A-7DD987E3B047}"/>
    <cellStyle name="40% - Accent1 9 5 3 4" xfId="30641" xr:uid="{55E73942-D9F5-44D8-A0C1-B49BC2A4EC7D}"/>
    <cellStyle name="40% - Accent1 9 5 4" xfId="11204" xr:uid="{00000000-0005-0000-0000-000027310000}"/>
    <cellStyle name="40% - Accent1 9 5 4 2" xfId="35053" xr:uid="{90745A6B-12CC-4180-ACD4-F7A0ECACD49E}"/>
    <cellStyle name="40% - Accent1 9 5 5" xfId="19159" xr:uid="{00000000-0005-0000-0000-000028310000}"/>
    <cellStyle name="40% - Accent1 9 5 5 2" xfId="42991" xr:uid="{7CE62A9A-8998-4F94-B762-40F471FFB43D}"/>
    <cellStyle name="40% - Accent1 9 5 6" xfId="27111" xr:uid="{A0CA4CE9-3A2F-4AA7-95F6-F8E5A97E8E91}"/>
    <cellStyle name="40% - Accent1 9 5_Exh G" xfId="2808" xr:uid="{00000000-0005-0000-0000-000029310000}"/>
    <cellStyle name="40% - Accent1 9 6" xfId="4057" xr:uid="{00000000-0005-0000-0000-00002A310000}"/>
    <cellStyle name="40% - Accent1 9 6 2" xfId="7649" xr:uid="{00000000-0005-0000-0000-00002B310000}"/>
    <cellStyle name="40% - Accent1 9 6 2 2" xfId="15620" xr:uid="{00000000-0005-0000-0000-00002C310000}"/>
    <cellStyle name="40% - Accent1 9 6 2 2 2" xfId="39462" xr:uid="{DB3A92F5-4CA4-49BD-B200-123461BD7AE4}"/>
    <cellStyle name="40% - Accent1 9 6 2 3" xfId="23566" xr:uid="{00000000-0005-0000-0000-00002D310000}"/>
    <cellStyle name="40% - Accent1 9 6 2 3 2" xfId="47398" xr:uid="{C5B1D57B-C9F7-435B-854A-989CD6D2C39B}"/>
    <cellStyle name="40% - Accent1 9 6 2 4" xfId="31521" xr:uid="{08F9FEDB-6198-4120-9A16-2964778C1213}"/>
    <cellStyle name="40% - Accent1 9 6 3" xfId="12082" xr:uid="{00000000-0005-0000-0000-00002E310000}"/>
    <cellStyle name="40% - Accent1 9 6 3 2" xfId="35931" xr:uid="{3EC0DCD7-B43C-4C34-B3C6-CE34B88A8C34}"/>
    <cellStyle name="40% - Accent1 9 6 4" xfId="20037" xr:uid="{00000000-0005-0000-0000-00002F310000}"/>
    <cellStyle name="40% - Accent1 9 6 4 2" xfId="43869" xr:uid="{D899E92E-ABC7-43EE-8ACB-F8B98BD10D52}"/>
    <cellStyle name="40% - Accent1 9 6 5" xfId="27990" xr:uid="{7F93CBDB-45D9-4F81-8BE5-2E6A69086270}"/>
    <cellStyle name="40% - Accent1 9 7" xfId="5877" xr:uid="{00000000-0005-0000-0000-000030310000}"/>
    <cellStyle name="40% - Accent1 9 7 2" xfId="13861" xr:uid="{00000000-0005-0000-0000-000031310000}"/>
    <cellStyle name="40% - Accent1 9 7 2 2" xfId="37704" xr:uid="{D4B29905-0CC4-4BB8-984A-BEA83A5F29A2}"/>
    <cellStyle name="40% - Accent1 9 7 3" xfId="21809" xr:uid="{00000000-0005-0000-0000-000032310000}"/>
    <cellStyle name="40% - Accent1 9 7 3 2" xfId="45641" xr:uid="{75AB0643-A771-46A4-9EDD-A94F4A29EF27}"/>
    <cellStyle name="40% - Accent1 9 7 4" xfId="29763" xr:uid="{BA46C102-800B-4891-8928-4D6E13D14779}"/>
    <cellStyle name="40% - Accent1 9 8" xfId="9430" xr:uid="{00000000-0005-0000-0000-000033310000}"/>
    <cellStyle name="40% - Accent1 9 8 2" xfId="17388" xr:uid="{00000000-0005-0000-0000-000034310000}"/>
    <cellStyle name="40% - Accent1 9 8 2 2" xfId="41228" xr:uid="{022493F0-26F3-461C-877A-155CBD653D84}"/>
    <cellStyle name="40% - Accent1 9 8 3" xfId="25332" xr:uid="{00000000-0005-0000-0000-000035310000}"/>
    <cellStyle name="40% - Accent1 9 8 3 2" xfId="49164" xr:uid="{8329760B-F7FC-415F-9214-642227AC25B2}"/>
    <cellStyle name="40% - Accent1 9 8 4" xfId="33287" xr:uid="{BB19D116-3BDA-4570-AE95-54C28B742F37}"/>
    <cellStyle name="40% - Accent1 9 9" xfId="10326" xr:uid="{00000000-0005-0000-0000-000036310000}"/>
    <cellStyle name="40% - Accent1 9 9 2" xfId="34175" xr:uid="{082615D7-7BB0-451D-84B9-9C7A0E6E951C}"/>
    <cellStyle name="40% - Accent1 9_Exh G" xfId="2799" xr:uid="{00000000-0005-0000-0000-000037310000}"/>
    <cellStyle name="40% - Accent2" xfId="49699" builtinId="35" customBuiltin="1"/>
    <cellStyle name="40% - Accent2 10" xfId="382" xr:uid="{00000000-0005-0000-0000-000038310000}"/>
    <cellStyle name="40% - Accent2 10 10" xfId="18285" xr:uid="{00000000-0005-0000-0000-000039310000}"/>
    <cellStyle name="40% - Accent2 10 10 2" xfId="42117" xr:uid="{70D64DB4-B8C9-4FF6-B132-F48CA97E19A3}"/>
    <cellStyle name="40% - Accent2 10 11" xfId="26237" xr:uid="{A89CFCDC-D4AA-42B6-8311-1BF93AFA47E5}"/>
    <cellStyle name="40% - Accent2 10 2" xfId="383" xr:uid="{00000000-0005-0000-0000-00003A310000}"/>
    <cellStyle name="40% - Accent2 10 2 2" xfId="384" xr:uid="{00000000-0005-0000-0000-00003B310000}"/>
    <cellStyle name="40% - Accent2 10 2 2 2" xfId="1412" xr:uid="{00000000-0005-0000-0000-00003C310000}"/>
    <cellStyle name="40% - Accent2 10 2 2 2 2" xfId="4942" xr:uid="{00000000-0005-0000-0000-00003D310000}"/>
    <cellStyle name="40% - Accent2 10 2 2 2 2 2" xfId="8533" xr:uid="{00000000-0005-0000-0000-00003E310000}"/>
    <cellStyle name="40% - Accent2 10 2 2 2 2 2 2" xfId="16504" xr:uid="{00000000-0005-0000-0000-00003F310000}"/>
    <cellStyle name="40% - Accent2 10 2 2 2 2 2 2 2" xfId="40346" xr:uid="{C289B30F-8F54-4226-95B2-CD3310E6014C}"/>
    <cellStyle name="40% - Accent2 10 2 2 2 2 2 3" xfId="24450" xr:uid="{00000000-0005-0000-0000-000040310000}"/>
    <cellStyle name="40% - Accent2 10 2 2 2 2 2 3 2" xfId="48282" xr:uid="{386F78ED-792A-49C8-9558-86F5299F9697}"/>
    <cellStyle name="40% - Accent2 10 2 2 2 2 2 4" xfId="32405" xr:uid="{41EFF96E-461F-4249-AF3E-69341F26876D}"/>
    <cellStyle name="40% - Accent2 10 2 2 2 2 3" xfId="12966" xr:uid="{00000000-0005-0000-0000-000041310000}"/>
    <cellStyle name="40% - Accent2 10 2 2 2 2 3 2" xfId="36815" xr:uid="{634E2535-3838-4E6D-A3D0-6A8F19C0B6D7}"/>
    <cellStyle name="40% - Accent2 10 2 2 2 2 4" xfId="20921" xr:uid="{00000000-0005-0000-0000-000042310000}"/>
    <cellStyle name="40% - Accent2 10 2 2 2 2 4 2" xfId="44753" xr:uid="{DA8CBB45-B58B-48AE-B5A6-775ABF4688DA}"/>
    <cellStyle name="40% - Accent2 10 2 2 2 2 5" xfId="28874" xr:uid="{0998AD8F-64A7-4319-9C8C-FA94AD8073F6}"/>
    <cellStyle name="40% - Accent2 10 2 2 2 3" xfId="6774" xr:uid="{00000000-0005-0000-0000-000043310000}"/>
    <cellStyle name="40% - Accent2 10 2 2 2 3 2" xfId="14746" xr:uid="{00000000-0005-0000-0000-000044310000}"/>
    <cellStyle name="40% - Accent2 10 2 2 2 3 2 2" xfId="38588" xr:uid="{D342521B-8ACA-4DE4-8494-E1FB774A37B2}"/>
    <cellStyle name="40% - Accent2 10 2 2 2 3 3" xfId="22693" xr:uid="{00000000-0005-0000-0000-000045310000}"/>
    <cellStyle name="40% - Accent2 10 2 2 2 3 3 2" xfId="46525" xr:uid="{1216095D-2299-405E-B257-2572DD6A3AD0}"/>
    <cellStyle name="40% - Accent2 10 2 2 2 3 4" xfId="30647" xr:uid="{5635E4A4-975C-4754-A56C-38BC119520C7}"/>
    <cellStyle name="40% - Accent2 10 2 2 2 4" xfId="11210" xr:uid="{00000000-0005-0000-0000-000046310000}"/>
    <cellStyle name="40% - Accent2 10 2 2 2 4 2" xfId="35059" xr:uid="{1510215B-A213-4FCD-AFB5-0523534B0C2B}"/>
    <cellStyle name="40% - Accent2 10 2 2 2 5" xfId="19165" xr:uid="{00000000-0005-0000-0000-000047310000}"/>
    <cellStyle name="40% - Accent2 10 2 2 2 5 2" xfId="42997" xr:uid="{7477D1E6-B747-4E93-BB33-7EE5F9371050}"/>
    <cellStyle name="40% - Accent2 10 2 2 2 6" xfId="27117" xr:uid="{8E7B1BCD-F840-48AE-952C-242B39E5B291}"/>
    <cellStyle name="40% - Accent2 10 2 2 2_Exh G" xfId="2812" xr:uid="{00000000-0005-0000-0000-000048310000}"/>
    <cellStyle name="40% - Accent2 10 2 2 3" xfId="4063" xr:uid="{00000000-0005-0000-0000-000049310000}"/>
    <cellStyle name="40% - Accent2 10 2 2 3 2" xfId="7655" xr:uid="{00000000-0005-0000-0000-00004A310000}"/>
    <cellStyle name="40% - Accent2 10 2 2 3 2 2" xfId="15626" xr:uid="{00000000-0005-0000-0000-00004B310000}"/>
    <cellStyle name="40% - Accent2 10 2 2 3 2 2 2" xfId="39468" xr:uid="{2AC63329-37E1-4DBD-BE0C-65ABD2B6C75C}"/>
    <cellStyle name="40% - Accent2 10 2 2 3 2 3" xfId="23572" xr:uid="{00000000-0005-0000-0000-00004C310000}"/>
    <cellStyle name="40% - Accent2 10 2 2 3 2 3 2" xfId="47404" xr:uid="{FF7BBBE9-9118-444E-8998-30A1572A22C1}"/>
    <cellStyle name="40% - Accent2 10 2 2 3 2 4" xfId="31527" xr:uid="{D86F2E6D-7540-4DB1-88C0-3230613FF438}"/>
    <cellStyle name="40% - Accent2 10 2 2 3 3" xfId="12088" xr:uid="{00000000-0005-0000-0000-00004D310000}"/>
    <cellStyle name="40% - Accent2 10 2 2 3 3 2" xfId="35937" xr:uid="{BB369CC7-8CC6-4CFC-8D95-7CEBA4A19BE6}"/>
    <cellStyle name="40% - Accent2 10 2 2 3 4" xfId="20043" xr:uid="{00000000-0005-0000-0000-00004E310000}"/>
    <cellStyle name="40% - Accent2 10 2 2 3 4 2" xfId="43875" xr:uid="{7D9895EA-0116-446E-B56C-D21EBAA722BC}"/>
    <cellStyle name="40% - Accent2 10 2 2 3 5" xfId="27996" xr:uid="{E5774CAE-7D5E-49D3-8C73-A43DC317A0C8}"/>
    <cellStyle name="40% - Accent2 10 2 2 4" xfId="5883" xr:uid="{00000000-0005-0000-0000-00004F310000}"/>
    <cellStyle name="40% - Accent2 10 2 2 4 2" xfId="13867" xr:uid="{00000000-0005-0000-0000-000050310000}"/>
    <cellStyle name="40% - Accent2 10 2 2 4 2 2" xfId="37710" xr:uid="{AD855680-A278-48E0-A511-8A17C39FB939}"/>
    <cellStyle name="40% - Accent2 10 2 2 4 3" xfId="21815" xr:uid="{00000000-0005-0000-0000-000051310000}"/>
    <cellStyle name="40% - Accent2 10 2 2 4 3 2" xfId="45647" xr:uid="{C62EE004-2196-49B4-8E92-94E85DA197A7}"/>
    <cellStyle name="40% - Accent2 10 2 2 4 4" xfId="29769" xr:uid="{A0F5A921-682B-4C78-A5C9-C227DF372736}"/>
    <cellStyle name="40% - Accent2 10 2 2 5" xfId="9436" xr:uid="{00000000-0005-0000-0000-000052310000}"/>
    <cellStyle name="40% - Accent2 10 2 2 5 2" xfId="17394" xr:uid="{00000000-0005-0000-0000-000053310000}"/>
    <cellStyle name="40% - Accent2 10 2 2 5 2 2" xfId="41234" xr:uid="{9955DAE0-67EE-443A-AFD5-62A92409E7FB}"/>
    <cellStyle name="40% - Accent2 10 2 2 5 3" xfId="25338" xr:uid="{00000000-0005-0000-0000-000054310000}"/>
    <cellStyle name="40% - Accent2 10 2 2 5 3 2" xfId="49170" xr:uid="{5A4E6D46-8D87-4B95-A4E3-AEE25B5285DA}"/>
    <cellStyle name="40% - Accent2 10 2 2 5 4" xfId="33293" xr:uid="{270DA43F-ECFA-4DD7-93F5-1CE05D6B977C}"/>
    <cellStyle name="40% - Accent2 10 2 2 6" xfId="10332" xr:uid="{00000000-0005-0000-0000-000055310000}"/>
    <cellStyle name="40% - Accent2 10 2 2 6 2" xfId="34181" xr:uid="{D6402C48-3FDF-42D4-9F13-715EFE34E879}"/>
    <cellStyle name="40% - Accent2 10 2 2 7" xfId="18287" xr:uid="{00000000-0005-0000-0000-000056310000}"/>
    <cellStyle name="40% - Accent2 10 2 2 7 2" xfId="42119" xr:uid="{AD0A7350-3070-49FB-9223-6A6DC2FC9CE3}"/>
    <cellStyle name="40% - Accent2 10 2 2 8" xfId="26239" xr:uid="{224BF34D-772E-4B26-9496-37D8DEAA6873}"/>
    <cellStyle name="40% - Accent2 10 2 2_Exh G" xfId="2811" xr:uid="{00000000-0005-0000-0000-000057310000}"/>
    <cellStyle name="40% - Accent2 10 2 3" xfId="1411" xr:uid="{00000000-0005-0000-0000-000058310000}"/>
    <cellStyle name="40% - Accent2 10 2 3 2" xfId="4941" xr:uid="{00000000-0005-0000-0000-000059310000}"/>
    <cellStyle name="40% - Accent2 10 2 3 2 2" xfId="8532" xr:uid="{00000000-0005-0000-0000-00005A310000}"/>
    <cellStyle name="40% - Accent2 10 2 3 2 2 2" xfId="16503" xr:uid="{00000000-0005-0000-0000-00005B310000}"/>
    <cellStyle name="40% - Accent2 10 2 3 2 2 2 2" xfId="40345" xr:uid="{0C627F1C-9948-4BAF-817F-8977DF8497DA}"/>
    <cellStyle name="40% - Accent2 10 2 3 2 2 3" xfId="24449" xr:uid="{00000000-0005-0000-0000-00005C310000}"/>
    <cellStyle name="40% - Accent2 10 2 3 2 2 3 2" xfId="48281" xr:uid="{9ADE5116-3B84-400E-B0D5-076AB76C236B}"/>
    <cellStyle name="40% - Accent2 10 2 3 2 2 4" xfId="32404" xr:uid="{92038FEF-68E2-4C7F-999C-1233088DAF40}"/>
    <cellStyle name="40% - Accent2 10 2 3 2 3" xfId="12965" xr:uid="{00000000-0005-0000-0000-00005D310000}"/>
    <cellStyle name="40% - Accent2 10 2 3 2 3 2" xfId="36814" xr:uid="{D99A74A5-A96D-4DE4-B2AB-C0E52FA872E7}"/>
    <cellStyle name="40% - Accent2 10 2 3 2 4" xfId="20920" xr:uid="{00000000-0005-0000-0000-00005E310000}"/>
    <cellStyle name="40% - Accent2 10 2 3 2 4 2" xfId="44752" xr:uid="{93F3C652-DD53-4A86-9639-CAA89EB3F0B7}"/>
    <cellStyle name="40% - Accent2 10 2 3 2 5" xfId="28873" xr:uid="{5D0E483D-ED8D-43ED-AB2C-80F7E76B98DA}"/>
    <cellStyle name="40% - Accent2 10 2 3 3" xfId="6773" xr:uid="{00000000-0005-0000-0000-00005F310000}"/>
    <cellStyle name="40% - Accent2 10 2 3 3 2" xfId="14745" xr:uid="{00000000-0005-0000-0000-000060310000}"/>
    <cellStyle name="40% - Accent2 10 2 3 3 2 2" xfId="38587" xr:uid="{A7F6B444-5A3E-4EFD-9BA6-BFA892634E74}"/>
    <cellStyle name="40% - Accent2 10 2 3 3 3" xfId="22692" xr:uid="{00000000-0005-0000-0000-000061310000}"/>
    <cellStyle name="40% - Accent2 10 2 3 3 3 2" xfId="46524" xr:uid="{3C9B7579-9E40-4C87-B735-EC25697E90E4}"/>
    <cellStyle name="40% - Accent2 10 2 3 3 4" xfId="30646" xr:uid="{D95C3F8D-0BB3-4D13-9178-35B68262218C}"/>
    <cellStyle name="40% - Accent2 10 2 3 4" xfId="11209" xr:uid="{00000000-0005-0000-0000-000062310000}"/>
    <cellStyle name="40% - Accent2 10 2 3 4 2" xfId="35058" xr:uid="{483F06FC-28D2-448E-9B84-431FA8D879C7}"/>
    <cellStyle name="40% - Accent2 10 2 3 5" xfId="19164" xr:uid="{00000000-0005-0000-0000-000063310000}"/>
    <cellStyle name="40% - Accent2 10 2 3 5 2" xfId="42996" xr:uid="{25446A1A-1E8D-4DB9-95E9-5FAC4520A32C}"/>
    <cellStyle name="40% - Accent2 10 2 3 6" xfId="27116" xr:uid="{5FF7B602-6A97-4D2C-A5B4-EF62E8B39C53}"/>
    <cellStyle name="40% - Accent2 10 2 3_Exh G" xfId="2813" xr:uid="{00000000-0005-0000-0000-000064310000}"/>
    <cellStyle name="40% - Accent2 10 2 4" xfId="4062" xr:uid="{00000000-0005-0000-0000-000065310000}"/>
    <cellStyle name="40% - Accent2 10 2 4 2" xfId="7654" xr:uid="{00000000-0005-0000-0000-000066310000}"/>
    <cellStyle name="40% - Accent2 10 2 4 2 2" xfId="15625" xr:uid="{00000000-0005-0000-0000-000067310000}"/>
    <cellStyle name="40% - Accent2 10 2 4 2 2 2" xfId="39467" xr:uid="{C4F1E9DE-6CEF-4594-98C9-024747DFE96F}"/>
    <cellStyle name="40% - Accent2 10 2 4 2 3" xfId="23571" xr:uid="{00000000-0005-0000-0000-000068310000}"/>
    <cellStyle name="40% - Accent2 10 2 4 2 3 2" xfId="47403" xr:uid="{DF4D3911-5B89-4227-A6F2-AA5EF90E91CB}"/>
    <cellStyle name="40% - Accent2 10 2 4 2 4" xfId="31526" xr:uid="{8F5D512A-6FFF-4333-9D55-911225AFB111}"/>
    <cellStyle name="40% - Accent2 10 2 4 3" xfId="12087" xr:uid="{00000000-0005-0000-0000-000069310000}"/>
    <cellStyle name="40% - Accent2 10 2 4 3 2" xfId="35936" xr:uid="{3BA94470-7773-4576-B7E1-4CD037B1B965}"/>
    <cellStyle name="40% - Accent2 10 2 4 4" xfId="20042" xr:uid="{00000000-0005-0000-0000-00006A310000}"/>
    <cellStyle name="40% - Accent2 10 2 4 4 2" xfId="43874" xr:uid="{EF251F4E-FD7A-4099-AFB5-A65EA6F50F70}"/>
    <cellStyle name="40% - Accent2 10 2 4 5" xfId="27995" xr:uid="{A34E669D-0623-473C-89A7-A8BE2DD4B835}"/>
    <cellStyle name="40% - Accent2 10 2 5" xfId="5882" xr:uid="{00000000-0005-0000-0000-00006B310000}"/>
    <cellStyle name="40% - Accent2 10 2 5 2" xfId="13866" xr:uid="{00000000-0005-0000-0000-00006C310000}"/>
    <cellStyle name="40% - Accent2 10 2 5 2 2" xfId="37709" xr:uid="{BEA6009B-38E9-4A02-8861-3A1F08BCED9C}"/>
    <cellStyle name="40% - Accent2 10 2 5 3" xfId="21814" xr:uid="{00000000-0005-0000-0000-00006D310000}"/>
    <cellStyle name="40% - Accent2 10 2 5 3 2" xfId="45646" xr:uid="{C6FDC6C5-6EA8-4A23-B5A1-3E7B4B5AF93C}"/>
    <cellStyle name="40% - Accent2 10 2 5 4" xfId="29768" xr:uid="{31549852-FAF9-4947-B326-0602666290AA}"/>
    <cellStyle name="40% - Accent2 10 2 6" xfId="9435" xr:uid="{00000000-0005-0000-0000-00006E310000}"/>
    <cellStyle name="40% - Accent2 10 2 6 2" xfId="17393" xr:uid="{00000000-0005-0000-0000-00006F310000}"/>
    <cellStyle name="40% - Accent2 10 2 6 2 2" xfId="41233" xr:uid="{CD299FC6-3990-4B40-80A9-4BC0CAC2A4A9}"/>
    <cellStyle name="40% - Accent2 10 2 6 3" xfId="25337" xr:uid="{00000000-0005-0000-0000-000070310000}"/>
    <cellStyle name="40% - Accent2 10 2 6 3 2" xfId="49169" xr:uid="{FA9AF5CE-D23A-485D-800D-11988E8054F4}"/>
    <cellStyle name="40% - Accent2 10 2 6 4" xfId="33292" xr:uid="{FF28A62A-BDF3-4C6A-8FC3-61C2AC12594C}"/>
    <cellStyle name="40% - Accent2 10 2 7" xfId="10331" xr:uid="{00000000-0005-0000-0000-000071310000}"/>
    <cellStyle name="40% - Accent2 10 2 7 2" xfId="34180" xr:uid="{DFEAE378-C836-41BF-9FD1-98D391E83A11}"/>
    <cellStyle name="40% - Accent2 10 2 8" xfId="18286" xr:uid="{00000000-0005-0000-0000-000072310000}"/>
    <cellStyle name="40% - Accent2 10 2 8 2" xfId="42118" xr:uid="{6FFC511D-C804-4933-9B27-975A3CD23C9C}"/>
    <cellStyle name="40% - Accent2 10 2 9" xfId="26238" xr:uid="{79AFD50D-3BD3-4560-9665-4C1CAC2B1844}"/>
    <cellStyle name="40% - Accent2 10 2_Exh G" xfId="2810" xr:uid="{00000000-0005-0000-0000-000073310000}"/>
    <cellStyle name="40% - Accent2 10 3" xfId="385" xr:uid="{00000000-0005-0000-0000-000074310000}"/>
    <cellStyle name="40% - Accent2 10 3 2" xfId="1413" xr:uid="{00000000-0005-0000-0000-000075310000}"/>
    <cellStyle name="40% - Accent2 10 3 2 2" xfId="4943" xr:uid="{00000000-0005-0000-0000-000076310000}"/>
    <cellStyle name="40% - Accent2 10 3 2 2 2" xfId="8534" xr:uid="{00000000-0005-0000-0000-000077310000}"/>
    <cellStyle name="40% - Accent2 10 3 2 2 2 2" xfId="16505" xr:uid="{00000000-0005-0000-0000-000078310000}"/>
    <cellStyle name="40% - Accent2 10 3 2 2 2 2 2" xfId="40347" xr:uid="{72B34B2E-2A09-40A2-95C9-F6EB1DE03A7B}"/>
    <cellStyle name="40% - Accent2 10 3 2 2 2 3" xfId="24451" xr:uid="{00000000-0005-0000-0000-000079310000}"/>
    <cellStyle name="40% - Accent2 10 3 2 2 2 3 2" xfId="48283" xr:uid="{AF8E1EBA-581A-49D9-AA4A-3E5B944D5C64}"/>
    <cellStyle name="40% - Accent2 10 3 2 2 2 4" xfId="32406" xr:uid="{39ADB3E1-4510-4D0D-B829-9B65F074AEBC}"/>
    <cellStyle name="40% - Accent2 10 3 2 2 3" xfId="12967" xr:uid="{00000000-0005-0000-0000-00007A310000}"/>
    <cellStyle name="40% - Accent2 10 3 2 2 3 2" xfId="36816" xr:uid="{448667E7-EA35-4C4C-AF50-0E2F3F08FA3A}"/>
    <cellStyle name="40% - Accent2 10 3 2 2 4" xfId="20922" xr:uid="{00000000-0005-0000-0000-00007B310000}"/>
    <cellStyle name="40% - Accent2 10 3 2 2 4 2" xfId="44754" xr:uid="{56B82E55-ED49-4527-830B-7E4AF30FC87E}"/>
    <cellStyle name="40% - Accent2 10 3 2 2 5" xfId="28875" xr:uid="{F88DBA2C-1C65-4BEF-B19B-58A9B061E3DC}"/>
    <cellStyle name="40% - Accent2 10 3 2 3" xfId="6775" xr:uid="{00000000-0005-0000-0000-00007C310000}"/>
    <cellStyle name="40% - Accent2 10 3 2 3 2" xfId="14747" xr:uid="{00000000-0005-0000-0000-00007D310000}"/>
    <cellStyle name="40% - Accent2 10 3 2 3 2 2" xfId="38589" xr:uid="{6424B57F-ED00-4AAE-B760-84A266ECFA9D}"/>
    <cellStyle name="40% - Accent2 10 3 2 3 3" xfId="22694" xr:uid="{00000000-0005-0000-0000-00007E310000}"/>
    <cellStyle name="40% - Accent2 10 3 2 3 3 2" xfId="46526" xr:uid="{9F8953D6-5048-487F-88F5-E3D4AEF3F94D}"/>
    <cellStyle name="40% - Accent2 10 3 2 3 4" xfId="30648" xr:uid="{40A820EE-5E21-462F-BEA2-9025F2E43697}"/>
    <cellStyle name="40% - Accent2 10 3 2 4" xfId="11211" xr:uid="{00000000-0005-0000-0000-00007F310000}"/>
    <cellStyle name="40% - Accent2 10 3 2 4 2" xfId="35060" xr:uid="{533DAFC7-22C6-4F91-9D0D-28BA7449FB24}"/>
    <cellStyle name="40% - Accent2 10 3 2 5" xfId="19166" xr:uid="{00000000-0005-0000-0000-000080310000}"/>
    <cellStyle name="40% - Accent2 10 3 2 5 2" xfId="42998" xr:uid="{4F31AD82-560B-47B7-9BAB-D73B7AD07F24}"/>
    <cellStyle name="40% - Accent2 10 3 2 6" xfId="27118" xr:uid="{F40BC93D-5A44-4552-BE54-9E2728CC9439}"/>
    <cellStyle name="40% - Accent2 10 3 2_Exh G" xfId="2815" xr:uid="{00000000-0005-0000-0000-000081310000}"/>
    <cellStyle name="40% - Accent2 10 3 3" xfId="4064" xr:uid="{00000000-0005-0000-0000-000082310000}"/>
    <cellStyle name="40% - Accent2 10 3 3 2" xfId="7656" xr:uid="{00000000-0005-0000-0000-000083310000}"/>
    <cellStyle name="40% - Accent2 10 3 3 2 2" xfId="15627" xr:uid="{00000000-0005-0000-0000-000084310000}"/>
    <cellStyle name="40% - Accent2 10 3 3 2 2 2" xfId="39469" xr:uid="{559BD692-2272-42A1-BD84-F53A868E976E}"/>
    <cellStyle name="40% - Accent2 10 3 3 2 3" xfId="23573" xr:uid="{00000000-0005-0000-0000-000085310000}"/>
    <cellStyle name="40% - Accent2 10 3 3 2 3 2" xfId="47405" xr:uid="{D1D629A1-0AFE-4822-8765-C7AD78E2BA17}"/>
    <cellStyle name="40% - Accent2 10 3 3 2 4" xfId="31528" xr:uid="{8D255CFE-363B-4E15-8E14-06364F339F6E}"/>
    <cellStyle name="40% - Accent2 10 3 3 3" xfId="12089" xr:uid="{00000000-0005-0000-0000-000086310000}"/>
    <cellStyle name="40% - Accent2 10 3 3 3 2" xfId="35938" xr:uid="{F8F93A72-C339-4407-AD1A-2C77C6534B60}"/>
    <cellStyle name="40% - Accent2 10 3 3 4" xfId="20044" xr:uid="{00000000-0005-0000-0000-000087310000}"/>
    <cellStyle name="40% - Accent2 10 3 3 4 2" xfId="43876" xr:uid="{27833A64-3F56-4DBA-ADB1-1FA055CEC978}"/>
    <cellStyle name="40% - Accent2 10 3 3 5" xfId="27997" xr:uid="{E821D183-8F96-460B-9180-113ABDD3308E}"/>
    <cellStyle name="40% - Accent2 10 3 4" xfId="5884" xr:uid="{00000000-0005-0000-0000-000088310000}"/>
    <cellStyle name="40% - Accent2 10 3 4 2" xfId="13868" xr:uid="{00000000-0005-0000-0000-000089310000}"/>
    <cellStyle name="40% - Accent2 10 3 4 2 2" xfId="37711" xr:uid="{7EB3D49E-FE2F-4FA3-A880-750CD49A3334}"/>
    <cellStyle name="40% - Accent2 10 3 4 3" xfId="21816" xr:uid="{00000000-0005-0000-0000-00008A310000}"/>
    <cellStyle name="40% - Accent2 10 3 4 3 2" xfId="45648" xr:uid="{FC1E19BD-AF67-491F-B04A-3A6F31441ADA}"/>
    <cellStyle name="40% - Accent2 10 3 4 4" xfId="29770" xr:uid="{8A318C04-F0DB-4FA7-83BF-EB6147DF4271}"/>
    <cellStyle name="40% - Accent2 10 3 5" xfId="9437" xr:uid="{00000000-0005-0000-0000-00008B310000}"/>
    <cellStyle name="40% - Accent2 10 3 5 2" xfId="17395" xr:uid="{00000000-0005-0000-0000-00008C310000}"/>
    <cellStyle name="40% - Accent2 10 3 5 2 2" xfId="41235" xr:uid="{95F846A2-B3E3-461B-A8A6-6F73475ACAF1}"/>
    <cellStyle name="40% - Accent2 10 3 5 3" xfId="25339" xr:uid="{00000000-0005-0000-0000-00008D310000}"/>
    <cellStyle name="40% - Accent2 10 3 5 3 2" xfId="49171" xr:uid="{977EF684-C3A5-4334-BA0F-0BC13DB5E3F0}"/>
    <cellStyle name="40% - Accent2 10 3 5 4" xfId="33294" xr:uid="{74543CDF-1AEC-40E8-B83B-AD1154EC3631}"/>
    <cellStyle name="40% - Accent2 10 3 6" xfId="10333" xr:uid="{00000000-0005-0000-0000-00008E310000}"/>
    <cellStyle name="40% - Accent2 10 3 6 2" xfId="34182" xr:uid="{CBA23BF3-A551-4AA5-880B-0AE4A6314946}"/>
    <cellStyle name="40% - Accent2 10 3 7" xfId="18288" xr:uid="{00000000-0005-0000-0000-00008F310000}"/>
    <cellStyle name="40% - Accent2 10 3 7 2" xfId="42120" xr:uid="{D0B9C5E5-2EBF-494A-9182-AF8EBBA25BD3}"/>
    <cellStyle name="40% - Accent2 10 3 8" xfId="26240" xr:uid="{DFACBAAE-49E0-417C-AC01-9167B934CC0D}"/>
    <cellStyle name="40% - Accent2 10 3_Exh G" xfId="2814" xr:uid="{00000000-0005-0000-0000-000090310000}"/>
    <cellStyle name="40% - Accent2 10 4" xfId="946" xr:uid="{00000000-0005-0000-0000-000091310000}"/>
    <cellStyle name="40% - Accent2 10 5" xfId="1410" xr:uid="{00000000-0005-0000-0000-000092310000}"/>
    <cellStyle name="40% - Accent2 10 5 2" xfId="4940" xr:uid="{00000000-0005-0000-0000-000093310000}"/>
    <cellStyle name="40% - Accent2 10 5 2 2" xfId="8531" xr:uid="{00000000-0005-0000-0000-000094310000}"/>
    <cellStyle name="40% - Accent2 10 5 2 2 2" xfId="16502" xr:uid="{00000000-0005-0000-0000-000095310000}"/>
    <cellStyle name="40% - Accent2 10 5 2 2 2 2" xfId="40344" xr:uid="{352DE82A-FBFC-496E-A111-B05ABCF0B945}"/>
    <cellStyle name="40% - Accent2 10 5 2 2 3" xfId="24448" xr:uid="{00000000-0005-0000-0000-000096310000}"/>
    <cellStyle name="40% - Accent2 10 5 2 2 3 2" xfId="48280" xr:uid="{9F2818E5-2C42-43AF-A178-3F55B1BB2C6C}"/>
    <cellStyle name="40% - Accent2 10 5 2 2 4" xfId="32403" xr:uid="{F41046BF-D3A9-4C62-A79A-824318C4AEF2}"/>
    <cellStyle name="40% - Accent2 10 5 2 3" xfId="12964" xr:uid="{00000000-0005-0000-0000-000097310000}"/>
    <cellStyle name="40% - Accent2 10 5 2 3 2" xfId="36813" xr:uid="{3777F400-AF31-42FC-A85F-8CB63823B5B7}"/>
    <cellStyle name="40% - Accent2 10 5 2 4" xfId="20919" xr:uid="{00000000-0005-0000-0000-000098310000}"/>
    <cellStyle name="40% - Accent2 10 5 2 4 2" xfId="44751" xr:uid="{6C8F7814-F420-477E-B6A3-4705CE0272FC}"/>
    <cellStyle name="40% - Accent2 10 5 2 5" xfId="28872" xr:uid="{4083307F-7461-4281-93C0-781CCA33AA84}"/>
    <cellStyle name="40% - Accent2 10 5 3" xfId="6772" xr:uid="{00000000-0005-0000-0000-000099310000}"/>
    <cellStyle name="40% - Accent2 10 5 3 2" xfId="14744" xr:uid="{00000000-0005-0000-0000-00009A310000}"/>
    <cellStyle name="40% - Accent2 10 5 3 2 2" xfId="38586" xr:uid="{3741C42D-55C3-4A89-9374-0424A886EEAA}"/>
    <cellStyle name="40% - Accent2 10 5 3 3" xfId="22691" xr:uid="{00000000-0005-0000-0000-00009B310000}"/>
    <cellStyle name="40% - Accent2 10 5 3 3 2" xfId="46523" xr:uid="{469D2C3E-77CA-484E-B7C1-CA2CCE5084EC}"/>
    <cellStyle name="40% - Accent2 10 5 3 4" xfId="30645" xr:uid="{9844BD06-7374-434A-B855-BA6676A868F9}"/>
    <cellStyle name="40% - Accent2 10 5 4" xfId="11208" xr:uid="{00000000-0005-0000-0000-00009C310000}"/>
    <cellStyle name="40% - Accent2 10 5 4 2" xfId="35057" xr:uid="{3D8B5BAC-B8D4-464E-8988-8C8688480B97}"/>
    <cellStyle name="40% - Accent2 10 5 5" xfId="19163" xr:uid="{00000000-0005-0000-0000-00009D310000}"/>
    <cellStyle name="40% - Accent2 10 5 5 2" xfId="42995" xr:uid="{D7C378E0-37E5-4996-8552-730D1337F87A}"/>
    <cellStyle name="40% - Accent2 10 5 6" xfId="27115" xr:uid="{767F17A6-8D33-4EA3-BAFC-4AF211314358}"/>
    <cellStyle name="40% - Accent2 10 5_Exh G" xfId="2816" xr:uid="{00000000-0005-0000-0000-00009E310000}"/>
    <cellStyle name="40% - Accent2 10 6" xfId="4061" xr:uid="{00000000-0005-0000-0000-00009F310000}"/>
    <cellStyle name="40% - Accent2 10 6 2" xfId="7653" xr:uid="{00000000-0005-0000-0000-0000A0310000}"/>
    <cellStyle name="40% - Accent2 10 6 2 2" xfId="15624" xr:uid="{00000000-0005-0000-0000-0000A1310000}"/>
    <cellStyle name="40% - Accent2 10 6 2 2 2" xfId="39466" xr:uid="{48DF5E7B-A8B5-48F7-A698-7A89F0FAE74F}"/>
    <cellStyle name="40% - Accent2 10 6 2 3" xfId="23570" xr:uid="{00000000-0005-0000-0000-0000A2310000}"/>
    <cellStyle name="40% - Accent2 10 6 2 3 2" xfId="47402" xr:uid="{2ACAD3B0-1826-4C47-97CC-565A4F3DED3F}"/>
    <cellStyle name="40% - Accent2 10 6 2 4" xfId="31525" xr:uid="{858721C8-AF63-4FE8-A636-600ED6AD0120}"/>
    <cellStyle name="40% - Accent2 10 6 3" xfId="12086" xr:uid="{00000000-0005-0000-0000-0000A3310000}"/>
    <cellStyle name="40% - Accent2 10 6 3 2" xfId="35935" xr:uid="{072FAEB5-1AB4-4A91-9B07-569651013465}"/>
    <cellStyle name="40% - Accent2 10 6 4" xfId="20041" xr:uid="{00000000-0005-0000-0000-0000A4310000}"/>
    <cellStyle name="40% - Accent2 10 6 4 2" xfId="43873" xr:uid="{62A75978-2D53-45C6-BF4C-16F28CAE4B3E}"/>
    <cellStyle name="40% - Accent2 10 6 5" xfId="27994" xr:uid="{02A7EF8A-974F-4CCA-9747-DAC7D4B6083F}"/>
    <cellStyle name="40% - Accent2 10 7" xfId="5881" xr:uid="{00000000-0005-0000-0000-0000A5310000}"/>
    <cellStyle name="40% - Accent2 10 7 2" xfId="13865" xr:uid="{00000000-0005-0000-0000-0000A6310000}"/>
    <cellStyle name="40% - Accent2 10 7 2 2" xfId="37708" xr:uid="{9330B93A-7DE4-45E5-909C-C68E3BAB8F18}"/>
    <cellStyle name="40% - Accent2 10 7 3" xfId="21813" xr:uid="{00000000-0005-0000-0000-0000A7310000}"/>
    <cellStyle name="40% - Accent2 10 7 3 2" xfId="45645" xr:uid="{7AEBBDFE-D415-4641-85C8-599802B89E99}"/>
    <cellStyle name="40% - Accent2 10 7 4" xfId="29767" xr:uid="{B7CAD412-DEB7-434C-B686-ADE61E605ED2}"/>
    <cellStyle name="40% - Accent2 10 8" xfId="9434" xr:uid="{00000000-0005-0000-0000-0000A8310000}"/>
    <cellStyle name="40% - Accent2 10 8 2" xfId="17392" xr:uid="{00000000-0005-0000-0000-0000A9310000}"/>
    <cellStyle name="40% - Accent2 10 8 2 2" xfId="41232" xr:uid="{DB7B518A-6300-4778-93B3-5E5C3158B781}"/>
    <cellStyle name="40% - Accent2 10 8 3" xfId="25336" xr:uid="{00000000-0005-0000-0000-0000AA310000}"/>
    <cellStyle name="40% - Accent2 10 8 3 2" xfId="49168" xr:uid="{E4E6574E-0D0E-4C2A-8C77-8626E29D3197}"/>
    <cellStyle name="40% - Accent2 10 8 4" xfId="33291" xr:uid="{A3EA0B45-4090-44F8-803F-AB1575D9D620}"/>
    <cellStyle name="40% - Accent2 10 9" xfId="10330" xr:uid="{00000000-0005-0000-0000-0000AB310000}"/>
    <cellStyle name="40% - Accent2 10 9 2" xfId="34179" xr:uid="{2CE6DBDA-11A4-430F-9937-89F38EBF64BB}"/>
    <cellStyle name="40% - Accent2 10_Exh G" xfId="2809" xr:uid="{00000000-0005-0000-0000-0000AC310000}"/>
    <cellStyle name="40% - Accent2 11" xfId="386" xr:uid="{00000000-0005-0000-0000-0000AD310000}"/>
    <cellStyle name="40% - Accent2 11 10" xfId="26241" xr:uid="{16E2BEE0-1061-4A81-92A6-F90EAB348A5E}"/>
    <cellStyle name="40% - Accent2 11 2" xfId="387" xr:uid="{00000000-0005-0000-0000-0000AE310000}"/>
    <cellStyle name="40% - Accent2 11 2 2" xfId="388" xr:uid="{00000000-0005-0000-0000-0000AF310000}"/>
    <cellStyle name="40% - Accent2 11 2 2 2" xfId="1416" xr:uid="{00000000-0005-0000-0000-0000B0310000}"/>
    <cellStyle name="40% - Accent2 11 2 2 2 2" xfId="4946" xr:uid="{00000000-0005-0000-0000-0000B1310000}"/>
    <cellStyle name="40% - Accent2 11 2 2 2 2 2" xfId="8537" xr:uid="{00000000-0005-0000-0000-0000B2310000}"/>
    <cellStyle name="40% - Accent2 11 2 2 2 2 2 2" xfId="16508" xr:uid="{00000000-0005-0000-0000-0000B3310000}"/>
    <cellStyle name="40% - Accent2 11 2 2 2 2 2 2 2" xfId="40350" xr:uid="{9802817C-64DD-4D44-B2AC-5CD2AF93EFF7}"/>
    <cellStyle name="40% - Accent2 11 2 2 2 2 2 3" xfId="24454" xr:uid="{00000000-0005-0000-0000-0000B4310000}"/>
    <cellStyle name="40% - Accent2 11 2 2 2 2 2 3 2" xfId="48286" xr:uid="{097C8A67-5077-46A4-91B7-DC78BBDB75B6}"/>
    <cellStyle name="40% - Accent2 11 2 2 2 2 2 4" xfId="32409" xr:uid="{40B8ECD9-D16E-4475-A277-C4EA17045FA6}"/>
    <cellStyle name="40% - Accent2 11 2 2 2 2 3" xfId="12970" xr:uid="{00000000-0005-0000-0000-0000B5310000}"/>
    <cellStyle name="40% - Accent2 11 2 2 2 2 3 2" xfId="36819" xr:uid="{B758E30E-5006-49F8-8010-84FAA551D651}"/>
    <cellStyle name="40% - Accent2 11 2 2 2 2 4" xfId="20925" xr:uid="{00000000-0005-0000-0000-0000B6310000}"/>
    <cellStyle name="40% - Accent2 11 2 2 2 2 4 2" xfId="44757" xr:uid="{99E1D6CA-CFCA-4D37-BD6C-540B3FD4B939}"/>
    <cellStyle name="40% - Accent2 11 2 2 2 2 5" xfId="28878" xr:uid="{F1CA7C07-032F-415A-B1B0-A7A6825B8D17}"/>
    <cellStyle name="40% - Accent2 11 2 2 2 3" xfId="6778" xr:uid="{00000000-0005-0000-0000-0000B7310000}"/>
    <cellStyle name="40% - Accent2 11 2 2 2 3 2" xfId="14750" xr:uid="{00000000-0005-0000-0000-0000B8310000}"/>
    <cellStyle name="40% - Accent2 11 2 2 2 3 2 2" xfId="38592" xr:uid="{1DB30A6B-7064-427F-89D9-CFE4A6117B82}"/>
    <cellStyle name="40% - Accent2 11 2 2 2 3 3" xfId="22697" xr:uid="{00000000-0005-0000-0000-0000B9310000}"/>
    <cellStyle name="40% - Accent2 11 2 2 2 3 3 2" xfId="46529" xr:uid="{843745F1-4E49-4061-A8EC-CCF894972F41}"/>
    <cellStyle name="40% - Accent2 11 2 2 2 3 4" xfId="30651" xr:uid="{9C50C980-5694-4DA0-9310-39E669436D6F}"/>
    <cellStyle name="40% - Accent2 11 2 2 2 4" xfId="11214" xr:uid="{00000000-0005-0000-0000-0000BA310000}"/>
    <cellStyle name="40% - Accent2 11 2 2 2 4 2" xfId="35063" xr:uid="{F86C7F67-0529-49F1-B7D0-A2D088008111}"/>
    <cellStyle name="40% - Accent2 11 2 2 2 5" xfId="19169" xr:uid="{00000000-0005-0000-0000-0000BB310000}"/>
    <cellStyle name="40% - Accent2 11 2 2 2 5 2" xfId="43001" xr:uid="{3467256D-6072-41D2-9737-01B655A9B8AE}"/>
    <cellStyle name="40% - Accent2 11 2 2 2 6" xfId="27121" xr:uid="{C02A2FD8-3CAB-4A03-BEEC-9F0E2938FA4F}"/>
    <cellStyle name="40% - Accent2 11 2 2 2_Exh G" xfId="2820" xr:uid="{00000000-0005-0000-0000-0000BC310000}"/>
    <cellStyle name="40% - Accent2 11 2 2 3" xfId="4067" xr:uid="{00000000-0005-0000-0000-0000BD310000}"/>
    <cellStyle name="40% - Accent2 11 2 2 3 2" xfId="7659" xr:uid="{00000000-0005-0000-0000-0000BE310000}"/>
    <cellStyle name="40% - Accent2 11 2 2 3 2 2" xfId="15630" xr:uid="{00000000-0005-0000-0000-0000BF310000}"/>
    <cellStyle name="40% - Accent2 11 2 2 3 2 2 2" xfId="39472" xr:uid="{E363F9FB-B1C0-434D-B1BC-7DD38BFA2FBE}"/>
    <cellStyle name="40% - Accent2 11 2 2 3 2 3" xfId="23576" xr:uid="{00000000-0005-0000-0000-0000C0310000}"/>
    <cellStyle name="40% - Accent2 11 2 2 3 2 3 2" xfId="47408" xr:uid="{00C06BC2-F64F-4FF1-9108-27426AADBC3F}"/>
    <cellStyle name="40% - Accent2 11 2 2 3 2 4" xfId="31531" xr:uid="{328B9C1C-A52D-4224-845D-F727E272E076}"/>
    <cellStyle name="40% - Accent2 11 2 2 3 3" xfId="12092" xr:uid="{00000000-0005-0000-0000-0000C1310000}"/>
    <cellStyle name="40% - Accent2 11 2 2 3 3 2" xfId="35941" xr:uid="{C40C90EA-8565-4A3E-AABA-EC792817606B}"/>
    <cellStyle name="40% - Accent2 11 2 2 3 4" xfId="20047" xr:uid="{00000000-0005-0000-0000-0000C2310000}"/>
    <cellStyle name="40% - Accent2 11 2 2 3 4 2" xfId="43879" xr:uid="{4ADBD945-DEE7-4C2D-96DB-8B03E1D48771}"/>
    <cellStyle name="40% - Accent2 11 2 2 3 5" xfId="28000" xr:uid="{A2BBAD42-124C-4E19-8616-7FDC119E0E2B}"/>
    <cellStyle name="40% - Accent2 11 2 2 4" xfId="5887" xr:uid="{00000000-0005-0000-0000-0000C3310000}"/>
    <cellStyle name="40% - Accent2 11 2 2 4 2" xfId="13871" xr:uid="{00000000-0005-0000-0000-0000C4310000}"/>
    <cellStyle name="40% - Accent2 11 2 2 4 2 2" xfId="37714" xr:uid="{3065D7AA-0273-4779-838A-E25205DD1936}"/>
    <cellStyle name="40% - Accent2 11 2 2 4 3" xfId="21819" xr:uid="{00000000-0005-0000-0000-0000C5310000}"/>
    <cellStyle name="40% - Accent2 11 2 2 4 3 2" xfId="45651" xr:uid="{DCAF9348-8F27-477D-9F1E-560679E6B8FF}"/>
    <cellStyle name="40% - Accent2 11 2 2 4 4" xfId="29773" xr:uid="{13787FF9-AC58-4666-9E49-D5DA23622E8C}"/>
    <cellStyle name="40% - Accent2 11 2 2 5" xfId="9440" xr:uid="{00000000-0005-0000-0000-0000C6310000}"/>
    <cellStyle name="40% - Accent2 11 2 2 5 2" xfId="17398" xr:uid="{00000000-0005-0000-0000-0000C7310000}"/>
    <cellStyle name="40% - Accent2 11 2 2 5 2 2" xfId="41238" xr:uid="{0C2042EB-A0EA-4141-A1B3-8A12C150CD66}"/>
    <cellStyle name="40% - Accent2 11 2 2 5 3" xfId="25342" xr:uid="{00000000-0005-0000-0000-0000C8310000}"/>
    <cellStyle name="40% - Accent2 11 2 2 5 3 2" xfId="49174" xr:uid="{D9DA5F06-49F5-40C3-A74F-CA203D58BBC9}"/>
    <cellStyle name="40% - Accent2 11 2 2 5 4" xfId="33297" xr:uid="{6B36A17D-1A3B-4C0B-AF8F-0549FFEB2211}"/>
    <cellStyle name="40% - Accent2 11 2 2 6" xfId="10336" xr:uid="{00000000-0005-0000-0000-0000C9310000}"/>
    <cellStyle name="40% - Accent2 11 2 2 6 2" xfId="34185" xr:uid="{DAA7AD96-CEAD-4D83-A283-2393BE360D8D}"/>
    <cellStyle name="40% - Accent2 11 2 2 7" xfId="18291" xr:uid="{00000000-0005-0000-0000-0000CA310000}"/>
    <cellStyle name="40% - Accent2 11 2 2 7 2" xfId="42123" xr:uid="{CDA1E0BC-B53F-4E3A-B3E3-AA1A0CC2B5E1}"/>
    <cellStyle name="40% - Accent2 11 2 2 8" xfId="26243" xr:uid="{6FA2FC99-042A-475F-AD9B-633227B39A5D}"/>
    <cellStyle name="40% - Accent2 11 2 2_Exh G" xfId="2819" xr:uid="{00000000-0005-0000-0000-0000CB310000}"/>
    <cellStyle name="40% - Accent2 11 2 3" xfId="1415" xr:uid="{00000000-0005-0000-0000-0000CC310000}"/>
    <cellStyle name="40% - Accent2 11 2 3 2" xfId="4945" xr:uid="{00000000-0005-0000-0000-0000CD310000}"/>
    <cellStyle name="40% - Accent2 11 2 3 2 2" xfId="8536" xr:uid="{00000000-0005-0000-0000-0000CE310000}"/>
    <cellStyle name="40% - Accent2 11 2 3 2 2 2" xfId="16507" xr:uid="{00000000-0005-0000-0000-0000CF310000}"/>
    <cellStyle name="40% - Accent2 11 2 3 2 2 2 2" xfId="40349" xr:uid="{CB6D1DF2-BC38-4DCA-83EE-34615E129B11}"/>
    <cellStyle name="40% - Accent2 11 2 3 2 2 3" xfId="24453" xr:uid="{00000000-0005-0000-0000-0000D0310000}"/>
    <cellStyle name="40% - Accent2 11 2 3 2 2 3 2" xfId="48285" xr:uid="{F669FB85-B767-49DA-8BC4-E68BC1B1C16E}"/>
    <cellStyle name="40% - Accent2 11 2 3 2 2 4" xfId="32408" xr:uid="{EE1B7800-901E-421D-926B-2D68F92E67F3}"/>
    <cellStyle name="40% - Accent2 11 2 3 2 3" xfId="12969" xr:uid="{00000000-0005-0000-0000-0000D1310000}"/>
    <cellStyle name="40% - Accent2 11 2 3 2 3 2" xfId="36818" xr:uid="{16A27FCB-A3B7-4251-B0F7-850F3C42D1AA}"/>
    <cellStyle name="40% - Accent2 11 2 3 2 4" xfId="20924" xr:uid="{00000000-0005-0000-0000-0000D2310000}"/>
    <cellStyle name="40% - Accent2 11 2 3 2 4 2" xfId="44756" xr:uid="{F946BC50-7B25-4166-A655-EF03A45F51EF}"/>
    <cellStyle name="40% - Accent2 11 2 3 2 5" xfId="28877" xr:uid="{2D515C5A-DD1F-432E-B06B-2E700E71A4FE}"/>
    <cellStyle name="40% - Accent2 11 2 3 3" xfId="6777" xr:uid="{00000000-0005-0000-0000-0000D3310000}"/>
    <cellStyle name="40% - Accent2 11 2 3 3 2" xfId="14749" xr:uid="{00000000-0005-0000-0000-0000D4310000}"/>
    <cellStyle name="40% - Accent2 11 2 3 3 2 2" xfId="38591" xr:uid="{DDD0BA77-E3BE-42B3-9218-E5750FF303B9}"/>
    <cellStyle name="40% - Accent2 11 2 3 3 3" xfId="22696" xr:uid="{00000000-0005-0000-0000-0000D5310000}"/>
    <cellStyle name="40% - Accent2 11 2 3 3 3 2" xfId="46528" xr:uid="{E039901B-AA53-4CD8-BA7B-68763F3AA1A0}"/>
    <cellStyle name="40% - Accent2 11 2 3 3 4" xfId="30650" xr:uid="{3073875A-110D-4AB0-BB3C-40AE791E146E}"/>
    <cellStyle name="40% - Accent2 11 2 3 4" xfId="11213" xr:uid="{00000000-0005-0000-0000-0000D6310000}"/>
    <cellStyle name="40% - Accent2 11 2 3 4 2" xfId="35062" xr:uid="{30C55099-096C-4DCF-BBDE-7A97133D256D}"/>
    <cellStyle name="40% - Accent2 11 2 3 5" xfId="19168" xr:uid="{00000000-0005-0000-0000-0000D7310000}"/>
    <cellStyle name="40% - Accent2 11 2 3 5 2" xfId="43000" xr:uid="{A18107D8-D576-418F-9D04-0781DED80310}"/>
    <cellStyle name="40% - Accent2 11 2 3 6" xfId="27120" xr:uid="{F843BB27-CE9C-4D16-A853-655513B7597B}"/>
    <cellStyle name="40% - Accent2 11 2 3_Exh G" xfId="2821" xr:uid="{00000000-0005-0000-0000-0000D8310000}"/>
    <cellStyle name="40% - Accent2 11 2 4" xfId="4066" xr:uid="{00000000-0005-0000-0000-0000D9310000}"/>
    <cellStyle name="40% - Accent2 11 2 4 2" xfId="7658" xr:uid="{00000000-0005-0000-0000-0000DA310000}"/>
    <cellStyle name="40% - Accent2 11 2 4 2 2" xfId="15629" xr:uid="{00000000-0005-0000-0000-0000DB310000}"/>
    <cellStyle name="40% - Accent2 11 2 4 2 2 2" xfId="39471" xr:uid="{E2F8B5A3-CF11-433D-95E1-55D0DE3EB61A}"/>
    <cellStyle name="40% - Accent2 11 2 4 2 3" xfId="23575" xr:uid="{00000000-0005-0000-0000-0000DC310000}"/>
    <cellStyle name="40% - Accent2 11 2 4 2 3 2" xfId="47407" xr:uid="{76E415C5-28E9-40C1-AF1A-953715516F22}"/>
    <cellStyle name="40% - Accent2 11 2 4 2 4" xfId="31530" xr:uid="{5A36C1F0-C1FD-4AE0-9766-B966666A7457}"/>
    <cellStyle name="40% - Accent2 11 2 4 3" xfId="12091" xr:uid="{00000000-0005-0000-0000-0000DD310000}"/>
    <cellStyle name="40% - Accent2 11 2 4 3 2" xfId="35940" xr:uid="{96BCEF71-A485-4C04-8BF4-F9352B1305EF}"/>
    <cellStyle name="40% - Accent2 11 2 4 4" xfId="20046" xr:uid="{00000000-0005-0000-0000-0000DE310000}"/>
    <cellStyle name="40% - Accent2 11 2 4 4 2" xfId="43878" xr:uid="{0390E031-4014-435D-A67E-54F0754CB072}"/>
    <cellStyle name="40% - Accent2 11 2 4 5" xfId="27999" xr:uid="{7BBE5554-E78C-4988-A309-0A42C4C8001A}"/>
    <cellStyle name="40% - Accent2 11 2 5" xfId="5886" xr:uid="{00000000-0005-0000-0000-0000DF310000}"/>
    <cellStyle name="40% - Accent2 11 2 5 2" xfId="13870" xr:uid="{00000000-0005-0000-0000-0000E0310000}"/>
    <cellStyle name="40% - Accent2 11 2 5 2 2" xfId="37713" xr:uid="{347004D6-B8A6-4F0F-9AEB-EE1936637C16}"/>
    <cellStyle name="40% - Accent2 11 2 5 3" xfId="21818" xr:uid="{00000000-0005-0000-0000-0000E1310000}"/>
    <cellStyle name="40% - Accent2 11 2 5 3 2" xfId="45650" xr:uid="{75C0C64C-B4B7-4C57-9C31-3CAC3A6D4421}"/>
    <cellStyle name="40% - Accent2 11 2 5 4" xfId="29772" xr:uid="{FE4303C3-81CE-407B-ACB8-341DC0A3572D}"/>
    <cellStyle name="40% - Accent2 11 2 6" xfId="9439" xr:uid="{00000000-0005-0000-0000-0000E2310000}"/>
    <cellStyle name="40% - Accent2 11 2 6 2" xfId="17397" xr:uid="{00000000-0005-0000-0000-0000E3310000}"/>
    <cellStyle name="40% - Accent2 11 2 6 2 2" xfId="41237" xr:uid="{175E76D9-1EB3-4596-BD46-CB8DEDF16BD1}"/>
    <cellStyle name="40% - Accent2 11 2 6 3" xfId="25341" xr:uid="{00000000-0005-0000-0000-0000E4310000}"/>
    <cellStyle name="40% - Accent2 11 2 6 3 2" xfId="49173" xr:uid="{553A28CD-A0C2-4635-840F-881B9A6CE529}"/>
    <cellStyle name="40% - Accent2 11 2 6 4" xfId="33296" xr:uid="{E05EC1DC-F195-4C0A-BC4F-DF9F9A50D41D}"/>
    <cellStyle name="40% - Accent2 11 2 7" xfId="10335" xr:uid="{00000000-0005-0000-0000-0000E5310000}"/>
    <cellStyle name="40% - Accent2 11 2 7 2" xfId="34184" xr:uid="{FABB62EA-3755-4E62-9F95-0FE83DCF2E3B}"/>
    <cellStyle name="40% - Accent2 11 2 8" xfId="18290" xr:uid="{00000000-0005-0000-0000-0000E6310000}"/>
    <cellStyle name="40% - Accent2 11 2 8 2" xfId="42122" xr:uid="{CF42698B-CB61-412F-9B02-B63B5F6A0F3B}"/>
    <cellStyle name="40% - Accent2 11 2 9" xfId="26242" xr:uid="{D059AACE-477F-4F99-AB77-1B43ECE873EF}"/>
    <cellStyle name="40% - Accent2 11 2_Exh G" xfId="2818" xr:uid="{00000000-0005-0000-0000-0000E7310000}"/>
    <cellStyle name="40% - Accent2 11 3" xfId="389" xr:uid="{00000000-0005-0000-0000-0000E8310000}"/>
    <cellStyle name="40% - Accent2 11 3 2" xfId="1417" xr:uid="{00000000-0005-0000-0000-0000E9310000}"/>
    <cellStyle name="40% - Accent2 11 3 2 2" xfId="4947" xr:uid="{00000000-0005-0000-0000-0000EA310000}"/>
    <cellStyle name="40% - Accent2 11 3 2 2 2" xfId="8538" xr:uid="{00000000-0005-0000-0000-0000EB310000}"/>
    <cellStyle name="40% - Accent2 11 3 2 2 2 2" xfId="16509" xr:uid="{00000000-0005-0000-0000-0000EC310000}"/>
    <cellStyle name="40% - Accent2 11 3 2 2 2 2 2" xfId="40351" xr:uid="{581E8C7C-19D6-4FE4-9E16-400A40B3C1BA}"/>
    <cellStyle name="40% - Accent2 11 3 2 2 2 3" xfId="24455" xr:uid="{00000000-0005-0000-0000-0000ED310000}"/>
    <cellStyle name="40% - Accent2 11 3 2 2 2 3 2" xfId="48287" xr:uid="{B5D0842B-EDF2-4766-84A7-96F192B42745}"/>
    <cellStyle name="40% - Accent2 11 3 2 2 2 4" xfId="32410" xr:uid="{5E72FDDD-C8BC-434B-9811-40AF93F4F06D}"/>
    <cellStyle name="40% - Accent2 11 3 2 2 3" xfId="12971" xr:uid="{00000000-0005-0000-0000-0000EE310000}"/>
    <cellStyle name="40% - Accent2 11 3 2 2 3 2" xfId="36820" xr:uid="{C3CD1716-D1E5-4723-A6F6-3BE52AC8B35C}"/>
    <cellStyle name="40% - Accent2 11 3 2 2 4" xfId="20926" xr:uid="{00000000-0005-0000-0000-0000EF310000}"/>
    <cellStyle name="40% - Accent2 11 3 2 2 4 2" xfId="44758" xr:uid="{1D62B50C-E3AF-463B-A39F-7210EC3556C1}"/>
    <cellStyle name="40% - Accent2 11 3 2 2 5" xfId="28879" xr:uid="{0F64E554-3EE1-448F-9364-9434FF4E5F0C}"/>
    <cellStyle name="40% - Accent2 11 3 2 3" xfId="6779" xr:uid="{00000000-0005-0000-0000-0000F0310000}"/>
    <cellStyle name="40% - Accent2 11 3 2 3 2" xfId="14751" xr:uid="{00000000-0005-0000-0000-0000F1310000}"/>
    <cellStyle name="40% - Accent2 11 3 2 3 2 2" xfId="38593" xr:uid="{87E9B55B-F6E4-454F-B49E-A6F7D33CA0C6}"/>
    <cellStyle name="40% - Accent2 11 3 2 3 3" xfId="22698" xr:uid="{00000000-0005-0000-0000-0000F2310000}"/>
    <cellStyle name="40% - Accent2 11 3 2 3 3 2" xfId="46530" xr:uid="{C0876B93-E1D4-4348-9316-EA47A7CF97E3}"/>
    <cellStyle name="40% - Accent2 11 3 2 3 4" xfId="30652" xr:uid="{37703C80-9EF8-407F-AA46-CFCC390CA8BD}"/>
    <cellStyle name="40% - Accent2 11 3 2 4" xfId="11215" xr:uid="{00000000-0005-0000-0000-0000F3310000}"/>
    <cellStyle name="40% - Accent2 11 3 2 4 2" xfId="35064" xr:uid="{2878D6DF-933F-4E1B-821C-B564E604487F}"/>
    <cellStyle name="40% - Accent2 11 3 2 5" xfId="19170" xr:uid="{00000000-0005-0000-0000-0000F4310000}"/>
    <cellStyle name="40% - Accent2 11 3 2 5 2" xfId="43002" xr:uid="{56B86E12-39D8-499E-98FC-929BDC5EC6EB}"/>
    <cellStyle name="40% - Accent2 11 3 2 6" xfId="27122" xr:uid="{AEAE8AAB-3C1F-405F-9B59-9CAB3A25D288}"/>
    <cellStyle name="40% - Accent2 11 3 2_Exh G" xfId="2823" xr:uid="{00000000-0005-0000-0000-0000F5310000}"/>
    <cellStyle name="40% - Accent2 11 3 3" xfId="4068" xr:uid="{00000000-0005-0000-0000-0000F6310000}"/>
    <cellStyle name="40% - Accent2 11 3 3 2" xfId="7660" xr:uid="{00000000-0005-0000-0000-0000F7310000}"/>
    <cellStyle name="40% - Accent2 11 3 3 2 2" xfId="15631" xr:uid="{00000000-0005-0000-0000-0000F8310000}"/>
    <cellStyle name="40% - Accent2 11 3 3 2 2 2" xfId="39473" xr:uid="{92214C04-9431-4393-A8E0-7BD1EF7D8DF2}"/>
    <cellStyle name="40% - Accent2 11 3 3 2 3" xfId="23577" xr:uid="{00000000-0005-0000-0000-0000F9310000}"/>
    <cellStyle name="40% - Accent2 11 3 3 2 3 2" xfId="47409" xr:uid="{4AF1B704-65A2-476D-BA9B-5022D5FA17CD}"/>
    <cellStyle name="40% - Accent2 11 3 3 2 4" xfId="31532" xr:uid="{A705D0B8-8DE1-47A9-935A-906F8A2072FA}"/>
    <cellStyle name="40% - Accent2 11 3 3 3" xfId="12093" xr:uid="{00000000-0005-0000-0000-0000FA310000}"/>
    <cellStyle name="40% - Accent2 11 3 3 3 2" xfId="35942" xr:uid="{C625CC45-63D1-4F8A-9DBC-B9EDADBA2CEB}"/>
    <cellStyle name="40% - Accent2 11 3 3 4" xfId="20048" xr:uid="{00000000-0005-0000-0000-0000FB310000}"/>
    <cellStyle name="40% - Accent2 11 3 3 4 2" xfId="43880" xr:uid="{DC0D312E-3ACE-4B49-95B4-F896AD1917E2}"/>
    <cellStyle name="40% - Accent2 11 3 3 5" xfId="28001" xr:uid="{C50E5219-9C68-4E75-86FF-B2AE9D29B4F2}"/>
    <cellStyle name="40% - Accent2 11 3 4" xfId="5888" xr:uid="{00000000-0005-0000-0000-0000FC310000}"/>
    <cellStyle name="40% - Accent2 11 3 4 2" xfId="13872" xr:uid="{00000000-0005-0000-0000-0000FD310000}"/>
    <cellStyle name="40% - Accent2 11 3 4 2 2" xfId="37715" xr:uid="{21487056-E182-4365-818A-091B2A3ACA99}"/>
    <cellStyle name="40% - Accent2 11 3 4 3" xfId="21820" xr:uid="{00000000-0005-0000-0000-0000FE310000}"/>
    <cellStyle name="40% - Accent2 11 3 4 3 2" xfId="45652" xr:uid="{AE6EE265-58DE-411C-8F1D-CCA2FA1AF7CE}"/>
    <cellStyle name="40% - Accent2 11 3 4 4" xfId="29774" xr:uid="{429AA3F0-72B5-4171-A950-16E1B1CA9DA1}"/>
    <cellStyle name="40% - Accent2 11 3 5" xfId="9441" xr:uid="{00000000-0005-0000-0000-0000FF310000}"/>
    <cellStyle name="40% - Accent2 11 3 5 2" xfId="17399" xr:uid="{00000000-0005-0000-0000-000000320000}"/>
    <cellStyle name="40% - Accent2 11 3 5 2 2" xfId="41239" xr:uid="{8771FE24-BD6E-4ECB-B3C9-86F8A41A051B}"/>
    <cellStyle name="40% - Accent2 11 3 5 3" xfId="25343" xr:uid="{00000000-0005-0000-0000-000001320000}"/>
    <cellStyle name="40% - Accent2 11 3 5 3 2" xfId="49175" xr:uid="{2DACDB6C-029F-4A3D-A655-AFD5BAD2364B}"/>
    <cellStyle name="40% - Accent2 11 3 5 4" xfId="33298" xr:uid="{FFE95CA2-482C-495C-851D-32E58BC5B6C7}"/>
    <cellStyle name="40% - Accent2 11 3 6" xfId="10337" xr:uid="{00000000-0005-0000-0000-000002320000}"/>
    <cellStyle name="40% - Accent2 11 3 6 2" xfId="34186" xr:uid="{A6DF0347-6B3A-44AE-B08C-3970F34EAF77}"/>
    <cellStyle name="40% - Accent2 11 3 7" xfId="18292" xr:uid="{00000000-0005-0000-0000-000003320000}"/>
    <cellStyle name="40% - Accent2 11 3 7 2" xfId="42124" xr:uid="{22622000-6276-455B-ACCD-38559E0452A7}"/>
    <cellStyle name="40% - Accent2 11 3 8" xfId="26244" xr:uid="{4CE5457A-EA56-4E7D-A9ED-37A514086922}"/>
    <cellStyle name="40% - Accent2 11 3_Exh G" xfId="2822" xr:uid="{00000000-0005-0000-0000-000004320000}"/>
    <cellStyle name="40% - Accent2 11 4" xfId="1414" xr:uid="{00000000-0005-0000-0000-000005320000}"/>
    <cellStyle name="40% - Accent2 11 4 2" xfId="4944" xr:uid="{00000000-0005-0000-0000-000006320000}"/>
    <cellStyle name="40% - Accent2 11 4 2 2" xfId="8535" xr:uid="{00000000-0005-0000-0000-000007320000}"/>
    <cellStyle name="40% - Accent2 11 4 2 2 2" xfId="16506" xr:uid="{00000000-0005-0000-0000-000008320000}"/>
    <cellStyle name="40% - Accent2 11 4 2 2 2 2" xfId="40348" xr:uid="{DEEC9DB5-F939-478A-8957-23DB349DC756}"/>
    <cellStyle name="40% - Accent2 11 4 2 2 3" xfId="24452" xr:uid="{00000000-0005-0000-0000-000009320000}"/>
    <cellStyle name="40% - Accent2 11 4 2 2 3 2" xfId="48284" xr:uid="{51625CC5-AD3D-47FB-95CB-6072890DD76C}"/>
    <cellStyle name="40% - Accent2 11 4 2 2 4" xfId="32407" xr:uid="{253832A2-0987-4392-9E6B-B6CC7E6A1DF2}"/>
    <cellStyle name="40% - Accent2 11 4 2 3" xfId="12968" xr:uid="{00000000-0005-0000-0000-00000A320000}"/>
    <cellStyle name="40% - Accent2 11 4 2 3 2" xfId="36817" xr:uid="{5398EFE0-99BE-4F2F-BDD6-3B9E11A46669}"/>
    <cellStyle name="40% - Accent2 11 4 2 4" xfId="20923" xr:uid="{00000000-0005-0000-0000-00000B320000}"/>
    <cellStyle name="40% - Accent2 11 4 2 4 2" xfId="44755" xr:uid="{9E04119F-84C5-422B-A4AC-D7FE8E905BAC}"/>
    <cellStyle name="40% - Accent2 11 4 2 5" xfId="28876" xr:uid="{05097386-B3A8-4296-A51C-A75651CFEE4D}"/>
    <cellStyle name="40% - Accent2 11 4 3" xfId="6776" xr:uid="{00000000-0005-0000-0000-00000C320000}"/>
    <cellStyle name="40% - Accent2 11 4 3 2" xfId="14748" xr:uid="{00000000-0005-0000-0000-00000D320000}"/>
    <cellStyle name="40% - Accent2 11 4 3 2 2" xfId="38590" xr:uid="{19C665C5-2EB1-4C95-97FA-826528DD120D}"/>
    <cellStyle name="40% - Accent2 11 4 3 3" xfId="22695" xr:uid="{00000000-0005-0000-0000-00000E320000}"/>
    <cellStyle name="40% - Accent2 11 4 3 3 2" xfId="46527" xr:uid="{2793263B-2C13-40FD-B30B-A8561E1FE23E}"/>
    <cellStyle name="40% - Accent2 11 4 3 4" xfId="30649" xr:uid="{B671B8B5-F7CF-4BD2-A1DC-8FDCCAA0287C}"/>
    <cellStyle name="40% - Accent2 11 4 4" xfId="11212" xr:uid="{00000000-0005-0000-0000-00000F320000}"/>
    <cellStyle name="40% - Accent2 11 4 4 2" xfId="35061" xr:uid="{FEF506D0-1697-4E8C-B49F-05ABCB82C6E4}"/>
    <cellStyle name="40% - Accent2 11 4 5" xfId="19167" xr:uid="{00000000-0005-0000-0000-000010320000}"/>
    <cellStyle name="40% - Accent2 11 4 5 2" xfId="42999" xr:uid="{EB8B5CBD-307D-415F-8C17-782D3BE57C86}"/>
    <cellStyle name="40% - Accent2 11 4 6" xfId="27119" xr:uid="{9BFAC685-C16E-49ED-86C4-629634EA9128}"/>
    <cellStyle name="40% - Accent2 11 4_Exh G" xfId="2824" xr:uid="{00000000-0005-0000-0000-000011320000}"/>
    <cellStyle name="40% - Accent2 11 5" xfId="4065" xr:uid="{00000000-0005-0000-0000-000012320000}"/>
    <cellStyle name="40% - Accent2 11 5 2" xfId="7657" xr:uid="{00000000-0005-0000-0000-000013320000}"/>
    <cellStyle name="40% - Accent2 11 5 2 2" xfId="15628" xr:uid="{00000000-0005-0000-0000-000014320000}"/>
    <cellStyle name="40% - Accent2 11 5 2 2 2" xfId="39470" xr:uid="{D628ABA2-7C45-4CD3-AED9-70449093DB8B}"/>
    <cellStyle name="40% - Accent2 11 5 2 3" xfId="23574" xr:uid="{00000000-0005-0000-0000-000015320000}"/>
    <cellStyle name="40% - Accent2 11 5 2 3 2" xfId="47406" xr:uid="{00AAB044-2272-40C9-9C64-A4CB79CC4D48}"/>
    <cellStyle name="40% - Accent2 11 5 2 4" xfId="31529" xr:uid="{39F8B2F2-A663-44B3-AE13-3AC6083CD41A}"/>
    <cellStyle name="40% - Accent2 11 5 3" xfId="12090" xr:uid="{00000000-0005-0000-0000-000016320000}"/>
    <cellStyle name="40% - Accent2 11 5 3 2" xfId="35939" xr:uid="{F3B57E7A-1CF0-4503-9B6E-388046DB68C1}"/>
    <cellStyle name="40% - Accent2 11 5 4" xfId="20045" xr:uid="{00000000-0005-0000-0000-000017320000}"/>
    <cellStyle name="40% - Accent2 11 5 4 2" xfId="43877" xr:uid="{3329C012-FE7F-4D82-B920-69DF76DA3087}"/>
    <cellStyle name="40% - Accent2 11 5 5" xfId="27998" xr:uid="{6CDCA418-C8BB-4E70-990B-E72BAD0718CF}"/>
    <cellStyle name="40% - Accent2 11 6" xfId="5885" xr:uid="{00000000-0005-0000-0000-000018320000}"/>
    <cellStyle name="40% - Accent2 11 6 2" xfId="13869" xr:uid="{00000000-0005-0000-0000-000019320000}"/>
    <cellStyle name="40% - Accent2 11 6 2 2" xfId="37712" xr:uid="{7357822F-EAAF-4F5A-BC3B-291E3719734C}"/>
    <cellStyle name="40% - Accent2 11 6 3" xfId="21817" xr:uid="{00000000-0005-0000-0000-00001A320000}"/>
    <cellStyle name="40% - Accent2 11 6 3 2" xfId="45649" xr:uid="{67DF308E-3358-4878-A909-3EBEECC3FECF}"/>
    <cellStyle name="40% - Accent2 11 6 4" xfId="29771" xr:uid="{B255CC2D-234B-42DE-A248-1B5DE184B6E8}"/>
    <cellStyle name="40% - Accent2 11 7" xfId="9438" xr:uid="{00000000-0005-0000-0000-00001B320000}"/>
    <cellStyle name="40% - Accent2 11 7 2" xfId="17396" xr:uid="{00000000-0005-0000-0000-00001C320000}"/>
    <cellStyle name="40% - Accent2 11 7 2 2" xfId="41236" xr:uid="{5281715B-4E1E-40BF-9A5C-F0E7650DBD1C}"/>
    <cellStyle name="40% - Accent2 11 7 3" xfId="25340" xr:uid="{00000000-0005-0000-0000-00001D320000}"/>
    <cellStyle name="40% - Accent2 11 7 3 2" xfId="49172" xr:uid="{4193EF48-9ED1-46BF-A4AF-33D3BC374CDB}"/>
    <cellStyle name="40% - Accent2 11 7 4" xfId="33295" xr:uid="{C3629C03-9134-4DF2-B586-F225AEA70D1B}"/>
    <cellStyle name="40% - Accent2 11 8" xfId="10334" xr:uid="{00000000-0005-0000-0000-00001E320000}"/>
    <cellStyle name="40% - Accent2 11 8 2" xfId="34183" xr:uid="{B8C75175-E614-4D5C-BDE9-7BCC4537CFD2}"/>
    <cellStyle name="40% - Accent2 11 9" xfId="18289" xr:uid="{00000000-0005-0000-0000-00001F320000}"/>
    <cellStyle name="40% - Accent2 11 9 2" xfId="42121" xr:uid="{19538466-F396-43AA-A1A5-90144F682238}"/>
    <cellStyle name="40% - Accent2 11_Exh G" xfId="2817" xr:uid="{00000000-0005-0000-0000-000020320000}"/>
    <cellStyle name="40% - Accent2 12" xfId="390" xr:uid="{00000000-0005-0000-0000-000021320000}"/>
    <cellStyle name="40% - Accent2 12 10" xfId="26245" xr:uid="{4C5935BA-76FF-453A-8C94-359AD72B2321}"/>
    <cellStyle name="40% - Accent2 12 2" xfId="391" xr:uid="{00000000-0005-0000-0000-000022320000}"/>
    <cellStyle name="40% - Accent2 12 2 2" xfId="392" xr:uid="{00000000-0005-0000-0000-000023320000}"/>
    <cellStyle name="40% - Accent2 12 2 2 2" xfId="1420" xr:uid="{00000000-0005-0000-0000-000024320000}"/>
    <cellStyle name="40% - Accent2 12 2 2 2 2" xfId="4950" xr:uid="{00000000-0005-0000-0000-000025320000}"/>
    <cellStyle name="40% - Accent2 12 2 2 2 2 2" xfId="8541" xr:uid="{00000000-0005-0000-0000-000026320000}"/>
    <cellStyle name="40% - Accent2 12 2 2 2 2 2 2" xfId="16512" xr:uid="{00000000-0005-0000-0000-000027320000}"/>
    <cellStyle name="40% - Accent2 12 2 2 2 2 2 2 2" xfId="40354" xr:uid="{DDC6C004-E092-4EEB-B98A-F143A1909353}"/>
    <cellStyle name="40% - Accent2 12 2 2 2 2 2 3" xfId="24458" xr:uid="{00000000-0005-0000-0000-000028320000}"/>
    <cellStyle name="40% - Accent2 12 2 2 2 2 2 3 2" xfId="48290" xr:uid="{A61632D7-C661-445D-8C91-AD5CEDCBCA3C}"/>
    <cellStyle name="40% - Accent2 12 2 2 2 2 2 4" xfId="32413" xr:uid="{4D1A4660-3B58-4C36-AC67-A3E0F44FA17E}"/>
    <cellStyle name="40% - Accent2 12 2 2 2 2 3" xfId="12974" xr:uid="{00000000-0005-0000-0000-000029320000}"/>
    <cellStyle name="40% - Accent2 12 2 2 2 2 3 2" xfId="36823" xr:uid="{210FD5E7-051E-4EA8-87FB-7685A3A3FAFB}"/>
    <cellStyle name="40% - Accent2 12 2 2 2 2 4" xfId="20929" xr:uid="{00000000-0005-0000-0000-00002A320000}"/>
    <cellStyle name="40% - Accent2 12 2 2 2 2 4 2" xfId="44761" xr:uid="{1EE9D665-8989-46BC-8097-E6B191E278C0}"/>
    <cellStyle name="40% - Accent2 12 2 2 2 2 5" xfId="28882" xr:uid="{762241BB-D237-4161-90C5-866E82213BF9}"/>
    <cellStyle name="40% - Accent2 12 2 2 2 3" xfId="6782" xr:uid="{00000000-0005-0000-0000-00002B320000}"/>
    <cellStyle name="40% - Accent2 12 2 2 2 3 2" xfId="14754" xr:uid="{00000000-0005-0000-0000-00002C320000}"/>
    <cellStyle name="40% - Accent2 12 2 2 2 3 2 2" xfId="38596" xr:uid="{BDFB3CB6-7B2C-4C24-A5C0-B7BDFEDB0B5C}"/>
    <cellStyle name="40% - Accent2 12 2 2 2 3 3" xfId="22701" xr:uid="{00000000-0005-0000-0000-00002D320000}"/>
    <cellStyle name="40% - Accent2 12 2 2 2 3 3 2" xfId="46533" xr:uid="{0848C9A5-0A81-4012-A328-04E0007C39AC}"/>
    <cellStyle name="40% - Accent2 12 2 2 2 3 4" xfId="30655" xr:uid="{771D994C-CDD8-462C-96C8-B8BAC4B7495A}"/>
    <cellStyle name="40% - Accent2 12 2 2 2 4" xfId="11218" xr:uid="{00000000-0005-0000-0000-00002E320000}"/>
    <cellStyle name="40% - Accent2 12 2 2 2 4 2" xfId="35067" xr:uid="{9ABCC008-5E93-4BEF-BC5E-BD30689A8F91}"/>
    <cellStyle name="40% - Accent2 12 2 2 2 5" xfId="19173" xr:uid="{00000000-0005-0000-0000-00002F320000}"/>
    <cellStyle name="40% - Accent2 12 2 2 2 5 2" xfId="43005" xr:uid="{AC02C8B4-2204-4CF5-BCAC-7F453A363204}"/>
    <cellStyle name="40% - Accent2 12 2 2 2 6" xfId="27125" xr:uid="{D3AFEE30-2CD2-4C29-9640-609FFD187B2A}"/>
    <cellStyle name="40% - Accent2 12 2 2 2_Exh G" xfId="2828" xr:uid="{00000000-0005-0000-0000-000030320000}"/>
    <cellStyle name="40% - Accent2 12 2 2 3" xfId="4071" xr:uid="{00000000-0005-0000-0000-000031320000}"/>
    <cellStyle name="40% - Accent2 12 2 2 3 2" xfId="7663" xr:uid="{00000000-0005-0000-0000-000032320000}"/>
    <cellStyle name="40% - Accent2 12 2 2 3 2 2" xfId="15634" xr:uid="{00000000-0005-0000-0000-000033320000}"/>
    <cellStyle name="40% - Accent2 12 2 2 3 2 2 2" xfId="39476" xr:uid="{885B645A-03D5-487D-87EE-D39B55C0C96D}"/>
    <cellStyle name="40% - Accent2 12 2 2 3 2 3" xfId="23580" xr:uid="{00000000-0005-0000-0000-000034320000}"/>
    <cellStyle name="40% - Accent2 12 2 2 3 2 3 2" xfId="47412" xr:uid="{0B9EC798-5A9A-4988-B11F-A0A8976EC9C5}"/>
    <cellStyle name="40% - Accent2 12 2 2 3 2 4" xfId="31535" xr:uid="{86AF04F5-69E9-4D16-8340-4F49E5FDE280}"/>
    <cellStyle name="40% - Accent2 12 2 2 3 3" xfId="12096" xr:uid="{00000000-0005-0000-0000-000035320000}"/>
    <cellStyle name="40% - Accent2 12 2 2 3 3 2" xfId="35945" xr:uid="{D569E5F6-D1EC-43F0-A786-C4B3C5230D09}"/>
    <cellStyle name="40% - Accent2 12 2 2 3 4" xfId="20051" xr:uid="{00000000-0005-0000-0000-000036320000}"/>
    <cellStyle name="40% - Accent2 12 2 2 3 4 2" xfId="43883" xr:uid="{AF46C24B-35CA-40AC-8EFF-97051BB5BBFD}"/>
    <cellStyle name="40% - Accent2 12 2 2 3 5" xfId="28004" xr:uid="{03F92EA8-0645-4C47-971C-D4FDBC8E6649}"/>
    <cellStyle name="40% - Accent2 12 2 2 4" xfId="5891" xr:uid="{00000000-0005-0000-0000-000037320000}"/>
    <cellStyle name="40% - Accent2 12 2 2 4 2" xfId="13875" xr:uid="{00000000-0005-0000-0000-000038320000}"/>
    <cellStyle name="40% - Accent2 12 2 2 4 2 2" xfId="37718" xr:uid="{4AE443EE-1B74-46A1-9B45-D92D4884AB27}"/>
    <cellStyle name="40% - Accent2 12 2 2 4 3" xfId="21823" xr:uid="{00000000-0005-0000-0000-000039320000}"/>
    <cellStyle name="40% - Accent2 12 2 2 4 3 2" xfId="45655" xr:uid="{5A2D389C-7BDE-4A97-BE12-0CB04796ED86}"/>
    <cellStyle name="40% - Accent2 12 2 2 4 4" xfId="29777" xr:uid="{28B39C68-AA4B-405C-8D5F-D251EE9763AE}"/>
    <cellStyle name="40% - Accent2 12 2 2 5" xfId="9444" xr:uid="{00000000-0005-0000-0000-00003A320000}"/>
    <cellStyle name="40% - Accent2 12 2 2 5 2" xfId="17402" xr:uid="{00000000-0005-0000-0000-00003B320000}"/>
    <cellStyle name="40% - Accent2 12 2 2 5 2 2" xfId="41242" xr:uid="{D41ECE4E-83C3-4B34-836E-4A86458E8D08}"/>
    <cellStyle name="40% - Accent2 12 2 2 5 3" xfId="25346" xr:uid="{00000000-0005-0000-0000-00003C320000}"/>
    <cellStyle name="40% - Accent2 12 2 2 5 3 2" xfId="49178" xr:uid="{9F38E73D-0A87-4FEE-A162-008580C2D2E0}"/>
    <cellStyle name="40% - Accent2 12 2 2 5 4" xfId="33301" xr:uid="{BF228467-006D-4657-92CD-BC1084DB0056}"/>
    <cellStyle name="40% - Accent2 12 2 2 6" xfId="10340" xr:uid="{00000000-0005-0000-0000-00003D320000}"/>
    <cellStyle name="40% - Accent2 12 2 2 6 2" xfId="34189" xr:uid="{C626B015-628F-4EC5-97A8-CE08C161BF17}"/>
    <cellStyle name="40% - Accent2 12 2 2 7" xfId="18295" xr:uid="{00000000-0005-0000-0000-00003E320000}"/>
    <cellStyle name="40% - Accent2 12 2 2 7 2" xfId="42127" xr:uid="{FD37CF4B-5AFA-4A27-97F3-B46172504D8C}"/>
    <cellStyle name="40% - Accent2 12 2 2 8" xfId="26247" xr:uid="{2E68D0CB-630D-4DEA-ABC5-D70353BA6986}"/>
    <cellStyle name="40% - Accent2 12 2 2_Exh G" xfId="2827" xr:uid="{00000000-0005-0000-0000-00003F320000}"/>
    <cellStyle name="40% - Accent2 12 2 3" xfId="1419" xr:uid="{00000000-0005-0000-0000-000040320000}"/>
    <cellStyle name="40% - Accent2 12 2 3 2" xfId="4949" xr:uid="{00000000-0005-0000-0000-000041320000}"/>
    <cellStyle name="40% - Accent2 12 2 3 2 2" xfId="8540" xr:uid="{00000000-0005-0000-0000-000042320000}"/>
    <cellStyle name="40% - Accent2 12 2 3 2 2 2" xfId="16511" xr:uid="{00000000-0005-0000-0000-000043320000}"/>
    <cellStyle name="40% - Accent2 12 2 3 2 2 2 2" xfId="40353" xr:uid="{107E7271-E622-4B39-B2EC-538BB3DC1ECF}"/>
    <cellStyle name="40% - Accent2 12 2 3 2 2 3" xfId="24457" xr:uid="{00000000-0005-0000-0000-000044320000}"/>
    <cellStyle name="40% - Accent2 12 2 3 2 2 3 2" xfId="48289" xr:uid="{BD430860-1A38-429A-8C64-5FA84F5992AE}"/>
    <cellStyle name="40% - Accent2 12 2 3 2 2 4" xfId="32412" xr:uid="{BE684A27-E68F-42F7-827B-219D1D31BCD4}"/>
    <cellStyle name="40% - Accent2 12 2 3 2 3" xfId="12973" xr:uid="{00000000-0005-0000-0000-000045320000}"/>
    <cellStyle name="40% - Accent2 12 2 3 2 3 2" xfId="36822" xr:uid="{A15C2C86-034E-4887-8043-A18F1BFB0A04}"/>
    <cellStyle name="40% - Accent2 12 2 3 2 4" xfId="20928" xr:uid="{00000000-0005-0000-0000-000046320000}"/>
    <cellStyle name="40% - Accent2 12 2 3 2 4 2" xfId="44760" xr:uid="{AC7A1D08-0846-428E-AE83-E6A865C0CC75}"/>
    <cellStyle name="40% - Accent2 12 2 3 2 5" xfId="28881" xr:uid="{6D4CDBE5-BCE8-4259-8578-4D4C55BC63D5}"/>
    <cellStyle name="40% - Accent2 12 2 3 3" xfId="6781" xr:uid="{00000000-0005-0000-0000-000047320000}"/>
    <cellStyle name="40% - Accent2 12 2 3 3 2" xfId="14753" xr:uid="{00000000-0005-0000-0000-000048320000}"/>
    <cellStyle name="40% - Accent2 12 2 3 3 2 2" xfId="38595" xr:uid="{C4195CA7-CDAC-4370-AD9C-FD4529BC04E9}"/>
    <cellStyle name="40% - Accent2 12 2 3 3 3" xfId="22700" xr:uid="{00000000-0005-0000-0000-000049320000}"/>
    <cellStyle name="40% - Accent2 12 2 3 3 3 2" xfId="46532" xr:uid="{201F05C9-95C4-433C-B1D6-4047D97C3BC2}"/>
    <cellStyle name="40% - Accent2 12 2 3 3 4" xfId="30654" xr:uid="{83FAD70B-F7F1-4587-8086-E02C265C48D8}"/>
    <cellStyle name="40% - Accent2 12 2 3 4" xfId="11217" xr:uid="{00000000-0005-0000-0000-00004A320000}"/>
    <cellStyle name="40% - Accent2 12 2 3 4 2" xfId="35066" xr:uid="{7EFB020D-2D74-4FE1-A425-F278FA97AC3F}"/>
    <cellStyle name="40% - Accent2 12 2 3 5" xfId="19172" xr:uid="{00000000-0005-0000-0000-00004B320000}"/>
    <cellStyle name="40% - Accent2 12 2 3 5 2" xfId="43004" xr:uid="{8B877A62-EFEF-4456-A46E-995372092F61}"/>
    <cellStyle name="40% - Accent2 12 2 3 6" xfId="27124" xr:uid="{D977E112-2B23-4E41-8631-E52AD721A04B}"/>
    <cellStyle name="40% - Accent2 12 2 3_Exh G" xfId="2829" xr:uid="{00000000-0005-0000-0000-00004C320000}"/>
    <cellStyle name="40% - Accent2 12 2 4" xfId="4070" xr:uid="{00000000-0005-0000-0000-00004D320000}"/>
    <cellStyle name="40% - Accent2 12 2 4 2" xfId="7662" xr:uid="{00000000-0005-0000-0000-00004E320000}"/>
    <cellStyle name="40% - Accent2 12 2 4 2 2" xfId="15633" xr:uid="{00000000-0005-0000-0000-00004F320000}"/>
    <cellStyle name="40% - Accent2 12 2 4 2 2 2" xfId="39475" xr:uid="{69AA66D3-58E4-4136-9340-42D66AAEAA9E}"/>
    <cellStyle name="40% - Accent2 12 2 4 2 3" xfId="23579" xr:uid="{00000000-0005-0000-0000-000050320000}"/>
    <cellStyle name="40% - Accent2 12 2 4 2 3 2" xfId="47411" xr:uid="{35C5D7BF-D1FB-4917-9623-AAAFA64FEB67}"/>
    <cellStyle name="40% - Accent2 12 2 4 2 4" xfId="31534" xr:uid="{4F4930E7-3275-4B7D-A7C5-313196C2C643}"/>
    <cellStyle name="40% - Accent2 12 2 4 3" xfId="12095" xr:uid="{00000000-0005-0000-0000-000051320000}"/>
    <cellStyle name="40% - Accent2 12 2 4 3 2" xfId="35944" xr:uid="{7AD2517E-952B-460B-9FC8-F3B58BF8DA01}"/>
    <cellStyle name="40% - Accent2 12 2 4 4" xfId="20050" xr:uid="{00000000-0005-0000-0000-000052320000}"/>
    <cellStyle name="40% - Accent2 12 2 4 4 2" xfId="43882" xr:uid="{15A5FF81-E264-4681-A06E-8BDDB2A90E7B}"/>
    <cellStyle name="40% - Accent2 12 2 4 5" xfId="28003" xr:uid="{E49F0E38-602F-437F-BA06-F6713F272984}"/>
    <cellStyle name="40% - Accent2 12 2 5" xfId="5890" xr:uid="{00000000-0005-0000-0000-000053320000}"/>
    <cellStyle name="40% - Accent2 12 2 5 2" xfId="13874" xr:uid="{00000000-0005-0000-0000-000054320000}"/>
    <cellStyle name="40% - Accent2 12 2 5 2 2" xfId="37717" xr:uid="{B90061E0-9E6B-41E8-9737-C3420F81600E}"/>
    <cellStyle name="40% - Accent2 12 2 5 3" xfId="21822" xr:uid="{00000000-0005-0000-0000-000055320000}"/>
    <cellStyle name="40% - Accent2 12 2 5 3 2" xfId="45654" xr:uid="{5E985686-1DD7-4CF2-9463-975165926DB9}"/>
    <cellStyle name="40% - Accent2 12 2 5 4" xfId="29776" xr:uid="{04FDD665-0CB8-4297-82AF-427BA9B31E0C}"/>
    <cellStyle name="40% - Accent2 12 2 6" xfId="9443" xr:uid="{00000000-0005-0000-0000-000056320000}"/>
    <cellStyle name="40% - Accent2 12 2 6 2" xfId="17401" xr:uid="{00000000-0005-0000-0000-000057320000}"/>
    <cellStyle name="40% - Accent2 12 2 6 2 2" xfId="41241" xr:uid="{14CCED84-B6C0-49F4-90EE-A8276310C462}"/>
    <cellStyle name="40% - Accent2 12 2 6 3" xfId="25345" xr:uid="{00000000-0005-0000-0000-000058320000}"/>
    <cellStyle name="40% - Accent2 12 2 6 3 2" xfId="49177" xr:uid="{69BEB8B9-3B4D-443F-B8B5-C7B3E962024E}"/>
    <cellStyle name="40% - Accent2 12 2 6 4" xfId="33300" xr:uid="{4A08A43C-76D9-4E1D-9A5A-381A1F8479AD}"/>
    <cellStyle name="40% - Accent2 12 2 7" xfId="10339" xr:uid="{00000000-0005-0000-0000-000059320000}"/>
    <cellStyle name="40% - Accent2 12 2 7 2" xfId="34188" xr:uid="{FD826B0D-76A4-46FF-9810-F555166EE1A4}"/>
    <cellStyle name="40% - Accent2 12 2 8" xfId="18294" xr:uid="{00000000-0005-0000-0000-00005A320000}"/>
    <cellStyle name="40% - Accent2 12 2 8 2" xfId="42126" xr:uid="{E23DFDDD-C74D-4220-90A5-63A3538756B1}"/>
    <cellStyle name="40% - Accent2 12 2 9" xfId="26246" xr:uid="{9CFD95D6-74E6-4388-8F00-7129058D77C7}"/>
    <cellStyle name="40% - Accent2 12 2_Exh G" xfId="2826" xr:uid="{00000000-0005-0000-0000-00005B320000}"/>
    <cellStyle name="40% - Accent2 12 3" xfId="393" xr:uid="{00000000-0005-0000-0000-00005C320000}"/>
    <cellStyle name="40% - Accent2 12 3 2" xfId="1421" xr:uid="{00000000-0005-0000-0000-00005D320000}"/>
    <cellStyle name="40% - Accent2 12 3 2 2" xfId="4951" xr:uid="{00000000-0005-0000-0000-00005E320000}"/>
    <cellStyle name="40% - Accent2 12 3 2 2 2" xfId="8542" xr:uid="{00000000-0005-0000-0000-00005F320000}"/>
    <cellStyle name="40% - Accent2 12 3 2 2 2 2" xfId="16513" xr:uid="{00000000-0005-0000-0000-000060320000}"/>
    <cellStyle name="40% - Accent2 12 3 2 2 2 2 2" xfId="40355" xr:uid="{27E573CE-7FA6-42A4-A1EA-28DB446F3AD1}"/>
    <cellStyle name="40% - Accent2 12 3 2 2 2 3" xfId="24459" xr:uid="{00000000-0005-0000-0000-000061320000}"/>
    <cellStyle name="40% - Accent2 12 3 2 2 2 3 2" xfId="48291" xr:uid="{1239CFFB-6590-4D72-86B9-24F99917CE88}"/>
    <cellStyle name="40% - Accent2 12 3 2 2 2 4" xfId="32414" xr:uid="{98EC799E-E730-4668-BB62-9DB242FCEC17}"/>
    <cellStyle name="40% - Accent2 12 3 2 2 3" xfId="12975" xr:uid="{00000000-0005-0000-0000-000062320000}"/>
    <cellStyle name="40% - Accent2 12 3 2 2 3 2" xfId="36824" xr:uid="{38E5AFF1-8EB6-4339-B283-39C03FA8CE0D}"/>
    <cellStyle name="40% - Accent2 12 3 2 2 4" xfId="20930" xr:uid="{00000000-0005-0000-0000-000063320000}"/>
    <cellStyle name="40% - Accent2 12 3 2 2 4 2" xfId="44762" xr:uid="{73AC6288-4FB9-41E5-97B6-272B5135AFE0}"/>
    <cellStyle name="40% - Accent2 12 3 2 2 5" xfId="28883" xr:uid="{21497349-7D50-47E6-AB56-34BDDEAED8DF}"/>
    <cellStyle name="40% - Accent2 12 3 2 3" xfId="6783" xr:uid="{00000000-0005-0000-0000-000064320000}"/>
    <cellStyle name="40% - Accent2 12 3 2 3 2" xfId="14755" xr:uid="{00000000-0005-0000-0000-000065320000}"/>
    <cellStyle name="40% - Accent2 12 3 2 3 2 2" xfId="38597" xr:uid="{E3015F91-9168-42F9-8504-7B95EF145698}"/>
    <cellStyle name="40% - Accent2 12 3 2 3 3" xfId="22702" xr:uid="{00000000-0005-0000-0000-000066320000}"/>
    <cellStyle name="40% - Accent2 12 3 2 3 3 2" xfId="46534" xr:uid="{87F6E8B9-3603-4CB2-A6A4-8945167D524C}"/>
    <cellStyle name="40% - Accent2 12 3 2 3 4" xfId="30656" xr:uid="{4B5A8885-DA49-41BC-B783-ED6FEFC8A6F2}"/>
    <cellStyle name="40% - Accent2 12 3 2 4" xfId="11219" xr:uid="{00000000-0005-0000-0000-000067320000}"/>
    <cellStyle name="40% - Accent2 12 3 2 4 2" xfId="35068" xr:uid="{20494394-9463-4580-82C5-E70277E32927}"/>
    <cellStyle name="40% - Accent2 12 3 2 5" xfId="19174" xr:uid="{00000000-0005-0000-0000-000068320000}"/>
    <cellStyle name="40% - Accent2 12 3 2 5 2" xfId="43006" xr:uid="{753CD8B0-9A0E-4681-8ABF-1BD83D0A838E}"/>
    <cellStyle name="40% - Accent2 12 3 2 6" xfId="27126" xr:uid="{57090E4D-0622-4C0B-8D09-D360DA4ECADA}"/>
    <cellStyle name="40% - Accent2 12 3 2_Exh G" xfId="2831" xr:uid="{00000000-0005-0000-0000-000069320000}"/>
    <cellStyle name="40% - Accent2 12 3 3" xfId="4072" xr:uid="{00000000-0005-0000-0000-00006A320000}"/>
    <cellStyle name="40% - Accent2 12 3 3 2" xfId="7664" xr:uid="{00000000-0005-0000-0000-00006B320000}"/>
    <cellStyle name="40% - Accent2 12 3 3 2 2" xfId="15635" xr:uid="{00000000-0005-0000-0000-00006C320000}"/>
    <cellStyle name="40% - Accent2 12 3 3 2 2 2" xfId="39477" xr:uid="{84BD4165-26FE-431F-B8D1-B2C6041D860A}"/>
    <cellStyle name="40% - Accent2 12 3 3 2 3" xfId="23581" xr:uid="{00000000-0005-0000-0000-00006D320000}"/>
    <cellStyle name="40% - Accent2 12 3 3 2 3 2" xfId="47413" xr:uid="{F293D121-0995-42B9-8394-D11653360922}"/>
    <cellStyle name="40% - Accent2 12 3 3 2 4" xfId="31536" xr:uid="{A41FB7E9-89B3-44DA-8ECA-66482C8FAA7D}"/>
    <cellStyle name="40% - Accent2 12 3 3 3" xfId="12097" xr:uid="{00000000-0005-0000-0000-00006E320000}"/>
    <cellStyle name="40% - Accent2 12 3 3 3 2" xfId="35946" xr:uid="{10D89266-61B0-44C2-8F61-727EC1974A1E}"/>
    <cellStyle name="40% - Accent2 12 3 3 4" xfId="20052" xr:uid="{00000000-0005-0000-0000-00006F320000}"/>
    <cellStyle name="40% - Accent2 12 3 3 4 2" xfId="43884" xr:uid="{CDFBBB65-A20F-4441-A6C8-0026347B953C}"/>
    <cellStyle name="40% - Accent2 12 3 3 5" xfId="28005" xr:uid="{60553DCC-158A-4B79-8A5E-D043C6BE6E0E}"/>
    <cellStyle name="40% - Accent2 12 3 4" xfId="5892" xr:uid="{00000000-0005-0000-0000-000070320000}"/>
    <cellStyle name="40% - Accent2 12 3 4 2" xfId="13876" xr:uid="{00000000-0005-0000-0000-000071320000}"/>
    <cellStyle name="40% - Accent2 12 3 4 2 2" xfId="37719" xr:uid="{0CF9085F-957C-4BC0-9E49-64C132FF1052}"/>
    <cellStyle name="40% - Accent2 12 3 4 3" xfId="21824" xr:uid="{00000000-0005-0000-0000-000072320000}"/>
    <cellStyle name="40% - Accent2 12 3 4 3 2" xfId="45656" xr:uid="{24EDF1F9-9B29-4EC6-A559-1E18AF8D26F1}"/>
    <cellStyle name="40% - Accent2 12 3 4 4" xfId="29778" xr:uid="{F61862C5-4C6B-45B4-8BB1-07693FB2F00B}"/>
    <cellStyle name="40% - Accent2 12 3 5" xfId="9445" xr:uid="{00000000-0005-0000-0000-000073320000}"/>
    <cellStyle name="40% - Accent2 12 3 5 2" xfId="17403" xr:uid="{00000000-0005-0000-0000-000074320000}"/>
    <cellStyle name="40% - Accent2 12 3 5 2 2" xfId="41243" xr:uid="{B17E9EC9-242A-4D8F-92D1-A1F09A478F2E}"/>
    <cellStyle name="40% - Accent2 12 3 5 3" xfId="25347" xr:uid="{00000000-0005-0000-0000-000075320000}"/>
    <cellStyle name="40% - Accent2 12 3 5 3 2" xfId="49179" xr:uid="{9811BAB2-F352-4719-804C-1FA0DB9CF54B}"/>
    <cellStyle name="40% - Accent2 12 3 5 4" xfId="33302" xr:uid="{53AC52D0-1587-49BA-A4CF-B76AA3C3382C}"/>
    <cellStyle name="40% - Accent2 12 3 6" xfId="10341" xr:uid="{00000000-0005-0000-0000-000076320000}"/>
    <cellStyle name="40% - Accent2 12 3 6 2" xfId="34190" xr:uid="{015E3133-4C1B-4188-AF69-2F22B5398E0F}"/>
    <cellStyle name="40% - Accent2 12 3 7" xfId="18296" xr:uid="{00000000-0005-0000-0000-000077320000}"/>
    <cellStyle name="40% - Accent2 12 3 7 2" xfId="42128" xr:uid="{029246AE-0A20-496F-B3A7-48DDB03EB50A}"/>
    <cellStyle name="40% - Accent2 12 3 8" xfId="26248" xr:uid="{59C76CC1-41D0-429D-A00D-045465F53F3A}"/>
    <cellStyle name="40% - Accent2 12 3_Exh G" xfId="2830" xr:uid="{00000000-0005-0000-0000-000078320000}"/>
    <cellStyle name="40% - Accent2 12 4" xfId="1418" xr:uid="{00000000-0005-0000-0000-000079320000}"/>
    <cellStyle name="40% - Accent2 12 4 2" xfId="4948" xr:uid="{00000000-0005-0000-0000-00007A320000}"/>
    <cellStyle name="40% - Accent2 12 4 2 2" xfId="8539" xr:uid="{00000000-0005-0000-0000-00007B320000}"/>
    <cellStyle name="40% - Accent2 12 4 2 2 2" xfId="16510" xr:uid="{00000000-0005-0000-0000-00007C320000}"/>
    <cellStyle name="40% - Accent2 12 4 2 2 2 2" xfId="40352" xr:uid="{5C5E7731-6ABA-4199-A106-3E136B88D2CE}"/>
    <cellStyle name="40% - Accent2 12 4 2 2 3" xfId="24456" xr:uid="{00000000-0005-0000-0000-00007D320000}"/>
    <cellStyle name="40% - Accent2 12 4 2 2 3 2" xfId="48288" xr:uid="{8E54B5B4-1232-4E58-9483-F7BC772EAF88}"/>
    <cellStyle name="40% - Accent2 12 4 2 2 4" xfId="32411" xr:uid="{BF0D98D0-96CE-40C6-BA83-5B98402AD3FE}"/>
    <cellStyle name="40% - Accent2 12 4 2 3" xfId="12972" xr:uid="{00000000-0005-0000-0000-00007E320000}"/>
    <cellStyle name="40% - Accent2 12 4 2 3 2" xfId="36821" xr:uid="{EE77A393-A8A9-4BCB-B03C-42E96B22AD3E}"/>
    <cellStyle name="40% - Accent2 12 4 2 4" xfId="20927" xr:uid="{00000000-0005-0000-0000-00007F320000}"/>
    <cellStyle name="40% - Accent2 12 4 2 4 2" xfId="44759" xr:uid="{E7C861C3-7888-4144-B6CF-B90C0B06EC0D}"/>
    <cellStyle name="40% - Accent2 12 4 2 5" xfId="28880" xr:uid="{239EB85C-74FE-4E11-AB6D-D69A5894398C}"/>
    <cellStyle name="40% - Accent2 12 4 3" xfId="6780" xr:uid="{00000000-0005-0000-0000-000080320000}"/>
    <cellStyle name="40% - Accent2 12 4 3 2" xfId="14752" xr:uid="{00000000-0005-0000-0000-000081320000}"/>
    <cellStyle name="40% - Accent2 12 4 3 2 2" xfId="38594" xr:uid="{A90C2A71-2DF7-412E-A7D5-12F3ED769305}"/>
    <cellStyle name="40% - Accent2 12 4 3 3" xfId="22699" xr:uid="{00000000-0005-0000-0000-000082320000}"/>
    <cellStyle name="40% - Accent2 12 4 3 3 2" xfId="46531" xr:uid="{DA37632A-D591-48C0-BD8C-53430E05EC42}"/>
    <cellStyle name="40% - Accent2 12 4 3 4" xfId="30653" xr:uid="{7BE53A74-78C1-4F75-A718-80D74576B0FB}"/>
    <cellStyle name="40% - Accent2 12 4 4" xfId="11216" xr:uid="{00000000-0005-0000-0000-000083320000}"/>
    <cellStyle name="40% - Accent2 12 4 4 2" xfId="35065" xr:uid="{1377F8EF-A642-4255-96E6-571EA7780909}"/>
    <cellStyle name="40% - Accent2 12 4 5" xfId="19171" xr:uid="{00000000-0005-0000-0000-000084320000}"/>
    <cellStyle name="40% - Accent2 12 4 5 2" xfId="43003" xr:uid="{6999EAED-6055-40A7-B6CC-7FE87277430F}"/>
    <cellStyle name="40% - Accent2 12 4 6" xfId="27123" xr:uid="{352ABE84-7845-4EDC-B895-52CB24621F31}"/>
    <cellStyle name="40% - Accent2 12 4_Exh G" xfId="2832" xr:uid="{00000000-0005-0000-0000-000085320000}"/>
    <cellStyle name="40% - Accent2 12 5" xfId="4069" xr:uid="{00000000-0005-0000-0000-000086320000}"/>
    <cellStyle name="40% - Accent2 12 5 2" xfId="7661" xr:uid="{00000000-0005-0000-0000-000087320000}"/>
    <cellStyle name="40% - Accent2 12 5 2 2" xfId="15632" xr:uid="{00000000-0005-0000-0000-000088320000}"/>
    <cellStyle name="40% - Accent2 12 5 2 2 2" xfId="39474" xr:uid="{810BFC1D-15F0-41F6-95E5-F100825B157E}"/>
    <cellStyle name="40% - Accent2 12 5 2 3" xfId="23578" xr:uid="{00000000-0005-0000-0000-000089320000}"/>
    <cellStyle name="40% - Accent2 12 5 2 3 2" xfId="47410" xr:uid="{E98204BE-2AA2-461A-9DC3-60BB14417246}"/>
    <cellStyle name="40% - Accent2 12 5 2 4" xfId="31533" xr:uid="{E1932A5E-9A03-4E7D-A25D-F2C300F1AAC1}"/>
    <cellStyle name="40% - Accent2 12 5 3" xfId="12094" xr:uid="{00000000-0005-0000-0000-00008A320000}"/>
    <cellStyle name="40% - Accent2 12 5 3 2" xfId="35943" xr:uid="{1A657933-6D43-4089-AF5B-CFB12E8D7BCD}"/>
    <cellStyle name="40% - Accent2 12 5 4" xfId="20049" xr:uid="{00000000-0005-0000-0000-00008B320000}"/>
    <cellStyle name="40% - Accent2 12 5 4 2" xfId="43881" xr:uid="{C994D28E-A85B-4230-9E43-9233370D8BA7}"/>
    <cellStyle name="40% - Accent2 12 5 5" xfId="28002" xr:uid="{5EE9B84E-5011-478D-B23D-A76BC284758B}"/>
    <cellStyle name="40% - Accent2 12 6" xfId="5889" xr:uid="{00000000-0005-0000-0000-00008C320000}"/>
    <cellStyle name="40% - Accent2 12 6 2" xfId="13873" xr:uid="{00000000-0005-0000-0000-00008D320000}"/>
    <cellStyle name="40% - Accent2 12 6 2 2" xfId="37716" xr:uid="{34680C2D-B808-45EF-BB1A-C25F933EA14B}"/>
    <cellStyle name="40% - Accent2 12 6 3" xfId="21821" xr:uid="{00000000-0005-0000-0000-00008E320000}"/>
    <cellStyle name="40% - Accent2 12 6 3 2" xfId="45653" xr:uid="{57B62DC2-75A3-4AD2-8515-BDEBE56D59C5}"/>
    <cellStyle name="40% - Accent2 12 6 4" xfId="29775" xr:uid="{84D493A9-1218-4A7E-A89A-A268B7247E37}"/>
    <cellStyle name="40% - Accent2 12 7" xfId="9442" xr:uid="{00000000-0005-0000-0000-00008F320000}"/>
    <cellStyle name="40% - Accent2 12 7 2" xfId="17400" xr:uid="{00000000-0005-0000-0000-000090320000}"/>
    <cellStyle name="40% - Accent2 12 7 2 2" xfId="41240" xr:uid="{5B8375E5-29E9-4B0A-9A27-7BD835603C0C}"/>
    <cellStyle name="40% - Accent2 12 7 3" xfId="25344" xr:uid="{00000000-0005-0000-0000-000091320000}"/>
    <cellStyle name="40% - Accent2 12 7 3 2" xfId="49176" xr:uid="{CB5B0726-7C61-4D81-B1F4-BA360FD0D4E3}"/>
    <cellStyle name="40% - Accent2 12 7 4" xfId="33299" xr:uid="{283C2376-DF05-4AEF-B203-E8D0C0DCEA6A}"/>
    <cellStyle name="40% - Accent2 12 8" xfId="10338" xr:uid="{00000000-0005-0000-0000-000092320000}"/>
    <cellStyle name="40% - Accent2 12 8 2" xfId="34187" xr:uid="{82961EBD-6D49-46FB-8C35-A6A8756A942D}"/>
    <cellStyle name="40% - Accent2 12 9" xfId="18293" xr:uid="{00000000-0005-0000-0000-000093320000}"/>
    <cellStyle name="40% - Accent2 12 9 2" xfId="42125" xr:uid="{97EBBBC7-8BEB-4818-8702-D1D6A0680FF2}"/>
    <cellStyle name="40% - Accent2 12_Exh G" xfId="2825" xr:uid="{00000000-0005-0000-0000-000094320000}"/>
    <cellStyle name="40% - Accent2 13" xfId="394" xr:uid="{00000000-0005-0000-0000-000095320000}"/>
    <cellStyle name="40% - Accent2 13 10" xfId="26249" xr:uid="{2360456E-0248-41E7-8C23-2A08203B98B7}"/>
    <cellStyle name="40% - Accent2 13 2" xfId="395" xr:uid="{00000000-0005-0000-0000-000096320000}"/>
    <cellStyle name="40% - Accent2 13 2 2" xfId="396" xr:uid="{00000000-0005-0000-0000-000097320000}"/>
    <cellStyle name="40% - Accent2 13 2 2 2" xfId="1424" xr:uid="{00000000-0005-0000-0000-000098320000}"/>
    <cellStyle name="40% - Accent2 13 2 2 2 2" xfId="4954" xr:uid="{00000000-0005-0000-0000-000099320000}"/>
    <cellStyle name="40% - Accent2 13 2 2 2 2 2" xfId="8545" xr:uid="{00000000-0005-0000-0000-00009A320000}"/>
    <cellStyle name="40% - Accent2 13 2 2 2 2 2 2" xfId="16516" xr:uid="{00000000-0005-0000-0000-00009B320000}"/>
    <cellStyle name="40% - Accent2 13 2 2 2 2 2 2 2" xfId="40358" xr:uid="{A4C1212F-A1A8-4BC1-8AA9-10AAF33DDAEE}"/>
    <cellStyle name="40% - Accent2 13 2 2 2 2 2 3" xfId="24462" xr:uid="{00000000-0005-0000-0000-00009C320000}"/>
    <cellStyle name="40% - Accent2 13 2 2 2 2 2 3 2" xfId="48294" xr:uid="{8DAF84FE-41FE-49D5-BBE3-D8D794AB2B26}"/>
    <cellStyle name="40% - Accent2 13 2 2 2 2 2 4" xfId="32417" xr:uid="{72A94ECE-2FDA-46A9-806A-9F489A906F20}"/>
    <cellStyle name="40% - Accent2 13 2 2 2 2 3" xfId="12978" xr:uid="{00000000-0005-0000-0000-00009D320000}"/>
    <cellStyle name="40% - Accent2 13 2 2 2 2 3 2" xfId="36827" xr:uid="{E6F405EA-FBBF-429A-8515-18ECC50732BE}"/>
    <cellStyle name="40% - Accent2 13 2 2 2 2 4" xfId="20933" xr:uid="{00000000-0005-0000-0000-00009E320000}"/>
    <cellStyle name="40% - Accent2 13 2 2 2 2 4 2" xfId="44765" xr:uid="{2EAEA612-7900-4F00-B074-E63AE3520EA7}"/>
    <cellStyle name="40% - Accent2 13 2 2 2 2 5" xfId="28886" xr:uid="{FB95370A-A2F3-4A9A-BAFD-B3C882D826E7}"/>
    <cellStyle name="40% - Accent2 13 2 2 2 3" xfId="6786" xr:uid="{00000000-0005-0000-0000-00009F320000}"/>
    <cellStyle name="40% - Accent2 13 2 2 2 3 2" xfId="14758" xr:uid="{00000000-0005-0000-0000-0000A0320000}"/>
    <cellStyle name="40% - Accent2 13 2 2 2 3 2 2" xfId="38600" xr:uid="{6035AF5A-EE0D-425A-B649-D4E58245A6D7}"/>
    <cellStyle name="40% - Accent2 13 2 2 2 3 3" xfId="22705" xr:uid="{00000000-0005-0000-0000-0000A1320000}"/>
    <cellStyle name="40% - Accent2 13 2 2 2 3 3 2" xfId="46537" xr:uid="{39241B76-593C-4397-8021-E6E49F8DA418}"/>
    <cellStyle name="40% - Accent2 13 2 2 2 3 4" xfId="30659" xr:uid="{80F48712-BE83-4D53-96E4-C385B414B742}"/>
    <cellStyle name="40% - Accent2 13 2 2 2 4" xfId="11222" xr:uid="{00000000-0005-0000-0000-0000A2320000}"/>
    <cellStyle name="40% - Accent2 13 2 2 2 4 2" xfId="35071" xr:uid="{0135C29F-2452-4669-87E0-C00D832A9426}"/>
    <cellStyle name="40% - Accent2 13 2 2 2 5" xfId="19177" xr:uid="{00000000-0005-0000-0000-0000A3320000}"/>
    <cellStyle name="40% - Accent2 13 2 2 2 5 2" xfId="43009" xr:uid="{78E48084-4521-4261-B9D0-390FCECC90CE}"/>
    <cellStyle name="40% - Accent2 13 2 2 2 6" xfId="27129" xr:uid="{7E1CCEB1-2FBD-4AE3-8D76-7440025FC1FA}"/>
    <cellStyle name="40% - Accent2 13 2 2 2_Exh G" xfId="2836" xr:uid="{00000000-0005-0000-0000-0000A4320000}"/>
    <cellStyle name="40% - Accent2 13 2 2 3" xfId="4075" xr:uid="{00000000-0005-0000-0000-0000A5320000}"/>
    <cellStyle name="40% - Accent2 13 2 2 3 2" xfId="7667" xr:uid="{00000000-0005-0000-0000-0000A6320000}"/>
    <cellStyle name="40% - Accent2 13 2 2 3 2 2" xfId="15638" xr:uid="{00000000-0005-0000-0000-0000A7320000}"/>
    <cellStyle name="40% - Accent2 13 2 2 3 2 2 2" xfId="39480" xr:uid="{6E792694-DD6B-40C0-8354-59C69D2CDC65}"/>
    <cellStyle name="40% - Accent2 13 2 2 3 2 3" xfId="23584" xr:uid="{00000000-0005-0000-0000-0000A8320000}"/>
    <cellStyle name="40% - Accent2 13 2 2 3 2 3 2" xfId="47416" xr:uid="{6DCC9AF0-FED6-4607-8195-0880052C78DB}"/>
    <cellStyle name="40% - Accent2 13 2 2 3 2 4" xfId="31539" xr:uid="{CEAE2067-C396-43BC-896C-CFDA10792420}"/>
    <cellStyle name="40% - Accent2 13 2 2 3 3" xfId="12100" xr:uid="{00000000-0005-0000-0000-0000A9320000}"/>
    <cellStyle name="40% - Accent2 13 2 2 3 3 2" xfId="35949" xr:uid="{32F73E3A-4392-4714-8285-920A4B51C720}"/>
    <cellStyle name="40% - Accent2 13 2 2 3 4" xfId="20055" xr:uid="{00000000-0005-0000-0000-0000AA320000}"/>
    <cellStyle name="40% - Accent2 13 2 2 3 4 2" xfId="43887" xr:uid="{F92976E9-C4D3-4C01-8367-180A46FFEC3A}"/>
    <cellStyle name="40% - Accent2 13 2 2 3 5" xfId="28008" xr:uid="{BDE48D17-FED6-412D-AA8D-54B3549BB8C0}"/>
    <cellStyle name="40% - Accent2 13 2 2 4" xfId="5895" xr:uid="{00000000-0005-0000-0000-0000AB320000}"/>
    <cellStyle name="40% - Accent2 13 2 2 4 2" xfId="13879" xr:uid="{00000000-0005-0000-0000-0000AC320000}"/>
    <cellStyle name="40% - Accent2 13 2 2 4 2 2" xfId="37722" xr:uid="{C963AE40-8695-4517-AC2C-641778394790}"/>
    <cellStyle name="40% - Accent2 13 2 2 4 3" xfId="21827" xr:uid="{00000000-0005-0000-0000-0000AD320000}"/>
    <cellStyle name="40% - Accent2 13 2 2 4 3 2" xfId="45659" xr:uid="{C0AAF68C-19BA-46F6-A6A5-1119CDF787A2}"/>
    <cellStyle name="40% - Accent2 13 2 2 4 4" xfId="29781" xr:uid="{9917D3CD-AF8A-4F9A-89E8-103849475297}"/>
    <cellStyle name="40% - Accent2 13 2 2 5" xfId="9448" xr:uid="{00000000-0005-0000-0000-0000AE320000}"/>
    <cellStyle name="40% - Accent2 13 2 2 5 2" xfId="17406" xr:uid="{00000000-0005-0000-0000-0000AF320000}"/>
    <cellStyle name="40% - Accent2 13 2 2 5 2 2" xfId="41246" xr:uid="{F8B62426-DA28-40D8-926C-03D9E5B8981A}"/>
    <cellStyle name="40% - Accent2 13 2 2 5 3" xfId="25350" xr:uid="{00000000-0005-0000-0000-0000B0320000}"/>
    <cellStyle name="40% - Accent2 13 2 2 5 3 2" xfId="49182" xr:uid="{07C7B001-6E24-48DF-928B-A8E92FEC28B0}"/>
    <cellStyle name="40% - Accent2 13 2 2 5 4" xfId="33305" xr:uid="{1AD01B89-3CD5-41DA-8EAC-87B566DD450F}"/>
    <cellStyle name="40% - Accent2 13 2 2 6" xfId="10344" xr:uid="{00000000-0005-0000-0000-0000B1320000}"/>
    <cellStyle name="40% - Accent2 13 2 2 6 2" xfId="34193" xr:uid="{40506C1B-B331-488C-A596-8A08D7E4DE4E}"/>
    <cellStyle name="40% - Accent2 13 2 2 7" xfId="18299" xr:uid="{00000000-0005-0000-0000-0000B2320000}"/>
    <cellStyle name="40% - Accent2 13 2 2 7 2" xfId="42131" xr:uid="{9D5926DD-742C-4983-8A05-E7B8662C21C1}"/>
    <cellStyle name="40% - Accent2 13 2 2 8" xfId="26251" xr:uid="{8188E07B-D6BD-4C6D-A15F-20083B7F35BA}"/>
    <cellStyle name="40% - Accent2 13 2 2_Exh G" xfId="2835" xr:uid="{00000000-0005-0000-0000-0000B3320000}"/>
    <cellStyle name="40% - Accent2 13 2 3" xfId="1423" xr:uid="{00000000-0005-0000-0000-0000B4320000}"/>
    <cellStyle name="40% - Accent2 13 2 3 2" xfId="4953" xr:uid="{00000000-0005-0000-0000-0000B5320000}"/>
    <cellStyle name="40% - Accent2 13 2 3 2 2" xfId="8544" xr:uid="{00000000-0005-0000-0000-0000B6320000}"/>
    <cellStyle name="40% - Accent2 13 2 3 2 2 2" xfId="16515" xr:uid="{00000000-0005-0000-0000-0000B7320000}"/>
    <cellStyle name="40% - Accent2 13 2 3 2 2 2 2" xfId="40357" xr:uid="{CAEEE280-31B4-4D7B-ADA0-C3DF030C8DE1}"/>
    <cellStyle name="40% - Accent2 13 2 3 2 2 3" xfId="24461" xr:uid="{00000000-0005-0000-0000-0000B8320000}"/>
    <cellStyle name="40% - Accent2 13 2 3 2 2 3 2" xfId="48293" xr:uid="{BB385FF7-D8CF-4F9E-AB21-FA1672119D52}"/>
    <cellStyle name="40% - Accent2 13 2 3 2 2 4" xfId="32416" xr:uid="{17D76A5D-DD5A-4F08-ADC5-87F79DF1AD2B}"/>
    <cellStyle name="40% - Accent2 13 2 3 2 3" xfId="12977" xr:uid="{00000000-0005-0000-0000-0000B9320000}"/>
    <cellStyle name="40% - Accent2 13 2 3 2 3 2" xfId="36826" xr:uid="{FBFD7AFA-6101-4880-846D-74AD904D62A3}"/>
    <cellStyle name="40% - Accent2 13 2 3 2 4" xfId="20932" xr:uid="{00000000-0005-0000-0000-0000BA320000}"/>
    <cellStyle name="40% - Accent2 13 2 3 2 4 2" xfId="44764" xr:uid="{45633AF3-CDF8-4C91-8E52-DFFFCFCE1B8A}"/>
    <cellStyle name="40% - Accent2 13 2 3 2 5" xfId="28885" xr:uid="{25CA4EFE-4E46-412A-B0A6-F51351210BED}"/>
    <cellStyle name="40% - Accent2 13 2 3 3" xfId="6785" xr:uid="{00000000-0005-0000-0000-0000BB320000}"/>
    <cellStyle name="40% - Accent2 13 2 3 3 2" xfId="14757" xr:uid="{00000000-0005-0000-0000-0000BC320000}"/>
    <cellStyle name="40% - Accent2 13 2 3 3 2 2" xfId="38599" xr:uid="{79F56251-798A-496F-9DA8-BAD6AC125B0D}"/>
    <cellStyle name="40% - Accent2 13 2 3 3 3" xfId="22704" xr:uid="{00000000-0005-0000-0000-0000BD320000}"/>
    <cellStyle name="40% - Accent2 13 2 3 3 3 2" xfId="46536" xr:uid="{9E7EF72D-4FCF-44F0-9A73-F7617325A7C6}"/>
    <cellStyle name="40% - Accent2 13 2 3 3 4" xfId="30658" xr:uid="{657727A1-9543-4112-BC67-A8F2D5072A1B}"/>
    <cellStyle name="40% - Accent2 13 2 3 4" xfId="11221" xr:uid="{00000000-0005-0000-0000-0000BE320000}"/>
    <cellStyle name="40% - Accent2 13 2 3 4 2" xfId="35070" xr:uid="{3C4D75D2-9CC4-4BED-8565-86909669A157}"/>
    <cellStyle name="40% - Accent2 13 2 3 5" xfId="19176" xr:uid="{00000000-0005-0000-0000-0000BF320000}"/>
    <cellStyle name="40% - Accent2 13 2 3 5 2" xfId="43008" xr:uid="{94357C87-1B96-469E-BE6E-F0D3668FF083}"/>
    <cellStyle name="40% - Accent2 13 2 3 6" xfId="27128" xr:uid="{D5BEA558-0998-4F65-82E5-1995D77516B0}"/>
    <cellStyle name="40% - Accent2 13 2 3_Exh G" xfId="2837" xr:uid="{00000000-0005-0000-0000-0000C0320000}"/>
    <cellStyle name="40% - Accent2 13 2 4" xfId="4074" xr:uid="{00000000-0005-0000-0000-0000C1320000}"/>
    <cellStyle name="40% - Accent2 13 2 4 2" xfId="7666" xr:uid="{00000000-0005-0000-0000-0000C2320000}"/>
    <cellStyle name="40% - Accent2 13 2 4 2 2" xfId="15637" xr:uid="{00000000-0005-0000-0000-0000C3320000}"/>
    <cellStyle name="40% - Accent2 13 2 4 2 2 2" xfId="39479" xr:uid="{09E80358-5C91-4C45-856F-6290C9268320}"/>
    <cellStyle name="40% - Accent2 13 2 4 2 3" xfId="23583" xr:uid="{00000000-0005-0000-0000-0000C4320000}"/>
    <cellStyle name="40% - Accent2 13 2 4 2 3 2" xfId="47415" xr:uid="{A6994A96-09D0-47F2-BC04-29FC741EBEAE}"/>
    <cellStyle name="40% - Accent2 13 2 4 2 4" xfId="31538" xr:uid="{4CD7353D-DE40-4180-A565-E0770C80C07A}"/>
    <cellStyle name="40% - Accent2 13 2 4 3" xfId="12099" xr:uid="{00000000-0005-0000-0000-0000C5320000}"/>
    <cellStyle name="40% - Accent2 13 2 4 3 2" xfId="35948" xr:uid="{3FC04AA2-E7D2-42F0-83F3-55D5B66A696D}"/>
    <cellStyle name="40% - Accent2 13 2 4 4" xfId="20054" xr:uid="{00000000-0005-0000-0000-0000C6320000}"/>
    <cellStyle name="40% - Accent2 13 2 4 4 2" xfId="43886" xr:uid="{9CEE0623-E66E-4007-9DE3-6F6A84E8B446}"/>
    <cellStyle name="40% - Accent2 13 2 4 5" xfId="28007" xr:uid="{1C295FFF-CAFC-4871-9FDD-876214FC8C99}"/>
    <cellStyle name="40% - Accent2 13 2 5" xfId="5894" xr:uid="{00000000-0005-0000-0000-0000C7320000}"/>
    <cellStyle name="40% - Accent2 13 2 5 2" xfId="13878" xr:uid="{00000000-0005-0000-0000-0000C8320000}"/>
    <cellStyle name="40% - Accent2 13 2 5 2 2" xfId="37721" xr:uid="{058ED842-F078-4EE7-A37D-DB48D0279879}"/>
    <cellStyle name="40% - Accent2 13 2 5 3" xfId="21826" xr:uid="{00000000-0005-0000-0000-0000C9320000}"/>
    <cellStyle name="40% - Accent2 13 2 5 3 2" xfId="45658" xr:uid="{FFEF97DD-B221-4C2C-8D29-548F9FA1AC9C}"/>
    <cellStyle name="40% - Accent2 13 2 5 4" xfId="29780" xr:uid="{E028BE86-9E7B-436D-A60A-2EE0260C575B}"/>
    <cellStyle name="40% - Accent2 13 2 6" xfId="9447" xr:uid="{00000000-0005-0000-0000-0000CA320000}"/>
    <cellStyle name="40% - Accent2 13 2 6 2" xfId="17405" xr:uid="{00000000-0005-0000-0000-0000CB320000}"/>
    <cellStyle name="40% - Accent2 13 2 6 2 2" xfId="41245" xr:uid="{346C4E26-AA87-4AEC-BB0D-E43CDB0E41D4}"/>
    <cellStyle name="40% - Accent2 13 2 6 3" xfId="25349" xr:uid="{00000000-0005-0000-0000-0000CC320000}"/>
    <cellStyle name="40% - Accent2 13 2 6 3 2" xfId="49181" xr:uid="{6E8C2164-66CC-4881-9B2F-E6817CE0767A}"/>
    <cellStyle name="40% - Accent2 13 2 6 4" xfId="33304" xr:uid="{9F1D34FE-2508-48C2-8431-8D20E5B01668}"/>
    <cellStyle name="40% - Accent2 13 2 7" xfId="10343" xr:uid="{00000000-0005-0000-0000-0000CD320000}"/>
    <cellStyle name="40% - Accent2 13 2 7 2" xfId="34192" xr:uid="{755A2D31-103E-4888-B126-D882D01A8E22}"/>
    <cellStyle name="40% - Accent2 13 2 8" xfId="18298" xr:uid="{00000000-0005-0000-0000-0000CE320000}"/>
    <cellStyle name="40% - Accent2 13 2 8 2" xfId="42130" xr:uid="{C08A64F2-897F-4C24-BD2A-42DD6B898FDA}"/>
    <cellStyle name="40% - Accent2 13 2 9" xfId="26250" xr:uid="{67EFBA04-BBD8-4592-9B6F-EE2F73C24809}"/>
    <cellStyle name="40% - Accent2 13 2_Exh G" xfId="2834" xr:uid="{00000000-0005-0000-0000-0000CF320000}"/>
    <cellStyle name="40% - Accent2 13 3" xfId="397" xr:uid="{00000000-0005-0000-0000-0000D0320000}"/>
    <cellStyle name="40% - Accent2 13 3 2" xfId="1425" xr:uid="{00000000-0005-0000-0000-0000D1320000}"/>
    <cellStyle name="40% - Accent2 13 3 2 2" xfId="4955" xr:uid="{00000000-0005-0000-0000-0000D2320000}"/>
    <cellStyle name="40% - Accent2 13 3 2 2 2" xfId="8546" xr:uid="{00000000-0005-0000-0000-0000D3320000}"/>
    <cellStyle name="40% - Accent2 13 3 2 2 2 2" xfId="16517" xr:uid="{00000000-0005-0000-0000-0000D4320000}"/>
    <cellStyle name="40% - Accent2 13 3 2 2 2 2 2" xfId="40359" xr:uid="{115954FB-8CD3-4347-98C1-30733990E72D}"/>
    <cellStyle name="40% - Accent2 13 3 2 2 2 3" xfId="24463" xr:uid="{00000000-0005-0000-0000-0000D5320000}"/>
    <cellStyle name="40% - Accent2 13 3 2 2 2 3 2" xfId="48295" xr:uid="{740A36CF-1F1B-4F50-96A2-0556DB4209CB}"/>
    <cellStyle name="40% - Accent2 13 3 2 2 2 4" xfId="32418" xr:uid="{79F5FBFD-0F21-4DE5-953B-3C0ED99CF6A2}"/>
    <cellStyle name="40% - Accent2 13 3 2 2 3" xfId="12979" xr:uid="{00000000-0005-0000-0000-0000D6320000}"/>
    <cellStyle name="40% - Accent2 13 3 2 2 3 2" xfId="36828" xr:uid="{04A84C2B-E312-43DA-AF3D-11B0FABA806D}"/>
    <cellStyle name="40% - Accent2 13 3 2 2 4" xfId="20934" xr:uid="{00000000-0005-0000-0000-0000D7320000}"/>
    <cellStyle name="40% - Accent2 13 3 2 2 4 2" xfId="44766" xr:uid="{F9C4E746-E3C7-42F2-B636-EB94A78D821F}"/>
    <cellStyle name="40% - Accent2 13 3 2 2 5" xfId="28887" xr:uid="{C627E227-7150-4CF7-B273-6E91BD9593A7}"/>
    <cellStyle name="40% - Accent2 13 3 2 3" xfId="6787" xr:uid="{00000000-0005-0000-0000-0000D8320000}"/>
    <cellStyle name="40% - Accent2 13 3 2 3 2" xfId="14759" xr:uid="{00000000-0005-0000-0000-0000D9320000}"/>
    <cellStyle name="40% - Accent2 13 3 2 3 2 2" xfId="38601" xr:uid="{17799ABE-AE41-4CE6-87DA-BBEBF56D044A}"/>
    <cellStyle name="40% - Accent2 13 3 2 3 3" xfId="22706" xr:uid="{00000000-0005-0000-0000-0000DA320000}"/>
    <cellStyle name="40% - Accent2 13 3 2 3 3 2" xfId="46538" xr:uid="{F03BC369-E4DC-40E1-8BF4-FAA80F99D708}"/>
    <cellStyle name="40% - Accent2 13 3 2 3 4" xfId="30660" xr:uid="{A286A739-9A66-4788-A88E-5CE9ACF0B437}"/>
    <cellStyle name="40% - Accent2 13 3 2 4" xfId="11223" xr:uid="{00000000-0005-0000-0000-0000DB320000}"/>
    <cellStyle name="40% - Accent2 13 3 2 4 2" xfId="35072" xr:uid="{4907D354-234E-44B6-93CD-A44095972FA4}"/>
    <cellStyle name="40% - Accent2 13 3 2 5" xfId="19178" xr:uid="{00000000-0005-0000-0000-0000DC320000}"/>
    <cellStyle name="40% - Accent2 13 3 2 5 2" xfId="43010" xr:uid="{DAD27DDE-CCBF-4624-9972-55C40862427F}"/>
    <cellStyle name="40% - Accent2 13 3 2 6" xfId="27130" xr:uid="{2109049D-75CA-4CEA-97E4-64B2300943C1}"/>
    <cellStyle name="40% - Accent2 13 3 2_Exh G" xfId="2839" xr:uid="{00000000-0005-0000-0000-0000DD320000}"/>
    <cellStyle name="40% - Accent2 13 3 3" xfId="4076" xr:uid="{00000000-0005-0000-0000-0000DE320000}"/>
    <cellStyle name="40% - Accent2 13 3 3 2" xfId="7668" xr:uid="{00000000-0005-0000-0000-0000DF320000}"/>
    <cellStyle name="40% - Accent2 13 3 3 2 2" xfId="15639" xr:uid="{00000000-0005-0000-0000-0000E0320000}"/>
    <cellStyle name="40% - Accent2 13 3 3 2 2 2" xfId="39481" xr:uid="{65644F0A-800B-465B-B171-259BD6A1BF3B}"/>
    <cellStyle name="40% - Accent2 13 3 3 2 3" xfId="23585" xr:uid="{00000000-0005-0000-0000-0000E1320000}"/>
    <cellStyle name="40% - Accent2 13 3 3 2 3 2" xfId="47417" xr:uid="{B75392EE-CF70-41EE-A9AA-EF43942C90BD}"/>
    <cellStyle name="40% - Accent2 13 3 3 2 4" xfId="31540" xr:uid="{CE1FBAF0-C3CA-49E0-B514-5EA694C5F792}"/>
    <cellStyle name="40% - Accent2 13 3 3 3" xfId="12101" xr:uid="{00000000-0005-0000-0000-0000E2320000}"/>
    <cellStyle name="40% - Accent2 13 3 3 3 2" xfId="35950" xr:uid="{C60D4092-5A24-424D-8C63-93DD14869C8F}"/>
    <cellStyle name="40% - Accent2 13 3 3 4" xfId="20056" xr:uid="{00000000-0005-0000-0000-0000E3320000}"/>
    <cellStyle name="40% - Accent2 13 3 3 4 2" xfId="43888" xr:uid="{54BCD3EA-BF45-44AA-8FC6-E790521A926A}"/>
    <cellStyle name="40% - Accent2 13 3 3 5" xfId="28009" xr:uid="{C2BCDB90-1326-405F-B71C-A9467CF130CF}"/>
    <cellStyle name="40% - Accent2 13 3 4" xfId="5896" xr:uid="{00000000-0005-0000-0000-0000E4320000}"/>
    <cellStyle name="40% - Accent2 13 3 4 2" xfId="13880" xr:uid="{00000000-0005-0000-0000-0000E5320000}"/>
    <cellStyle name="40% - Accent2 13 3 4 2 2" xfId="37723" xr:uid="{A26F2504-A6CD-4059-B397-80A5A28018C4}"/>
    <cellStyle name="40% - Accent2 13 3 4 3" xfId="21828" xr:uid="{00000000-0005-0000-0000-0000E6320000}"/>
    <cellStyle name="40% - Accent2 13 3 4 3 2" xfId="45660" xr:uid="{397542D3-B62B-42FD-9BB9-8FC6138094F6}"/>
    <cellStyle name="40% - Accent2 13 3 4 4" xfId="29782" xr:uid="{A8D582E7-4846-42D6-A173-7759EB3B3D0E}"/>
    <cellStyle name="40% - Accent2 13 3 5" xfId="9449" xr:uid="{00000000-0005-0000-0000-0000E7320000}"/>
    <cellStyle name="40% - Accent2 13 3 5 2" xfId="17407" xr:uid="{00000000-0005-0000-0000-0000E8320000}"/>
    <cellStyle name="40% - Accent2 13 3 5 2 2" xfId="41247" xr:uid="{80CF0E9A-65B8-4BC6-8B92-072E8E95DE04}"/>
    <cellStyle name="40% - Accent2 13 3 5 3" xfId="25351" xr:uid="{00000000-0005-0000-0000-0000E9320000}"/>
    <cellStyle name="40% - Accent2 13 3 5 3 2" xfId="49183" xr:uid="{23FA79CA-36A5-465C-99C9-D63C96CD1BC8}"/>
    <cellStyle name="40% - Accent2 13 3 5 4" xfId="33306" xr:uid="{9C8F76C9-CC1F-46E8-B392-E074CBA18AC8}"/>
    <cellStyle name="40% - Accent2 13 3 6" xfId="10345" xr:uid="{00000000-0005-0000-0000-0000EA320000}"/>
    <cellStyle name="40% - Accent2 13 3 6 2" xfId="34194" xr:uid="{2C37FEB6-FD77-427D-A496-4710872CC943}"/>
    <cellStyle name="40% - Accent2 13 3 7" xfId="18300" xr:uid="{00000000-0005-0000-0000-0000EB320000}"/>
    <cellStyle name="40% - Accent2 13 3 7 2" xfId="42132" xr:uid="{FF61D243-04B6-4A8D-9D7B-37F3054C7199}"/>
    <cellStyle name="40% - Accent2 13 3 8" xfId="26252" xr:uid="{CD2CBA4B-E086-445F-8324-84CB20578AA3}"/>
    <cellStyle name="40% - Accent2 13 3_Exh G" xfId="2838" xr:uid="{00000000-0005-0000-0000-0000EC320000}"/>
    <cellStyle name="40% - Accent2 13 4" xfId="1422" xr:uid="{00000000-0005-0000-0000-0000ED320000}"/>
    <cellStyle name="40% - Accent2 13 4 2" xfId="4952" xr:uid="{00000000-0005-0000-0000-0000EE320000}"/>
    <cellStyle name="40% - Accent2 13 4 2 2" xfId="8543" xr:uid="{00000000-0005-0000-0000-0000EF320000}"/>
    <cellStyle name="40% - Accent2 13 4 2 2 2" xfId="16514" xr:uid="{00000000-0005-0000-0000-0000F0320000}"/>
    <cellStyle name="40% - Accent2 13 4 2 2 2 2" xfId="40356" xr:uid="{F44CFB28-8B8E-4495-97DA-C97FBD4B36B4}"/>
    <cellStyle name="40% - Accent2 13 4 2 2 3" xfId="24460" xr:uid="{00000000-0005-0000-0000-0000F1320000}"/>
    <cellStyle name="40% - Accent2 13 4 2 2 3 2" xfId="48292" xr:uid="{9071A79C-7403-42E3-8B5C-B4D75B44E8D6}"/>
    <cellStyle name="40% - Accent2 13 4 2 2 4" xfId="32415" xr:uid="{3A686A56-AAA5-45F8-A640-D63910460131}"/>
    <cellStyle name="40% - Accent2 13 4 2 3" xfId="12976" xr:uid="{00000000-0005-0000-0000-0000F2320000}"/>
    <cellStyle name="40% - Accent2 13 4 2 3 2" xfId="36825" xr:uid="{33FC6731-971B-40AB-A03C-CD73828DD9F8}"/>
    <cellStyle name="40% - Accent2 13 4 2 4" xfId="20931" xr:uid="{00000000-0005-0000-0000-0000F3320000}"/>
    <cellStyle name="40% - Accent2 13 4 2 4 2" xfId="44763" xr:uid="{EFC9A43D-0133-4B4D-BF5D-5417FA7FFEE3}"/>
    <cellStyle name="40% - Accent2 13 4 2 5" xfId="28884" xr:uid="{7DF16267-7591-456A-B5A5-B1FBD21E5B6D}"/>
    <cellStyle name="40% - Accent2 13 4 3" xfId="6784" xr:uid="{00000000-0005-0000-0000-0000F4320000}"/>
    <cellStyle name="40% - Accent2 13 4 3 2" xfId="14756" xr:uid="{00000000-0005-0000-0000-0000F5320000}"/>
    <cellStyle name="40% - Accent2 13 4 3 2 2" xfId="38598" xr:uid="{5D2D2E30-E268-4B3B-B302-2C0AE39E4874}"/>
    <cellStyle name="40% - Accent2 13 4 3 3" xfId="22703" xr:uid="{00000000-0005-0000-0000-0000F6320000}"/>
    <cellStyle name="40% - Accent2 13 4 3 3 2" xfId="46535" xr:uid="{F820D9CA-046A-475D-AE3E-F5F83CC284AC}"/>
    <cellStyle name="40% - Accent2 13 4 3 4" xfId="30657" xr:uid="{62A0F472-FED2-4D02-9417-7305D72CF25A}"/>
    <cellStyle name="40% - Accent2 13 4 4" xfId="11220" xr:uid="{00000000-0005-0000-0000-0000F7320000}"/>
    <cellStyle name="40% - Accent2 13 4 4 2" xfId="35069" xr:uid="{FE77C8F0-D7BA-4547-BEF9-C2667FB54EA2}"/>
    <cellStyle name="40% - Accent2 13 4 5" xfId="19175" xr:uid="{00000000-0005-0000-0000-0000F8320000}"/>
    <cellStyle name="40% - Accent2 13 4 5 2" xfId="43007" xr:uid="{D0D698AB-2D0F-46B7-AB22-9B27518AEC1A}"/>
    <cellStyle name="40% - Accent2 13 4 6" xfId="27127" xr:uid="{D489F114-F684-4888-90D3-B00508219D5E}"/>
    <cellStyle name="40% - Accent2 13 4_Exh G" xfId="2840" xr:uid="{00000000-0005-0000-0000-0000F9320000}"/>
    <cellStyle name="40% - Accent2 13 5" xfId="4073" xr:uid="{00000000-0005-0000-0000-0000FA320000}"/>
    <cellStyle name="40% - Accent2 13 5 2" xfId="7665" xr:uid="{00000000-0005-0000-0000-0000FB320000}"/>
    <cellStyle name="40% - Accent2 13 5 2 2" xfId="15636" xr:uid="{00000000-0005-0000-0000-0000FC320000}"/>
    <cellStyle name="40% - Accent2 13 5 2 2 2" xfId="39478" xr:uid="{B6C3E0F4-8C4A-4D78-B143-0ECFBBCAD1A7}"/>
    <cellStyle name="40% - Accent2 13 5 2 3" xfId="23582" xr:uid="{00000000-0005-0000-0000-0000FD320000}"/>
    <cellStyle name="40% - Accent2 13 5 2 3 2" xfId="47414" xr:uid="{49A6A795-F6BE-4970-9EA6-2254AB0820C6}"/>
    <cellStyle name="40% - Accent2 13 5 2 4" xfId="31537" xr:uid="{D49F4824-76CC-4441-9DF4-E8D776A49BD2}"/>
    <cellStyle name="40% - Accent2 13 5 3" xfId="12098" xr:uid="{00000000-0005-0000-0000-0000FE320000}"/>
    <cellStyle name="40% - Accent2 13 5 3 2" xfId="35947" xr:uid="{9BEFA9F1-6667-4297-B7A0-86154C9D30FC}"/>
    <cellStyle name="40% - Accent2 13 5 4" xfId="20053" xr:uid="{00000000-0005-0000-0000-0000FF320000}"/>
    <cellStyle name="40% - Accent2 13 5 4 2" xfId="43885" xr:uid="{2EEDF8C8-6CD1-4568-9CE6-E4ABD02A60F4}"/>
    <cellStyle name="40% - Accent2 13 5 5" xfId="28006" xr:uid="{416E08A6-ABCB-43CF-A98F-446471906BA0}"/>
    <cellStyle name="40% - Accent2 13 6" xfId="5893" xr:uid="{00000000-0005-0000-0000-000000330000}"/>
    <cellStyle name="40% - Accent2 13 6 2" xfId="13877" xr:uid="{00000000-0005-0000-0000-000001330000}"/>
    <cellStyle name="40% - Accent2 13 6 2 2" xfId="37720" xr:uid="{E2E4BA15-54FD-4CD8-AA39-F49ACA0567FD}"/>
    <cellStyle name="40% - Accent2 13 6 3" xfId="21825" xr:uid="{00000000-0005-0000-0000-000002330000}"/>
    <cellStyle name="40% - Accent2 13 6 3 2" xfId="45657" xr:uid="{7113E17D-1EB3-4022-AC34-AC4D7C981AD9}"/>
    <cellStyle name="40% - Accent2 13 6 4" xfId="29779" xr:uid="{34ED8C80-F8E8-448C-893D-FF1D1D8C3A03}"/>
    <cellStyle name="40% - Accent2 13 7" xfId="9446" xr:uid="{00000000-0005-0000-0000-000003330000}"/>
    <cellStyle name="40% - Accent2 13 7 2" xfId="17404" xr:uid="{00000000-0005-0000-0000-000004330000}"/>
    <cellStyle name="40% - Accent2 13 7 2 2" xfId="41244" xr:uid="{E54E1310-6FC9-4A39-99B2-D571DF995EBA}"/>
    <cellStyle name="40% - Accent2 13 7 3" xfId="25348" xr:uid="{00000000-0005-0000-0000-000005330000}"/>
    <cellStyle name="40% - Accent2 13 7 3 2" xfId="49180" xr:uid="{7705D7A3-EE63-485C-BA22-57BD200A7A2C}"/>
    <cellStyle name="40% - Accent2 13 7 4" xfId="33303" xr:uid="{51A046C9-26D3-4A56-8E62-3AB6406AC120}"/>
    <cellStyle name="40% - Accent2 13 8" xfId="10342" xr:uid="{00000000-0005-0000-0000-000006330000}"/>
    <cellStyle name="40% - Accent2 13 8 2" xfId="34191" xr:uid="{51129DBE-1CEB-4CFF-B2DA-3468A3002CEE}"/>
    <cellStyle name="40% - Accent2 13 9" xfId="18297" xr:uid="{00000000-0005-0000-0000-000007330000}"/>
    <cellStyle name="40% - Accent2 13 9 2" xfId="42129" xr:uid="{76FCAA12-B105-4077-9587-09DAA039EB07}"/>
    <cellStyle name="40% - Accent2 13_Exh G" xfId="2833" xr:uid="{00000000-0005-0000-0000-000008330000}"/>
    <cellStyle name="40% - Accent2 14" xfId="398" xr:uid="{00000000-0005-0000-0000-000009330000}"/>
    <cellStyle name="40% - Accent2 14 2" xfId="399" xr:uid="{00000000-0005-0000-0000-00000A330000}"/>
    <cellStyle name="40% - Accent2 14 2 2" xfId="1427" xr:uid="{00000000-0005-0000-0000-00000B330000}"/>
    <cellStyle name="40% - Accent2 14 2 2 2" xfId="4957" xr:uid="{00000000-0005-0000-0000-00000C330000}"/>
    <cellStyle name="40% - Accent2 14 2 2 2 2" xfId="8548" xr:uid="{00000000-0005-0000-0000-00000D330000}"/>
    <cellStyle name="40% - Accent2 14 2 2 2 2 2" xfId="16519" xr:uid="{00000000-0005-0000-0000-00000E330000}"/>
    <cellStyle name="40% - Accent2 14 2 2 2 2 2 2" xfId="40361" xr:uid="{5BCD6900-64B0-4F4B-95A9-FCC0F57E9969}"/>
    <cellStyle name="40% - Accent2 14 2 2 2 2 3" xfId="24465" xr:uid="{00000000-0005-0000-0000-00000F330000}"/>
    <cellStyle name="40% - Accent2 14 2 2 2 2 3 2" xfId="48297" xr:uid="{D3B1FF6B-5FA7-4461-A854-281162470E7C}"/>
    <cellStyle name="40% - Accent2 14 2 2 2 2 4" xfId="32420" xr:uid="{AAF4CFB9-9656-45E1-AC35-EDDB14520AC3}"/>
    <cellStyle name="40% - Accent2 14 2 2 2 3" xfId="12981" xr:uid="{00000000-0005-0000-0000-000010330000}"/>
    <cellStyle name="40% - Accent2 14 2 2 2 3 2" xfId="36830" xr:uid="{06E517E7-6317-4A18-A89D-C28EFFBF0CC8}"/>
    <cellStyle name="40% - Accent2 14 2 2 2 4" xfId="20936" xr:uid="{00000000-0005-0000-0000-000011330000}"/>
    <cellStyle name="40% - Accent2 14 2 2 2 4 2" xfId="44768" xr:uid="{8CA2056E-E24E-47F1-A435-12315F1C5E5F}"/>
    <cellStyle name="40% - Accent2 14 2 2 2 5" xfId="28889" xr:uid="{EF6F0859-DDB1-4354-A339-018B74145450}"/>
    <cellStyle name="40% - Accent2 14 2 2 3" xfId="6789" xr:uid="{00000000-0005-0000-0000-000012330000}"/>
    <cellStyle name="40% - Accent2 14 2 2 3 2" xfId="14761" xr:uid="{00000000-0005-0000-0000-000013330000}"/>
    <cellStyle name="40% - Accent2 14 2 2 3 2 2" xfId="38603" xr:uid="{CBBB4017-BD98-4565-A294-73C620B84FA2}"/>
    <cellStyle name="40% - Accent2 14 2 2 3 3" xfId="22708" xr:uid="{00000000-0005-0000-0000-000014330000}"/>
    <cellStyle name="40% - Accent2 14 2 2 3 3 2" xfId="46540" xr:uid="{1CA40BE3-AD7C-4C6E-B0B4-69A6885CEEF7}"/>
    <cellStyle name="40% - Accent2 14 2 2 3 4" xfId="30662" xr:uid="{25B75122-C144-4991-BC74-B13A7319ED8D}"/>
    <cellStyle name="40% - Accent2 14 2 2 4" xfId="11225" xr:uid="{00000000-0005-0000-0000-000015330000}"/>
    <cellStyle name="40% - Accent2 14 2 2 4 2" xfId="35074" xr:uid="{E408DE37-7CDE-4AC1-AF63-0F1473542789}"/>
    <cellStyle name="40% - Accent2 14 2 2 5" xfId="19180" xr:uid="{00000000-0005-0000-0000-000016330000}"/>
    <cellStyle name="40% - Accent2 14 2 2 5 2" xfId="43012" xr:uid="{2AE498A1-3F5D-42BF-9FEF-F6E2DA5B207C}"/>
    <cellStyle name="40% - Accent2 14 2 2 6" xfId="27132" xr:uid="{2A937D53-9D42-48E6-98B3-EB6E9F201EDF}"/>
    <cellStyle name="40% - Accent2 14 2 2_Exh G" xfId="2843" xr:uid="{00000000-0005-0000-0000-000017330000}"/>
    <cellStyle name="40% - Accent2 14 2 3" xfId="4078" xr:uid="{00000000-0005-0000-0000-000018330000}"/>
    <cellStyle name="40% - Accent2 14 2 3 2" xfId="7670" xr:uid="{00000000-0005-0000-0000-000019330000}"/>
    <cellStyle name="40% - Accent2 14 2 3 2 2" xfId="15641" xr:uid="{00000000-0005-0000-0000-00001A330000}"/>
    <cellStyle name="40% - Accent2 14 2 3 2 2 2" xfId="39483" xr:uid="{33CBE5A2-E569-43E3-A79D-61DDE748089B}"/>
    <cellStyle name="40% - Accent2 14 2 3 2 3" xfId="23587" xr:uid="{00000000-0005-0000-0000-00001B330000}"/>
    <cellStyle name="40% - Accent2 14 2 3 2 3 2" xfId="47419" xr:uid="{3A83C96F-68A3-4C1D-8215-FBED9607F9F7}"/>
    <cellStyle name="40% - Accent2 14 2 3 2 4" xfId="31542" xr:uid="{5155371B-71F7-4E70-BFEF-593D2F66C3B5}"/>
    <cellStyle name="40% - Accent2 14 2 3 3" xfId="12103" xr:uid="{00000000-0005-0000-0000-00001C330000}"/>
    <cellStyle name="40% - Accent2 14 2 3 3 2" xfId="35952" xr:uid="{D3F8FA12-B286-477E-8BD5-19FA369ED405}"/>
    <cellStyle name="40% - Accent2 14 2 3 4" xfId="20058" xr:uid="{00000000-0005-0000-0000-00001D330000}"/>
    <cellStyle name="40% - Accent2 14 2 3 4 2" xfId="43890" xr:uid="{3187B58E-4DE1-4409-816B-E335571B8331}"/>
    <cellStyle name="40% - Accent2 14 2 3 5" xfId="28011" xr:uid="{F0117494-93D6-4DD2-8A4D-77C3382965F6}"/>
    <cellStyle name="40% - Accent2 14 2 4" xfId="5898" xr:uid="{00000000-0005-0000-0000-00001E330000}"/>
    <cellStyle name="40% - Accent2 14 2 4 2" xfId="13882" xr:uid="{00000000-0005-0000-0000-00001F330000}"/>
    <cellStyle name="40% - Accent2 14 2 4 2 2" xfId="37725" xr:uid="{F7A9EE28-90B5-43B6-A6B8-47845CDFEDFC}"/>
    <cellStyle name="40% - Accent2 14 2 4 3" xfId="21830" xr:uid="{00000000-0005-0000-0000-000020330000}"/>
    <cellStyle name="40% - Accent2 14 2 4 3 2" xfId="45662" xr:uid="{90CC8162-9423-4A46-9B99-D3ECF1268FE7}"/>
    <cellStyle name="40% - Accent2 14 2 4 4" xfId="29784" xr:uid="{E7F73187-6A3F-4D46-8594-9CA4BDBAD683}"/>
    <cellStyle name="40% - Accent2 14 2 5" xfId="9451" xr:uid="{00000000-0005-0000-0000-000021330000}"/>
    <cellStyle name="40% - Accent2 14 2 5 2" xfId="17409" xr:uid="{00000000-0005-0000-0000-000022330000}"/>
    <cellStyle name="40% - Accent2 14 2 5 2 2" xfId="41249" xr:uid="{C89F7B87-6562-44B5-915D-080971FCABB9}"/>
    <cellStyle name="40% - Accent2 14 2 5 3" xfId="25353" xr:uid="{00000000-0005-0000-0000-000023330000}"/>
    <cellStyle name="40% - Accent2 14 2 5 3 2" xfId="49185" xr:uid="{D3E5D7BF-657B-432B-9E00-4C7F952E6C36}"/>
    <cellStyle name="40% - Accent2 14 2 5 4" xfId="33308" xr:uid="{846ABE02-D305-40A5-9E85-D28DE4E30652}"/>
    <cellStyle name="40% - Accent2 14 2 6" xfId="10347" xr:uid="{00000000-0005-0000-0000-000024330000}"/>
    <cellStyle name="40% - Accent2 14 2 6 2" xfId="34196" xr:uid="{D52227BB-BA41-4E98-9789-A2B3FB8A8264}"/>
    <cellStyle name="40% - Accent2 14 2 7" xfId="18302" xr:uid="{00000000-0005-0000-0000-000025330000}"/>
    <cellStyle name="40% - Accent2 14 2 7 2" xfId="42134" xr:uid="{EB762E25-1B3E-4C1B-AEE8-368B4465636D}"/>
    <cellStyle name="40% - Accent2 14 2 8" xfId="26254" xr:uid="{F032B6F2-417B-46C7-9442-181265A35095}"/>
    <cellStyle name="40% - Accent2 14 2_Exh G" xfId="2842" xr:uid="{00000000-0005-0000-0000-000026330000}"/>
    <cellStyle name="40% - Accent2 14 3" xfId="1426" xr:uid="{00000000-0005-0000-0000-000027330000}"/>
    <cellStyle name="40% - Accent2 14 3 2" xfId="4956" xr:uid="{00000000-0005-0000-0000-000028330000}"/>
    <cellStyle name="40% - Accent2 14 3 2 2" xfId="8547" xr:uid="{00000000-0005-0000-0000-000029330000}"/>
    <cellStyle name="40% - Accent2 14 3 2 2 2" xfId="16518" xr:uid="{00000000-0005-0000-0000-00002A330000}"/>
    <cellStyle name="40% - Accent2 14 3 2 2 2 2" xfId="40360" xr:uid="{622DB176-5096-487D-92DC-DD1E2732CCED}"/>
    <cellStyle name="40% - Accent2 14 3 2 2 3" xfId="24464" xr:uid="{00000000-0005-0000-0000-00002B330000}"/>
    <cellStyle name="40% - Accent2 14 3 2 2 3 2" xfId="48296" xr:uid="{EF0C8C9A-CB5E-4B9F-9D8B-3E3D7988B320}"/>
    <cellStyle name="40% - Accent2 14 3 2 2 4" xfId="32419" xr:uid="{FFD52264-D402-4870-A0B2-6C7F2F1FDB0A}"/>
    <cellStyle name="40% - Accent2 14 3 2 3" xfId="12980" xr:uid="{00000000-0005-0000-0000-00002C330000}"/>
    <cellStyle name="40% - Accent2 14 3 2 3 2" xfId="36829" xr:uid="{EC51033A-20EA-4886-917E-D2BB5C2292F8}"/>
    <cellStyle name="40% - Accent2 14 3 2 4" xfId="20935" xr:uid="{00000000-0005-0000-0000-00002D330000}"/>
    <cellStyle name="40% - Accent2 14 3 2 4 2" xfId="44767" xr:uid="{99ADF378-F8C2-47C4-B8CA-DEBA2085AFB1}"/>
    <cellStyle name="40% - Accent2 14 3 2 5" xfId="28888" xr:uid="{F58B32F6-CD11-4E98-B5B6-1F028035A9E8}"/>
    <cellStyle name="40% - Accent2 14 3 3" xfId="6788" xr:uid="{00000000-0005-0000-0000-00002E330000}"/>
    <cellStyle name="40% - Accent2 14 3 3 2" xfId="14760" xr:uid="{00000000-0005-0000-0000-00002F330000}"/>
    <cellStyle name="40% - Accent2 14 3 3 2 2" xfId="38602" xr:uid="{B151DCC5-E065-4684-9339-D9C1767299E7}"/>
    <cellStyle name="40% - Accent2 14 3 3 3" xfId="22707" xr:uid="{00000000-0005-0000-0000-000030330000}"/>
    <cellStyle name="40% - Accent2 14 3 3 3 2" xfId="46539" xr:uid="{559C8068-AD02-4B51-BFC9-8F6A7CA168B5}"/>
    <cellStyle name="40% - Accent2 14 3 3 4" xfId="30661" xr:uid="{EDA31C9C-0777-4FD1-9B72-45A1619B3DF7}"/>
    <cellStyle name="40% - Accent2 14 3 4" xfId="11224" xr:uid="{00000000-0005-0000-0000-000031330000}"/>
    <cellStyle name="40% - Accent2 14 3 4 2" xfId="35073" xr:uid="{2A1C0570-67D7-4319-AB5D-5C10A1373B01}"/>
    <cellStyle name="40% - Accent2 14 3 5" xfId="19179" xr:uid="{00000000-0005-0000-0000-000032330000}"/>
    <cellStyle name="40% - Accent2 14 3 5 2" xfId="43011" xr:uid="{CC3D39BD-134E-4FD5-9309-0AC960A9BE31}"/>
    <cellStyle name="40% - Accent2 14 3 6" xfId="27131" xr:uid="{55990E36-8A6F-446B-9079-FBC9FD2A0BB7}"/>
    <cellStyle name="40% - Accent2 14 3_Exh G" xfId="2844" xr:uid="{00000000-0005-0000-0000-000033330000}"/>
    <cellStyle name="40% - Accent2 14 4" xfId="4077" xr:uid="{00000000-0005-0000-0000-000034330000}"/>
    <cellStyle name="40% - Accent2 14 4 2" xfId="7669" xr:uid="{00000000-0005-0000-0000-000035330000}"/>
    <cellStyle name="40% - Accent2 14 4 2 2" xfId="15640" xr:uid="{00000000-0005-0000-0000-000036330000}"/>
    <cellStyle name="40% - Accent2 14 4 2 2 2" xfId="39482" xr:uid="{C8E9A2AD-F311-423C-A5CD-4CE7986D976C}"/>
    <cellStyle name="40% - Accent2 14 4 2 3" xfId="23586" xr:uid="{00000000-0005-0000-0000-000037330000}"/>
    <cellStyle name="40% - Accent2 14 4 2 3 2" xfId="47418" xr:uid="{CE654F12-F8AF-44D7-A29F-3CEE66FB90A0}"/>
    <cellStyle name="40% - Accent2 14 4 2 4" xfId="31541" xr:uid="{437A25C4-7DD5-4055-B29D-04BBCB5730B1}"/>
    <cellStyle name="40% - Accent2 14 4 3" xfId="12102" xr:uid="{00000000-0005-0000-0000-000038330000}"/>
    <cellStyle name="40% - Accent2 14 4 3 2" xfId="35951" xr:uid="{EA55A769-1960-40D1-8B7F-09A511392233}"/>
    <cellStyle name="40% - Accent2 14 4 4" xfId="20057" xr:uid="{00000000-0005-0000-0000-000039330000}"/>
    <cellStyle name="40% - Accent2 14 4 4 2" xfId="43889" xr:uid="{8BFF4497-0623-4846-87C1-027B321BC0BB}"/>
    <cellStyle name="40% - Accent2 14 4 5" xfId="28010" xr:uid="{339E766F-B9C1-493A-8FF1-18A56A93CCDA}"/>
    <cellStyle name="40% - Accent2 14 5" xfId="5897" xr:uid="{00000000-0005-0000-0000-00003A330000}"/>
    <cellStyle name="40% - Accent2 14 5 2" xfId="13881" xr:uid="{00000000-0005-0000-0000-00003B330000}"/>
    <cellStyle name="40% - Accent2 14 5 2 2" xfId="37724" xr:uid="{3A47972C-0B5B-4EF2-8345-C985FD32522F}"/>
    <cellStyle name="40% - Accent2 14 5 3" xfId="21829" xr:uid="{00000000-0005-0000-0000-00003C330000}"/>
    <cellStyle name="40% - Accent2 14 5 3 2" xfId="45661" xr:uid="{B7BBA4F2-462B-4F65-B4CD-7F2477CF7957}"/>
    <cellStyle name="40% - Accent2 14 5 4" xfId="29783" xr:uid="{807FFC79-23B6-4729-9E4D-8FA680160BC0}"/>
    <cellStyle name="40% - Accent2 14 6" xfId="9450" xr:uid="{00000000-0005-0000-0000-00003D330000}"/>
    <cellStyle name="40% - Accent2 14 6 2" xfId="17408" xr:uid="{00000000-0005-0000-0000-00003E330000}"/>
    <cellStyle name="40% - Accent2 14 6 2 2" xfId="41248" xr:uid="{593593EF-3E24-4904-BB3E-3AE7DF45B7C7}"/>
    <cellStyle name="40% - Accent2 14 6 3" xfId="25352" xr:uid="{00000000-0005-0000-0000-00003F330000}"/>
    <cellStyle name="40% - Accent2 14 6 3 2" xfId="49184" xr:uid="{A81ECAC8-E146-425B-A675-9152A5725A26}"/>
    <cellStyle name="40% - Accent2 14 6 4" xfId="33307" xr:uid="{B7A2F412-C2F1-415A-8A90-FB37EF2098E5}"/>
    <cellStyle name="40% - Accent2 14 7" xfId="10346" xr:uid="{00000000-0005-0000-0000-000040330000}"/>
    <cellStyle name="40% - Accent2 14 7 2" xfId="34195" xr:uid="{FE56F25D-B69F-4E9A-A676-C45975E7F909}"/>
    <cellStyle name="40% - Accent2 14 8" xfId="18301" xr:uid="{00000000-0005-0000-0000-000041330000}"/>
    <cellStyle name="40% - Accent2 14 8 2" xfId="42133" xr:uid="{A6E5846C-BA29-42BC-9FC5-36854BDD3E42}"/>
    <cellStyle name="40% - Accent2 14 9" xfId="26253" xr:uid="{D84C2C7E-360A-4A1A-BC60-A5461E1B812A}"/>
    <cellStyle name="40% - Accent2 14_Exh G" xfId="2841" xr:uid="{00000000-0005-0000-0000-000042330000}"/>
    <cellStyle name="40% - Accent2 15" xfId="400" xr:uid="{00000000-0005-0000-0000-000043330000}"/>
    <cellStyle name="40% - Accent2 15 2" xfId="1428" xr:uid="{00000000-0005-0000-0000-000044330000}"/>
    <cellStyle name="40% - Accent2 15 2 2" xfId="4958" xr:uid="{00000000-0005-0000-0000-000045330000}"/>
    <cellStyle name="40% - Accent2 15 2 2 2" xfId="8549" xr:uid="{00000000-0005-0000-0000-000046330000}"/>
    <cellStyle name="40% - Accent2 15 2 2 2 2" xfId="16520" xr:uid="{00000000-0005-0000-0000-000047330000}"/>
    <cellStyle name="40% - Accent2 15 2 2 2 2 2" xfId="40362" xr:uid="{BBD629FC-1D4B-40B7-963F-D8BE6B56D2B7}"/>
    <cellStyle name="40% - Accent2 15 2 2 2 3" xfId="24466" xr:uid="{00000000-0005-0000-0000-000048330000}"/>
    <cellStyle name="40% - Accent2 15 2 2 2 3 2" xfId="48298" xr:uid="{FA710B56-7A62-4035-9DE7-F1C8907232B2}"/>
    <cellStyle name="40% - Accent2 15 2 2 2 4" xfId="32421" xr:uid="{3C52763E-3743-46FF-B561-F189190F9BB0}"/>
    <cellStyle name="40% - Accent2 15 2 2 3" xfId="12982" xr:uid="{00000000-0005-0000-0000-000049330000}"/>
    <cellStyle name="40% - Accent2 15 2 2 3 2" xfId="36831" xr:uid="{58671501-D65A-42AF-91F2-3ED187829A5A}"/>
    <cellStyle name="40% - Accent2 15 2 2 4" xfId="20937" xr:uid="{00000000-0005-0000-0000-00004A330000}"/>
    <cellStyle name="40% - Accent2 15 2 2 4 2" xfId="44769" xr:uid="{73D6F0D4-67A4-4629-974B-99AFCCD3D012}"/>
    <cellStyle name="40% - Accent2 15 2 2 5" xfId="28890" xr:uid="{4401E994-E647-4D19-8002-00C75633A2D5}"/>
    <cellStyle name="40% - Accent2 15 2 3" xfId="6790" xr:uid="{00000000-0005-0000-0000-00004B330000}"/>
    <cellStyle name="40% - Accent2 15 2 3 2" xfId="14762" xr:uid="{00000000-0005-0000-0000-00004C330000}"/>
    <cellStyle name="40% - Accent2 15 2 3 2 2" xfId="38604" xr:uid="{82E83214-415C-467F-BFE1-113304F01C3A}"/>
    <cellStyle name="40% - Accent2 15 2 3 3" xfId="22709" xr:uid="{00000000-0005-0000-0000-00004D330000}"/>
    <cellStyle name="40% - Accent2 15 2 3 3 2" xfId="46541" xr:uid="{E57D98E2-19BC-49DF-B4C4-E6F96E4D2ABE}"/>
    <cellStyle name="40% - Accent2 15 2 3 4" xfId="30663" xr:uid="{2668F8E7-E11D-4099-8F1E-B482C32DBD5E}"/>
    <cellStyle name="40% - Accent2 15 2 4" xfId="11226" xr:uid="{00000000-0005-0000-0000-00004E330000}"/>
    <cellStyle name="40% - Accent2 15 2 4 2" xfId="35075" xr:uid="{BF86416A-1381-4F8E-88CB-AC3162787038}"/>
    <cellStyle name="40% - Accent2 15 2 5" xfId="19181" xr:uid="{00000000-0005-0000-0000-00004F330000}"/>
    <cellStyle name="40% - Accent2 15 2 5 2" xfId="43013" xr:uid="{977CFF5C-2C24-46AF-A437-A9F447BF0875}"/>
    <cellStyle name="40% - Accent2 15 2 6" xfId="27133" xr:uid="{CA2CE4AD-3447-48B6-803F-5381D6768C93}"/>
    <cellStyle name="40% - Accent2 15 2_Exh G" xfId="2846" xr:uid="{00000000-0005-0000-0000-000050330000}"/>
    <cellStyle name="40% - Accent2 15 3" xfId="4079" xr:uid="{00000000-0005-0000-0000-000051330000}"/>
    <cellStyle name="40% - Accent2 15 3 2" xfId="7671" xr:uid="{00000000-0005-0000-0000-000052330000}"/>
    <cellStyle name="40% - Accent2 15 3 2 2" xfId="15642" xr:uid="{00000000-0005-0000-0000-000053330000}"/>
    <cellStyle name="40% - Accent2 15 3 2 2 2" xfId="39484" xr:uid="{A9DD2CAE-B0CE-4AE4-832F-E521A1DBD7D8}"/>
    <cellStyle name="40% - Accent2 15 3 2 3" xfId="23588" xr:uid="{00000000-0005-0000-0000-000054330000}"/>
    <cellStyle name="40% - Accent2 15 3 2 3 2" xfId="47420" xr:uid="{1728C54A-C708-465D-88B7-56D3126D99F1}"/>
    <cellStyle name="40% - Accent2 15 3 2 4" xfId="31543" xr:uid="{A07F3ED7-BAD4-4FF1-9503-3676140D721F}"/>
    <cellStyle name="40% - Accent2 15 3 3" xfId="12104" xr:uid="{00000000-0005-0000-0000-000055330000}"/>
    <cellStyle name="40% - Accent2 15 3 3 2" xfId="35953" xr:uid="{3B696EAC-3C1F-4923-B020-0F0EA57F9FE6}"/>
    <cellStyle name="40% - Accent2 15 3 4" xfId="20059" xr:uid="{00000000-0005-0000-0000-000056330000}"/>
    <cellStyle name="40% - Accent2 15 3 4 2" xfId="43891" xr:uid="{87FAE86E-871C-4E18-847B-C9AA3A58C5D1}"/>
    <cellStyle name="40% - Accent2 15 3 5" xfId="28012" xr:uid="{B562DE6E-F1EB-4028-86E2-FF3C95A73714}"/>
    <cellStyle name="40% - Accent2 15 4" xfId="5899" xr:uid="{00000000-0005-0000-0000-000057330000}"/>
    <cellStyle name="40% - Accent2 15 4 2" xfId="13883" xr:uid="{00000000-0005-0000-0000-000058330000}"/>
    <cellStyle name="40% - Accent2 15 4 2 2" xfId="37726" xr:uid="{2ACFF2D9-221C-4FEF-93D6-1048B402A7E5}"/>
    <cellStyle name="40% - Accent2 15 4 3" xfId="21831" xr:uid="{00000000-0005-0000-0000-000059330000}"/>
    <cellStyle name="40% - Accent2 15 4 3 2" xfId="45663" xr:uid="{D7A749E6-B0E0-4631-B1D8-16A8F555ED62}"/>
    <cellStyle name="40% - Accent2 15 4 4" xfId="29785" xr:uid="{ABFBEC5D-1CD0-4C96-8357-304CAC38BA1F}"/>
    <cellStyle name="40% - Accent2 15 5" xfId="9452" xr:uid="{00000000-0005-0000-0000-00005A330000}"/>
    <cellStyle name="40% - Accent2 15 5 2" xfId="17410" xr:uid="{00000000-0005-0000-0000-00005B330000}"/>
    <cellStyle name="40% - Accent2 15 5 2 2" xfId="41250" xr:uid="{9B9C3694-2C8F-411D-BFEA-11B6D6E16EEF}"/>
    <cellStyle name="40% - Accent2 15 5 3" xfId="25354" xr:uid="{00000000-0005-0000-0000-00005C330000}"/>
    <cellStyle name="40% - Accent2 15 5 3 2" xfId="49186" xr:uid="{E81D17DB-D153-4DF3-B7BF-B01DEF321113}"/>
    <cellStyle name="40% - Accent2 15 5 4" xfId="33309" xr:uid="{D0FADDD5-151C-4CAF-8569-9021E9DB380F}"/>
    <cellStyle name="40% - Accent2 15 6" xfId="10348" xr:uid="{00000000-0005-0000-0000-00005D330000}"/>
    <cellStyle name="40% - Accent2 15 6 2" xfId="34197" xr:uid="{69FC264F-C2E7-4AEF-A2F0-E64AB7D6FA1F}"/>
    <cellStyle name="40% - Accent2 15 7" xfId="18303" xr:uid="{00000000-0005-0000-0000-00005E330000}"/>
    <cellStyle name="40% - Accent2 15 7 2" xfId="42135" xr:uid="{5AC02A05-1006-425D-BF1F-A4C08ECDC8BC}"/>
    <cellStyle name="40% - Accent2 15 8" xfId="26255" xr:uid="{0444DF05-B5DB-4B91-820A-B38B739833EF}"/>
    <cellStyle name="40% - Accent2 15_Exh G" xfId="2845" xr:uid="{00000000-0005-0000-0000-00005F330000}"/>
    <cellStyle name="40% - Accent2 16" xfId="850" xr:uid="{00000000-0005-0000-0000-000060330000}"/>
    <cellStyle name="40% - Accent2 16 2" xfId="1789" xr:uid="{00000000-0005-0000-0000-000061330000}"/>
    <cellStyle name="40% - Accent2 16 2 2" xfId="5310" xr:uid="{00000000-0005-0000-0000-000062330000}"/>
    <cellStyle name="40% - Accent2 16 2 2 2" xfId="8901" xr:uid="{00000000-0005-0000-0000-000063330000}"/>
    <cellStyle name="40% - Accent2 16 2 2 2 2" xfId="16872" xr:uid="{00000000-0005-0000-0000-000064330000}"/>
    <cellStyle name="40% - Accent2 16 2 2 2 2 2" xfId="40714" xr:uid="{EB2E2BEE-77BB-47E0-A745-5DE68C3FB72D}"/>
    <cellStyle name="40% - Accent2 16 2 2 2 3" xfId="24818" xr:uid="{00000000-0005-0000-0000-000065330000}"/>
    <cellStyle name="40% - Accent2 16 2 2 2 3 2" xfId="48650" xr:uid="{A25B7889-45B0-41DA-8BC7-36D8E944C15F}"/>
    <cellStyle name="40% - Accent2 16 2 2 2 4" xfId="32773" xr:uid="{2A6ECFD4-AB33-4D69-94F2-6C7900CE118B}"/>
    <cellStyle name="40% - Accent2 16 2 2 3" xfId="13334" xr:uid="{00000000-0005-0000-0000-000066330000}"/>
    <cellStyle name="40% - Accent2 16 2 2 3 2" xfId="37183" xr:uid="{3FF9626B-DC6C-4F9E-8E16-602DCD0BC782}"/>
    <cellStyle name="40% - Accent2 16 2 2 4" xfId="21289" xr:uid="{00000000-0005-0000-0000-000067330000}"/>
    <cellStyle name="40% - Accent2 16 2 2 4 2" xfId="45121" xr:uid="{7E517849-7A7D-426B-969C-EF6B470B40D5}"/>
    <cellStyle name="40% - Accent2 16 2 2 5" xfId="29242" xr:uid="{7585FDB2-041C-4FA1-92D0-92861A455509}"/>
    <cellStyle name="40% - Accent2 16 2 3" xfId="7142" xr:uid="{00000000-0005-0000-0000-000068330000}"/>
    <cellStyle name="40% - Accent2 16 2 3 2" xfId="15114" xr:uid="{00000000-0005-0000-0000-000069330000}"/>
    <cellStyle name="40% - Accent2 16 2 3 2 2" xfId="38956" xr:uid="{9971F014-2222-4996-A49C-5F2D763CC6C0}"/>
    <cellStyle name="40% - Accent2 16 2 3 3" xfId="23061" xr:uid="{00000000-0005-0000-0000-00006A330000}"/>
    <cellStyle name="40% - Accent2 16 2 3 3 2" xfId="46893" xr:uid="{4F9D556A-2865-411E-8320-45E6F3CCCCD5}"/>
    <cellStyle name="40% - Accent2 16 2 3 4" xfId="31015" xr:uid="{FCCEBCEF-5A94-4981-A7B3-3149FC56D493}"/>
    <cellStyle name="40% - Accent2 16 2 4" xfId="11578" xr:uid="{00000000-0005-0000-0000-00006B330000}"/>
    <cellStyle name="40% - Accent2 16 2 4 2" xfId="35427" xr:uid="{E65C365A-AF55-4561-B1A9-A9DAD06C4CEB}"/>
    <cellStyle name="40% - Accent2 16 2 5" xfId="19533" xr:uid="{00000000-0005-0000-0000-00006C330000}"/>
    <cellStyle name="40% - Accent2 16 2 5 2" xfId="43365" xr:uid="{7E088073-C607-47F8-AED8-351503C5FAE1}"/>
    <cellStyle name="40% - Accent2 16 2 6" xfId="27485" xr:uid="{EE4DB1D5-4513-44A8-A0E7-1D9268D8521E}"/>
    <cellStyle name="40% - Accent2 16 2_Exh G" xfId="2848" xr:uid="{00000000-0005-0000-0000-00006D330000}"/>
    <cellStyle name="40% - Accent2 16 3" xfId="4431" xr:uid="{00000000-0005-0000-0000-00006E330000}"/>
    <cellStyle name="40% - Accent2 16 3 2" xfId="8023" xr:uid="{00000000-0005-0000-0000-00006F330000}"/>
    <cellStyle name="40% - Accent2 16 3 2 2" xfId="15994" xr:uid="{00000000-0005-0000-0000-000070330000}"/>
    <cellStyle name="40% - Accent2 16 3 2 2 2" xfId="39836" xr:uid="{BAEC4DDC-7E2C-48BF-910D-89B9BBBCDAB3}"/>
    <cellStyle name="40% - Accent2 16 3 2 3" xfId="23940" xr:uid="{00000000-0005-0000-0000-000071330000}"/>
    <cellStyle name="40% - Accent2 16 3 2 3 2" xfId="47772" xr:uid="{47168757-45FC-4CE9-B43C-997E133C560D}"/>
    <cellStyle name="40% - Accent2 16 3 2 4" xfId="31895" xr:uid="{3EE055EB-1285-47D9-8053-9C785FEDF63D}"/>
    <cellStyle name="40% - Accent2 16 3 3" xfId="12456" xr:uid="{00000000-0005-0000-0000-000072330000}"/>
    <cellStyle name="40% - Accent2 16 3 3 2" xfId="36305" xr:uid="{DE16D37E-344E-4BD4-8A8D-3B0086D181B6}"/>
    <cellStyle name="40% - Accent2 16 3 4" xfId="20411" xr:uid="{00000000-0005-0000-0000-000073330000}"/>
    <cellStyle name="40% - Accent2 16 3 4 2" xfId="44243" xr:uid="{4598585F-3774-42A4-ADE5-D6E4CAAF79C7}"/>
    <cellStyle name="40% - Accent2 16 3 5" xfId="28364" xr:uid="{CB91BBD2-40A4-4D2D-8538-796B4EC9DAF2}"/>
    <cellStyle name="40% - Accent2 16 4" xfId="6261" xr:uid="{00000000-0005-0000-0000-000074330000}"/>
    <cellStyle name="40% - Accent2 16 4 2" xfId="14236" xr:uid="{00000000-0005-0000-0000-000075330000}"/>
    <cellStyle name="40% - Accent2 16 4 2 2" xfId="38078" xr:uid="{E1BFB2BB-6451-4DA7-BD9B-373634DD3A0C}"/>
    <cellStyle name="40% - Accent2 16 4 3" xfId="22183" xr:uid="{00000000-0005-0000-0000-000076330000}"/>
    <cellStyle name="40% - Accent2 16 4 3 2" xfId="46015" xr:uid="{845AC612-E55E-4BC4-8503-AA431D3E1048}"/>
    <cellStyle name="40% - Accent2 16 4 4" xfId="30137" xr:uid="{8F626C47-2C73-4967-8000-4589F072CBC5}"/>
    <cellStyle name="40% - Accent2 16 5" xfId="9804" xr:uid="{00000000-0005-0000-0000-000077330000}"/>
    <cellStyle name="40% - Accent2 16 5 2" xfId="17762" xr:uid="{00000000-0005-0000-0000-000078330000}"/>
    <cellStyle name="40% - Accent2 16 5 2 2" xfId="41602" xr:uid="{27C282DE-43D1-43A5-98E5-77A400715EB0}"/>
    <cellStyle name="40% - Accent2 16 5 3" xfId="25706" xr:uid="{00000000-0005-0000-0000-000079330000}"/>
    <cellStyle name="40% - Accent2 16 5 3 2" xfId="49538" xr:uid="{EB5C33BB-7A6E-4AB4-BE2F-BD213287C9B6}"/>
    <cellStyle name="40% - Accent2 16 5 4" xfId="33661" xr:uid="{EFC6639B-F5F5-4AC4-953F-32C90492E494}"/>
    <cellStyle name="40% - Accent2 16 6" xfId="10700" xr:uid="{00000000-0005-0000-0000-00007A330000}"/>
    <cellStyle name="40% - Accent2 16 6 2" xfId="34549" xr:uid="{0CC85BAA-D0DF-42E7-B2E1-9816759141D2}"/>
    <cellStyle name="40% - Accent2 16 7" xfId="18655" xr:uid="{00000000-0005-0000-0000-00007B330000}"/>
    <cellStyle name="40% - Accent2 16 7 2" xfId="42487" xr:uid="{A1DC6AFA-3BF2-4D95-851D-036C013DF3C6}"/>
    <cellStyle name="40% - Accent2 16 8" xfId="26607" xr:uid="{5ECC5C46-EE5F-410D-AAA1-8B78F0A94D0C}"/>
    <cellStyle name="40% - Accent2 16_Exh G" xfId="2847" xr:uid="{00000000-0005-0000-0000-00007C330000}"/>
    <cellStyle name="40% - Accent2 17" xfId="49797" xr:uid="{934B2669-FC89-4786-8809-887C9D873CF5}"/>
    <cellStyle name="40% - Accent2 2" xfId="401" xr:uid="{00000000-0005-0000-0000-00007D330000}"/>
    <cellStyle name="40% - Accent2 2 10" xfId="18304" xr:uid="{00000000-0005-0000-0000-00007E330000}"/>
    <cellStyle name="40% - Accent2 2 10 2" xfId="42136" xr:uid="{7B6368AB-05A5-4D88-A020-AE4EA4BDD3C5}"/>
    <cellStyle name="40% - Accent2 2 11" xfId="26256" xr:uid="{6C3904DB-0280-4397-857B-EB52800E2EC6}"/>
    <cellStyle name="40% - Accent2 2 12" xfId="49782" xr:uid="{5715E6A7-F654-4C3D-8C00-95E516144BEE}"/>
    <cellStyle name="40% - Accent2 2 13" xfId="49810" xr:uid="{E8829EC1-FC92-4745-93C9-4787E6015ADC}"/>
    <cellStyle name="40% - Accent2 2 2" xfId="402" xr:uid="{00000000-0005-0000-0000-00007F330000}"/>
    <cellStyle name="40% - Accent2 2 2 10" xfId="26257" xr:uid="{FD06B539-C595-47F3-A0FE-7124C2542900}"/>
    <cellStyle name="40% - Accent2 2 2 2" xfId="403" xr:uid="{00000000-0005-0000-0000-000080330000}"/>
    <cellStyle name="40% - Accent2 2 2 2 2" xfId="1431" xr:uid="{00000000-0005-0000-0000-000081330000}"/>
    <cellStyle name="40% - Accent2 2 2 2 2 2" xfId="4961" xr:uid="{00000000-0005-0000-0000-000082330000}"/>
    <cellStyle name="40% - Accent2 2 2 2 2 2 2" xfId="8552" xr:uid="{00000000-0005-0000-0000-000083330000}"/>
    <cellStyle name="40% - Accent2 2 2 2 2 2 2 2" xfId="16523" xr:uid="{00000000-0005-0000-0000-000084330000}"/>
    <cellStyle name="40% - Accent2 2 2 2 2 2 2 2 2" xfId="40365" xr:uid="{1704DBB4-EA1E-450A-9F34-24EEFC7C4CD5}"/>
    <cellStyle name="40% - Accent2 2 2 2 2 2 2 3" xfId="24469" xr:uid="{00000000-0005-0000-0000-000085330000}"/>
    <cellStyle name="40% - Accent2 2 2 2 2 2 2 3 2" xfId="48301" xr:uid="{DEA78F36-2CBB-43EF-97D1-7F64B087397A}"/>
    <cellStyle name="40% - Accent2 2 2 2 2 2 2 4" xfId="32424" xr:uid="{7D890616-FB50-44E9-985A-10893739D7E2}"/>
    <cellStyle name="40% - Accent2 2 2 2 2 2 3" xfId="12985" xr:uid="{00000000-0005-0000-0000-000086330000}"/>
    <cellStyle name="40% - Accent2 2 2 2 2 2 3 2" xfId="36834" xr:uid="{F1E0A8C5-E44C-451E-BD06-12BA6BF92338}"/>
    <cellStyle name="40% - Accent2 2 2 2 2 2 4" xfId="20940" xr:uid="{00000000-0005-0000-0000-000087330000}"/>
    <cellStyle name="40% - Accent2 2 2 2 2 2 4 2" xfId="44772" xr:uid="{60B0F8A5-A39F-4FB3-8CC1-9415A7022E22}"/>
    <cellStyle name="40% - Accent2 2 2 2 2 2 5" xfId="28893" xr:uid="{E09C96FF-2C0F-45D3-9A36-E21F28DF5DB6}"/>
    <cellStyle name="40% - Accent2 2 2 2 2 3" xfId="6793" xr:uid="{00000000-0005-0000-0000-000088330000}"/>
    <cellStyle name="40% - Accent2 2 2 2 2 3 2" xfId="14765" xr:uid="{00000000-0005-0000-0000-000089330000}"/>
    <cellStyle name="40% - Accent2 2 2 2 2 3 2 2" xfId="38607" xr:uid="{1200CF8C-F03E-4E2B-A3B8-A4A8F8204194}"/>
    <cellStyle name="40% - Accent2 2 2 2 2 3 3" xfId="22712" xr:uid="{00000000-0005-0000-0000-00008A330000}"/>
    <cellStyle name="40% - Accent2 2 2 2 2 3 3 2" xfId="46544" xr:uid="{3F12C9F8-4AF6-40D2-9666-154E58528E22}"/>
    <cellStyle name="40% - Accent2 2 2 2 2 3 4" xfId="30666" xr:uid="{4BFE675C-4C2C-4374-A177-003E536923A7}"/>
    <cellStyle name="40% - Accent2 2 2 2 2 4" xfId="11229" xr:uid="{00000000-0005-0000-0000-00008B330000}"/>
    <cellStyle name="40% - Accent2 2 2 2 2 4 2" xfId="35078" xr:uid="{F3832FFD-456D-47DB-9EAF-7F9BB9C762B8}"/>
    <cellStyle name="40% - Accent2 2 2 2 2 5" xfId="19184" xr:uid="{00000000-0005-0000-0000-00008C330000}"/>
    <cellStyle name="40% - Accent2 2 2 2 2 5 2" xfId="43016" xr:uid="{7DD76765-D454-4F30-B67F-B7E8748506E9}"/>
    <cellStyle name="40% - Accent2 2 2 2 2 6" xfId="27136" xr:uid="{FB38D6C1-2566-4FE9-AE5E-659A1E490B2C}"/>
    <cellStyle name="40% - Accent2 2 2 2 2_Exh G" xfId="2852" xr:uid="{00000000-0005-0000-0000-00008D330000}"/>
    <cellStyle name="40% - Accent2 2 2 2 3" xfId="4082" xr:uid="{00000000-0005-0000-0000-00008E330000}"/>
    <cellStyle name="40% - Accent2 2 2 2 3 2" xfId="7674" xr:uid="{00000000-0005-0000-0000-00008F330000}"/>
    <cellStyle name="40% - Accent2 2 2 2 3 2 2" xfId="15645" xr:uid="{00000000-0005-0000-0000-000090330000}"/>
    <cellStyle name="40% - Accent2 2 2 2 3 2 2 2" xfId="39487" xr:uid="{22B861F1-ED6F-4BA2-A777-083DFCAF2C48}"/>
    <cellStyle name="40% - Accent2 2 2 2 3 2 3" xfId="23591" xr:uid="{00000000-0005-0000-0000-000091330000}"/>
    <cellStyle name="40% - Accent2 2 2 2 3 2 3 2" xfId="47423" xr:uid="{84235A2B-BE47-4E6B-B4E3-0ED36184F13B}"/>
    <cellStyle name="40% - Accent2 2 2 2 3 2 4" xfId="31546" xr:uid="{355E0774-F7D6-4A03-9C4C-E397C3B75BF5}"/>
    <cellStyle name="40% - Accent2 2 2 2 3 3" xfId="12107" xr:uid="{00000000-0005-0000-0000-000092330000}"/>
    <cellStyle name="40% - Accent2 2 2 2 3 3 2" xfId="35956" xr:uid="{EED9B4D2-A309-4CD0-BBE8-5C8D35AAD386}"/>
    <cellStyle name="40% - Accent2 2 2 2 3 4" xfId="20062" xr:uid="{00000000-0005-0000-0000-000093330000}"/>
    <cellStyle name="40% - Accent2 2 2 2 3 4 2" xfId="43894" xr:uid="{131AED72-64F7-4402-BEF2-5394AC92DDD5}"/>
    <cellStyle name="40% - Accent2 2 2 2 3 5" xfId="28015" xr:uid="{045F714F-E76F-4289-8733-6988955263A8}"/>
    <cellStyle name="40% - Accent2 2 2 2 4" xfId="5902" xr:uid="{00000000-0005-0000-0000-000094330000}"/>
    <cellStyle name="40% - Accent2 2 2 2 4 2" xfId="13886" xr:uid="{00000000-0005-0000-0000-000095330000}"/>
    <cellStyle name="40% - Accent2 2 2 2 4 2 2" xfId="37729" xr:uid="{A6816FCF-1082-4BA8-A6A0-86B510E90CFA}"/>
    <cellStyle name="40% - Accent2 2 2 2 4 3" xfId="21834" xr:uid="{00000000-0005-0000-0000-000096330000}"/>
    <cellStyle name="40% - Accent2 2 2 2 4 3 2" xfId="45666" xr:uid="{F886982C-200C-4A96-9245-F45C6E66D6B6}"/>
    <cellStyle name="40% - Accent2 2 2 2 4 4" xfId="29788" xr:uid="{F2B366B6-2437-48DD-8557-2CA83E353738}"/>
    <cellStyle name="40% - Accent2 2 2 2 5" xfId="9455" xr:uid="{00000000-0005-0000-0000-000097330000}"/>
    <cellStyle name="40% - Accent2 2 2 2 5 2" xfId="17413" xr:uid="{00000000-0005-0000-0000-000098330000}"/>
    <cellStyle name="40% - Accent2 2 2 2 5 2 2" xfId="41253" xr:uid="{5E61F4DE-084B-4847-B5AE-24A611D345AE}"/>
    <cellStyle name="40% - Accent2 2 2 2 5 3" xfId="25357" xr:uid="{00000000-0005-0000-0000-000099330000}"/>
    <cellStyle name="40% - Accent2 2 2 2 5 3 2" xfId="49189" xr:uid="{DEF3D8EE-834A-4C9D-B28B-00942A1BA150}"/>
    <cellStyle name="40% - Accent2 2 2 2 5 4" xfId="33312" xr:uid="{DA78D494-C1D0-46F9-8EBE-C824D28CB01F}"/>
    <cellStyle name="40% - Accent2 2 2 2 6" xfId="10351" xr:uid="{00000000-0005-0000-0000-00009A330000}"/>
    <cellStyle name="40% - Accent2 2 2 2 6 2" xfId="34200" xr:uid="{311778E9-6F4A-4722-AB49-8FB01E7AAD39}"/>
    <cellStyle name="40% - Accent2 2 2 2 7" xfId="18306" xr:uid="{00000000-0005-0000-0000-00009B330000}"/>
    <cellStyle name="40% - Accent2 2 2 2 7 2" xfId="42138" xr:uid="{ECCC43AE-60A5-4E4A-BBA9-98F5E4F74613}"/>
    <cellStyle name="40% - Accent2 2 2 2 8" xfId="26258" xr:uid="{A9283E2C-A44B-4312-A9E0-CF995AF945F3}"/>
    <cellStyle name="40% - Accent2 2 2 2_Exh G" xfId="2851" xr:uid="{00000000-0005-0000-0000-00009C330000}"/>
    <cellStyle name="40% - Accent2 2 2 3" xfId="948" xr:uid="{00000000-0005-0000-0000-00009D330000}"/>
    <cellStyle name="40% - Accent2 2 2 3 2" xfId="1870" xr:uid="{00000000-0005-0000-0000-00009E330000}"/>
    <cellStyle name="40% - Accent2 2 2 3 2 2" xfId="5388" xr:uid="{00000000-0005-0000-0000-00009F330000}"/>
    <cellStyle name="40% - Accent2 2 2 3 2 2 2" xfId="8979" xr:uid="{00000000-0005-0000-0000-0000A0330000}"/>
    <cellStyle name="40% - Accent2 2 2 3 2 2 2 2" xfId="16950" xr:uid="{00000000-0005-0000-0000-0000A1330000}"/>
    <cellStyle name="40% - Accent2 2 2 3 2 2 2 2 2" xfId="40792" xr:uid="{765DCC54-8167-4C09-A614-37BE1AC5FA9E}"/>
    <cellStyle name="40% - Accent2 2 2 3 2 2 2 3" xfId="24896" xr:uid="{00000000-0005-0000-0000-0000A2330000}"/>
    <cellStyle name="40% - Accent2 2 2 3 2 2 2 3 2" xfId="48728" xr:uid="{4C0283D4-135E-44AC-8F53-D9498ED187CC}"/>
    <cellStyle name="40% - Accent2 2 2 3 2 2 2 4" xfId="32851" xr:uid="{DE923CFC-A2EA-4841-8CA8-859A4A13F1D0}"/>
    <cellStyle name="40% - Accent2 2 2 3 2 2 3" xfId="13412" xr:uid="{00000000-0005-0000-0000-0000A3330000}"/>
    <cellStyle name="40% - Accent2 2 2 3 2 2 3 2" xfId="37261" xr:uid="{70C341DF-7DCD-423D-9D59-32E3050E510B}"/>
    <cellStyle name="40% - Accent2 2 2 3 2 2 4" xfId="21367" xr:uid="{00000000-0005-0000-0000-0000A4330000}"/>
    <cellStyle name="40% - Accent2 2 2 3 2 2 4 2" xfId="45199" xr:uid="{20B16816-1373-4DD8-BE13-5421B0105114}"/>
    <cellStyle name="40% - Accent2 2 2 3 2 2 5" xfId="29320" xr:uid="{4DEC3F04-7614-490E-BB30-4F0374B0B508}"/>
    <cellStyle name="40% - Accent2 2 2 3 2 3" xfId="7220" xr:uid="{00000000-0005-0000-0000-0000A5330000}"/>
    <cellStyle name="40% - Accent2 2 2 3 2 3 2" xfId="15192" xr:uid="{00000000-0005-0000-0000-0000A6330000}"/>
    <cellStyle name="40% - Accent2 2 2 3 2 3 2 2" xfId="39034" xr:uid="{DDCDCADA-8421-4F8D-B802-7875F150EE47}"/>
    <cellStyle name="40% - Accent2 2 2 3 2 3 3" xfId="23139" xr:uid="{00000000-0005-0000-0000-0000A7330000}"/>
    <cellStyle name="40% - Accent2 2 2 3 2 3 3 2" xfId="46971" xr:uid="{DDC9F4B0-E82F-45E3-AD1C-161381185CC4}"/>
    <cellStyle name="40% - Accent2 2 2 3 2 3 4" xfId="31093" xr:uid="{00D51E91-EF68-44DF-AEF8-16147D9796B6}"/>
    <cellStyle name="40% - Accent2 2 2 3 2 4" xfId="11656" xr:uid="{00000000-0005-0000-0000-0000A8330000}"/>
    <cellStyle name="40% - Accent2 2 2 3 2 4 2" xfId="35505" xr:uid="{066DF82C-5DF1-4954-BF29-C9D04D4288DC}"/>
    <cellStyle name="40% - Accent2 2 2 3 2 5" xfId="19611" xr:uid="{00000000-0005-0000-0000-0000A9330000}"/>
    <cellStyle name="40% - Accent2 2 2 3 2 5 2" xfId="43443" xr:uid="{5FC8B52D-17B2-4A2C-8E9B-65CD36A12AF6}"/>
    <cellStyle name="40% - Accent2 2 2 3 2 6" xfId="27563" xr:uid="{9BECA483-3E4E-45A1-8679-42711C76628B}"/>
    <cellStyle name="40% - Accent2 2 2 3 2_Exh G" xfId="2854" xr:uid="{00000000-0005-0000-0000-0000AA330000}"/>
    <cellStyle name="40% - Accent2 2 2 3 3" xfId="4509" xr:uid="{00000000-0005-0000-0000-0000AB330000}"/>
    <cellStyle name="40% - Accent2 2 2 3 3 2" xfId="8101" xr:uid="{00000000-0005-0000-0000-0000AC330000}"/>
    <cellStyle name="40% - Accent2 2 2 3 3 2 2" xfId="16072" xr:uid="{00000000-0005-0000-0000-0000AD330000}"/>
    <cellStyle name="40% - Accent2 2 2 3 3 2 2 2" xfId="39914" xr:uid="{A2FE9FBB-9DA1-4B78-ABF0-9DA7841B5164}"/>
    <cellStyle name="40% - Accent2 2 2 3 3 2 3" xfId="24018" xr:uid="{00000000-0005-0000-0000-0000AE330000}"/>
    <cellStyle name="40% - Accent2 2 2 3 3 2 3 2" xfId="47850" xr:uid="{37781BFE-2DEC-498F-A192-5E564F662A41}"/>
    <cellStyle name="40% - Accent2 2 2 3 3 2 4" xfId="31973" xr:uid="{10BB9A32-809D-45A6-8056-D49D02847505}"/>
    <cellStyle name="40% - Accent2 2 2 3 3 3" xfId="12534" xr:uid="{00000000-0005-0000-0000-0000AF330000}"/>
    <cellStyle name="40% - Accent2 2 2 3 3 3 2" xfId="36383" xr:uid="{F062052F-B75D-45B0-BDB5-F14DB4C17C55}"/>
    <cellStyle name="40% - Accent2 2 2 3 3 4" xfId="20489" xr:uid="{00000000-0005-0000-0000-0000B0330000}"/>
    <cellStyle name="40% - Accent2 2 2 3 3 4 2" xfId="44321" xr:uid="{473616B6-F7C1-4CD3-864B-19A0004E8B41}"/>
    <cellStyle name="40% - Accent2 2 2 3 3 5" xfId="28442" xr:uid="{6D8F8EC3-A626-4F45-8E3A-A69F75F604FD}"/>
    <cellStyle name="40% - Accent2 2 2 3 4" xfId="6339" xr:uid="{00000000-0005-0000-0000-0000B1330000}"/>
    <cellStyle name="40% - Accent2 2 2 3 4 2" xfId="14314" xr:uid="{00000000-0005-0000-0000-0000B2330000}"/>
    <cellStyle name="40% - Accent2 2 2 3 4 2 2" xfId="38156" xr:uid="{9FBAB19A-9E73-4050-9C78-6CA05FF67454}"/>
    <cellStyle name="40% - Accent2 2 2 3 4 3" xfId="22261" xr:uid="{00000000-0005-0000-0000-0000B3330000}"/>
    <cellStyle name="40% - Accent2 2 2 3 4 3 2" xfId="46093" xr:uid="{CC4406E7-3E66-49B8-A845-505D88E50B8B}"/>
    <cellStyle name="40% - Accent2 2 2 3 4 4" xfId="30215" xr:uid="{0D9FECE6-3C8A-445A-870D-2FC750D74A75}"/>
    <cellStyle name="40% - Accent2 2 2 3 5" xfId="9882" xr:uid="{00000000-0005-0000-0000-0000B4330000}"/>
    <cellStyle name="40% - Accent2 2 2 3 5 2" xfId="17840" xr:uid="{00000000-0005-0000-0000-0000B5330000}"/>
    <cellStyle name="40% - Accent2 2 2 3 5 2 2" xfId="41680" xr:uid="{5EAE8648-C21A-431E-ACB1-3F61E5D89504}"/>
    <cellStyle name="40% - Accent2 2 2 3 5 3" xfId="25784" xr:uid="{00000000-0005-0000-0000-0000B6330000}"/>
    <cellStyle name="40% - Accent2 2 2 3 5 3 2" xfId="49616" xr:uid="{1D581DC6-A3B6-4365-B19E-4BA1B1C7AA41}"/>
    <cellStyle name="40% - Accent2 2 2 3 5 4" xfId="33739" xr:uid="{DEFEB960-E317-4CBE-B0F1-BDB2394011C4}"/>
    <cellStyle name="40% - Accent2 2 2 3 6" xfId="10778" xr:uid="{00000000-0005-0000-0000-0000B7330000}"/>
    <cellStyle name="40% - Accent2 2 2 3 6 2" xfId="34627" xr:uid="{231155F1-5D0C-4B9B-A51B-021CF9723F40}"/>
    <cellStyle name="40% - Accent2 2 2 3 7" xfId="18733" xr:uid="{00000000-0005-0000-0000-0000B8330000}"/>
    <cellStyle name="40% - Accent2 2 2 3 7 2" xfId="42565" xr:uid="{7D2436E7-5EEB-4D02-8373-981CEAABBD46}"/>
    <cellStyle name="40% - Accent2 2 2 3 8" xfId="26685" xr:uid="{169CE96A-7E81-47F0-BE7C-035E291F1E1C}"/>
    <cellStyle name="40% - Accent2 2 2 3_Exh G" xfId="2853" xr:uid="{00000000-0005-0000-0000-0000B9330000}"/>
    <cellStyle name="40% - Accent2 2 2 4" xfId="1430" xr:uid="{00000000-0005-0000-0000-0000BA330000}"/>
    <cellStyle name="40% - Accent2 2 2 4 2" xfId="4960" xr:uid="{00000000-0005-0000-0000-0000BB330000}"/>
    <cellStyle name="40% - Accent2 2 2 4 2 2" xfId="8551" xr:uid="{00000000-0005-0000-0000-0000BC330000}"/>
    <cellStyle name="40% - Accent2 2 2 4 2 2 2" xfId="16522" xr:uid="{00000000-0005-0000-0000-0000BD330000}"/>
    <cellStyle name="40% - Accent2 2 2 4 2 2 2 2" xfId="40364" xr:uid="{4206BB36-C6CE-4B4E-AE29-9F45F0FB6608}"/>
    <cellStyle name="40% - Accent2 2 2 4 2 2 3" xfId="24468" xr:uid="{00000000-0005-0000-0000-0000BE330000}"/>
    <cellStyle name="40% - Accent2 2 2 4 2 2 3 2" xfId="48300" xr:uid="{85AF9448-7616-40A9-8DE6-2C82895E3D47}"/>
    <cellStyle name="40% - Accent2 2 2 4 2 2 4" xfId="32423" xr:uid="{E4D672BD-6556-4CBE-A077-1044DC23D6D3}"/>
    <cellStyle name="40% - Accent2 2 2 4 2 3" xfId="12984" xr:uid="{00000000-0005-0000-0000-0000BF330000}"/>
    <cellStyle name="40% - Accent2 2 2 4 2 3 2" xfId="36833" xr:uid="{E2819DDF-AAAD-4640-A1F4-EDAAC7F3B78A}"/>
    <cellStyle name="40% - Accent2 2 2 4 2 4" xfId="20939" xr:uid="{00000000-0005-0000-0000-0000C0330000}"/>
    <cellStyle name="40% - Accent2 2 2 4 2 4 2" xfId="44771" xr:uid="{613D892E-79A0-47EB-BB39-E555535003CE}"/>
    <cellStyle name="40% - Accent2 2 2 4 2 5" xfId="28892" xr:uid="{0866C027-DF17-4ABA-B6B3-63E1F97CECDC}"/>
    <cellStyle name="40% - Accent2 2 2 4 3" xfId="6792" xr:uid="{00000000-0005-0000-0000-0000C1330000}"/>
    <cellStyle name="40% - Accent2 2 2 4 3 2" xfId="14764" xr:uid="{00000000-0005-0000-0000-0000C2330000}"/>
    <cellStyle name="40% - Accent2 2 2 4 3 2 2" xfId="38606" xr:uid="{26450BFB-C389-42D2-AB36-D2D7ECA5EDD0}"/>
    <cellStyle name="40% - Accent2 2 2 4 3 3" xfId="22711" xr:uid="{00000000-0005-0000-0000-0000C3330000}"/>
    <cellStyle name="40% - Accent2 2 2 4 3 3 2" xfId="46543" xr:uid="{BA4946F8-D1C1-44D9-B15D-577537A43229}"/>
    <cellStyle name="40% - Accent2 2 2 4 3 4" xfId="30665" xr:uid="{E8595A5C-2032-45F9-8F94-E22C0A025FA4}"/>
    <cellStyle name="40% - Accent2 2 2 4 4" xfId="11228" xr:uid="{00000000-0005-0000-0000-0000C4330000}"/>
    <cellStyle name="40% - Accent2 2 2 4 4 2" xfId="35077" xr:uid="{7A4372D0-FDE5-4F50-84ED-85AC4FCB0FD0}"/>
    <cellStyle name="40% - Accent2 2 2 4 5" xfId="19183" xr:uid="{00000000-0005-0000-0000-0000C5330000}"/>
    <cellStyle name="40% - Accent2 2 2 4 5 2" xfId="43015" xr:uid="{27364803-79BE-4CB8-B11E-C68166896EF4}"/>
    <cellStyle name="40% - Accent2 2 2 4 6" xfId="27135" xr:uid="{687B6FB5-E07C-4B7F-A16A-6C01FD03130D}"/>
    <cellStyle name="40% - Accent2 2 2 4_Exh G" xfId="2855" xr:uid="{00000000-0005-0000-0000-0000C6330000}"/>
    <cellStyle name="40% - Accent2 2 2 5" xfId="4081" xr:uid="{00000000-0005-0000-0000-0000C7330000}"/>
    <cellStyle name="40% - Accent2 2 2 5 2" xfId="7673" xr:uid="{00000000-0005-0000-0000-0000C8330000}"/>
    <cellStyle name="40% - Accent2 2 2 5 2 2" xfId="15644" xr:uid="{00000000-0005-0000-0000-0000C9330000}"/>
    <cellStyle name="40% - Accent2 2 2 5 2 2 2" xfId="39486" xr:uid="{EA53F49D-EC24-45E4-9980-FDDF64643A38}"/>
    <cellStyle name="40% - Accent2 2 2 5 2 3" xfId="23590" xr:uid="{00000000-0005-0000-0000-0000CA330000}"/>
    <cellStyle name="40% - Accent2 2 2 5 2 3 2" xfId="47422" xr:uid="{B63A41A5-A346-42E8-8C73-9C7C78B39572}"/>
    <cellStyle name="40% - Accent2 2 2 5 2 4" xfId="31545" xr:uid="{E3873716-BD8B-4231-9802-2697EA31F3EA}"/>
    <cellStyle name="40% - Accent2 2 2 5 3" xfId="12106" xr:uid="{00000000-0005-0000-0000-0000CB330000}"/>
    <cellStyle name="40% - Accent2 2 2 5 3 2" xfId="35955" xr:uid="{9C259F39-FD8C-4592-BC5D-7D7093087C2C}"/>
    <cellStyle name="40% - Accent2 2 2 5 4" xfId="20061" xr:uid="{00000000-0005-0000-0000-0000CC330000}"/>
    <cellStyle name="40% - Accent2 2 2 5 4 2" xfId="43893" xr:uid="{ACA132E2-C92C-4A36-B713-43E4B920C596}"/>
    <cellStyle name="40% - Accent2 2 2 5 5" xfId="28014" xr:uid="{75A11D2C-4DEC-482E-8161-15309735037C}"/>
    <cellStyle name="40% - Accent2 2 2 6" xfId="5901" xr:uid="{00000000-0005-0000-0000-0000CD330000}"/>
    <cellStyle name="40% - Accent2 2 2 6 2" xfId="13885" xr:uid="{00000000-0005-0000-0000-0000CE330000}"/>
    <cellStyle name="40% - Accent2 2 2 6 2 2" xfId="37728" xr:uid="{AB7B055F-2D92-45C0-83F6-D2B830239009}"/>
    <cellStyle name="40% - Accent2 2 2 6 3" xfId="21833" xr:uid="{00000000-0005-0000-0000-0000CF330000}"/>
    <cellStyle name="40% - Accent2 2 2 6 3 2" xfId="45665" xr:uid="{9B0959F6-0647-46FB-9BDF-0D4D14628893}"/>
    <cellStyle name="40% - Accent2 2 2 6 4" xfId="29787" xr:uid="{8FE5BC22-8AC4-4AAC-84DB-E1E098DC8EC7}"/>
    <cellStyle name="40% - Accent2 2 2 7" xfId="9454" xr:uid="{00000000-0005-0000-0000-0000D0330000}"/>
    <cellStyle name="40% - Accent2 2 2 7 2" xfId="17412" xr:uid="{00000000-0005-0000-0000-0000D1330000}"/>
    <cellStyle name="40% - Accent2 2 2 7 2 2" xfId="41252" xr:uid="{9A173E69-7E7D-4512-9CB7-5EDA09F81927}"/>
    <cellStyle name="40% - Accent2 2 2 7 3" xfId="25356" xr:uid="{00000000-0005-0000-0000-0000D2330000}"/>
    <cellStyle name="40% - Accent2 2 2 7 3 2" xfId="49188" xr:uid="{614FF4A9-6309-40C2-97D7-F76EB74A4E36}"/>
    <cellStyle name="40% - Accent2 2 2 7 4" xfId="33311" xr:uid="{9E9619AC-64BD-4CEF-9E40-28BD45BC675C}"/>
    <cellStyle name="40% - Accent2 2 2 8" xfId="10350" xr:uid="{00000000-0005-0000-0000-0000D3330000}"/>
    <cellStyle name="40% - Accent2 2 2 8 2" xfId="34199" xr:uid="{771516FD-CFB8-479B-B10B-E8A357C25E3C}"/>
    <cellStyle name="40% - Accent2 2 2 9" xfId="18305" xr:uid="{00000000-0005-0000-0000-0000D4330000}"/>
    <cellStyle name="40% - Accent2 2 2 9 2" xfId="42137" xr:uid="{6B6197CF-8507-4DF3-A78E-7BC21450131A}"/>
    <cellStyle name="40% - Accent2 2 2_Exh G" xfId="2850" xr:uid="{00000000-0005-0000-0000-0000D5330000}"/>
    <cellStyle name="40% - Accent2 2 3" xfId="404" xr:uid="{00000000-0005-0000-0000-0000D6330000}"/>
    <cellStyle name="40% - Accent2 2 3 2" xfId="1432" xr:uid="{00000000-0005-0000-0000-0000D7330000}"/>
    <cellStyle name="40% - Accent2 2 3 2 2" xfId="4962" xr:uid="{00000000-0005-0000-0000-0000D8330000}"/>
    <cellStyle name="40% - Accent2 2 3 2 2 2" xfId="8553" xr:uid="{00000000-0005-0000-0000-0000D9330000}"/>
    <cellStyle name="40% - Accent2 2 3 2 2 2 2" xfId="16524" xr:uid="{00000000-0005-0000-0000-0000DA330000}"/>
    <cellStyle name="40% - Accent2 2 3 2 2 2 2 2" xfId="40366" xr:uid="{974B6D21-3FC0-4B7E-83DC-028B5DD89F4A}"/>
    <cellStyle name="40% - Accent2 2 3 2 2 2 3" xfId="24470" xr:uid="{00000000-0005-0000-0000-0000DB330000}"/>
    <cellStyle name="40% - Accent2 2 3 2 2 2 3 2" xfId="48302" xr:uid="{DB5D4509-986A-4747-9D6B-AA6C52647FCF}"/>
    <cellStyle name="40% - Accent2 2 3 2 2 2 4" xfId="32425" xr:uid="{ECAA99BD-66CF-41FE-A438-E6A6BF4F18FA}"/>
    <cellStyle name="40% - Accent2 2 3 2 2 3" xfId="12986" xr:uid="{00000000-0005-0000-0000-0000DC330000}"/>
    <cellStyle name="40% - Accent2 2 3 2 2 3 2" xfId="36835" xr:uid="{D28A24E1-BE61-4377-B4AC-7C5DDC75484F}"/>
    <cellStyle name="40% - Accent2 2 3 2 2 4" xfId="20941" xr:uid="{00000000-0005-0000-0000-0000DD330000}"/>
    <cellStyle name="40% - Accent2 2 3 2 2 4 2" xfId="44773" xr:uid="{1DB9A4D0-47DB-4CB0-9DAC-5B599A40C73F}"/>
    <cellStyle name="40% - Accent2 2 3 2 2 5" xfId="28894" xr:uid="{2C8DC5B1-60DC-4DCD-B0A0-DAE06610A7DD}"/>
    <cellStyle name="40% - Accent2 2 3 2 3" xfId="6794" xr:uid="{00000000-0005-0000-0000-0000DE330000}"/>
    <cellStyle name="40% - Accent2 2 3 2 3 2" xfId="14766" xr:uid="{00000000-0005-0000-0000-0000DF330000}"/>
    <cellStyle name="40% - Accent2 2 3 2 3 2 2" xfId="38608" xr:uid="{82359C74-B943-4692-A899-9D153987E1C8}"/>
    <cellStyle name="40% - Accent2 2 3 2 3 3" xfId="22713" xr:uid="{00000000-0005-0000-0000-0000E0330000}"/>
    <cellStyle name="40% - Accent2 2 3 2 3 3 2" xfId="46545" xr:uid="{3E44DA10-023B-465B-B832-E8BCDC88EBDC}"/>
    <cellStyle name="40% - Accent2 2 3 2 3 4" xfId="30667" xr:uid="{2A09457D-447B-4539-9EA6-B06507CAC52B}"/>
    <cellStyle name="40% - Accent2 2 3 2 4" xfId="11230" xr:uid="{00000000-0005-0000-0000-0000E1330000}"/>
    <cellStyle name="40% - Accent2 2 3 2 4 2" xfId="35079" xr:uid="{B93A0673-5DA9-4C8D-9A8F-659E85C40338}"/>
    <cellStyle name="40% - Accent2 2 3 2 5" xfId="19185" xr:uid="{00000000-0005-0000-0000-0000E2330000}"/>
    <cellStyle name="40% - Accent2 2 3 2 5 2" xfId="43017" xr:uid="{7DA4E2C9-576D-4A3E-A510-C92D7E0086B7}"/>
    <cellStyle name="40% - Accent2 2 3 2 6" xfId="27137" xr:uid="{B6EE3830-F157-4F53-8D65-C2E841436372}"/>
    <cellStyle name="40% - Accent2 2 3 2_Exh G" xfId="2857" xr:uid="{00000000-0005-0000-0000-0000E3330000}"/>
    <cellStyle name="40% - Accent2 2 3 3" xfId="4083" xr:uid="{00000000-0005-0000-0000-0000E4330000}"/>
    <cellStyle name="40% - Accent2 2 3 3 2" xfId="7675" xr:uid="{00000000-0005-0000-0000-0000E5330000}"/>
    <cellStyle name="40% - Accent2 2 3 3 2 2" xfId="15646" xr:uid="{00000000-0005-0000-0000-0000E6330000}"/>
    <cellStyle name="40% - Accent2 2 3 3 2 2 2" xfId="39488" xr:uid="{5ADC4333-76A1-44A5-96FE-AFD72045F87D}"/>
    <cellStyle name="40% - Accent2 2 3 3 2 3" xfId="23592" xr:uid="{00000000-0005-0000-0000-0000E7330000}"/>
    <cellStyle name="40% - Accent2 2 3 3 2 3 2" xfId="47424" xr:uid="{D4F81AD4-DD10-4E6A-B776-1BAE8B397F4E}"/>
    <cellStyle name="40% - Accent2 2 3 3 2 4" xfId="31547" xr:uid="{BA96CA90-6044-41D3-9D88-F45253F9F25E}"/>
    <cellStyle name="40% - Accent2 2 3 3 3" xfId="12108" xr:uid="{00000000-0005-0000-0000-0000E8330000}"/>
    <cellStyle name="40% - Accent2 2 3 3 3 2" xfId="35957" xr:uid="{F3FDF94E-83B0-444F-8258-EB929609BC50}"/>
    <cellStyle name="40% - Accent2 2 3 3 4" xfId="20063" xr:uid="{00000000-0005-0000-0000-0000E9330000}"/>
    <cellStyle name="40% - Accent2 2 3 3 4 2" xfId="43895" xr:uid="{0306D9DB-474C-470A-9D14-2D47587BC467}"/>
    <cellStyle name="40% - Accent2 2 3 3 5" xfId="28016" xr:uid="{33D44F29-4645-4A28-B614-1AF1F599F0F8}"/>
    <cellStyle name="40% - Accent2 2 3 4" xfId="5903" xr:uid="{00000000-0005-0000-0000-0000EA330000}"/>
    <cellStyle name="40% - Accent2 2 3 4 2" xfId="13887" xr:uid="{00000000-0005-0000-0000-0000EB330000}"/>
    <cellStyle name="40% - Accent2 2 3 4 2 2" xfId="37730" xr:uid="{BA4AECBE-0E3C-485D-97EA-5F0D5AFE303B}"/>
    <cellStyle name="40% - Accent2 2 3 4 3" xfId="21835" xr:uid="{00000000-0005-0000-0000-0000EC330000}"/>
    <cellStyle name="40% - Accent2 2 3 4 3 2" xfId="45667" xr:uid="{070AB0B4-A0D6-4638-9965-AB6AE848DE8E}"/>
    <cellStyle name="40% - Accent2 2 3 4 4" xfId="29789" xr:uid="{D45FCE2E-9E30-42AF-8CD7-95B631E43B30}"/>
    <cellStyle name="40% - Accent2 2 3 5" xfId="9456" xr:uid="{00000000-0005-0000-0000-0000ED330000}"/>
    <cellStyle name="40% - Accent2 2 3 5 2" xfId="17414" xr:uid="{00000000-0005-0000-0000-0000EE330000}"/>
    <cellStyle name="40% - Accent2 2 3 5 2 2" xfId="41254" xr:uid="{56D3B245-3FC2-4752-AED2-6A54E466C329}"/>
    <cellStyle name="40% - Accent2 2 3 5 3" xfId="25358" xr:uid="{00000000-0005-0000-0000-0000EF330000}"/>
    <cellStyle name="40% - Accent2 2 3 5 3 2" xfId="49190" xr:uid="{0822C299-D287-4F52-990A-F199BFDD8589}"/>
    <cellStyle name="40% - Accent2 2 3 5 4" xfId="33313" xr:uid="{65F111E4-A43E-4193-9F6C-2E83B5EA25AC}"/>
    <cellStyle name="40% - Accent2 2 3 6" xfId="10352" xr:uid="{00000000-0005-0000-0000-0000F0330000}"/>
    <cellStyle name="40% - Accent2 2 3 6 2" xfId="34201" xr:uid="{6572B18A-64BB-49DA-A463-50724204CCF5}"/>
    <cellStyle name="40% - Accent2 2 3 7" xfId="18307" xr:uid="{00000000-0005-0000-0000-0000F1330000}"/>
    <cellStyle name="40% - Accent2 2 3 7 2" xfId="42139" xr:uid="{7BC3E964-CD3B-443D-BCB7-A2639B2A8FD2}"/>
    <cellStyle name="40% - Accent2 2 3 8" xfId="26259" xr:uid="{6663CD58-7528-4D87-915C-6DDEFB6C551C}"/>
    <cellStyle name="40% - Accent2 2 3_Exh G" xfId="2856" xr:uid="{00000000-0005-0000-0000-0000F2330000}"/>
    <cellStyle name="40% - Accent2 2 4" xfId="947" xr:uid="{00000000-0005-0000-0000-0000F3330000}"/>
    <cellStyle name="40% - Accent2 2 4 2" xfId="1869" xr:uid="{00000000-0005-0000-0000-0000F4330000}"/>
    <cellStyle name="40% - Accent2 2 4 2 2" xfId="5387" xr:uid="{00000000-0005-0000-0000-0000F5330000}"/>
    <cellStyle name="40% - Accent2 2 4 2 2 2" xfId="8978" xr:uid="{00000000-0005-0000-0000-0000F6330000}"/>
    <cellStyle name="40% - Accent2 2 4 2 2 2 2" xfId="16949" xr:uid="{00000000-0005-0000-0000-0000F7330000}"/>
    <cellStyle name="40% - Accent2 2 4 2 2 2 2 2" xfId="40791" xr:uid="{99AF3BC1-C898-4C42-8D37-EC54D6429561}"/>
    <cellStyle name="40% - Accent2 2 4 2 2 2 3" xfId="24895" xr:uid="{00000000-0005-0000-0000-0000F8330000}"/>
    <cellStyle name="40% - Accent2 2 4 2 2 2 3 2" xfId="48727" xr:uid="{9BB7A0FF-FD35-4637-8344-9E0D89407524}"/>
    <cellStyle name="40% - Accent2 2 4 2 2 2 4" xfId="32850" xr:uid="{E4534421-A8C9-4F45-9597-F16EB884BCC0}"/>
    <cellStyle name="40% - Accent2 2 4 2 2 3" xfId="13411" xr:uid="{00000000-0005-0000-0000-0000F9330000}"/>
    <cellStyle name="40% - Accent2 2 4 2 2 3 2" xfId="37260" xr:uid="{31D24031-70DF-48AB-8816-21362D5BE085}"/>
    <cellStyle name="40% - Accent2 2 4 2 2 4" xfId="21366" xr:uid="{00000000-0005-0000-0000-0000FA330000}"/>
    <cellStyle name="40% - Accent2 2 4 2 2 4 2" xfId="45198" xr:uid="{A4B66D71-AAA5-45C3-BDEB-473D87EE58EE}"/>
    <cellStyle name="40% - Accent2 2 4 2 2 5" xfId="29319" xr:uid="{EED42B63-1AF2-4B04-96B9-F9980C856ADE}"/>
    <cellStyle name="40% - Accent2 2 4 2 3" xfId="7219" xr:uid="{00000000-0005-0000-0000-0000FB330000}"/>
    <cellStyle name="40% - Accent2 2 4 2 3 2" xfId="15191" xr:uid="{00000000-0005-0000-0000-0000FC330000}"/>
    <cellStyle name="40% - Accent2 2 4 2 3 2 2" xfId="39033" xr:uid="{95A5113C-A762-4B84-8D08-65D7BE4CA330}"/>
    <cellStyle name="40% - Accent2 2 4 2 3 3" xfId="23138" xr:uid="{00000000-0005-0000-0000-0000FD330000}"/>
    <cellStyle name="40% - Accent2 2 4 2 3 3 2" xfId="46970" xr:uid="{001E1183-4C98-4E23-9A07-28DAA3550381}"/>
    <cellStyle name="40% - Accent2 2 4 2 3 4" xfId="31092" xr:uid="{F6ABF4B8-9097-46AC-9495-970C226FBFAD}"/>
    <cellStyle name="40% - Accent2 2 4 2 4" xfId="11655" xr:uid="{00000000-0005-0000-0000-0000FE330000}"/>
    <cellStyle name="40% - Accent2 2 4 2 4 2" xfId="35504" xr:uid="{62645AB1-3C26-4793-871F-2C8FB4669EBD}"/>
    <cellStyle name="40% - Accent2 2 4 2 5" xfId="19610" xr:uid="{00000000-0005-0000-0000-0000FF330000}"/>
    <cellStyle name="40% - Accent2 2 4 2 5 2" xfId="43442" xr:uid="{FAE4C790-6A5D-4C3B-BD04-B52783BE7927}"/>
    <cellStyle name="40% - Accent2 2 4 2 6" xfId="27562" xr:uid="{B4878711-68CA-4464-AD13-128BB15CF73B}"/>
    <cellStyle name="40% - Accent2 2 4 2_Exh G" xfId="2859" xr:uid="{00000000-0005-0000-0000-000000340000}"/>
    <cellStyle name="40% - Accent2 2 4 3" xfId="4508" xr:uid="{00000000-0005-0000-0000-000001340000}"/>
    <cellStyle name="40% - Accent2 2 4 3 2" xfId="8100" xr:uid="{00000000-0005-0000-0000-000002340000}"/>
    <cellStyle name="40% - Accent2 2 4 3 2 2" xfId="16071" xr:uid="{00000000-0005-0000-0000-000003340000}"/>
    <cellStyle name="40% - Accent2 2 4 3 2 2 2" xfId="39913" xr:uid="{48956BC4-0F8D-43B5-8726-F4F6DCC66A18}"/>
    <cellStyle name="40% - Accent2 2 4 3 2 3" xfId="24017" xr:uid="{00000000-0005-0000-0000-000004340000}"/>
    <cellStyle name="40% - Accent2 2 4 3 2 3 2" xfId="47849" xr:uid="{AF74FC03-D0EB-4290-94D9-7A53F7D64B50}"/>
    <cellStyle name="40% - Accent2 2 4 3 2 4" xfId="31972" xr:uid="{6759DDF4-44B4-4B90-8F16-FAB74C520C33}"/>
    <cellStyle name="40% - Accent2 2 4 3 3" xfId="12533" xr:uid="{00000000-0005-0000-0000-000005340000}"/>
    <cellStyle name="40% - Accent2 2 4 3 3 2" xfId="36382" xr:uid="{7BD2B6A1-0598-413E-835D-676789C2FE41}"/>
    <cellStyle name="40% - Accent2 2 4 3 4" xfId="20488" xr:uid="{00000000-0005-0000-0000-000006340000}"/>
    <cellStyle name="40% - Accent2 2 4 3 4 2" xfId="44320" xr:uid="{3775A701-44C7-4011-9B2C-2FEB8E12BA81}"/>
    <cellStyle name="40% - Accent2 2 4 3 5" xfId="28441" xr:uid="{07B8D10B-7B00-48B7-A953-D2C7F0F11124}"/>
    <cellStyle name="40% - Accent2 2 4 4" xfId="6338" xr:uid="{00000000-0005-0000-0000-000007340000}"/>
    <cellStyle name="40% - Accent2 2 4 4 2" xfId="14313" xr:uid="{00000000-0005-0000-0000-000008340000}"/>
    <cellStyle name="40% - Accent2 2 4 4 2 2" xfId="38155" xr:uid="{39531239-90EC-4537-AA1C-6CA302E8AAD1}"/>
    <cellStyle name="40% - Accent2 2 4 4 3" xfId="22260" xr:uid="{00000000-0005-0000-0000-000009340000}"/>
    <cellStyle name="40% - Accent2 2 4 4 3 2" xfId="46092" xr:uid="{E2F8C587-D8AB-481D-82FD-BCDA665AA9F0}"/>
    <cellStyle name="40% - Accent2 2 4 4 4" xfId="30214" xr:uid="{A5664C72-93AE-4977-A789-85538ACD4D53}"/>
    <cellStyle name="40% - Accent2 2 4 5" xfId="9881" xr:uid="{00000000-0005-0000-0000-00000A340000}"/>
    <cellStyle name="40% - Accent2 2 4 5 2" xfId="17839" xr:uid="{00000000-0005-0000-0000-00000B340000}"/>
    <cellStyle name="40% - Accent2 2 4 5 2 2" xfId="41679" xr:uid="{54D9D43A-0A10-4A0C-A4B5-B38A5EF97C4E}"/>
    <cellStyle name="40% - Accent2 2 4 5 3" xfId="25783" xr:uid="{00000000-0005-0000-0000-00000C340000}"/>
    <cellStyle name="40% - Accent2 2 4 5 3 2" xfId="49615" xr:uid="{0A9F3D53-F7E7-46B1-A106-AC7CAF5874F0}"/>
    <cellStyle name="40% - Accent2 2 4 5 4" xfId="33738" xr:uid="{34E33349-25D2-4B0D-ABC1-70CCD0E0ACD4}"/>
    <cellStyle name="40% - Accent2 2 4 6" xfId="10777" xr:uid="{00000000-0005-0000-0000-00000D340000}"/>
    <cellStyle name="40% - Accent2 2 4 6 2" xfId="34626" xr:uid="{8EC8E62E-85A7-42BE-94A8-9E185473F009}"/>
    <cellStyle name="40% - Accent2 2 4 7" xfId="18732" xr:uid="{00000000-0005-0000-0000-00000E340000}"/>
    <cellStyle name="40% - Accent2 2 4 7 2" xfId="42564" xr:uid="{508A3345-F75C-47AF-B525-7973D75EBBBF}"/>
    <cellStyle name="40% - Accent2 2 4 8" xfId="26684" xr:uid="{CA12F307-F22E-4257-95B5-B5533607E20E}"/>
    <cellStyle name="40% - Accent2 2 4_Exh G" xfId="2858" xr:uid="{00000000-0005-0000-0000-00000F340000}"/>
    <cellStyle name="40% - Accent2 2 5" xfId="1429" xr:uid="{00000000-0005-0000-0000-000010340000}"/>
    <cellStyle name="40% - Accent2 2 5 2" xfId="4959" xr:uid="{00000000-0005-0000-0000-000011340000}"/>
    <cellStyle name="40% - Accent2 2 5 2 2" xfId="8550" xr:uid="{00000000-0005-0000-0000-000012340000}"/>
    <cellStyle name="40% - Accent2 2 5 2 2 2" xfId="16521" xr:uid="{00000000-0005-0000-0000-000013340000}"/>
    <cellStyle name="40% - Accent2 2 5 2 2 2 2" xfId="40363" xr:uid="{ED28DED3-39A4-4DAC-B692-AA7EE2E52226}"/>
    <cellStyle name="40% - Accent2 2 5 2 2 3" xfId="24467" xr:uid="{00000000-0005-0000-0000-000014340000}"/>
    <cellStyle name="40% - Accent2 2 5 2 2 3 2" xfId="48299" xr:uid="{4ACC6D24-8C36-41F3-B900-260A912F5DB3}"/>
    <cellStyle name="40% - Accent2 2 5 2 2 4" xfId="32422" xr:uid="{67A3EAA9-ED59-47FE-8F98-00247BF61BBF}"/>
    <cellStyle name="40% - Accent2 2 5 2 3" xfId="12983" xr:uid="{00000000-0005-0000-0000-000015340000}"/>
    <cellStyle name="40% - Accent2 2 5 2 3 2" xfId="36832" xr:uid="{E0209ED1-BEA5-4599-B4E8-AF657C495783}"/>
    <cellStyle name="40% - Accent2 2 5 2 4" xfId="20938" xr:uid="{00000000-0005-0000-0000-000016340000}"/>
    <cellStyle name="40% - Accent2 2 5 2 4 2" xfId="44770" xr:uid="{11AD4076-D570-4B6B-87BC-86693C8516A4}"/>
    <cellStyle name="40% - Accent2 2 5 2 5" xfId="28891" xr:uid="{D44A404B-DE7F-4A3C-AA58-ED8AE4269661}"/>
    <cellStyle name="40% - Accent2 2 5 3" xfId="6791" xr:uid="{00000000-0005-0000-0000-000017340000}"/>
    <cellStyle name="40% - Accent2 2 5 3 2" xfId="14763" xr:uid="{00000000-0005-0000-0000-000018340000}"/>
    <cellStyle name="40% - Accent2 2 5 3 2 2" xfId="38605" xr:uid="{7480AD45-B4A6-4BA2-AE19-E85BB94FB11A}"/>
    <cellStyle name="40% - Accent2 2 5 3 3" xfId="22710" xr:uid="{00000000-0005-0000-0000-000019340000}"/>
    <cellStyle name="40% - Accent2 2 5 3 3 2" xfId="46542" xr:uid="{2E69AA3F-46F3-47A4-A161-305855687077}"/>
    <cellStyle name="40% - Accent2 2 5 3 4" xfId="30664" xr:uid="{7DEAF733-027E-4581-9375-EEAEA676AFB0}"/>
    <cellStyle name="40% - Accent2 2 5 4" xfId="11227" xr:uid="{00000000-0005-0000-0000-00001A340000}"/>
    <cellStyle name="40% - Accent2 2 5 4 2" xfId="35076" xr:uid="{98DE3902-A764-42BD-870E-31AFADF1338C}"/>
    <cellStyle name="40% - Accent2 2 5 5" xfId="19182" xr:uid="{00000000-0005-0000-0000-00001B340000}"/>
    <cellStyle name="40% - Accent2 2 5 5 2" xfId="43014" xr:uid="{7D3E5D37-F69C-4650-9CF3-EAA56A386112}"/>
    <cellStyle name="40% - Accent2 2 5 6" xfId="27134" xr:uid="{8B70A05D-6C97-42BB-856F-78D4C2FF133E}"/>
    <cellStyle name="40% - Accent2 2 5_Exh G" xfId="2860" xr:uid="{00000000-0005-0000-0000-00001C340000}"/>
    <cellStyle name="40% - Accent2 2 6" xfId="4080" xr:uid="{00000000-0005-0000-0000-00001D340000}"/>
    <cellStyle name="40% - Accent2 2 6 2" xfId="7672" xr:uid="{00000000-0005-0000-0000-00001E340000}"/>
    <cellStyle name="40% - Accent2 2 6 2 2" xfId="15643" xr:uid="{00000000-0005-0000-0000-00001F340000}"/>
    <cellStyle name="40% - Accent2 2 6 2 2 2" xfId="39485" xr:uid="{0B88C24E-FF88-4BFB-B2DF-46E43A0003B3}"/>
    <cellStyle name="40% - Accent2 2 6 2 3" xfId="23589" xr:uid="{00000000-0005-0000-0000-000020340000}"/>
    <cellStyle name="40% - Accent2 2 6 2 3 2" xfId="47421" xr:uid="{A7BFCCFD-A604-462A-9711-A4C8938B6D4F}"/>
    <cellStyle name="40% - Accent2 2 6 2 4" xfId="31544" xr:uid="{685680A9-E51C-42E4-BA56-35C90AD5A994}"/>
    <cellStyle name="40% - Accent2 2 6 3" xfId="12105" xr:uid="{00000000-0005-0000-0000-000021340000}"/>
    <cellStyle name="40% - Accent2 2 6 3 2" xfId="35954" xr:uid="{F48BD261-1FCF-4469-825E-1C6E4F738815}"/>
    <cellStyle name="40% - Accent2 2 6 4" xfId="20060" xr:uid="{00000000-0005-0000-0000-000022340000}"/>
    <cellStyle name="40% - Accent2 2 6 4 2" xfId="43892" xr:uid="{8C22AFE4-0109-456B-81B4-3030380B94DF}"/>
    <cellStyle name="40% - Accent2 2 6 5" xfId="28013" xr:uid="{2EB2030F-C28A-46EF-8214-79C3F2D79052}"/>
    <cellStyle name="40% - Accent2 2 7" xfId="5900" xr:uid="{00000000-0005-0000-0000-000023340000}"/>
    <cellStyle name="40% - Accent2 2 7 2" xfId="13884" xr:uid="{00000000-0005-0000-0000-000024340000}"/>
    <cellStyle name="40% - Accent2 2 7 2 2" xfId="37727" xr:uid="{81D67CCD-1A1F-4127-9D5D-57886D1BD049}"/>
    <cellStyle name="40% - Accent2 2 7 3" xfId="21832" xr:uid="{00000000-0005-0000-0000-000025340000}"/>
    <cellStyle name="40% - Accent2 2 7 3 2" xfId="45664" xr:uid="{FF433155-8725-4AE5-B148-8EDD334151D9}"/>
    <cellStyle name="40% - Accent2 2 7 4" xfId="29786" xr:uid="{1338D655-8A91-4108-B313-2F7E037990D8}"/>
    <cellStyle name="40% - Accent2 2 8" xfId="9453" xr:uid="{00000000-0005-0000-0000-000026340000}"/>
    <cellStyle name="40% - Accent2 2 8 2" xfId="17411" xr:uid="{00000000-0005-0000-0000-000027340000}"/>
    <cellStyle name="40% - Accent2 2 8 2 2" xfId="41251" xr:uid="{F4B1A729-2548-4332-8746-7DD92A661B5B}"/>
    <cellStyle name="40% - Accent2 2 8 3" xfId="25355" xr:uid="{00000000-0005-0000-0000-000028340000}"/>
    <cellStyle name="40% - Accent2 2 8 3 2" xfId="49187" xr:uid="{E3343A4E-DD47-49D7-A1B0-645BCA45E6CC}"/>
    <cellStyle name="40% - Accent2 2 8 4" xfId="33310" xr:uid="{86404E1F-6155-4454-9C03-3ACEB3211760}"/>
    <cellStyle name="40% - Accent2 2 9" xfId="10349" xr:uid="{00000000-0005-0000-0000-000029340000}"/>
    <cellStyle name="40% - Accent2 2 9 2" xfId="34198" xr:uid="{B2F04425-08B1-4D84-AA69-F37536099E91}"/>
    <cellStyle name="40% - Accent2 2_Exh G" xfId="2849" xr:uid="{00000000-0005-0000-0000-00002A340000}"/>
    <cellStyle name="40% - Accent2 3" xfId="405" xr:uid="{00000000-0005-0000-0000-00002B340000}"/>
    <cellStyle name="40% - Accent2 3 10" xfId="18308" xr:uid="{00000000-0005-0000-0000-00002C340000}"/>
    <cellStyle name="40% - Accent2 3 10 2" xfId="42140" xr:uid="{023C5DB5-ADF2-48D1-AB05-755F519BC687}"/>
    <cellStyle name="40% - Accent2 3 11" xfId="26260" xr:uid="{ABF359AB-2D95-4520-8B75-D55EB0ADDB6F}"/>
    <cellStyle name="40% - Accent2 3 12" xfId="49768" xr:uid="{DF3D5C3A-C82C-42EA-AF19-AFE978B1DE03}"/>
    <cellStyle name="40% - Accent2 3 13" xfId="49822" xr:uid="{ABD6F147-D953-423D-8A69-4ED201EB38F7}"/>
    <cellStyle name="40% - Accent2 3 2" xfId="406" xr:uid="{00000000-0005-0000-0000-00002D340000}"/>
    <cellStyle name="40% - Accent2 3 2 10" xfId="26261" xr:uid="{D504ABB3-67A6-462D-9711-AC1A5911AF69}"/>
    <cellStyle name="40% - Accent2 3 2 2" xfId="407" xr:uid="{00000000-0005-0000-0000-00002E340000}"/>
    <cellStyle name="40% - Accent2 3 2 2 2" xfId="1435" xr:uid="{00000000-0005-0000-0000-00002F340000}"/>
    <cellStyle name="40% - Accent2 3 2 2 2 2" xfId="4965" xr:uid="{00000000-0005-0000-0000-000030340000}"/>
    <cellStyle name="40% - Accent2 3 2 2 2 2 2" xfId="8556" xr:uid="{00000000-0005-0000-0000-000031340000}"/>
    <cellStyle name="40% - Accent2 3 2 2 2 2 2 2" xfId="16527" xr:uid="{00000000-0005-0000-0000-000032340000}"/>
    <cellStyle name="40% - Accent2 3 2 2 2 2 2 2 2" xfId="40369" xr:uid="{1C24ACC0-EC7B-4887-ABE6-1F125388AB6A}"/>
    <cellStyle name="40% - Accent2 3 2 2 2 2 2 3" xfId="24473" xr:uid="{00000000-0005-0000-0000-000033340000}"/>
    <cellStyle name="40% - Accent2 3 2 2 2 2 2 3 2" xfId="48305" xr:uid="{9B646997-0A1C-4023-9F3D-0F7B9551E911}"/>
    <cellStyle name="40% - Accent2 3 2 2 2 2 2 4" xfId="32428" xr:uid="{C4EC2E21-898F-49F9-8D4C-7D9860D540FF}"/>
    <cellStyle name="40% - Accent2 3 2 2 2 2 3" xfId="12989" xr:uid="{00000000-0005-0000-0000-000034340000}"/>
    <cellStyle name="40% - Accent2 3 2 2 2 2 3 2" xfId="36838" xr:uid="{C5D05D64-9D88-466E-9621-5529E696E993}"/>
    <cellStyle name="40% - Accent2 3 2 2 2 2 4" xfId="20944" xr:uid="{00000000-0005-0000-0000-000035340000}"/>
    <cellStyle name="40% - Accent2 3 2 2 2 2 4 2" xfId="44776" xr:uid="{ACCC3764-D1EB-48FC-B72D-124A836EF92B}"/>
    <cellStyle name="40% - Accent2 3 2 2 2 2 5" xfId="28897" xr:uid="{6EE91F54-DFA3-4476-B7B5-C9843BA35A13}"/>
    <cellStyle name="40% - Accent2 3 2 2 2 3" xfId="6797" xr:uid="{00000000-0005-0000-0000-000036340000}"/>
    <cellStyle name="40% - Accent2 3 2 2 2 3 2" xfId="14769" xr:uid="{00000000-0005-0000-0000-000037340000}"/>
    <cellStyle name="40% - Accent2 3 2 2 2 3 2 2" xfId="38611" xr:uid="{12F4D85E-806E-47EC-B0D6-4F5AB24EAFB3}"/>
    <cellStyle name="40% - Accent2 3 2 2 2 3 3" xfId="22716" xr:uid="{00000000-0005-0000-0000-000038340000}"/>
    <cellStyle name="40% - Accent2 3 2 2 2 3 3 2" xfId="46548" xr:uid="{EE690F37-9A06-448E-BDC8-626A5E47AB32}"/>
    <cellStyle name="40% - Accent2 3 2 2 2 3 4" xfId="30670" xr:uid="{FDC87792-CE28-4C91-9E45-220129896850}"/>
    <cellStyle name="40% - Accent2 3 2 2 2 4" xfId="11233" xr:uid="{00000000-0005-0000-0000-000039340000}"/>
    <cellStyle name="40% - Accent2 3 2 2 2 4 2" xfId="35082" xr:uid="{A8E9627F-BA39-403A-AA62-814F8343425A}"/>
    <cellStyle name="40% - Accent2 3 2 2 2 5" xfId="19188" xr:uid="{00000000-0005-0000-0000-00003A340000}"/>
    <cellStyle name="40% - Accent2 3 2 2 2 5 2" xfId="43020" xr:uid="{08A2A677-A776-4400-A0A2-28E5DDAB8FFD}"/>
    <cellStyle name="40% - Accent2 3 2 2 2 6" xfId="27140" xr:uid="{F7370289-ACCC-499A-9B27-A1CB4897FA5F}"/>
    <cellStyle name="40% - Accent2 3 2 2 2_Exh G" xfId="2864" xr:uid="{00000000-0005-0000-0000-00003B340000}"/>
    <cellStyle name="40% - Accent2 3 2 2 3" xfId="4086" xr:uid="{00000000-0005-0000-0000-00003C340000}"/>
    <cellStyle name="40% - Accent2 3 2 2 3 2" xfId="7678" xr:uid="{00000000-0005-0000-0000-00003D340000}"/>
    <cellStyle name="40% - Accent2 3 2 2 3 2 2" xfId="15649" xr:uid="{00000000-0005-0000-0000-00003E340000}"/>
    <cellStyle name="40% - Accent2 3 2 2 3 2 2 2" xfId="39491" xr:uid="{581CECCE-8590-4CEB-9035-241829130FD7}"/>
    <cellStyle name="40% - Accent2 3 2 2 3 2 3" xfId="23595" xr:uid="{00000000-0005-0000-0000-00003F340000}"/>
    <cellStyle name="40% - Accent2 3 2 2 3 2 3 2" xfId="47427" xr:uid="{613B8961-AD61-407F-A700-0EF45BF17359}"/>
    <cellStyle name="40% - Accent2 3 2 2 3 2 4" xfId="31550" xr:uid="{49E307B9-C444-4DC1-AF74-EE9BB3AA7710}"/>
    <cellStyle name="40% - Accent2 3 2 2 3 3" xfId="12111" xr:uid="{00000000-0005-0000-0000-000040340000}"/>
    <cellStyle name="40% - Accent2 3 2 2 3 3 2" xfId="35960" xr:uid="{C2C21B4B-039C-4745-82C4-6C9DE2D6545D}"/>
    <cellStyle name="40% - Accent2 3 2 2 3 4" xfId="20066" xr:uid="{00000000-0005-0000-0000-000041340000}"/>
    <cellStyle name="40% - Accent2 3 2 2 3 4 2" xfId="43898" xr:uid="{CF3CF247-AA1E-4B6C-864A-2B19CD943E3B}"/>
    <cellStyle name="40% - Accent2 3 2 2 3 5" xfId="28019" xr:uid="{F3E5163A-52B7-4994-952A-E44A8CB017F3}"/>
    <cellStyle name="40% - Accent2 3 2 2 4" xfId="5906" xr:uid="{00000000-0005-0000-0000-000042340000}"/>
    <cellStyle name="40% - Accent2 3 2 2 4 2" xfId="13890" xr:uid="{00000000-0005-0000-0000-000043340000}"/>
    <cellStyle name="40% - Accent2 3 2 2 4 2 2" xfId="37733" xr:uid="{B6876B3A-6B8A-4E64-A68A-ADCCD39CEAB3}"/>
    <cellStyle name="40% - Accent2 3 2 2 4 3" xfId="21838" xr:uid="{00000000-0005-0000-0000-000044340000}"/>
    <cellStyle name="40% - Accent2 3 2 2 4 3 2" xfId="45670" xr:uid="{AD092AFF-D182-4C02-BF7A-B0624D28B94D}"/>
    <cellStyle name="40% - Accent2 3 2 2 4 4" xfId="29792" xr:uid="{7DE13C5A-ADED-43D4-AA33-6DB3641FE8C9}"/>
    <cellStyle name="40% - Accent2 3 2 2 5" xfId="9459" xr:uid="{00000000-0005-0000-0000-000045340000}"/>
    <cellStyle name="40% - Accent2 3 2 2 5 2" xfId="17417" xr:uid="{00000000-0005-0000-0000-000046340000}"/>
    <cellStyle name="40% - Accent2 3 2 2 5 2 2" xfId="41257" xr:uid="{1242EB74-96A7-4220-B350-3A5E9B2C57EB}"/>
    <cellStyle name="40% - Accent2 3 2 2 5 3" xfId="25361" xr:uid="{00000000-0005-0000-0000-000047340000}"/>
    <cellStyle name="40% - Accent2 3 2 2 5 3 2" xfId="49193" xr:uid="{CD3DC280-39DA-467A-A330-6F07F004A6BF}"/>
    <cellStyle name="40% - Accent2 3 2 2 5 4" xfId="33316" xr:uid="{1941A041-0B7A-4999-8077-11B48B2CCBE4}"/>
    <cellStyle name="40% - Accent2 3 2 2 6" xfId="10355" xr:uid="{00000000-0005-0000-0000-000048340000}"/>
    <cellStyle name="40% - Accent2 3 2 2 6 2" xfId="34204" xr:uid="{16D8BA25-7A64-4BE8-8567-F3E3FB548082}"/>
    <cellStyle name="40% - Accent2 3 2 2 7" xfId="18310" xr:uid="{00000000-0005-0000-0000-000049340000}"/>
    <cellStyle name="40% - Accent2 3 2 2 7 2" xfId="42142" xr:uid="{40BBB939-FF33-4CC4-BF1D-7FC3E840FB5B}"/>
    <cellStyle name="40% - Accent2 3 2 2 8" xfId="26262" xr:uid="{774FFA49-8ED0-4A64-AC8A-C311542C1A10}"/>
    <cellStyle name="40% - Accent2 3 2 2_Exh G" xfId="2863" xr:uid="{00000000-0005-0000-0000-00004A340000}"/>
    <cellStyle name="40% - Accent2 3 2 3" xfId="950" xr:uid="{00000000-0005-0000-0000-00004B340000}"/>
    <cellStyle name="40% - Accent2 3 2 3 2" xfId="1872" xr:uid="{00000000-0005-0000-0000-00004C340000}"/>
    <cellStyle name="40% - Accent2 3 2 3 2 2" xfId="5390" xr:uid="{00000000-0005-0000-0000-00004D340000}"/>
    <cellStyle name="40% - Accent2 3 2 3 2 2 2" xfId="8981" xr:uid="{00000000-0005-0000-0000-00004E340000}"/>
    <cellStyle name="40% - Accent2 3 2 3 2 2 2 2" xfId="16952" xr:uid="{00000000-0005-0000-0000-00004F340000}"/>
    <cellStyle name="40% - Accent2 3 2 3 2 2 2 2 2" xfId="40794" xr:uid="{932A4EBC-BF6D-4510-94C5-332A90EE91C2}"/>
    <cellStyle name="40% - Accent2 3 2 3 2 2 2 3" xfId="24898" xr:uid="{00000000-0005-0000-0000-000050340000}"/>
    <cellStyle name="40% - Accent2 3 2 3 2 2 2 3 2" xfId="48730" xr:uid="{1FB7098A-714D-4A94-B785-51CE1D679CB3}"/>
    <cellStyle name="40% - Accent2 3 2 3 2 2 2 4" xfId="32853" xr:uid="{BD6CDE78-D4BC-454B-95F8-145D29FF8996}"/>
    <cellStyle name="40% - Accent2 3 2 3 2 2 3" xfId="13414" xr:uid="{00000000-0005-0000-0000-000051340000}"/>
    <cellStyle name="40% - Accent2 3 2 3 2 2 3 2" xfId="37263" xr:uid="{CCABD80B-71A3-4B32-9E55-F86DBA38D2D0}"/>
    <cellStyle name="40% - Accent2 3 2 3 2 2 4" xfId="21369" xr:uid="{00000000-0005-0000-0000-000052340000}"/>
    <cellStyle name="40% - Accent2 3 2 3 2 2 4 2" xfId="45201" xr:uid="{2F4862DE-A7FD-4976-A1AB-B283F6126958}"/>
    <cellStyle name="40% - Accent2 3 2 3 2 2 5" xfId="29322" xr:uid="{951465A6-6FFA-4FE3-87C2-BF07238C1D7D}"/>
    <cellStyle name="40% - Accent2 3 2 3 2 3" xfId="7222" xr:uid="{00000000-0005-0000-0000-000053340000}"/>
    <cellStyle name="40% - Accent2 3 2 3 2 3 2" xfId="15194" xr:uid="{00000000-0005-0000-0000-000054340000}"/>
    <cellStyle name="40% - Accent2 3 2 3 2 3 2 2" xfId="39036" xr:uid="{97A0BE34-5CC4-41A8-90A4-98DFA4B89268}"/>
    <cellStyle name="40% - Accent2 3 2 3 2 3 3" xfId="23141" xr:uid="{00000000-0005-0000-0000-000055340000}"/>
    <cellStyle name="40% - Accent2 3 2 3 2 3 3 2" xfId="46973" xr:uid="{CF0C7C2F-410F-48A7-A842-CEA0C58EE61F}"/>
    <cellStyle name="40% - Accent2 3 2 3 2 3 4" xfId="31095" xr:uid="{25A834BA-C156-4BE1-A628-81C35B955E1D}"/>
    <cellStyle name="40% - Accent2 3 2 3 2 4" xfId="11658" xr:uid="{00000000-0005-0000-0000-000056340000}"/>
    <cellStyle name="40% - Accent2 3 2 3 2 4 2" xfId="35507" xr:uid="{6CF074C5-3DB0-47EE-BD9E-B5A3CCB95896}"/>
    <cellStyle name="40% - Accent2 3 2 3 2 5" xfId="19613" xr:uid="{00000000-0005-0000-0000-000057340000}"/>
    <cellStyle name="40% - Accent2 3 2 3 2 5 2" xfId="43445" xr:uid="{7F8C34FD-ABF7-4A70-8A9E-16CACD4A427F}"/>
    <cellStyle name="40% - Accent2 3 2 3 2 6" xfId="27565" xr:uid="{078EBB1D-9323-4EC8-A91C-9730FE91214A}"/>
    <cellStyle name="40% - Accent2 3 2 3 2_Exh G" xfId="2866" xr:uid="{00000000-0005-0000-0000-000058340000}"/>
    <cellStyle name="40% - Accent2 3 2 3 3" xfId="4511" xr:uid="{00000000-0005-0000-0000-000059340000}"/>
    <cellStyle name="40% - Accent2 3 2 3 3 2" xfId="8103" xr:uid="{00000000-0005-0000-0000-00005A340000}"/>
    <cellStyle name="40% - Accent2 3 2 3 3 2 2" xfId="16074" xr:uid="{00000000-0005-0000-0000-00005B340000}"/>
    <cellStyle name="40% - Accent2 3 2 3 3 2 2 2" xfId="39916" xr:uid="{0AEA1ABD-DF0F-467E-B547-3A7890C03699}"/>
    <cellStyle name="40% - Accent2 3 2 3 3 2 3" xfId="24020" xr:uid="{00000000-0005-0000-0000-00005C340000}"/>
    <cellStyle name="40% - Accent2 3 2 3 3 2 3 2" xfId="47852" xr:uid="{6CBD4780-B703-4B8E-BB3F-13B1E39F6727}"/>
    <cellStyle name="40% - Accent2 3 2 3 3 2 4" xfId="31975" xr:uid="{371F4197-7D20-47F1-9581-893049B9FBE4}"/>
    <cellStyle name="40% - Accent2 3 2 3 3 3" xfId="12536" xr:uid="{00000000-0005-0000-0000-00005D340000}"/>
    <cellStyle name="40% - Accent2 3 2 3 3 3 2" xfId="36385" xr:uid="{53939399-2BFA-4B90-ADF3-53CE8A2A134E}"/>
    <cellStyle name="40% - Accent2 3 2 3 3 4" xfId="20491" xr:uid="{00000000-0005-0000-0000-00005E340000}"/>
    <cellStyle name="40% - Accent2 3 2 3 3 4 2" xfId="44323" xr:uid="{4EE5873C-76FC-4DC7-9958-5E0FB5137288}"/>
    <cellStyle name="40% - Accent2 3 2 3 3 5" xfId="28444" xr:uid="{618F5CCB-5F8E-4067-B740-972A69E0E822}"/>
    <cellStyle name="40% - Accent2 3 2 3 4" xfId="6341" xr:uid="{00000000-0005-0000-0000-00005F340000}"/>
    <cellStyle name="40% - Accent2 3 2 3 4 2" xfId="14316" xr:uid="{00000000-0005-0000-0000-000060340000}"/>
    <cellStyle name="40% - Accent2 3 2 3 4 2 2" xfId="38158" xr:uid="{C4E0E714-B033-4CE0-8A99-4D871DB67969}"/>
    <cellStyle name="40% - Accent2 3 2 3 4 3" xfId="22263" xr:uid="{00000000-0005-0000-0000-000061340000}"/>
    <cellStyle name="40% - Accent2 3 2 3 4 3 2" xfId="46095" xr:uid="{7B529CFE-DF96-4A40-AE99-C195EB1E7150}"/>
    <cellStyle name="40% - Accent2 3 2 3 4 4" xfId="30217" xr:uid="{C432985B-990A-4F1D-AFB6-AA6B82F19F5B}"/>
    <cellStyle name="40% - Accent2 3 2 3 5" xfId="9884" xr:uid="{00000000-0005-0000-0000-000062340000}"/>
    <cellStyle name="40% - Accent2 3 2 3 5 2" xfId="17842" xr:uid="{00000000-0005-0000-0000-000063340000}"/>
    <cellStyle name="40% - Accent2 3 2 3 5 2 2" xfId="41682" xr:uid="{46E2AB73-599E-478A-A85A-58A687DC60E8}"/>
    <cellStyle name="40% - Accent2 3 2 3 5 3" xfId="25786" xr:uid="{00000000-0005-0000-0000-000064340000}"/>
    <cellStyle name="40% - Accent2 3 2 3 5 3 2" xfId="49618" xr:uid="{D1942D59-4B41-42AA-9FBD-4EB502E4D5A1}"/>
    <cellStyle name="40% - Accent2 3 2 3 5 4" xfId="33741" xr:uid="{31E42F5E-B086-41DC-9D2C-BD2F479EB3A7}"/>
    <cellStyle name="40% - Accent2 3 2 3 6" xfId="10780" xr:uid="{00000000-0005-0000-0000-000065340000}"/>
    <cellStyle name="40% - Accent2 3 2 3 6 2" xfId="34629" xr:uid="{AF8ED8DD-CAA9-4B86-A693-69E0CFED7809}"/>
    <cellStyle name="40% - Accent2 3 2 3 7" xfId="18735" xr:uid="{00000000-0005-0000-0000-000066340000}"/>
    <cellStyle name="40% - Accent2 3 2 3 7 2" xfId="42567" xr:uid="{4037C418-8257-4DEB-BBC2-F4ED3E6D1892}"/>
    <cellStyle name="40% - Accent2 3 2 3 8" xfId="26687" xr:uid="{C4CED0F9-9C5B-41EE-8B3A-6518BFA1BB9F}"/>
    <cellStyle name="40% - Accent2 3 2 3_Exh G" xfId="2865" xr:uid="{00000000-0005-0000-0000-000067340000}"/>
    <cellStyle name="40% - Accent2 3 2 4" xfId="1434" xr:uid="{00000000-0005-0000-0000-000068340000}"/>
    <cellStyle name="40% - Accent2 3 2 4 2" xfId="4964" xr:uid="{00000000-0005-0000-0000-000069340000}"/>
    <cellStyle name="40% - Accent2 3 2 4 2 2" xfId="8555" xr:uid="{00000000-0005-0000-0000-00006A340000}"/>
    <cellStyle name="40% - Accent2 3 2 4 2 2 2" xfId="16526" xr:uid="{00000000-0005-0000-0000-00006B340000}"/>
    <cellStyle name="40% - Accent2 3 2 4 2 2 2 2" xfId="40368" xr:uid="{F52887BE-FAAA-49AB-B968-D0C16A15023B}"/>
    <cellStyle name="40% - Accent2 3 2 4 2 2 3" xfId="24472" xr:uid="{00000000-0005-0000-0000-00006C340000}"/>
    <cellStyle name="40% - Accent2 3 2 4 2 2 3 2" xfId="48304" xr:uid="{2FD11B60-D296-4C31-9D41-48842048926C}"/>
    <cellStyle name="40% - Accent2 3 2 4 2 2 4" xfId="32427" xr:uid="{6E0947A2-F927-427C-AF5A-D4A5D46FAF06}"/>
    <cellStyle name="40% - Accent2 3 2 4 2 3" xfId="12988" xr:uid="{00000000-0005-0000-0000-00006D340000}"/>
    <cellStyle name="40% - Accent2 3 2 4 2 3 2" xfId="36837" xr:uid="{76330EB6-DCF5-4BFD-9F12-AF948E86ED99}"/>
    <cellStyle name="40% - Accent2 3 2 4 2 4" xfId="20943" xr:uid="{00000000-0005-0000-0000-00006E340000}"/>
    <cellStyle name="40% - Accent2 3 2 4 2 4 2" xfId="44775" xr:uid="{3FAAAE91-75DF-43A3-B6F7-EB2DDF64F02D}"/>
    <cellStyle name="40% - Accent2 3 2 4 2 5" xfId="28896" xr:uid="{6271170E-EE81-41BB-9628-67C5C8FA4BA3}"/>
    <cellStyle name="40% - Accent2 3 2 4 3" xfId="6796" xr:uid="{00000000-0005-0000-0000-00006F340000}"/>
    <cellStyle name="40% - Accent2 3 2 4 3 2" xfId="14768" xr:uid="{00000000-0005-0000-0000-000070340000}"/>
    <cellStyle name="40% - Accent2 3 2 4 3 2 2" xfId="38610" xr:uid="{111A56FE-A6EC-4CF0-ABAC-A206D6D04EB8}"/>
    <cellStyle name="40% - Accent2 3 2 4 3 3" xfId="22715" xr:uid="{00000000-0005-0000-0000-000071340000}"/>
    <cellStyle name="40% - Accent2 3 2 4 3 3 2" xfId="46547" xr:uid="{C2498986-C3DD-48EB-8AEE-A816EDFDD30D}"/>
    <cellStyle name="40% - Accent2 3 2 4 3 4" xfId="30669" xr:uid="{AE87BA86-B6E2-468A-8531-3B7DAE68C023}"/>
    <cellStyle name="40% - Accent2 3 2 4 4" xfId="11232" xr:uid="{00000000-0005-0000-0000-000072340000}"/>
    <cellStyle name="40% - Accent2 3 2 4 4 2" xfId="35081" xr:uid="{532809EA-CABB-47D4-AF26-6EE06C3D647A}"/>
    <cellStyle name="40% - Accent2 3 2 4 5" xfId="19187" xr:uid="{00000000-0005-0000-0000-000073340000}"/>
    <cellStyle name="40% - Accent2 3 2 4 5 2" xfId="43019" xr:uid="{9049752A-B79F-4157-B9AD-F2B62920E713}"/>
    <cellStyle name="40% - Accent2 3 2 4 6" xfId="27139" xr:uid="{A711C0F9-1CCA-4D2E-A7BB-66EE02588835}"/>
    <cellStyle name="40% - Accent2 3 2 4_Exh G" xfId="2867" xr:uid="{00000000-0005-0000-0000-000074340000}"/>
    <cellStyle name="40% - Accent2 3 2 5" xfId="4085" xr:uid="{00000000-0005-0000-0000-000075340000}"/>
    <cellStyle name="40% - Accent2 3 2 5 2" xfId="7677" xr:uid="{00000000-0005-0000-0000-000076340000}"/>
    <cellStyle name="40% - Accent2 3 2 5 2 2" xfId="15648" xr:uid="{00000000-0005-0000-0000-000077340000}"/>
    <cellStyle name="40% - Accent2 3 2 5 2 2 2" xfId="39490" xr:uid="{ED71229B-3C42-4913-831F-2B5B3CBB2087}"/>
    <cellStyle name="40% - Accent2 3 2 5 2 3" xfId="23594" xr:uid="{00000000-0005-0000-0000-000078340000}"/>
    <cellStyle name="40% - Accent2 3 2 5 2 3 2" xfId="47426" xr:uid="{0827D97A-F1C3-4B76-9F07-334BC3897D49}"/>
    <cellStyle name="40% - Accent2 3 2 5 2 4" xfId="31549" xr:uid="{18397711-4535-455F-A9C7-C02A6566E121}"/>
    <cellStyle name="40% - Accent2 3 2 5 3" xfId="12110" xr:uid="{00000000-0005-0000-0000-000079340000}"/>
    <cellStyle name="40% - Accent2 3 2 5 3 2" xfId="35959" xr:uid="{D35B740B-C095-4DD1-AB40-D618206365BE}"/>
    <cellStyle name="40% - Accent2 3 2 5 4" xfId="20065" xr:uid="{00000000-0005-0000-0000-00007A340000}"/>
    <cellStyle name="40% - Accent2 3 2 5 4 2" xfId="43897" xr:uid="{5D17274E-9881-4513-8C16-44CE9DEE1872}"/>
    <cellStyle name="40% - Accent2 3 2 5 5" xfId="28018" xr:uid="{0B414AE1-DEC0-4236-8476-BB4CF3387C95}"/>
    <cellStyle name="40% - Accent2 3 2 6" xfId="5905" xr:uid="{00000000-0005-0000-0000-00007B340000}"/>
    <cellStyle name="40% - Accent2 3 2 6 2" xfId="13889" xr:uid="{00000000-0005-0000-0000-00007C340000}"/>
    <cellStyle name="40% - Accent2 3 2 6 2 2" xfId="37732" xr:uid="{00A171EC-66C3-430A-82D2-A03570D78FA3}"/>
    <cellStyle name="40% - Accent2 3 2 6 3" xfId="21837" xr:uid="{00000000-0005-0000-0000-00007D340000}"/>
    <cellStyle name="40% - Accent2 3 2 6 3 2" xfId="45669" xr:uid="{B82BEBF9-3C27-4F01-A6B3-0C84AEF3F830}"/>
    <cellStyle name="40% - Accent2 3 2 6 4" xfId="29791" xr:uid="{03D04318-9C54-4C92-9340-15BA823B4A2F}"/>
    <cellStyle name="40% - Accent2 3 2 7" xfId="9458" xr:uid="{00000000-0005-0000-0000-00007E340000}"/>
    <cellStyle name="40% - Accent2 3 2 7 2" xfId="17416" xr:uid="{00000000-0005-0000-0000-00007F340000}"/>
    <cellStyle name="40% - Accent2 3 2 7 2 2" xfId="41256" xr:uid="{DB74B8B9-2F33-496A-BF67-5896B1F83DB9}"/>
    <cellStyle name="40% - Accent2 3 2 7 3" xfId="25360" xr:uid="{00000000-0005-0000-0000-000080340000}"/>
    <cellStyle name="40% - Accent2 3 2 7 3 2" xfId="49192" xr:uid="{86BDC367-61ED-4C65-8680-0229F263A1D5}"/>
    <cellStyle name="40% - Accent2 3 2 7 4" xfId="33315" xr:uid="{E9AEF855-A42B-45AD-B5A2-C7DC7B61045E}"/>
    <cellStyle name="40% - Accent2 3 2 8" xfId="10354" xr:uid="{00000000-0005-0000-0000-000081340000}"/>
    <cellStyle name="40% - Accent2 3 2 8 2" xfId="34203" xr:uid="{E7F5DD78-D7D0-443B-B6FE-A916010E3D07}"/>
    <cellStyle name="40% - Accent2 3 2 9" xfId="18309" xr:uid="{00000000-0005-0000-0000-000082340000}"/>
    <cellStyle name="40% - Accent2 3 2 9 2" xfId="42141" xr:uid="{3D37D386-F935-483D-BF9B-B04B804DFF57}"/>
    <cellStyle name="40% - Accent2 3 2_Exh G" xfId="2862" xr:uid="{00000000-0005-0000-0000-000083340000}"/>
    <cellStyle name="40% - Accent2 3 3" xfId="408" xr:uid="{00000000-0005-0000-0000-000084340000}"/>
    <cellStyle name="40% - Accent2 3 3 2" xfId="1436" xr:uid="{00000000-0005-0000-0000-000085340000}"/>
    <cellStyle name="40% - Accent2 3 3 2 2" xfId="4966" xr:uid="{00000000-0005-0000-0000-000086340000}"/>
    <cellStyle name="40% - Accent2 3 3 2 2 2" xfId="8557" xr:uid="{00000000-0005-0000-0000-000087340000}"/>
    <cellStyle name="40% - Accent2 3 3 2 2 2 2" xfId="16528" xr:uid="{00000000-0005-0000-0000-000088340000}"/>
    <cellStyle name="40% - Accent2 3 3 2 2 2 2 2" xfId="40370" xr:uid="{2281B771-2A55-4A28-B631-54ACF633D5BA}"/>
    <cellStyle name="40% - Accent2 3 3 2 2 2 3" xfId="24474" xr:uid="{00000000-0005-0000-0000-000089340000}"/>
    <cellStyle name="40% - Accent2 3 3 2 2 2 3 2" xfId="48306" xr:uid="{042B1AFF-53C7-4A8D-AAC8-9044F9C0CC42}"/>
    <cellStyle name="40% - Accent2 3 3 2 2 2 4" xfId="32429" xr:uid="{66B453C6-E6BB-439D-B519-800FB2DDDD84}"/>
    <cellStyle name="40% - Accent2 3 3 2 2 3" xfId="12990" xr:uid="{00000000-0005-0000-0000-00008A340000}"/>
    <cellStyle name="40% - Accent2 3 3 2 2 3 2" xfId="36839" xr:uid="{AB47AA6F-E9C0-4CF2-BA92-CF7567694320}"/>
    <cellStyle name="40% - Accent2 3 3 2 2 4" xfId="20945" xr:uid="{00000000-0005-0000-0000-00008B340000}"/>
    <cellStyle name="40% - Accent2 3 3 2 2 4 2" xfId="44777" xr:uid="{F41D4AE8-8F68-4ED9-9E02-675A6E297D4E}"/>
    <cellStyle name="40% - Accent2 3 3 2 2 5" xfId="28898" xr:uid="{FD4661C0-B9FD-40DD-82C0-3B33452DD7E6}"/>
    <cellStyle name="40% - Accent2 3 3 2 3" xfId="6798" xr:uid="{00000000-0005-0000-0000-00008C340000}"/>
    <cellStyle name="40% - Accent2 3 3 2 3 2" xfId="14770" xr:uid="{00000000-0005-0000-0000-00008D340000}"/>
    <cellStyle name="40% - Accent2 3 3 2 3 2 2" xfId="38612" xr:uid="{6F1030FD-7E4D-45A2-8C8F-0DFFD7853CD6}"/>
    <cellStyle name="40% - Accent2 3 3 2 3 3" xfId="22717" xr:uid="{00000000-0005-0000-0000-00008E340000}"/>
    <cellStyle name="40% - Accent2 3 3 2 3 3 2" xfId="46549" xr:uid="{8DB35185-F55E-4EF8-9F75-E3D4A5F4674E}"/>
    <cellStyle name="40% - Accent2 3 3 2 3 4" xfId="30671" xr:uid="{09A971D0-5619-4648-88D7-E2AF8A2C7B32}"/>
    <cellStyle name="40% - Accent2 3 3 2 4" xfId="11234" xr:uid="{00000000-0005-0000-0000-00008F340000}"/>
    <cellStyle name="40% - Accent2 3 3 2 4 2" xfId="35083" xr:uid="{9EBB10EF-6892-47D6-BDF0-93F5D73ECFFF}"/>
    <cellStyle name="40% - Accent2 3 3 2 5" xfId="19189" xr:uid="{00000000-0005-0000-0000-000090340000}"/>
    <cellStyle name="40% - Accent2 3 3 2 5 2" xfId="43021" xr:uid="{D48D5E9C-8AF8-4475-B15D-32E26296D89A}"/>
    <cellStyle name="40% - Accent2 3 3 2 6" xfId="27141" xr:uid="{F3389704-12F2-42A4-A2C4-09AFCA719E85}"/>
    <cellStyle name="40% - Accent2 3 3 2_Exh G" xfId="2869" xr:uid="{00000000-0005-0000-0000-000091340000}"/>
    <cellStyle name="40% - Accent2 3 3 3" xfId="4087" xr:uid="{00000000-0005-0000-0000-000092340000}"/>
    <cellStyle name="40% - Accent2 3 3 3 2" xfId="7679" xr:uid="{00000000-0005-0000-0000-000093340000}"/>
    <cellStyle name="40% - Accent2 3 3 3 2 2" xfId="15650" xr:uid="{00000000-0005-0000-0000-000094340000}"/>
    <cellStyle name="40% - Accent2 3 3 3 2 2 2" xfId="39492" xr:uid="{E579040F-B6B7-4D7B-9531-E0C3C07E658B}"/>
    <cellStyle name="40% - Accent2 3 3 3 2 3" xfId="23596" xr:uid="{00000000-0005-0000-0000-000095340000}"/>
    <cellStyle name="40% - Accent2 3 3 3 2 3 2" xfId="47428" xr:uid="{512FA589-F988-40A0-B954-8EA1A322246F}"/>
    <cellStyle name="40% - Accent2 3 3 3 2 4" xfId="31551" xr:uid="{6CB89514-850C-4691-A8DC-9B120520710A}"/>
    <cellStyle name="40% - Accent2 3 3 3 3" xfId="12112" xr:uid="{00000000-0005-0000-0000-000096340000}"/>
    <cellStyle name="40% - Accent2 3 3 3 3 2" xfId="35961" xr:uid="{20B33B6E-5938-4A6F-9C37-C61C46EDC6DD}"/>
    <cellStyle name="40% - Accent2 3 3 3 4" xfId="20067" xr:uid="{00000000-0005-0000-0000-000097340000}"/>
    <cellStyle name="40% - Accent2 3 3 3 4 2" xfId="43899" xr:uid="{EE3A586A-DC30-471C-8A8F-D0ADED7A5871}"/>
    <cellStyle name="40% - Accent2 3 3 3 5" xfId="28020" xr:uid="{57727DD1-DA2E-4ECE-A7F2-542E006CA17D}"/>
    <cellStyle name="40% - Accent2 3 3 4" xfId="5907" xr:uid="{00000000-0005-0000-0000-000098340000}"/>
    <cellStyle name="40% - Accent2 3 3 4 2" xfId="13891" xr:uid="{00000000-0005-0000-0000-000099340000}"/>
    <cellStyle name="40% - Accent2 3 3 4 2 2" xfId="37734" xr:uid="{C5E1F4C3-5D22-4802-A34E-A550BDCD5DE0}"/>
    <cellStyle name="40% - Accent2 3 3 4 3" xfId="21839" xr:uid="{00000000-0005-0000-0000-00009A340000}"/>
    <cellStyle name="40% - Accent2 3 3 4 3 2" xfId="45671" xr:uid="{DEAB7684-C514-4DB4-A994-CE047B709D6B}"/>
    <cellStyle name="40% - Accent2 3 3 4 4" xfId="29793" xr:uid="{7223998C-5F95-4EAE-965F-AEEEC9718D18}"/>
    <cellStyle name="40% - Accent2 3 3 5" xfId="9460" xr:uid="{00000000-0005-0000-0000-00009B340000}"/>
    <cellStyle name="40% - Accent2 3 3 5 2" xfId="17418" xr:uid="{00000000-0005-0000-0000-00009C340000}"/>
    <cellStyle name="40% - Accent2 3 3 5 2 2" xfId="41258" xr:uid="{083A5562-BF32-46C0-BEA2-39BA63A91655}"/>
    <cellStyle name="40% - Accent2 3 3 5 3" xfId="25362" xr:uid="{00000000-0005-0000-0000-00009D340000}"/>
    <cellStyle name="40% - Accent2 3 3 5 3 2" xfId="49194" xr:uid="{FC705EA9-F467-413A-89EF-4270E49032E7}"/>
    <cellStyle name="40% - Accent2 3 3 5 4" xfId="33317" xr:uid="{CBA467B7-8110-4C71-863A-09BF0AFDEBF2}"/>
    <cellStyle name="40% - Accent2 3 3 6" xfId="10356" xr:uid="{00000000-0005-0000-0000-00009E340000}"/>
    <cellStyle name="40% - Accent2 3 3 6 2" xfId="34205" xr:uid="{350CFB15-0577-406B-B6FA-55B45F62D93C}"/>
    <cellStyle name="40% - Accent2 3 3 7" xfId="18311" xr:uid="{00000000-0005-0000-0000-00009F340000}"/>
    <cellStyle name="40% - Accent2 3 3 7 2" xfId="42143" xr:uid="{63ABC386-7811-4C1D-9411-00BCFF8C011B}"/>
    <cellStyle name="40% - Accent2 3 3 8" xfId="26263" xr:uid="{74DD4B8D-E870-4E38-ADBC-7E5BBFB2D877}"/>
    <cellStyle name="40% - Accent2 3 3_Exh G" xfId="2868" xr:uid="{00000000-0005-0000-0000-0000A0340000}"/>
    <cellStyle name="40% - Accent2 3 4" xfId="949" xr:uid="{00000000-0005-0000-0000-0000A1340000}"/>
    <cellStyle name="40% - Accent2 3 4 2" xfId="1871" xr:uid="{00000000-0005-0000-0000-0000A2340000}"/>
    <cellStyle name="40% - Accent2 3 4 2 2" xfId="5389" xr:uid="{00000000-0005-0000-0000-0000A3340000}"/>
    <cellStyle name="40% - Accent2 3 4 2 2 2" xfId="8980" xr:uid="{00000000-0005-0000-0000-0000A4340000}"/>
    <cellStyle name="40% - Accent2 3 4 2 2 2 2" xfId="16951" xr:uid="{00000000-0005-0000-0000-0000A5340000}"/>
    <cellStyle name="40% - Accent2 3 4 2 2 2 2 2" xfId="40793" xr:uid="{6FFE5EE5-6C65-4B7D-BD3F-84749DA86405}"/>
    <cellStyle name="40% - Accent2 3 4 2 2 2 3" xfId="24897" xr:uid="{00000000-0005-0000-0000-0000A6340000}"/>
    <cellStyle name="40% - Accent2 3 4 2 2 2 3 2" xfId="48729" xr:uid="{69497D61-35AE-454A-B237-C2D65FC4F881}"/>
    <cellStyle name="40% - Accent2 3 4 2 2 2 4" xfId="32852" xr:uid="{7AA5C870-4E37-456A-8750-5B1197EC08E9}"/>
    <cellStyle name="40% - Accent2 3 4 2 2 3" xfId="13413" xr:uid="{00000000-0005-0000-0000-0000A7340000}"/>
    <cellStyle name="40% - Accent2 3 4 2 2 3 2" xfId="37262" xr:uid="{7EEA568A-52A3-4821-9C0D-58AC3A14BB83}"/>
    <cellStyle name="40% - Accent2 3 4 2 2 4" xfId="21368" xr:uid="{00000000-0005-0000-0000-0000A8340000}"/>
    <cellStyle name="40% - Accent2 3 4 2 2 4 2" xfId="45200" xr:uid="{88902E26-4F0A-4B17-ABAA-E1D6BBAD6D7E}"/>
    <cellStyle name="40% - Accent2 3 4 2 2 5" xfId="29321" xr:uid="{73979463-3C71-44E9-A3E2-A4CD0729251A}"/>
    <cellStyle name="40% - Accent2 3 4 2 3" xfId="7221" xr:uid="{00000000-0005-0000-0000-0000A9340000}"/>
    <cellStyle name="40% - Accent2 3 4 2 3 2" xfId="15193" xr:uid="{00000000-0005-0000-0000-0000AA340000}"/>
    <cellStyle name="40% - Accent2 3 4 2 3 2 2" xfId="39035" xr:uid="{9CC44C11-E10A-49E4-A938-A0EFB1A1414D}"/>
    <cellStyle name="40% - Accent2 3 4 2 3 3" xfId="23140" xr:uid="{00000000-0005-0000-0000-0000AB340000}"/>
    <cellStyle name="40% - Accent2 3 4 2 3 3 2" xfId="46972" xr:uid="{5AE482E9-6730-4E2D-951F-19ABB7D133F4}"/>
    <cellStyle name="40% - Accent2 3 4 2 3 4" xfId="31094" xr:uid="{3D445BBF-D7A2-4A63-B180-1CF146296DB3}"/>
    <cellStyle name="40% - Accent2 3 4 2 4" xfId="11657" xr:uid="{00000000-0005-0000-0000-0000AC340000}"/>
    <cellStyle name="40% - Accent2 3 4 2 4 2" xfId="35506" xr:uid="{314B42AF-66FC-49C6-9F6E-6566138E44B6}"/>
    <cellStyle name="40% - Accent2 3 4 2 5" xfId="19612" xr:uid="{00000000-0005-0000-0000-0000AD340000}"/>
    <cellStyle name="40% - Accent2 3 4 2 5 2" xfId="43444" xr:uid="{F1D7E867-D313-4D4E-9FBE-85720027EA18}"/>
    <cellStyle name="40% - Accent2 3 4 2 6" xfId="27564" xr:uid="{49FBC857-F6A8-4D57-BDC2-55FC8C456A3D}"/>
    <cellStyle name="40% - Accent2 3 4 2_Exh G" xfId="2871" xr:uid="{00000000-0005-0000-0000-0000AE340000}"/>
    <cellStyle name="40% - Accent2 3 4 3" xfId="4510" xr:uid="{00000000-0005-0000-0000-0000AF340000}"/>
    <cellStyle name="40% - Accent2 3 4 3 2" xfId="8102" xr:uid="{00000000-0005-0000-0000-0000B0340000}"/>
    <cellStyle name="40% - Accent2 3 4 3 2 2" xfId="16073" xr:uid="{00000000-0005-0000-0000-0000B1340000}"/>
    <cellStyle name="40% - Accent2 3 4 3 2 2 2" xfId="39915" xr:uid="{84748E19-9205-4880-A460-B560EE0AB9AC}"/>
    <cellStyle name="40% - Accent2 3 4 3 2 3" xfId="24019" xr:uid="{00000000-0005-0000-0000-0000B2340000}"/>
    <cellStyle name="40% - Accent2 3 4 3 2 3 2" xfId="47851" xr:uid="{1401B81A-29FA-4DEE-8F06-900FF58CA11F}"/>
    <cellStyle name="40% - Accent2 3 4 3 2 4" xfId="31974" xr:uid="{03F5080A-22B0-48EF-A16A-13FA9E4E1508}"/>
    <cellStyle name="40% - Accent2 3 4 3 3" xfId="12535" xr:uid="{00000000-0005-0000-0000-0000B3340000}"/>
    <cellStyle name="40% - Accent2 3 4 3 3 2" xfId="36384" xr:uid="{B69239A2-35EE-46AA-AC3C-BD48FC0D33D0}"/>
    <cellStyle name="40% - Accent2 3 4 3 4" xfId="20490" xr:uid="{00000000-0005-0000-0000-0000B4340000}"/>
    <cellStyle name="40% - Accent2 3 4 3 4 2" xfId="44322" xr:uid="{B9C25386-4227-4412-9123-BFE25CB4EA3A}"/>
    <cellStyle name="40% - Accent2 3 4 3 5" xfId="28443" xr:uid="{A2A3A72F-E0A0-4BB4-8A50-BF47D9CA48FC}"/>
    <cellStyle name="40% - Accent2 3 4 4" xfId="6340" xr:uid="{00000000-0005-0000-0000-0000B5340000}"/>
    <cellStyle name="40% - Accent2 3 4 4 2" xfId="14315" xr:uid="{00000000-0005-0000-0000-0000B6340000}"/>
    <cellStyle name="40% - Accent2 3 4 4 2 2" xfId="38157" xr:uid="{5B24C4AB-AC90-4753-BA5C-4E32FCDFFC76}"/>
    <cellStyle name="40% - Accent2 3 4 4 3" xfId="22262" xr:uid="{00000000-0005-0000-0000-0000B7340000}"/>
    <cellStyle name="40% - Accent2 3 4 4 3 2" xfId="46094" xr:uid="{5ADA1988-ED72-4FE6-A40E-AEB26869A971}"/>
    <cellStyle name="40% - Accent2 3 4 4 4" xfId="30216" xr:uid="{13843600-3DE7-4F84-9361-94539E87C6E5}"/>
    <cellStyle name="40% - Accent2 3 4 5" xfId="9883" xr:uid="{00000000-0005-0000-0000-0000B8340000}"/>
    <cellStyle name="40% - Accent2 3 4 5 2" xfId="17841" xr:uid="{00000000-0005-0000-0000-0000B9340000}"/>
    <cellStyle name="40% - Accent2 3 4 5 2 2" xfId="41681" xr:uid="{7A5C8004-C001-4A37-B0DA-E7D543DC17FF}"/>
    <cellStyle name="40% - Accent2 3 4 5 3" xfId="25785" xr:uid="{00000000-0005-0000-0000-0000BA340000}"/>
    <cellStyle name="40% - Accent2 3 4 5 3 2" xfId="49617" xr:uid="{163ECD1D-1E64-4605-916E-0D53FB9A2FF1}"/>
    <cellStyle name="40% - Accent2 3 4 5 4" xfId="33740" xr:uid="{1E747B83-E9B2-4C43-A80B-4F7E125F673C}"/>
    <cellStyle name="40% - Accent2 3 4 6" xfId="10779" xr:uid="{00000000-0005-0000-0000-0000BB340000}"/>
    <cellStyle name="40% - Accent2 3 4 6 2" xfId="34628" xr:uid="{76854E61-C47C-4746-BE2F-FFC8C8512392}"/>
    <cellStyle name="40% - Accent2 3 4 7" xfId="18734" xr:uid="{00000000-0005-0000-0000-0000BC340000}"/>
    <cellStyle name="40% - Accent2 3 4 7 2" xfId="42566" xr:uid="{572ECF92-E477-4BBA-83B8-6221C62DD7EE}"/>
    <cellStyle name="40% - Accent2 3 4 8" xfId="26686" xr:uid="{6F8FA915-0CF9-4656-A5EA-A676587BBDA5}"/>
    <cellStyle name="40% - Accent2 3 4_Exh G" xfId="2870" xr:uid="{00000000-0005-0000-0000-0000BD340000}"/>
    <cellStyle name="40% - Accent2 3 5" xfId="1433" xr:uid="{00000000-0005-0000-0000-0000BE340000}"/>
    <cellStyle name="40% - Accent2 3 5 2" xfId="4963" xr:uid="{00000000-0005-0000-0000-0000BF340000}"/>
    <cellStyle name="40% - Accent2 3 5 2 2" xfId="8554" xr:uid="{00000000-0005-0000-0000-0000C0340000}"/>
    <cellStyle name="40% - Accent2 3 5 2 2 2" xfId="16525" xr:uid="{00000000-0005-0000-0000-0000C1340000}"/>
    <cellStyle name="40% - Accent2 3 5 2 2 2 2" xfId="40367" xr:uid="{2D0EC80E-E539-4797-8CEC-AAB274167819}"/>
    <cellStyle name="40% - Accent2 3 5 2 2 3" xfId="24471" xr:uid="{00000000-0005-0000-0000-0000C2340000}"/>
    <cellStyle name="40% - Accent2 3 5 2 2 3 2" xfId="48303" xr:uid="{C11B488C-22B8-4D66-A037-8A40B5831E35}"/>
    <cellStyle name="40% - Accent2 3 5 2 2 4" xfId="32426" xr:uid="{DA4DE058-43B4-46FE-A655-EA1C2509CFAB}"/>
    <cellStyle name="40% - Accent2 3 5 2 3" xfId="12987" xr:uid="{00000000-0005-0000-0000-0000C3340000}"/>
    <cellStyle name="40% - Accent2 3 5 2 3 2" xfId="36836" xr:uid="{BDAAE24A-62DE-41DB-9431-D434DD17732E}"/>
    <cellStyle name="40% - Accent2 3 5 2 4" xfId="20942" xr:uid="{00000000-0005-0000-0000-0000C4340000}"/>
    <cellStyle name="40% - Accent2 3 5 2 4 2" xfId="44774" xr:uid="{A20417D3-FFE9-4766-BE0A-F5E49FFC778C}"/>
    <cellStyle name="40% - Accent2 3 5 2 5" xfId="28895" xr:uid="{82F11FF4-E3D4-46FE-A31C-73071C059C38}"/>
    <cellStyle name="40% - Accent2 3 5 3" xfId="6795" xr:uid="{00000000-0005-0000-0000-0000C5340000}"/>
    <cellStyle name="40% - Accent2 3 5 3 2" xfId="14767" xr:uid="{00000000-0005-0000-0000-0000C6340000}"/>
    <cellStyle name="40% - Accent2 3 5 3 2 2" xfId="38609" xr:uid="{465422AA-8F2A-42D1-849A-18898F3BBABC}"/>
    <cellStyle name="40% - Accent2 3 5 3 3" xfId="22714" xr:uid="{00000000-0005-0000-0000-0000C7340000}"/>
    <cellStyle name="40% - Accent2 3 5 3 3 2" xfId="46546" xr:uid="{F49D1AE3-465A-43D8-94E8-67DA705A3C39}"/>
    <cellStyle name="40% - Accent2 3 5 3 4" xfId="30668" xr:uid="{11AF54DF-2673-4386-B48A-A4C5BB71088C}"/>
    <cellStyle name="40% - Accent2 3 5 4" xfId="11231" xr:uid="{00000000-0005-0000-0000-0000C8340000}"/>
    <cellStyle name="40% - Accent2 3 5 4 2" xfId="35080" xr:uid="{34BED6D8-5EC5-4E2A-8B43-69B1A1BCE35F}"/>
    <cellStyle name="40% - Accent2 3 5 5" xfId="19186" xr:uid="{00000000-0005-0000-0000-0000C9340000}"/>
    <cellStyle name="40% - Accent2 3 5 5 2" xfId="43018" xr:uid="{518AC358-37E6-4C19-9CB4-554B3962C607}"/>
    <cellStyle name="40% - Accent2 3 5 6" xfId="27138" xr:uid="{F31F9F0B-2F3E-40D9-AE66-01E2311205E9}"/>
    <cellStyle name="40% - Accent2 3 5_Exh G" xfId="2872" xr:uid="{00000000-0005-0000-0000-0000CA340000}"/>
    <cellStyle name="40% - Accent2 3 6" xfId="4084" xr:uid="{00000000-0005-0000-0000-0000CB340000}"/>
    <cellStyle name="40% - Accent2 3 6 2" xfId="7676" xr:uid="{00000000-0005-0000-0000-0000CC340000}"/>
    <cellStyle name="40% - Accent2 3 6 2 2" xfId="15647" xr:uid="{00000000-0005-0000-0000-0000CD340000}"/>
    <cellStyle name="40% - Accent2 3 6 2 2 2" xfId="39489" xr:uid="{8F41C03A-BD9B-4C13-A064-E44A51D6EF2D}"/>
    <cellStyle name="40% - Accent2 3 6 2 3" xfId="23593" xr:uid="{00000000-0005-0000-0000-0000CE340000}"/>
    <cellStyle name="40% - Accent2 3 6 2 3 2" xfId="47425" xr:uid="{5539A4AA-815D-42CC-AB75-919772634669}"/>
    <cellStyle name="40% - Accent2 3 6 2 4" xfId="31548" xr:uid="{4447DFC3-DB5A-4736-A7B2-CBAA56E0F18A}"/>
    <cellStyle name="40% - Accent2 3 6 3" xfId="12109" xr:uid="{00000000-0005-0000-0000-0000CF340000}"/>
    <cellStyle name="40% - Accent2 3 6 3 2" xfId="35958" xr:uid="{52922DD9-7AFE-4206-9D2F-345CDC28CB8D}"/>
    <cellStyle name="40% - Accent2 3 6 4" xfId="20064" xr:uid="{00000000-0005-0000-0000-0000D0340000}"/>
    <cellStyle name="40% - Accent2 3 6 4 2" xfId="43896" xr:uid="{5C17DDAB-995D-4030-B1B1-0042ED03B580}"/>
    <cellStyle name="40% - Accent2 3 6 5" xfId="28017" xr:uid="{1548B122-54DE-4708-80E0-7B69FDC526B6}"/>
    <cellStyle name="40% - Accent2 3 7" xfId="5904" xr:uid="{00000000-0005-0000-0000-0000D1340000}"/>
    <cellStyle name="40% - Accent2 3 7 2" xfId="13888" xr:uid="{00000000-0005-0000-0000-0000D2340000}"/>
    <cellStyle name="40% - Accent2 3 7 2 2" xfId="37731" xr:uid="{2E92E7D5-0038-4B25-AC62-5F21CAE57733}"/>
    <cellStyle name="40% - Accent2 3 7 3" xfId="21836" xr:uid="{00000000-0005-0000-0000-0000D3340000}"/>
    <cellStyle name="40% - Accent2 3 7 3 2" xfId="45668" xr:uid="{7B3FBF0C-6E83-451E-933C-57441250EDE0}"/>
    <cellStyle name="40% - Accent2 3 7 4" xfId="29790" xr:uid="{653E44A0-2F21-413E-A641-66FD57033A74}"/>
    <cellStyle name="40% - Accent2 3 8" xfId="9457" xr:uid="{00000000-0005-0000-0000-0000D4340000}"/>
    <cellStyle name="40% - Accent2 3 8 2" xfId="17415" xr:uid="{00000000-0005-0000-0000-0000D5340000}"/>
    <cellStyle name="40% - Accent2 3 8 2 2" xfId="41255" xr:uid="{79C75F7C-EB5C-47C0-8257-D90A950E4455}"/>
    <cellStyle name="40% - Accent2 3 8 3" xfId="25359" xr:uid="{00000000-0005-0000-0000-0000D6340000}"/>
    <cellStyle name="40% - Accent2 3 8 3 2" xfId="49191" xr:uid="{6B233170-A3B0-4472-8D22-F54C6BD1AC15}"/>
    <cellStyle name="40% - Accent2 3 8 4" xfId="33314" xr:uid="{9A474D4A-F53E-4D62-96C4-8D9D932364A6}"/>
    <cellStyle name="40% - Accent2 3 9" xfId="10353" xr:uid="{00000000-0005-0000-0000-0000D7340000}"/>
    <cellStyle name="40% - Accent2 3 9 2" xfId="34202" xr:uid="{4D28216E-8ACB-4D85-8486-F13A88208060}"/>
    <cellStyle name="40% - Accent2 3_Exh G" xfId="2861" xr:uid="{00000000-0005-0000-0000-0000D8340000}"/>
    <cellStyle name="40% - Accent2 4" xfId="409" xr:uid="{00000000-0005-0000-0000-0000D9340000}"/>
    <cellStyle name="40% - Accent2 4 10" xfId="18312" xr:uid="{00000000-0005-0000-0000-0000DA340000}"/>
    <cellStyle name="40% - Accent2 4 10 2" xfId="42144" xr:uid="{51E4C3EF-D026-48D1-A608-C40A9304C26D}"/>
    <cellStyle name="40% - Accent2 4 11" xfId="26264" xr:uid="{1871CE31-2CF1-4631-A00D-AC33BFFD5300}"/>
    <cellStyle name="40% - Accent2 4 2" xfId="410" xr:uid="{00000000-0005-0000-0000-0000DB340000}"/>
    <cellStyle name="40% - Accent2 4 2 10" xfId="26265" xr:uid="{0EECB09D-050B-483F-BC04-32C3E5CAB9EC}"/>
    <cellStyle name="40% - Accent2 4 2 2" xfId="411" xr:uid="{00000000-0005-0000-0000-0000DC340000}"/>
    <cellStyle name="40% - Accent2 4 2 2 2" xfId="1439" xr:uid="{00000000-0005-0000-0000-0000DD340000}"/>
    <cellStyle name="40% - Accent2 4 2 2 2 2" xfId="4969" xr:uid="{00000000-0005-0000-0000-0000DE340000}"/>
    <cellStyle name="40% - Accent2 4 2 2 2 2 2" xfId="8560" xr:uid="{00000000-0005-0000-0000-0000DF340000}"/>
    <cellStyle name="40% - Accent2 4 2 2 2 2 2 2" xfId="16531" xr:uid="{00000000-0005-0000-0000-0000E0340000}"/>
    <cellStyle name="40% - Accent2 4 2 2 2 2 2 2 2" xfId="40373" xr:uid="{305CA29C-0682-4F46-B98A-DCC59AC47405}"/>
    <cellStyle name="40% - Accent2 4 2 2 2 2 2 3" xfId="24477" xr:uid="{00000000-0005-0000-0000-0000E1340000}"/>
    <cellStyle name="40% - Accent2 4 2 2 2 2 2 3 2" xfId="48309" xr:uid="{E1891B47-23C6-4974-BA3F-9649FF9EF870}"/>
    <cellStyle name="40% - Accent2 4 2 2 2 2 2 4" xfId="32432" xr:uid="{03A37545-D4A1-4196-8EB2-B01BD5F8D486}"/>
    <cellStyle name="40% - Accent2 4 2 2 2 2 3" xfId="12993" xr:uid="{00000000-0005-0000-0000-0000E2340000}"/>
    <cellStyle name="40% - Accent2 4 2 2 2 2 3 2" xfId="36842" xr:uid="{3E930998-99C5-4D77-A9EE-D93FF8099AE8}"/>
    <cellStyle name="40% - Accent2 4 2 2 2 2 4" xfId="20948" xr:uid="{00000000-0005-0000-0000-0000E3340000}"/>
    <cellStyle name="40% - Accent2 4 2 2 2 2 4 2" xfId="44780" xr:uid="{7DBA1330-2E44-4BCA-8C5F-40C6A1BB4383}"/>
    <cellStyle name="40% - Accent2 4 2 2 2 2 5" xfId="28901" xr:uid="{FCB960D5-8A3E-4E22-B307-B537601C7E38}"/>
    <cellStyle name="40% - Accent2 4 2 2 2 3" xfId="6801" xr:uid="{00000000-0005-0000-0000-0000E4340000}"/>
    <cellStyle name="40% - Accent2 4 2 2 2 3 2" xfId="14773" xr:uid="{00000000-0005-0000-0000-0000E5340000}"/>
    <cellStyle name="40% - Accent2 4 2 2 2 3 2 2" xfId="38615" xr:uid="{82D78919-797E-42E0-BABE-22D7C10759C0}"/>
    <cellStyle name="40% - Accent2 4 2 2 2 3 3" xfId="22720" xr:uid="{00000000-0005-0000-0000-0000E6340000}"/>
    <cellStyle name="40% - Accent2 4 2 2 2 3 3 2" xfId="46552" xr:uid="{B43DF547-6066-4942-BA8F-8E695514E677}"/>
    <cellStyle name="40% - Accent2 4 2 2 2 3 4" xfId="30674" xr:uid="{BFBA9DF6-E314-4B58-983C-A8BC23F27D4E}"/>
    <cellStyle name="40% - Accent2 4 2 2 2 4" xfId="11237" xr:uid="{00000000-0005-0000-0000-0000E7340000}"/>
    <cellStyle name="40% - Accent2 4 2 2 2 4 2" xfId="35086" xr:uid="{57F2F0C7-76F3-42B6-8DB7-D1DAD2A0F76A}"/>
    <cellStyle name="40% - Accent2 4 2 2 2 5" xfId="19192" xr:uid="{00000000-0005-0000-0000-0000E8340000}"/>
    <cellStyle name="40% - Accent2 4 2 2 2 5 2" xfId="43024" xr:uid="{5A72010D-29AC-4A80-8C55-D300BEA45911}"/>
    <cellStyle name="40% - Accent2 4 2 2 2 6" xfId="27144" xr:uid="{484AFE9A-21F5-47D3-BABA-950B14A4468A}"/>
    <cellStyle name="40% - Accent2 4 2 2 2_Exh G" xfId="2876" xr:uid="{00000000-0005-0000-0000-0000E9340000}"/>
    <cellStyle name="40% - Accent2 4 2 2 3" xfId="4090" xr:uid="{00000000-0005-0000-0000-0000EA340000}"/>
    <cellStyle name="40% - Accent2 4 2 2 3 2" xfId="7682" xr:uid="{00000000-0005-0000-0000-0000EB340000}"/>
    <cellStyle name="40% - Accent2 4 2 2 3 2 2" xfId="15653" xr:uid="{00000000-0005-0000-0000-0000EC340000}"/>
    <cellStyle name="40% - Accent2 4 2 2 3 2 2 2" xfId="39495" xr:uid="{136FA063-572D-4191-8647-94A2D259E1BA}"/>
    <cellStyle name="40% - Accent2 4 2 2 3 2 3" xfId="23599" xr:uid="{00000000-0005-0000-0000-0000ED340000}"/>
    <cellStyle name="40% - Accent2 4 2 2 3 2 3 2" xfId="47431" xr:uid="{F6287334-6483-4BD1-9177-5DCAA1A05E60}"/>
    <cellStyle name="40% - Accent2 4 2 2 3 2 4" xfId="31554" xr:uid="{49C7C96C-EBF2-4477-B6EE-1CB35C4C2729}"/>
    <cellStyle name="40% - Accent2 4 2 2 3 3" xfId="12115" xr:uid="{00000000-0005-0000-0000-0000EE340000}"/>
    <cellStyle name="40% - Accent2 4 2 2 3 3 2" xfId="35964" xr:uid="{C5F04399-1896-4E41-9D68-4AFFAE463FCC}"/>
    <cellStyle name="40% - Accent2 4 2 2 3 4" xfId="20070" xr:uid="{00000000-0005-0000-0000-0000EF340000}"/>
    <cellStyle name="40% - Accent2 4 2 2 3 4 2" xfId="43902" xr:uid="{24E8B4CD-544B-4A24-A9EA-9926B2B9E061}"/>
    <cellStyle name="40% - Accent2 4 2 2 3 5" xfId="28023" xr:uid="{633F93ED-CDD5-44B0-BF2F-3635227202D9}"/>
    <cellStyle name="40% - Accent2 4 2 2 4" xfId="5910" xr:uid="{00000000-0005-0000-0000-0000F0340000}"/>
    <cellStyle name="40% - Accent2 4 2 2 4 2" xfId="13894" xr:uid="{00000000-0005-0000-0000-0000F1340000}"/>
    <cellStyle name="40% - Accent2 4 2 2 4 2 2" xfId="37737" xr:uid="{EB9131C3-2888-4845-8802-C4AEC70DB082}"/>
    <cellStyle name="40% - Accent2 4 2 2 4 3" xfId="21842" xr:uid="{00000000-0005-0000-0000-0000F2340000}"/>
    <cellStyle name="40% - Accent2 4 2 2 4 3 2" xfId="45674" xr:uid="{64EA2AF6-3005-484F-ADAC-E4EDD7C06464}"/>
    <cellStyle name="40% - Accent2 4 2 2 4 4" xfId="29796" xr:uid="{3EE8E603-6A03-4CAA-BBEF-8C4286A94A90}"/>
    <cellStyle name="40% - Accent2 4 2 2 5" xfId="9463" xr:uid="{00000000-0005-0000-0000-0000F3340000}"/>
    <cellStyle name="40% - Accent2 4 2 2 5 2" xfId="17421" xr:uid="{00000000-0005-0000-0000-0000F4340000}"/>
    <cellStyle name="40% - Accent2 4 2 2 5 2 2" xfId="41261" xr:uid="{9BE234D8-CA4D-47F6-93F1-E5E0A0E4C109}"/>
    <cellStyle name="40% - Accent2 4 2 2 5 3" xfId="25365" xr:uid="{00000000-0005-0000-0000-0000F5340000}"/>
    <cellStyle name="40% - Accent2 4 2 2 5 3 2" xfId="49197" xr:uid="{7A95D6BD-C4F6-4ABD-970D-116887888D93}"/>
    <cellStyle name="40% - Accent2 4 2 2 5 4" xfId="33320" xr:uid="{32410EB1-CB24-4B0E-B734-21D2610603A2}"/>
    <cellStyle name="40% - Accent2 4 2 2 6" xfId="10359" xr:uid="{00000000-0005-0000-0000-0000F6340000}"/>
    <cellStyle name="40% - Accent2 4 2 2 6 2" xfId="34208" xr:uid="{51A62DF8-C644-40BD-9389-55815158BABB}"/>
    <cellStyle name="40% - Accent2 4 2 2 7" xfId="18314" xr:uid="{00000000-0005-0000-0000-0000F7340000}"/>
    <cellStyle name="40% - Accent2 4 2 2 7 2" xfId="42146" xr:uid="{930AFB7E-93E3-4E55-AF80-B5A3DD08E0DC}"/>
    <cellStyle name="40% - Accent2 4 2 2 8" xfId="26266" xr:uid="{18546B5C-FCB2-46D9-989A-8F835933565B}"/>
    <cellStyle name="40% - Accent2 4 2 2_Exh G" xfId="2875" xr:uid="{00000000-0005-0000-0000-0000F8340000}"/>
    <cellStyle name="40% - Accent2 4 2 3" xfId="952" xr:uid="{00000000-0005-0000-0000-0000F9340000}"/>
    <cellStyle name="40% - Accent2 4 2 3 2" xfId="1874" xr:uid="{00000000-0005-0000-0000-0000FA340000}"/>
    <cellStyle name="40% - Accent2 4 2 3 2 2" xfId="5392" xr:uid="{00000000-0005-0000-0000-0000FB340000}"/>
    <cellStyle name="40% - Accent2 4 2 3 2 2 2" xfId="8983" xr:uid="{00000000-0005-0000-0000-0000FC340000}"/>
    <cellStyle name="40% - Accent2 4 2 3 2 2 2 2" xfId="16954" xr:uid="{00000000-0005-0000-0000-0000FD340000}"/>
    <cellStyle name="40% - Accent2 4 2 3 2 2 2 2 2" xfId="40796" xr:uid="{C8FC33C7-5D3D-42BE-B4A1-87E2123A2755}"/>
    <cellStyle name="40% - Accent2 4 2 3 2 2 2 3" xfId="24900" xr:uid="{00000000-0005-0000-0000-0000FE340000}"/>
    <cellStyle name="40% - Accent2 4 2 3 2 2 2 3 2" xfId="48732" xr:uid="{B131F10F-8452-4242-ABFD-971CE5A7B00E}"/>
    <cellStyle name="40% - Accent2 4 2 3 2 2 2 4" xfId="32855" xr:uid="{4A65F237-2B89-42BC-B810-D4F7243E9484}"/>
    <cellStyle name="40% - Accent2 4 2 3 2 2 3" xfId="13416" xr:uid="{00000000-0005-0000-0000-0000FF340000}"/>
    <cellStyle name="40% - Accent2 4 2 3 2 2 3 2" xfId="37265" xr:uid="{2D524C04-47DB-4A84-8A91-93BEBC7D3B1F}"/>
    <cellStyle name="40% - Accent2 4 2 3 2 2 4" xfId="21371" xr:uid="{00000000-0005-0000-0000-000000350000}"/>
    <cellStyle name="40% - Accent2 4 2 3 2 2 4 2" xfId="45203" xr:uid="{B7C19017-9BCD-4A4C-AC69-058A1C3D23FF}"/>
    <cellStyle name="40% - Accent2 4 2 3 2 2 5" xfId="29324" xr:uid="{6BD51513-11C9-48D2-A74C-B47E3904F454}"/>
    <cellStyle name="40% - Accent2 4 2 3 2 3" xfId="7224" xr:uid="{00000000-0005-0000-0000-000001350000}"/>
    <cellStyle name="40% - Accent2 4 2 3 2 3 2" xfId="15196" xr:uid="{00000000-0005-0000-0000-000002350000}"/>
    <cellStyle name="40% - Accent2 4 2 3 2 3 2 2" xfId="39038" xr:uid="{76A50237-DC5D-47B4-B990-F933F6B25796}"/>
    <cellStyle name="40% - Accent2 4 2 3 2 3 3" xfId="23143" xr:uid="{00000000-0005-0000-0000-000003350000}"/>
    <cellStyle name="40% - Accent2 4 2 3 2 3 3 2" xfId="46975" xr:uid="{6DAC7FF3-F8A6-4F29-93FA-43484026AE60}"/>
    <cellStyle name="40% - Accent2 4 2 3 2 3 4" xfId="31097" xr:uid="{9ECD2A1B-A983-43CC-B146-E2FF6CF9B4D3}"/>
    <cellStyle name="40% - Accent2 4 2 3 2 4" xfId="11660" xr:uid="{00000000-0005-0000-0000-000004350000}"/>
    <cellStyle name="40% - Accent2 4 2 3 2 4 2" xfId="35509" xr:uid="{24F86864-F630-4DEB-84B2-B444F359D502}"/>
    <cellStyle name="40% - Accent2 4 2 3 2 5" xfId="19615" xr:uid="{00000000-0005-0000-0000-000005350000}"/>
    <cellStyle name="40% - Accent2 4 2 3 2 5 2" xfId="43447" xr:uid="{A2E141B6-1BAB-499A-95AB-120C927BD7C3}"/>
    <cellStyle name="40% - Accent2 4 2 3 2 6" xfId="27567" xr:uid="{0984546E-30AD-4973-9456-E1538BEECF8F}"/>
    <cellStyle name="40% - Accent2 4 2 3 2_Exh G" xfId="2878" xr:uid="{00000000-0005-0000-0000-000006350000}"/>
    <cellStyle name="40% - Accent2 4 2 3 3" xfId="4513" xr:uid="{00000000-0005-0000-0000-000007350000}"/>
    <cellStyle name="40% - Accent2 4 2 3 3 2" xfId="8105" xr:uid="{00000000-0005-0000-0000-000008350000}"/>
    <cellStyle name="40% - Accent2 4 2 3 3 2 2" xfId="16076" xr:uid="{00000000-0005-0000-0000-000009350000}"/>
    <cellStyle name="40% - Accent2 4 2 3 3 2 2 2" xfId="39918" xr:uid="{F563290D-8D17-4D5A-A042-451CB3ABB3F5}"/>
    <cellStyle name="40% - Accent2 4 2 3 3 2 3" xfId="24022" xr:uid="{00000000-0005-0000-0000-00000A350000}"/>
    <cellStyle name="40% - Accent2 4 2 3 3 2 3 2" xfId="47854" xr:uid="{8884309B-9BD9-44D4-AC59-D365DFF52864}"/>
    <cellStyle name="40% - Accent2 4 2 3 3 2 4" xfId="31977" xr:uid="{2D99AC3E-D79D-4C47-A63C-608FE849B9D9}"/>
    <cellStyle name="40% - Accent2 4 2 3 3 3" xfId="12538" xr:uid="{00000000-0005-0000-0000-00000B350000}"/>
    <cellStyle name="40% - Accent2 4 2 3 3 3 2" xfId="36387" xr:uid="{496A9EB2-18B7-4E77-84FB-F10C3D6E08E9}"/>
    <cellStyle name="40% - Accent2 4 2 3 3 4" xfId="20493" xr:uid="{00000000-0005-0000-0000-00000C350000}"/>
    <cellStyle name="40% - Accent2 4 2 3 3 4 2" xfId="44325" xr:uid="{92556BC9-7855-4FE8-9E07-04F71D4E620F}"/>
    <cellStyle name="40% - Accent2 4 2 3 3 5" xfId="28446" xr:uid="{90CA9AC6-03DB-493A-9B1E-7F2EAE4B44E3}"/>
    <cellStyle name="40% - Accent2 4 2 3 4" xfId="6343" xr:uid="{00000000-0005-0000-0000-00000D350000}"/>
    <cellStyle name="40% - Accent2 4 2 3 4 2" xfId="14318" xr:uid="{00000000-0005-0000-0000-00000E350000}"/>
    <cellStyle name="40% - Accent2 4 2 3 4 2 2" xfId="38160" xr:uid="{2F0107FC-B4E7-4B53-A538-80FDAB592D43}"/>
    <cellStyle name="40% - Accent2 4 2 3 4 3" xfId="22265" xr:uid="{00000000-0005-0000-0000-00000F350000}"/>
    <cellStyle name="40% - Accent2 4 2 3 4 3 2" xfId="46097" xr:uid="{F98BFDE0-819D-4E07-8482-763ABEDBD6FD}"/>
    <cellStyle name="40% - Accent2 4 2 3 4 4" xfId="30219" xr:uid="{F732A852-AB72-41C6-BAFC-4F5DEA5C971B}"/>
    <cellStyle name="40% - Accent2 4 2 3 5" xfId="9886" xr:uid="{00000000-0005-0000-0000-000010350000}"/>
    <cellStyle name="40% - Accent2 4 2 3 5 2" xfId="17844" xr:uid="{00000000-0005-0000-0000-000011350000}"/>
    <cellStyle name="40% - Accent2 4 2 3 5 2 2" xfId="41684" xr:uid="{116A256F-CA68-482C-834F-9E345E286F96}"/>
    <cellStyle name="40% - Accent2 4 2 3 5 3" xfId="25788" xr:uid="{00000000-0005-0000-0000-000012350000}"/>
    <cellStyle name="40% - Accent2 4 2 3 5 3 2" xfId="49620" xr:uid="{8AD5A2E5-3F6C-4539-BA3D-A238E0899148}"/>
    <cellStyle name="40% - Accent2 4 2 3 5 4" xfId="33743" xr:uid="{83776F70-2026-40F7-9D25-893DAE07ABC3}"/>
    <cellStyle name="40% - Accent2 4 2 3 6" xfId="10782" xr:uid="{00000000-0005-0000-0000-000013350000}"/>
    <cellStyle name="40% - Accent2 4 2 3 6 2" xfId="34631" xr:uid="{1709FDD4-1493-4324-9C0A-8F4E2546605A}"/>
    <cellStyle name="40% - Accent2 4 2 3 7" xfId="18737" xr:uid="{00000000-0005-0000-0000-000014350000}"/>
    <cellStyle name="40% - Accent2 4 2 3 7 2" xfId="42569" xr:uid="{E3B5B06F-2117-4EDC-83D4-6AEEF4A40283}"/>
    <cellStyle name="40% - Accent2 4 2 3 8" xfId="26689" xr:uid="{4EE09BFE-1C99-4644-A6F1-32B11771DBC5}"/>
    <cellStyle name="40% - Accent2 4 2 3_Exh G" xfId="2877" xr:uid="{00000000-0005-0000-0000-000015350000}"/>
    <cellStyle name="40% - Accent2 4 2 4" xfId="1438" xr:uid="{00000000-0005-0000-0000-000016350000}"/>
    <cellStyle name="40% - Accent2 4 2 4 2" xfId="4968" xr:uid="{00000000-0005-0000-0000-000017350000}"/>
    <cellStyle name="40% - Accent2 4 2 4 2 2" xfId="8559" xr:uid="{00000000-0005-0000-0000-000018350000}"/>
    <cellStyle name="40% - Accent2 4 2 4 2 2 2" xfId="16530" xr:uid="{00000000-0005-0000-0000-000019350000}"/>
    <cellStyle name="40% - Accent2 4 2 4 2 2 2 2" xfId="40372" xr:uid="{544493F0-F0A4-4AA5-8B79-5A72147FF250}"/>
    <cellStyle name="40% - Accent2 4 2 4 2 2 3" xfId="24476" xr:uid="{00000000-0005-0000-0000-00001A350000}"/>
    <cellStyle name="40% - Accent2 4 2 4 2 2 3 2" xfId="48308" xr:uid="{C6772678-AE2D-443A-9D68-3AFF0806AE6E}"/>
    <cellStyle name="40% - Accent2 4 2 4 2 2 4" xfId="32431" xr:uid="{E008F8AC-4435-4525-A8A1-D28D5ADD08E9}"/>
    <cellStyle name="40% - Accent2 4 2 4 2 3" xfId="12992" xr:uid="{00000000-0005-0000-0000-00001B350000}"/>
    <cellStyle name="40% - Accent2 4 2 4 2 3 2" xfId="36841" xr:uid="{9330BF1C-5395-4BAD-9D95-8C3D829D2618}"/>
    <cellStyle name="40% - Accent2 4 2 4 2 4" xfId="20947" xr:uid="{00000000-0005-0000-0000-00001C350000}"/>
    <cellStyle name="40% - Accent2 4 2 4 2 4 2" xfId="44779" xr:uid="{18D59E3C-8F43-4C0E-86BE-A33FBAA3184C}"/>
    <cellStyle name="40% - Accent2 4 2 4 2 5" xfId="28900" xr:uid="{18F4FFEF-1A30-4382-B450-03C9E2403FB1}"/>
    <cellStyle name="40% - Accent2 4 2 4 3" xfId="6800" xr:uid="{00000000-0005-0000-0000-00001D350000}"/>
    <cellStyle name="40% - Accent2 4 2 4 3 2" xfId="14772" xr:uid="{00000000-0005-0000-0000-00001E350000}"/>
    <cellStyle name="40% - Accent2 4 2 4 3 2 2" xfId="38614" xr:uid="{546D9636-A3C7-48EA-BA2B-498354C0D468}"/>
    <cellStyle name="40% - Accent2 4 2 4 3 3" xfId="22719" xr:uid="{00000000-0005-0000-0000-00001F350000}"/>
    <cellStyle name="40% - Accent2 4 2 4 3 3 2" xfId="46551" xr:uid="{9409A940-622A-4AB6-B66D-526A195BF544}"/>
    <cellStyle name="40% - Accent2 4 2 4 3 4" xfId="30673" xr:uid="{6CE9E074-81DA-4AD1-A87A-52AC5E92B8B1}"/>
    <cellStyle name="40% - Accent2 4 2 4 4" xfId="11236" xr:uid="{00000000-0005-0000-0000-000020350000}"/>
    <cellStyle name="40% - Accent2 4 2 4 4 2" xfId="35085" xr:uid="{591D806A-B792-4FB7-8F77-864BAF78A967}"/>
    <cellStyle name="40% - Accent2 4 2 4 5" xfId="19191" xr:uid="{00000000-0005-0000-0000-000021350000}"/>
    <cellStyle name="40% - Accent2 4 2 4 5 2" xfId="43023" xr:uid="{2CB49303-D023-4C6C-8777-DE30162D389F}"/>
    <cellStyle name="40% - Accent2 4 2 4 6" xfId="27143" xr:uid="{13A8838A-1975-4F28-9B7B-F7DCF64C6EA7}"/>
    <cellStyle name="40% - Accent2 4 2 4_Exh G" xfId="2879" xr:uid="{00000000-0005-0000-0000-000022350000}"/>
    <cellStyle name="40% - Accent2 4 2 5" xfId="4089" xr:uid="{00000000-0005-0000-0000-000023350000}"/>
    <cellStyle name="40% - Accent2 4 2 5 2" xfId="7681" xr:uid="{00000000-0005-0000-0000-000024350000}"/>
    <cellStyle name="40% - Accent2 4 2 5 2 2" xfId="15652" xr:uid="{00000000-0005-0000-0000-000025350000}"/>
    <cellStyle name="40% - Accent2 4 2 5 2 2 2" xfId="39494" xr:uid="{FCB9C97A-0D15-4741-88BE-C7720E4E1086}"/>
    <cellStyle name="40% - Accent2 4 2 5 2 3" xfId="23598" xr:uid="{00000000-0005-0000-0000-000026350000}"/>
    <cellStyle name="40% - Accent2 4 2 5 2 3 2" xfId="47430" xr:uid="{EFCBBFBA-B617-4E64-8D46-72D223C5355D}"/>
    <cellStyle name="40% - Accent2 4 2 5 2 4" xfId="31553" xr:uid="{C5EC4E8B-1415-457B-A0D3-A07E3C161244}"/>
    <cellStyle name="40% - Accent2 4 2 5 3" xfId="12114" xr:uid="{00000000-0005-0000-0000-000027350000}"/>
    <cellStyle name="40% - Accent2 4 2 5 3 2" xfId="35963" xr:uid="{DD2EEC99-7418-4126-B166-2A588E8FC747}"/>
    <cellStyle name="40% - Accent2 4 2 5 4" xfId="20069" xr:uid="{00000000-0005-0000-0000-000028350000}"/>
    <cellStyle name="40% - Accent2 4 2 5 4 2" xfId="43901" xr:uid="{427CA061-15C7-4A13-A08E-283AFBBB902A}"/>
    <cellStyle name="40% - Accent2 4 2 5 5" xfId="28022" xr:uid="{E6CD2F38-CE70-4CC8-88F1-302EDD3032E6}"/>
    <cellStyle name="40% - Accent2 4 2 6" xfId="5909" xr:uid="{00000000-0005-0000-0000-000029350000}"/>
    <cellStyle name="40% - Accent2 4 2 6 2" xfId="13893" xr:uid="{00000000-0005-0000-0000-00002A350000}"/>
    <cellStyle name="40% - Accent2 4 2 6 2 2" xfId="37736" xr:uid="{3BAA550E-CB17-480B-8D54-DC5591DFAFC0}"/>
    <cellStyle name="40% - Accent2 4 2 6 3" xfId="21841" xr:uid="{00000000-0005-0000-0000-00002B350000}"/>
    <cellStyle name="40% - Accent2 4 2 6 3 2" xfId="45673" xr:uid="{308DFD8A-5AF9-4016-A581-E76BBFE50693}"/>
    <cellStyle name="40% - Accent2 4 2 6 4" xfId="29795" xr:uid="{E4F57001-A7A9-456A-BB6C-80EEDEEC19DB}"/>
    <cellStyle name="40% - Accent2 4 2 7" xfId="9462" xr:uid="{00000000-0005-0000-0000-00002C350000}"/>
    <cellStyle name="40% - Accent2 4 2 7 2" xfId="17420" xr:uid="{00000000-0005-0000-0000-00002D350000}"/>
    <cellStyle name="40% - Accent2 4 2 7 2 2" xfId="41260" xr:uid="{994E626A-6857-43CC-B750-9CE95F9185B7}"/>
    <cellStyle name="40% - Accent2 4 2 7 3" xfId="25364" xr:uid="{00000000-0005-0000-0000-00002E350000}"/>
    <cellStyle name="40% - Accent2 4 2 7 3 2" xfId="49196" xr:uid="{4D629F0D-7B19-4306-9D58-57AB25DEF524}"/>
    <cellStyle name="40% - Accent2 4 2 7 4" xfId="33319" xr:uid="{70AC69DE-7750-4164-A6F7-90BB34036AC1}"/>
    <cellStyle name="40% - Accent2 4 2 8" xfId="10358" xr:uid="{00000000-0005-0000-0000-00002F350000}"/>
    <cellStyle name="40% - Accent2 4 2 8 2" xfId="34207" xr:uid="{213E98AC-C060-4FF5-818C-965BB8B969C0}"/>
    <cellStyle name="40% - Accent2 4 2 9" xfId="18313" xr:uid="{00000000-0005-0000-0000-000030350000}"/>
    <cellStyle name="40% - Accent2 4 2 9 2" xfId="42145" xr:uid="{6851B9EF-C49B-49CD-AD5A-F3F1B1634E53}"/>
    <cellStyle name="40% - Accent2 4 2_Exh G" xfId="2874" xr:uid="{00000000-0005-0000-0000-000031350000}"/>
    <cellStyle name="40% - Accent2 4 3" xfId="412" xr:uid="{00000000-0005-0000-0000-000032350000}"/>
    <cellStyle name="40% - Accent2 4 3 2" xfId="1440" xr:uid="{00000000-0005-0000-0000-000033350000}"/>
    <cellStyle name="40% - Accent2 4 3 2 2" xfId="4970" xr:uid="{00000000-0005-0000-0000-000034350000}"/>
    <cellStyle name="40% - Accent2 4 3 2 2 2" xfId="8561" xr:uid="{00000000-0005-0000-0000-000035350000}"/>
    <cellStyle name="40% - Accent2 4 3 2 2 2 2" xfId="16532" xr:uid="{00000000-0005-0000-0000-000036350000}"/>
    <cellStyle name="40% - Accent2 4 3 2 2 2 2 2" xfId="40374" xr:uid="{B04BF069-DC4B-4BA6-AD43-7223CDD12319}"/>
    <cellStyle name="40% - Accent2 4 3 2 2 2 3" xfId="24478" xr:uid="{00000000-0005-0000-0000-000037350000}"/>
    <cellStyle name="40% - Accent2 4 3 2 2 2 3 2" xfId="48310" xr:uid="{8D813002-DE00-4BF4-920B-96E4C10CA6FD}"/>
    <cellStyle name="40% - Accent2 4 3 2 2 2 4" xfId="32433" xr:uid="{EB65195B-8EC9-429B-A127-A8002870240A}"/>
    <cellStyle name="40% - Accent2 4 3 2 2 3" xfId="12994" xr:uid="{00000000-0005-0000-0000-000038350000}"/>
    <cellStyle name="40% - Accent2 4 3 2 2 3 2" xfId="36843" xr:uid="{9CC6234E-A200-47ED-BA31-466CC15CDB4E}"/>
    <cellStyle name="40% - Accent2 4 3 2 2 4" xfId="20949" xr:uid="{00000000-0005-0000-0000-000039350000}"/>
    <cellStyle name="40% - Accent2 4 3 2 2 4 2" xfId="44781" xr:uid="{0475B6E0-C489-441B-A028-D4F85ACFB6DF}"/>
    <cellStyle name="40% - Accent2 4 3 2 2 5" xfId="28902" xr:uid="{480031BA-A618-48D8-999A-F981AA00359E}"/>
    <cellStyle name="40% - Accent2 4 3 2 3" xfId="6802" xr:uid="{00000000-0005-0000-0000-00003A350000}"/>
    <cellStyle name="40% - Accent2 4 3 2 3 2" xfId="14774" xr:uid="{00000000-0005-0000-0000-00003B350000}"/>
    <cellStyle name="40% - Accent2 4 3 2 3 2 2" xfId="38616" xr:uid="{84037655-559A-4241-BA45-B4EB72FDF8F5}"/>
    <cellStyle name="40% - Accent2 4 3 2 3 3" xfId="22721" xr:uid="{00000000-0005-0000-0000-00003C350000}"/>
    <cellStyle name="40% - Accent2 4 3 2 3 3 2" xfId="46553" xr:uid="{CB796C6D-E052-4326-A5AA-B280187C29ED}"/>
    <cellStyle name="40% - Accent2 4 3 2 3 4" xfId="30675" xr:uid="{E3DA5E95-B014-4925-BB06-25DFF6881149}"/>
    <cellStyle name="40% - Accent2 4 3 2 4" xfId="11238" xr:uid="{00000000-0005-0000-0000-00003D350000}"/>
    <cellStyle name="40% - Accent2 4 3 2 4 2" xfId="35087" xr:uid="{BD206368-E061-4264-A90B-4CEB03ED0150}"/>
    <cellStyle name="40% - Accent2 4 3 2 5" xfId="19193" xr:uid="{00000000-0005-0000-0000-00003E350000}"/>
    <cellStyle name="40% - Accent2 4 3 2 5 2" xfId="43025" xr:uid="{37EBCD9F-4AE0-44FD-836A-7CF51D20E4B2}"/>
    <cellStyle name="40% - Accent2 4 3 2 6" xfId="27145" xr:uid="{78FDE1AC-24A9-4116-A6CC-F938EA55EDE1}"/>
    <cellStyle name="40% - Accent2 4 3 2_Exh G" xfId="2881" xr:uid="{00000000-0005-0000-0000-00003F350000}"/>
    <cellStyle name="40% - Accent2 4 3 3" xfId="4091" xr:uid="{00000000-0005-0000-0000-000040350000}"/>
    <cellStyle name="40% - Accent2 4 3 3 2" xfId="7683" xr:uid="{00000000-0005-0000-0000-000041350000}"/>
    <cellStyle name="40% - Accent2 4 3 3 2 2" xfId="15654" xr:uid="{00000000-0005-0000-0000-000042350000}"/>
    <cellStyle name="40% - Accent2 4 3 3 2 2 2" xfId="39496" xr:uid="{B10366CD-EB36-43BD-AE51-B58875917084}"/>
    <cellStyle name="40% - Accent2 4 3 3 2 3" xfId="23600" xr:uid="{00000000-0005-0000-0000-000043350000}"/>
    <cellStyle name="40% - Accent2 4 3 3 2 3 2" xfId="47432" xr:uid="{AA38A6B8-A243-4250-B424-50B40CD90F72}"/>
    <cellStyle name="40% - Accent2 4 3 3 2 4" xfId="31555" xr:uid="{D07B59D0-6C81-460C-9C82-567F6FFEF886}"/>
    <cellStyle name="40% - Accent2 4 3 3 3" xfId="12116" xr:uid="{00000000-0005-0000-0000-000044350000}"/>
    <cellStyle name="40% - Accent2 4 3 3 3 2" xfId="35965" xr:uid="{6D6B8882-C0EA-43D1-B9BA-6FBC94C2C581}"/>
    <cellStyle name="40% - Accent2 4 3 3 4" xfId="20071" xr:uid="{00000000-0005-0000-0000-000045350000}"/>
    <cellStyle name="40% - Accent2 4 3 3 4 2" xfId="43903" xr:uid="{8F68AC82-FD1F-41DC-BAEB-8D627C51AE86}"/>
    <cellStyle name="40% - Accent2 4 3 3 5" xfId="28024" xr:uid="{A87B92C5-6DBB-421B-9AC0-182A56B97C72}"/>
    <cellStyle name="40% - Accent2 4 3 4" xfId="5911" xr:uid="{00000000-0005-0000-0000-000046350000}"/>
    <cellStyle name="40% - Accent2 4 3 4 2" xfId="13895" xr:uid="{00000000-0005-0000-0000-000047350000}"/>
    <cellStyle name="40% - Accent2 4 3 4 2 2" xfId="37738" xr:uid="{B580C376-6FA8-4243-9F4A-95EC1EE987EA}"/>
    <cellStyle name="40% - Accent2 4 3 4 3" xfId="21843" xr:uid="{00000000-0005-0000-0000-000048350000}"/>
    <cellStyle name="40% - Accent2 4 3 4 3 2" xfId="45675" xr:uid="{02EECEB2-87A9-449D-8498-87C44F5F8BD6}"/>
    <cellStyle name="40% - Accent2 4 3 4 4" xfId="29797" xr:uid="{5A582DAA-09CB-498F-8889-31437185343F}"/>
    <cellStyle name="40% - Accent2 4 3 5" xfId="9464" xr:uid="{00000000-0005-0000-0000-000049350000}"/>
    <cellStyle name="40% - Accent2 4 3 5 2" xfId="17422" xr:uid="{00000000-0005-0000-0000-00004A350000}"/>
    <cellStyle name="40% - Accent2 4 3 5 2 2" xfId="41262" xr:uid="{B93BABCE-4CB1-45BD-8954-3287E58B17F6}"/>
    <cellStyle name="40% - Accent2 4 3 5 3" xfId="25366" xr:uid="{00000000-0005-0000-0000-00004B350000}"/>
    <cellStyle name="40% - Accent2 4 3 5 3 2" xfId="49198" xr:uid="{2698A047-81ED-42EE-AB1F-990FEDC69F36}"/>
    <cellStyle name="40% - Accent2 4 3 5 4" xfId="33321" xr:uid="{2AC89C15-9FD2-46D4-AE5E-6A5EF8678060}"/>
    <cellStyle name="40% - Accent2 4 3 6" xfId="10360" xr:uid="{00000000-0005-0000-0000-00004C350000}"/>
    <cellStyle name="40% - Accent2 4 3 6 2" xfId="34209" xr:uid="{ABE5EC30-842E-4881-939A-C6BFC82B3CA4}"/>
    <cellStyle name="40% - Accent2 4 3 7" xfId="18315" xr:uid="{00000000-0005-0000-0000-00004D350000}"/>
    <cellStyle name="40% - Accent2 4 3 7 2" xfId="42147" xr:uid="{0CE66F22-4904-4E8E-BE76-E5B08144F3D2}"/>
    <cellStyle name="40% - Accent2 4 3 8" xfId="26267" xr:uid="{FBAF5B9F-EA04-4557-9364-682E6C962A43}"/>
    <cellStyle name="40% - Accent2 4 3_Exh G" xfId="2880" xr:uid="{00000000-0005-0000-0000-00004E350000}"/>
    <cellStyle name="40% - Accent2 4 4" xfId="951" xr:uid="{00000000-0005-0000-0000-00004F350000}"/>
    <cellStyle name="40% - Accent2 4 4 2" xfId="1873" xr:uid="{00000000-0005-0000-0000-000050350000}"/>
    <cellStyle name="40% - Accent2 4 4 2 2" xfId="5391" xr:uid="{00000000-0005-0000-0000-000051350000}"/>
    <cellStyle name="40% - Accent2 4 4 2 2 2" xfId="8982" xr:uid="{00000000-0005-0000-0000-000052350000}"/>
    <cellStyle name="40% - Accent2 4 4 2 2 2 2" xfId="16953" xr:uid="{00000000-0005-0000-0000-000053350000}"/>
    <cellStyle name="40% - Accent2 4 4 2 2 2 2 2" xfId="40795" xr:uid="{242AC0A7-4E44-4A9C-A1EF-41378E425EBC}"/>
    <cellStyle name="40% - Accent2 4 4 2 2 2 3" xfId="24899" xr:uid="{00000000-0005-0000-0000-000054350000}"/>
    <cellStyle name="40% - Accent2 4 4 2 2 2 3 2" xfId="48731" xr:uid="{5D6EFEE4-9470-4D85-89AA-AC3341A6C7F8}"/>
    <cellStyle name="40% - Accent2 4 4 2 2 2 4" xfId="32854" xr:uid="{40F9E5FE-434C-4F44-AFCC-3D3603464362}"/>
    <cellStyle name="40% - Accent2 4 4 2 2 3" xfId="13415" xr:uid="{00000000-0005-0000-0000-000055350000}"/>
    <cellStyle name="40% - Accent2 4 4 2 2 3 2" xfId="37264" xr:uid="{2BA4FF38-41DF-4D7D-B9A5-0B92604CA7F5}"/>
    <cellStyle name="40% - Accent2 4 4 2 2 4" xfId="21370" xr:uid="{00000000-0005-0000-0000-000056350000}"/>
    <cellStyle name="40% - Accent2 4 4 2 2 4 2" xfId="45202" xr:uid="{95CF61FD-220B-483F-B560-3B63FB1C30A5}"/>
    <cellStyle name="40% - Accent2 4 4 2 2 5" xfId="29323" xr:uid="{1DB7AEB1-AAD9-41DB-93B3-D0098DB1A3AD}"/>
    <cellStyle name="40% - Accent2 4 4 2 3" xfId="7223" xr:uid="{00000000-0005-0000-0000-000057350000}"/>
    <cellStyle name="40% - Accent2 4 4 2 3 2" xfId="15195" xr:uid="{00000000-0005-0000-0000-000058350000}"/>
    <cellStyle name="40% - Accent2 4 4 2 3 2 2" xfId="39037" xr:uid="{31B94832-6088-4F47-BB89-E86DB7A606DF}"/>
    <cellStyle name="40% - Accent2 4 4 2 3 3" xfId="23142" xr:uid="{00000000-0005-0000-0000-000059350000}"/>
    <cellStyle name="40% - Accent2 4 4 2 3 3 2" xfId="46974" xr:uid="{A17A4D44-649D-4288-99AD-9A2971FC4F43}"/>
    <cellStyle name="40% - Accent2 4 4 2 3 4" xfId="31096" xr:uid="{AC516E68-06E6-4CBC-A1BA-2BAA1A37549E}"/>
    <cellStyle name="40% - Accent2 4 4 2 4" xfId="11659" xr:uid="{00000000-0005-0000-0000-00005A350000}"/>
    <cellStyle name="40% - Accent2 4 4 2 4 2" xfId="35508" xr:uid="{3792178D-6665-4EC6-A5BB-BD45305EC61D}"/>
    <cellStyle name="40% - Accent2 4 4 2 5" xfId="19614" xr:uid="{00000000-0005-0000-0000-00005B350000}"/>
    <cellStyle name="40% - Accent2 4 4 2 5 2" xfId="43446" xr:uid="{EFE81011-2A09-4EAC-8064-C16B7026EADC}"/>
    <cellStyle name="40% - Accent2 4 4 2 6" xfId="27566" xr:uid="{726C7F65-175A-4F23-A5BE-643B7D644D8B}"/>
    <cellStyle name="40% - Accent2 4 4 2_Exh G" xfId="2883" xr:uid="{00000000-0005-0000-0000-00005C350000}"/>
    <cellStyle name="40% - Accent2 4 4 3" xfId="4512" xr:uid="{00000000-0005-0000-0000-00005D350000}"/>
    <cellStyle name="40% - Accent2 4 4 3 2" xfId="8104" xr:uid="{00000000-0005-0000-0000-00005E350000}"/>
    <cellStyle name="40% - Accent2 4 4 3 2 2" xfId="16075" xr:uid="{00000000-0005-0000-0000-00005F350000}"/>
    <cellStyle name="40% - Accent2 4 4 3 2 2 2" xfId="39917" xr:uid="{C6C0ED9F-E184-4C4E-90CA-4542182EB3CE}"/>
    <cellStyle name="40% - Accent2 4 4 3 2 3" xfId="24021" xr:uid="{00000000-0005-0000-0000-000060350000}"/>
    <cellStyle name="40% - Accent2 4 4 3 2 3 2" xfId="47853" xr:uid="{93BD192C-7AF9-4BE4-A840-1EC751C02F53}"/>
    <cellStyle name="40% - Accent2 4 4 3 2 4" xfId="31976" xr:uid="{4679DFFE-81E6-4EAB-9419-F06E617D59DC}"/>
    <cellStyle name="40% - Accent2 4 4 3 3" xfId="12537" xr:uid="{00000000-0005-0000-0000-000061350000}"/>
    <cellStyle name="40% - Accent2 4 4 3 3 2" xfId="36386" xr:uid="{EF411A62-5AE1-4516-95A1-6F9EF4C9223F}"/>
    <cellStyle name="40% - Accent2 4 4 3 4" xfId="20492" xr:uid="{00000000-0005-0000-0000-000062350000}"/>
    <cellStyle name="40% - Accent2 4 4 3 4 2" xfId="44324" xr:uid="{F3055211-EF55-4F42-8345-E3336EC0C0BD}"/>
    <cellStyle name="40% - Accent2 4 4 3 5" xfId="28445" xr:uid="{EDF17766-7773-4C7B-9C59-4C58DD6FB486}"/>
    <cellStyle name="40% - Accent2 4 4 4" xfId="6342" xr:uid="{00000000-0005-0000-0000-000063350000}"/>
    <cellStyle name="40% - Accent2 4 4 4 2" xfId="14317" xr:uid="{00000000-0005-0000-0000-000064350000}"/>
    <cellStyle name="40% - Accent2 4 4 4 2 2" xfId="38159" xr:uid="{F01A9641-1376-4729-BE5A-2C0E9AD3B163}"/>
    <cellStyle name="40% - Accent2 4 4 4 3" xfId="22264" xr:uid="{00000000-0005-0000-0000-000065350000}"/>
    <cellStyle name="40% - Accent2 4 4 4 3 2" xfId="46096" xr:uid="{9DCE82C3-F1DD-45F9-AEEF-2E9EFC517FFD}"/>
    <cellStyle name="40% - Accent2 4 4 4 4" xfId="30218" xr:uid="{AC398784-4659-4455-AD6D-E1F7C9785467}"/>
    <cellStyle name="40% - Accent2 4 4 5" xfId="9885" xr:uid="{00000000-0005-0000-0000-000066350000}"/>
    <cellStyle name="40% - Accent2 4 4 5 2" xfId="17843" xr:uid="{00000000-0005-0000-0000-000067350000}"/>
    <cellStyle name="40% - Accent2 4 4 5 2 2" xfId="41683" xr:uid="{08887B5B-6E37-4C3F-A731-0183B4596132}"/>
    <cellStyle name="40% - Accent2 4 4 5 3" xfId="25787" xr:uid="{00000000-0005-0000-0000-000068350000}"/>
    <cellStyle name="40% - Accent2 4 4 5 3 2" xfId="49619" xr:uid="{4D026CC1-9B91-41C9-A793-0E74D7D3BD83}"/>
    <cellStyle name="40% - Accent2 4 4 5 4" xfId="33742" xr:uid="{EA8017CF-323E-4B8E-98AC-5611F054A7AA}"/>
    <cellStyle name="40% - Accent2 4 4 6" xfId="10781" xr:uid="{00000000-0005-0000-0000-000069350000}"/>
    <cellStyle name="40% - Accent2 4 4 6 2" xfId="34630" xr:uid="{D69B1679-B744-4612-9C54-17C33953E602}"/>
    <cellStyle name="40% - Accent2 4 4 7" xfId="18736" xr:uid="{00000000-0005-0000-0000-00006A350000}"/>
    <cellStyle name="40% - Accent2 4 4 7 2" xfId="42568" xr:uid="{50A19EE3-D9AD-4126-A6E2-D542828E6346}"/>
    <cellStyle name="40% - Accent2 4 4 8" xfId="26688" xr:uid="{0AE4DF68-43E4-4A2F-B72B-B381D4CB9394}"/>
    <cellStyle name="40% - Accent2 4 4_Exh G" xfId="2882" xr:uid="{00000000-0005-0000-0000-00006B350000}"/>
    <cellStyle name="40% - Accent2 4 5" xfId="1437" xr:uid="{00000000-0005-0000-0000-00006C350000}"/>
    <cellStyle name="40% - Accent2 4 5 2" xfId="4967" xr:uid="{00000000-0005-0000-0000-00006D350000}"/>
    <cellStyle name="40% - Accent2 4 5 2 2" xfId="8558" xr:uid="{00000000-0005-0000-0000-00006E350000}"/>
    <cellStyle name="40% - Accent2 4 5 2 2 2" xfId="16529" xr:uid="{00000000-0005-0000-0000-00006F350000}"/>
    <cellStyle name="40% - Accent2 4 5 2 2 2 2" xfId="40371" xr:uid="{A1B9B540-02B9-44BE-9AC4-F56E539C5D04}"/>
    <cellStyle name="40% - Accent2 4 5 2 2 3" xfId="24475" xr:uid="{00000000-0005-0000-0000-000070350000}"/>
    <cellStyle name="40% - Accent2 4 5 2 2 3 2" xfId="48307" xr:uid="{39487002-30F6-42DE-8BBC-AEC80032B38F}"/>
    <cellStyle name="40% - Accent2 4 5 2 2 4" xfId="32430" xr:uid="{404DEDFC-2EF6-4BC4-BFAC-FFB029BBFCC4}"/>
    <cellStyle name="40% - Accent2 4 5 2 3" xfId="12991" xr:uid="{00000000-0005-0000-0000-000071350000}"/>
    <cellStyle name="40% - Accent2 4 5 2 3 2" xfId="36840" xr:uid="{7AE7099F-18E5-465E-85EE-7DD1A01226AD}"/>
    <cellStyle name="40% - Accent2 4 5 2 4" xfId="20946" xr:uid="{00000000-0005-0000-0000-000072350000}"/>
    <cellStyle name="40% - Accent2 4 5 2 4 2" xfId="44778" xr:uid="{0F72FCF2-6D9A-4CE4-AAFE-02C58A9AD58A}"/>
    <cellStyle name="40% - Accent2 4 5 2 5" xfId="28899" xr:uid="{CDD69E69-578A-4CF5-BA5B-A418D8BC57A9}"/>
    <cellStyle name="40% - Accent2 4 5 3" xfId="6799" xr:uid="{00000000-0005-0000-0000-000073350000}"/>
    <cellStyle name="40% - Accent2 4 5 3 2" xfId="14771" xr:uid="{00000000-0005-0000-0000-000074350000}"/>
    <cellStyle name="40% - Accent2 4 5 3 2 2" xfId="38613" xr:uid="{87B0BD84-EAED-4A6D-B8F0-FBA41126FE0F}"/>
    <cellStyle name="40% - Accent2 4 5 3 3" xfId="22718" xr:uid="{00000000-0005-0000-0000-000075350000}"/>
    <cellStyle name="40% - Accent2 4 5 3 3 2" xfId="46550" xr:uid="{F2839526-6515-4A1E-9E68-A5CA143836F5}"/>
    <cellStyle name="40% - Accent2 4 5 3 4" xfId="30672" xr:uid="{B359A6EA-24DE-452B-ACF6-7B152CD9F1BC}"/>
    <cellStyle name="40% - Accent2 4 5 4" xfId="11235" xr:uid="{00000000-0005-0000-0000-000076350000}"/>
    <cellStyle name="40% - Accent2 4 5 4 2" xfId="35084" xr:uid="{37FAF1B6-767B-4450-9077-2082B7ADC142}"/>
    <cellStyle name="40% - Accent2 4 5 5" xfId="19190" xr:uid="{00000000-0005-0000-0000-000077350000}"/>
    <cellStyle name="40% - Accent2 4 5 5 2" xfId="43022" xr:uid="{0F8A2C73-F58C-4C48-B910-A97DCD694D40}"/>
    <cellStyle name="40% - Accent2 4 5 6" xfId="27142" xr:uid="{FAD3E34B-93B4-4316-9ED6-FDDB5C0D05EA}"/>
    <cellStyle name="40% - Accent2 4 5_Exh G" xfId="2884" xr:uid="{00000000-0005-0000-0000-000078350000}"/>
    <cellStyle name="40% - Accent2 4 6" xfId="4088" xr:uid="{00000000-0005-0000-0000-000079350000}"/>
    <cellStyle name="40% - Accent2 4 6 2" xfId="7680" xr:uid="{00000000-0005-0000-0000-00007A350000}"/>
    <cellStyle name="40% - Accent2 4 6 2 2" xfId="15651" xr:uid="{00000000-0005-0000-0000-00007B350000}"/>
    <cellStyle name="40% - Accent2 4 6 2 2 2" xfId="39493" xr:uid="{11D4EC63-33DA-41AC-81A4-D74E8395860F}"/>
    <cellStyle name="40% - Accent2 4 6 2 3" xfId="23597" xr:uid="{00000000-0005-0000-0000-00007C350000}"/>
    <cellStyle name="40% - Accent2 4 6 2 3 2" xfId="47429" xr:uid="{8B73131A-28FD-48A6-88A0-4761BD687756}"/>
    <cellStyle name="40% - Accent2 4 6 2 4" xfId="31552" xr:uid="{C73230DC-FD62-451D-ADFE-C0891F6EE315}"/>
    <cellStyle name="40% - Accent2 4 6 3" xfId="12113" xr:uid="{00000000-0005-0000-0000-00007D350000}"/>
    <cellStyle name="40% - Accent2 4 6 3 2" xfId="35962" xr:uid="{234CEFDC-43DE-459E-977C-34B74F44E871}"/>
    <cellStyle name="40% - Accent2 4 6 4" xfId="20068" xr:uid="{00000000-0005-0000-0000-00007E350000}"/>
    <cellStyle name="40% - Accent2 4 6 4 2" xfId="43900" xr:uid="{423ABA58-1568-4002-9CBD-C78F1361DBA3}"/>
    <cellStyle name="40% - Accent2 4 6 5" xfId="28021" xr:uid="{C5FDAD61-1514-4194-8C4C-124D012BAC0D}"/>
    <cellStyle name="40% - Accent2 4 7" xfId="5908" xr:uid="{00000000-0005-0000-0000-00007F350000}"/>
    <cellStyle name="40% - Accent2 4 7 2" xfId="13892" xr:uid="{00000000-0005-0000-0000-000080350000}"/>
    <cellStyle name="40% - Accent2 4 7 2 2" xfId="37735" xr:uid="{C316D647-261D-4A2D-8B09-7288B5E55F2B}"/>
    <cellStyle name="40% - Accent2 4 7 3" xfId="21840" xr:uid="{00000000-0005-0000-0000-000081350000}"/>
    <cellStyle name="40% - Accent2 4 7 3 2" xfId="45672" xr:uid="{011428D0-A799-4422-AA9F-A141534AD04F}"/>
    <cellStyle name="40% - Accent2 4 7 4" xfId="29794" xr:uid="{D85E6A15-748C-494B-9B60-44117BAD4417}"/>
    <cellStyle name="40% - Accent2 4 8" xfId="9461" xr:uid="{00000000-0005-0000-0000-000082350000}"/>
    <cellStyle name="40% - Accent2 4 8 2" xfId="17419" xr:uid="{00000000-0005-0000-0000-000083350000}"/>
    <cellStyle name="40% - Accent2 4 8 2 2" xfId="41259" xr:uid="{0A81B682-0676-41CD-989B-292181633B38}"/>
    <cellStyle name="40% - Accent2 4 8 3" xfId="25363" xr:uid="{00000000-0005-0000-0000-000084350000}"/>
    <cellStyle name="40% - Accent2 4 8 3 2" xfId="49195" xr:uid="{D2B2E422-4B61-4CF5-BDCB-75BF2C4AB0E8}"/>
    <cellStyle name="40% - Accent2 4 8 4" xfId="33318" xr:uid="{DFA1333F-3C42-444C-A65E-5C872187DAC2}"/>
    <cellStyle name="40% - Accent2 4 9" xfId="10357" xr:uid="{00000000-0005-0000-0000-000085350000}"/>
    <cellStyle name="40% - Accent2 4 9 2" xfId="34206" xr:uid="{788F91A1-A5D1-4E69-80B9-38C6479ED330}"/>
    <cellStyle name="40% - Accent2 4_Exh G" xfId="2873" xr:uid="{00000000-0005-0000-0000-000086350000}"/>
    <cellStyle name="40% - Accent2 5" xfId="413" xr:uid="{00000000-0005-0000-0000-000087350000}"/>
    <cellStyle name="40% - Accent2 5 10" xfId="18316" xr:uid="{00000000-0005-0000-0000-000088350000}"/>
    <cellStyle name="40% - Accent2 5 10 2" xfId="42148" xr:uid="{0BBF5141-83F1-408A-AA7E-393D16F91831}"/>
    <cellStyle name="40% - Accent2 5 11" xfId="26268" xr:uid="{DDE78923-6C0E-487B-85D3-E4E948F781AF}"/>
    <cellStyle name="40% - Accent2 5 2" xfId="414" xr:uid="{00000000-0005-0000-0000-000089350000}"/>
    <cellStyle name="40% - Accent2 5 2 2" xfId="415" xr:uid="{00000000-0005-0000-0000-00008A350000}"/>
    <cellStyle name="40% - Accent2 5 2 2 2" xfId="1443" xr:uid="{00000000-0005-0000-0000-00008B350000}"/>
    <cellStyle name="40% - Accent2 5 2 2 2 2" xfId="4973" xr:uid="{00000000-0005-0000-0000-00008C350000}"/>
    <cellStyle name="40% - Accent2 5 2 2 2 2 2" xfId="8564" xr:uid="{00000000-0005-0000-0000-00008D350000}"/>
    <cellStyle name="40% - Accent2 5 2 2 2 2 2 2" xfId="16535" xr:uid="{00000000-0005-0000-0000-00008E350000}"/>
    <cellStyle name="40% - Accent2 5 2 2 2 2 2 2 2" xfId="40377" xr:uid="{EC1ADF51-F328-4642-BDCF-6486F316345C}"/>
    <cellStyle name="40% - Accent2 5 2 2 2 2 2 3" xfId="24481" xr:uid="{00000000-0005-0000-0000-00008F350000}"/>
    <cellStyle name="40% - Accent2 5 2 2 2 2 2 3 2" xfId="48313" xr:uid="{C3B31F58-A568-4F00-B303-CA6A2BA74FF2}"/>
    <cellStyle name="40% - Accent2 5 2 2 2 2 2 4" xfId="32436" xr:uid="{9569486F-EB80-48A4-97FD-FBBB9ACEF790}"/>
    <cellStyle name="40% - Accent2 5 2 2 2 2 3" xfId="12997" xr:uid="{00000000-0005-0000-0000-000090350000}"/>
    <cellStyle name="40% - Accent2 5 2 2 2 2 3 2" xfId="36846" xr:uid="{0642220F-63AF-499F-9085-9B8A92A01EC8}"/>
    <cellStyle name="40% - Accent2 5 2 2 2 2 4" xfId="20952" xr:uid="{00000000-0005-0000-0000-000091350000}"/>
    <cellStyle name="40% - Accent2 5 2 2 2 2 4 2" xfId="44784" xr:uid="{960D2F7B-8506-46C9-A35A-01B3D6340C58}"/>
    <cellStyle name="40% - Accent2 5 2 2 2 2 5" xfId="28905" xr:uid="{5CEC4E4C-14FF-4BE6-A10A-B829E26FF660}"/>
    <cellStyle name="40% - Accent2 5 2 2 2 3" xfId="6805" xr:uid="{00000000-0005-0000-0000-000092350000}"/>
    <cellStyle name="40% - Accent2 5 2 2 2 3 2" xfId="14777" xr:uid="{00000000-0005-0000-0000-000093350000}"/>
    <cellStyle name="40% - Accent2 5 2 2 2 3 2 2" xfId="38619" xr:uid="{11FE5F4D-3851-439B-91D9-94825E7B091F}"/>
    <cellStyle name="40% - Accent2 5 2 2 2 3 3" xfId="22724" xr:uid="{00000000-0005-0000-0000-000094350000}"/>
    <cellStyle name="40% - Accent2 5 2 2 2 3 3 2" xfId="46556" xr:uid="{8F17AEA6-3BBD-4057-B9CA-F2C3FFC3CCCA}"/>
    <cellStyle name="40% - Accent2 5 2 2 2 3 4" xfId="30678" xr:uid="{71B12350-909A-43D1-A505-1C8426FA83FD}"/>
    <cellStyle name="40% - Accent2 5 2 2 2 4" xfId="11241" xr:uid="{00000000-0005-0000-0000-000095350000}"/>
    <cellStyle name="40% - Accent2 5 2 2 2 4 2" xfId="35090" xr:uid="{5B217F22-0E97-4214-9508-945F23343F01}"/>
    <cellStyle name="40% - Accent2 5 2 2 2 5" xfId="19196" xr:uid="{00000000-0005-0000-0000-000096350000}"/>
    <cellStyle name="40% - Accent2 5 2 2 2 5 2" xfId="43028" xr:uid="{05BDEEF1-99AB-4784-A8DA-57D15A324DEB}"/>
    <cellStyle name="40% - Accent2 5 2 2 2 6" xfId="27148" xr:uid="{DD6AEDA2-2B7B-4CE0-BD60-50E8BABE2520}"/>
    <cellStyle name="40% - Accent2 5 2 2 2_Exh G" xfId="2888" xr:uid="{00000000-0005-0000-0000-000097350000}"/>
    <cellStyle name="40% - Accent2 5 2 2 3" xfId="4094" xr:uid="{00000000-0005-0000-0000-000098350000}"/>
    <cellStyle name="40% - Accent2 5 2 2 3 2" xfId="7686" xr:uid="{00000000-0005-0000-0000-000099350000}"/>
    <cellStyle name="40% - Accent2 5 2 2 3 2 2" xfId="15657" xr:uid="{00000000-0005-0000-0000-00009A350000}"/>
    <cellStyle name="40% - Accent2 5 2 2 3 2 2 2" xfId="39499" xr:uid="{074C8657-E4B8-4B7E-AE8C-7A4219198F58}"/>
    <cellStyle name="40% - Accent2 5 2 2 3 2 3" xfId="23603" xr:uid="{00000000-0005-0000-0000-00009B350000}"/>
    <cellStyle name="40% - Accent2 5 2 2 3 2 3 2" xfId="47435" xr:uid="{A54FD08D-3117-4DD4-8F4E-03C89522173A}"/>
    <cellStyle name="40% - Accent2 5 2 2 3 2 4" xfId="31558" xr:uid="{C0BC8981-30C1-4EAB-A743-740252FCD24D}"/>
    <cellStyle name="40% - Accent2 5 2 2 3 3" xfId="12119" xr:uid="{00000000-0005-0000-0000-00009C350000}"/>
    <cellStyle name="40% - Accent2 5 2 2 3 3 2" xfId="35968" xr:uid="{4CC639B4-7370-4D3C-A517-99ABE72F5D34}"/>
    <cellStyle name="40% - Accent2 5 2 2 3 4" xfId="20074" xr:uid="{00000000-0005-0000-0000-00009D350000}"/>
    <cellStyle name="40% - Accent2 5 2 2 3 4 2" xfId="43906" xr:uid="{7254C6EC-87F0-4646-96CB-95A65989F77D}"/>
    <cellStyle name="40% - Accent2 5 2 2 3 5" xfId="28027" xr:uid="{130751AC-38C9-4705-9197-9E8827D4B03A}"/>
    <cellStyle name="40% - Accent2 5 2 2 4" xfId="5914" xr:uid="{00000000-0005-0000-0000-00009E350000}"/>
    <cellStyle name="40% - Accent2 5 2 2 4 2" xfId="13898" xr:uid="{00000000-0005-0000-0000-00009F350000}"/>
    <cellStyle name="40% - Accent2 5 2 2 4 2 2" xfId="37741" xr:uid="{85775F95-C719-45C1-8BFB-A095AE66C350}"/>
    <cellStyle name="40% - Accent2 5 2 2 4 3" xfId="21846" xr:uid="{00000000-0005-0000-0000-0000A0350000}"/>
    <cellStyle name="40% - Accent2 5 2 2 4 3 2" xfId="45678" xr:uid="{A4A3B39E-7D5E-4CC6-B4FC-E7D1512556CB}"/>
    <cellStyle name="40% - Accent2 5 2 2 4 4" xfId="29800" xr:uid="{C177F8AA-8A9D-4FC9-95AD-435B1CAC551B}"/>
    <cellStyle name="40% - Accent2 5 2 2 5" xfId="9467" xr:uid="{00000000-0005-0000-0000-0000A1350000}"/>
    <cellStyle name="40% - Accent2 5 2 2 5 2" xfId="17425" xr:uid="{00000000-0005-0000-0000-0000A2350000}"/>
    <cellStyle name="40% - Accent2 5 2 2 5 2 2" xfId="41265" xr:uid="{31E34538-8933-4102-9F15-CBCE8A589FAC}"/>
    <cellStyle name="40% - Accent2 5 2 2 5 3" xfId="25369" xr:uid="{00000000-0005-0000-0000-0000A3350000}"/>
    <cellStyle name="40% - Accent2 5 2 2 5 3 2" xfId="49201" xr:uid="{DD128740-DF92-4932-8159-F3876F4EF093}"/>
    <cellStyle name="40% - Accent2 5 2 2 5 4" xfId="33324" xr:uid="{A0595582-6843-4AB2-9A31-82E3CDCCF552}"/>
    <cellStyle name="40% - Accent2 5 2 2 6" xfId="10363" xr:uid="{00000000-0005-0000-0000-0000A4350000}"/>
    <cellStyle name="40% - Accent2 5 2 2 6 2" xfId="34212" xr:uid="{FF1E1845-E1C0-4B26-AA54-2687ED52B49A}"/>
    <cellStyle name="40% - Accent2 5 2 2 7" xfId="18318" xr:uid="{00000000-0005-0000-0000-0000A5350000}"/>
    <cellStyle name="40% - Accent2 5 2 2 7 2" xfId="42150" xr:uid="{8AC0B318-E8C8-471F-BC8E-299A13F4789D}"/>
    <cellStyle name="40% - Accent2 5 2 2 8" xfId="26270" xr:uid="{2123E4E6-E881-4A61-9C4B-A02015D7E299}"/>
    <cellStyle name="40% - Accent2 5 2 2_Exh G" xfId="2887" xr:uid="{00000000-0005-0000-0000-0000A6350000}"/>
    <cellStyle name="40% - Accent2 5 2 3" xfId="1442" xr:uid="{00000000-0005-0000-0000-0000A7350000}"/>
    <cellStyle name="40% - Accent2 5 2 3 2" xfId="4972" xr:uid="{00000000-0005-0000-0000-0000A8350000}"/>
    <cellStyle name="40% - Accent2 5 2 3 2 2" xfId="8563" xr:uid="{00000000-0005-0000-0000-0000A9350000}"/>
    <cellStyle name="40% - Accent2 5 2 3 2 2 2" xfId="16534" xr:uid="{00000000-0005-0000-0000-0000AA350000}"/>
    <cellStyle name="40% - Accent2 5 2 3 2 2 2 2" xfId="40376" xr:uid="{9441B270-431B-4163-BD83-33D31DE2EC73}"/>
    <cellStyle name="40% - Accent2 5 2 3 2 2 3" xfId="24480" xr:uid="{00000000-0005-0000-0000-0000AB350000}"/>
    <cellStyle name="40% - Accent2 5 2 3 2 2 3 2" xfId="48312" xr:uid="{539C0098-5C7A-4ED1-B535-28843F1D4090}"/>
    <cellStyle name="40% - Accent2 5 2 3 2 2 4" xfId="32435" xr:uid="{310F2065-C5DC-4E88-B293-93CABA97ADBF}"/>
    <cellStyle name="40% - Accent2 5 2 3 2 3" xfId="12996" xr:uid="{00000000-0005-0000-0000-0000AC350000}"/>
    <cellStyle name="40% - Accent2 5 2 3 2 3 2" xfId="36845" xr:uid="{DDFB6CDD-AF4B-4516-91B2-BB2FAAC296CE}"/>
    <cellStyle name="40% - Accent2 5 2 3 2 4" xfId="20951" xr:uid="{00000000-0005-0000-0000-0000AD350000}"/>
    <cellStyle name="40% - Accent2 5 2 3 2 4 2" xfId="44783" xr:uid="{CC53B726-B2D9-416D-95C6-3E2083B25042}"/>
    <cellStyle name="40% - Accent2 5 2 3 2 5" xfId="28904" xr:uid="{11719406-5980-4A4C-9BBE-84539E76B328}"/>
    <cellStyle name="40% - Accent2 5 2 3 3" xfId="6804" xr:uid="{00000000-0005-0000-0000-0000AE350000}"/>
    <cellStyle name="40% - Accent2 5 2 3 3 2" xfId="14776" xr:uid="{00000000-0005-0000-0000-0000AF350000}"/>
    <cellStyle name="40% - Accent2 5 2 3 3 2 2" xfId="38618" xr:uid="{40A6D612-6BD7-455C-9696-9A73EF86F078}"/>
    <cellStyle name="40% - Accent2 5 2 3 3 3" xfId="22723" xr:uid="{00000000-0005-0000-0000-0000B0350000}"/>
    <cellStyle name="40% - Accent2 5 2 3 3 3 2" xfId="46555" xr:uid="{1FB47CE4-3E89-4D6D-B6FA-6B9938C721CD}"/>
    <cellStyle name="40% - Accent2 5 2 3 3 4" xfId="30677" xr:uid="{80091409-F61C-424A-9DE1-6DA1F567BAF3}"/>
    <cellStyle name="40% - Accent2 5 2 3 4" xfId="11240" xr:uid="{00000000-0005-0000-0000-0000B1350000}"/>
    <cellStyle name="40% - Accent2 5 2 3 4 2" xfId="35089" xr:uid="{0BAF9104-FED1-4252-9217-CF3D44E91F90}"/>
    <cellStyle name="40% - Accent2 5 2 3 5" xfId="19195" xr:uid="{00000000-0005-0000-0000-0000B2350000}"/>
    <cellStyle name="40% - Accent2 5 2 3 5 2" xfId="43027" xr:uid="{D4E8E2DB-9376-4990-9CCB-77AD66096845}"/>
    <cellStyle name="40% - Accent2 5 2 3 6" xfId="27147" xr:uid="{1E9D092B-33B9-4F1E-8138-2818CD0BD21A}"/>
    <cellStyle name="40% - Accent2 5 2 3_Exh G" xfId="2889" xr:uid="{00000000-0005-0000-0000-0000B3350000}"/>
    <cellStyle name="40% - Accent2 5 2 4" xfId="4093" xr:uid="{00000000-0005-0000-0000-0000B4350000}"/>
    <cellStyle name="40% - Accent2 5 2 4 2" xfId="7685" xr:uid="{00000000-0005-0000-0000-0000B5350000}"/>
    <cellStyle name="40% - Accent2 5 2 4 2 2" xfId="15656" xr:uid="{00000000-0005-0000-0000-0000B6350000}"/>
    <cellStyle name="40% - Accent2 5 2 4 2 2 2" xfId="39498" xr:uid="{9568F6EC-2F3B-4740-8509-37836764DE74}"/>
    <cellStyle name="40% - Accent2 5 2 4 2 3" xfId="23602" xr:uid="{00000000-0005-0000-0000-0000B7350000}"/>
    <cellStyle name="40% - Accent2 5 2 4 2 3 2" xfId="47434" xr:uid="{7C170114-B32A-4372-BA0F-73E3822ED149}"/>
    <cellStyle name="40% - Accent2 5 2 4 2 4" xfId="31557" xr:uid="{1297FA96-8510-435C-AA9B-8CEDFBF8915D}"/>
    <cellStyle name="40% - Accent2 5 2 4 3" xfId="12118" xr:uid="{00000000-0005-0000-0000-0000B8350000}"/>
    <cellStyle name="40% - Accent2 5 2 4 3 2" xfId="35967" xr:uid="{4873DBD8-E1D4-4EDF-9E45-DB15FCCB2FEF}"/>
    <cellStyle name="40% - Accent2 5 2 4 4" xfId="20073" xr:uid="{00000000-0005-0000-0000-0000B9350000}"/>
    <cellStyle name="40% - Accent2 5 2 4 4 2" xfId="43905" xr:uid="{2B906D67-34E5-40A4-A3D0-B8180693FBDB}"/>
    <cellStyle name="40% - Accent2 5 2 4 5" xfId="28026" xr:uid="{01161FBA-46E0-4FEE-AC3B-18BA927EE406}"/>
    <cellStyle name="40% - Accent2 5 2 5" xfId="5913" xr:uid="{00000000-0005-0000-0000-0000BA350000}"/>
    <cellStyle name="40% - Accent2 5 2 5 2" xfId="13897" xr:uid="{00000000-0005-0000-0000-0000BB350000}"/>
    <cellStyle name="40% - Accent2 5 2 5 2 2" xfId="37740" xr:uid="{BE7F5693-3FF5-419E-A2D9-6D7816928158}"/>
    <cellStyle name="40% - Accent2 5 2 5 3" xfId="21845" xr:uid="{00000000-0005-0000-0000-0000BC350000}"/>
    <cellStyle name="40% - Accent2 5 2 5 3 2" xfId="45677" xr:uid="{2903A151-DDD2-4B7A-9011-066F758F37B6}"/>
    <cellStyle name="40% - Accent2 5 2 5 4" xfId="29799" xr:uid="{C8D77EBD-B06D-406A-9601-49299F878889}"/>
    <cellStyle name="40% - Accent2 5 2 6" xfId="9466" xr:uid="{00000000-0005-0000-0000-0000BD350000}"/>
    <cellStyle name="40% - Accent2 5 2 6 2" xfId="17424" xr:uid="{00000000-0005-0000-0000-0000BE350000}"/>
    <cellStyle name="40% - Accent2 5 2 6 2 2" xfId="41264" xr:uid="{933B407C-CD94-4AA8-BF73-A59659132C06}"/>
    <cellStyle name="40% - Accent2 5 2 6 3" xfId="25368" xr:uid="{00000000-0005-0000-0000-0000BF350000}"/>
    <cellStyle name="40% - Accent2 5 2 6 3 2" xfId="49200" xr:uid="{A5DD2474-6920-437A-B632-F0ECECF8309B}"/>
    <cellStyle name="40% - Accent2 5 2 6 4" xfId="33323" xr:uid="{5BD7A202-5F5E-40E7-8D33-859C5E22EF05}"/>
    <cellStyle name="40% - Accent2 5 2 7" xfId="10362" xr:uid="{00000000-0005-0000-0000-0000C0350000}"/>
    <cellStyle name="40% - Accent2 5 2 7 2" xfId="34211" xr:uid="{5D3B280D-D467-4487-AE6A-6BA370055E93}"/>
    <cellStyle name="40% - Accent2 5 2 8" xfId="18317" xr:uid="{00000000-0005-0000-0000-0000C1350000}"/>
    <cellStyle name="40% - Accent2 5 2 8 2" xfId="42149" xr:uid="{AC228C75-4061-4881-95B1-10B6C3BF2454}"/>
    <cellStyle name="40% - Accent2 5 2 9" xfId="26269" xr:uid="{E6977AC3-8818-4534-8C5A-413F5EB17814}"/>
    <cellStyle name="40% - Accent2 5 2_Exh G" xfId="2886" xr:uid="{00000000-0005-0000-0000-0000C2350000}"/>
    <cellStyle name="40% - Accent2 5 3" xfId="416" xr:uid="{00000000-0005-0000-0000-0000C3350000}"/>
    <cellStyle name="40% - Accent2 5 3 2" xfId="1444" xr:uid="{00000000-0005-0000-0000-0000C4350000}"/>
    <cellStyle name="40% - Accent2 5 3 2 2" xfId="4974" xr:uid="{00000000-0005-0000-0000-0000C5350000}"/>
    <cellStyle name="40% - Accent2 5 3 2 2 2" xfId="8565" xr:uid="{00000000-0005-0000-0000-0000C6350000}"/>
    <cellStyle name="40% - Accent2 5 3 2 2 2 2" xfId="16536" xr:uid="{00000000-0005-0000-0000-0000C7350000}"/>
    <cellStyle name="40% - Accent2 5 3 2 2 2 2 2" xfId="40378" xr:uid="{1862434E-F517-4B34-8403-038A38905278}"/>
    <cellStyle name="40% - Accent2 5 3 2 2 2 3" xfId="24482" xr:uid="{00000000-0005-0000-0000-0000C8350000}"/>
    <cellStyle name="40% - Accent2 5 3 2 2 2 3 2" xfId="48314" xr:uid="{2CF921A9-536D-4E81-AA86-EBEBBE410A7C}"/>
    <cellStyle name="40% - Accent2 5 3 2 2 2 4" xfId="32437" xr:uid="{974EB611-B3D5-44FA-B35B-7C4F9117B787}"/>
    <cellStyle name="40% - Accent2 5 3 2 2 3" xfId="12998" xr:uid="{00000000-0005-0000-0000-0000C9350000}"/>
    <cellStyle name="40% - Accent2 5 3 2 2 3 2" xfId="36847" xr:uid="{D8C409DC-7AA2-43B3-9115-61103287110D}"/>
    <cellStyle name="40% - Accent2 5 3 2 2 4" xfId="20953" xr:uid="{00000000-0005-0000-0000-0000CA350000}"/>
    <cellStyle name="40% - Accent2 5 3 2 2 4 2" xfId="44785" xr:uid="{9D7C8E04-CAD1-45CD-8EB6-7BADF1557A49}"/>
    <cellStyle name="40% - Accent2 5 3 2 2 5" xfId="28906" xr:uid="{4AE655B2-C15E-4B39-AEA7-85DFA73A95A8}"/>
    <cellStyle name="40% - Accent2 5 3 2 3" xfId="6806" xr:uid="{00000000-0005-0000-0000-0000CB350000}"/>
    <cellStyle name="40% - Accent2 5 3 2 3 2" xfId="14778" xr:uid="{00000000-0005-0000-0000-0000CC350000}"/>
    <cellStyle name="40% - Accent2 5 3 2 3 2 2" xfId="38620" xr:uid="{3E94958D-AA28-4D9C-AEE4-193A6DC5737C}"/>
    <cellStyle name="40% - Accent2 5 3 2 3 3" xfId="22725" xr:uid="{00000000-0005-0000-0000-0000CD350000}"/>
    <cellStyle name="40% - Accent2 5 3 2 3 3 2" xfId="46557" xr:uid="{7322220A-E83C-490B-8525-87315F633E3F}"/>
    <cellStyle name="40% - Accent2 5 3 2 3 4" xfId="30679" xr:uid="{741BF4BC-42A5-45F1-813C-A18FC51EEEE6}"/>
    <cellStyle name="40% - Accent2 5 3 2 4" xfId="11242" xr:uid="{00000000-0005-0000-0000-0000CE350000}"/>
    <cellStyle name="40% - Accent2 5 3 2 4 2" xfId="35091" xr:uid="{7AF22F5F-88EE-4219-AC29-F3D6A7A7E80D}"/>
    <cellStyle name="40% - Accent2 5 3 2 5" xfId="19197" xr:uid="{00000000-0005-0000-0000-0000CF350000}"/>
    <cellStyle name="40% - Accent2 5 3 2 5 2" xfId="43029" xr:uid="{62285E60-3098-4AB8-B516-61FD50A1F81F}"/>
    <cellStyle name="40% - Accent2 5 3 2 6" xfId="27149" xr:uid="{E44E4F5E-FC67-4C57-B070-9D2B6F61846F}"/>
    <cellStyle name="40% - Accent2 5 3 2_Exh G" xfId="2891" xr:uid="{00000000-0005-0000-0000-0000D0350000}"/>
    <cellStyle name="40% - Accent2 5 3 3" xfId="4095" xr:uid="{00000000-0005-0000-0000-0000D1350000}"/>
    <cellStyle name="40% - Accent2 5 3 3 2" xfId="7687" xr:uid="{00000000-0005-0000-0000-0000D2350000}"/>
    <cellStyle name="40% - Accent2 5 3 3 2 2" xfId="15658" xr:uid="{00000000-0005-0000-0000-0000D3350000}"/>
    <cellStyle name="40% - Accent2 5 3 3 2 2 2" xfId="39500" xr:uid="{D22CC09C-AF6A-4131-A12B-C584F5097022}"/>
    <cellStyle name="40% - Accent2 5 3 3 2 3" xfId="23604" xr:uid="{00000000-0005-0000-0000-0000D4350000}"/>
    <cellStyle name="40% - Accent2 5 3 3 2 3 2" xfId="47436" xr:uid="{1353F690-B9B8-4284-9A1A-AC69D8B526DF}"/>
    <cellStyle name="40% - Accent2 5 3 3 2 4" xfId="31559" xr:uid="{C68841F6-E4C9-4979-B948-7C9B599F63B1}"/>
    <cellStyle name="40% - Accent2 5 3 3 3" xfId="12120" xr:uid="{00000000-0005-0000-0000-0000D5350000}"/>
    <cellStyle name="40% - Accent2 5 3 3 3 2" xfId="35969" xr:uid="{94828A8C-1960-45D2-B640-C2077EB2EB2B}"/>
    <cellStyle name="40% - Accent2 5 3 3 4" xfId="20075" xr:uid="{00000000-0005-0000-0000-0000D6350000}"/>
    <cellStyle name="40% - Accent2 5 3 3 4 2" xfId="43907" xr:uid="{9DD88BED-F588-47CD-8385-8BC340581CD7}"/>
    <cellStyle name="40% - Accent2 5 3 3 5" xfId="28028" xr:uid="{745AA701-C7B5-4E39-96DB-2B4313890676}"/>
    <cellStyle name="40% - Accent2 5 3 4" xfId="5915" xr:uid="{00000000-0005-0000-0000-0000D7350000}"/>
    <cellStyle name="40% - Accent2 5 3 4 2" xfId="13899" xr:uid="{00000000-0005-0000-0000-0000D8350000}"/>
    <cellStyle name="40% - Accent2 5 3 4 2 2" xfId="37742" xr:uid="{1C9D9E61-C2F4-46FE-8BE4-291DBEB03125}"/>
    <cellStyle name="40% - Accent2 5 3 4 3" xfId="21847" xr:uid="{00000000-0005-0000-0000-0000D9350000}"/>
    <cellStyle name="40% - Accent2 5 3 4 3 2" xfId="45679" xr:uid="{8C6F01F5-764E-4890-BFC6-17DD2D94F981}"/>
    <cellStyle name="40% - Accent2 5 3 4 4" xfId="29801" xr:uid="{7B313EE1-D131-4F1E-8830-96B6BFC65D2E}"/>
    <cellStyle name="40% - Accent2 5 3 5" xfId="9468" xr:uid="{00000000-0005-0000-0000-0000DA350000}"/>
    <cellStyle name="40% - Accent2 5 3 5 2" xfId="17426" xr:uid="{00000000-0005-0000-0000-0000DB350000}"/>
    <cellStyle name="40% - Accent2 5 3 5 2 2" xfId="41266" xr:uid="{0A5CA459-A555-4DD1-8EBC-B5F92A0703AC}"/>
    <cellStyle name="40% - Accent2 5 3 5 3" xfId="25370" xr:uid="{00000000-0005-0000-0000-0000DC350000}"/>
    <cellStyle name="40% - Accent2 5 3 5 3 2" xfId="49202" xr:uid="{729CF9A6-2156-4E34-BCF4-51D7D93022FB}"/>
    <cellStyle name="40% - Accent2 5 3 5 4" xfId="33325" xr:uid="{2FAF0800-0BBF-4043-806E-68D39E4EBFD9}"/>
    <cellStyle name="40% - Accent2 5 3 6" xfId="10364" xr:uid="{00000000-0005-0000-0000-0000DD350000}"/>
    <cellStyle name="40% - Accent2 5 3 6 2" xfId="34213" xr:uid="{1B30DC21-2979-4EB8-AA2F-F6FFAD992413}"/>
    <cellStyle name="40% - Accent2 5 3 7" xfId="18319" xr:uid="{00000000-0005-0000-0000-0000DE350000}"/>
    <cellStyle name="40% - Accent2 5 3 7 2" xfId="42151" xr:uid="{1C196BC3-EB49-4691-B9AB-38522C31D2FB}"/>
    <cellStyle name="40% - Accent2 5 3 8" xfId="26271" xr:uid="{B6BADC5C-FEC2-415E-830F-583603C97A6B}"/>
    <cellStyle name="40% - Accent2 5 3_Exh G" xfId="2890" xr:uid="{00000000-0005-0000-0000-0000DF350000}"/>
    <cellStyle name="40% - Accent2 5 4" xfId="953" xr:uid="{00000000-0005-0000-0000-0000E0350000}"/>
    <cellStyle name="40% - Accent2 5 5" xfId="1441" xr:uid="{00000000-0005-0000-0000-0000E1350000}"/>
    <cellStyle name="40% - Accent2 5 5 2" xfId="4971" xr:uid="{00000000-0005-0000-0000-0000E2350000}"/>
    <cellStyle name="40% - Accent2 5 5 2 2" xfId="8562" xr:uid="{00000000-0005-0000-0000-0000E3350000}"/>
    <cellStyle name="40% - Accent2 5 5 2 2 2" xfId="16533" xr:uid="{00000000-0005-0000-0000-0000E4350000}"/>
    <cellStyle name="40% - Accent2 5 5 2 2 2 2" xfId="40375" xr:uid="{67D4A7D7-9212-46D4-993D-5393946172EA}"/>
    <cellStyle name="40% - Accent2 5 5 2 2 3" xfId="24479" xr:uid="{00000000-0005-0000-0000-0000E5350000}"/>
    <cellStyle name="40% - Accent2 5 5 2 2 3 2" xfId="48311" xr:uid="{01D0BFA9-C462-4E43-A900-C4E425A0F4E4}"/>
    <cellStyle name="40% - Accent2 5 5 2 2 4" xfId="32434" xr:uid="{6787A473-CC03-4B75-8F7E-4B3BAEC5A7BF}"/>
    <cellStyle name="40% - Accent2 5 5 2 3" xfId="12995" xr:uid="{00000000-0005-0000-0000-0000E6350000}"/>
    <cellStyle name="40% - Accent2 5 5 2 3 2" xfId="36844" xr:uid="{486517C9-359A-4EEE-AF57-7473676D6B22}"/>
    <cellStyle name="40% - Accent2 5 5 2 4" xfId="20950" xr:uid="{00000000-0005-0000-0000-0000E7350000}"/>
    <cellStyle name="40% - Accent2 5 5 2 4 2" xfId="44782" xr:uid="{269B029D-5F25-4AF0-87DC-FED3B6566873}"/>
    <cellStyle name="40% - Accent2 5 5 2 5" xfId="28903" xr:uid="{F7688CFD-6353-4A7C-B923-95E08A7CF69A}"/>
    <cellStyle name="40% - Accent2 5 5 3" xfId="6803" xr:uid="{00000000-0005-0000-0000-0000E8350000}"/>
    <cellStyle name="40% - Accent2 5 5 3 2" xfId="14775" xr:uid="{00000000-0005-0000-0000-0000E9350000}"/>
    <cellStyle name="40% - Accent2 5 5 3 2 2" xfId="38617" xr:uid="{1BDB80A2-8975-4F28-8BC1-B33CE806DE4C}"/>
    <cellStyle name="40% - Accent2 5 5 3 3" xfId="22722" xr:uid="{00000000-0005-0000-0000-0000EA350000}"/>
    <cellStyle name="40% - Accent2 5 5 3 3 2" xfId="46554" xr:uid="{36A46823-9D18-4EB5-89C3-4CCE2ACC3FF7}"/>
    <cellStyle name="40% - Accent2 5 5 3 4" xfId="30676" xr:uid="{9BBD6247-4E08-4DC1-9686-2D5F77A04A51}"/>
    <cellStyle name="40% - Accent2 5 5 4" xfId="11239" xr:uid="{00000000-0005-0000-0000-0000EB350000}"/>
    <cellStyle name="40% - Accent2 5 5 4 2" xfId="35088" xr:uid="{6BC62F98-20C4-4F74-9C85-7A4047971852}"/>
    <cellStyle name="40% - Accent2 5 5 5" xfId="19194" xr:uid="{00000000-0005-0000-0000-0000EC350000}"/>
    <cellStyle name="40% - Accent2 5 5 5 2" xfId="43026" xr:uid="{8AF791AD-A665-4CF4-9321-BEC1CC6D9062}"/>
    <cellStyle name="40% - Accent2 5 5 6" xfId="27146" xr:uid="{B373BF8A-7D41-424B-AE0C-1E6C059B219A}"/>
    <cellStyle name="40% - Accent2 5 5_Exh G" xfId="2892" xr:uid="{00000000-0005-0000-0000-0000ED350000}"/>
    <cellStyle name="40% - Accent2 5 6" xfId="4092" xr:uid="{00000000-0005-0000-0000-0000EE350000}"/>
    <cellStyle name="40% - Accent2 5 6 2" xfId="7684" xr:uid="{00000000-0005-0000-0000-0000EF350000}"/>
    <cellStyle name="40% - Accent2 5 6 2 2" xfId="15655" xr:uid="{00000000-0005-0000-0000-0000F0350000}"/>
    <cellStyle name="40% - Accent2 5 6 2 2 2" xfId="39497" xr:uid="{3CE37FE7-4E4E-4519-BFD3-0D639D4EADD8}"/>
    <cellStyle name="40% - Accent2 5 6 2 3" xfId="23601" xr:uid="{00000000-0005-0000-0000-0000F1350000}"/>
    <cellStyle name="40% - Accent2 5 6 2 3 2" xfId="47433" xr:uid="{5D6A11B2-FEBD-496F-92AF-E2A2AC1FD036}"/>
    <cellStyle name="40% - Accent2 5 6 2 4" xfId="31556" xr:uid="{D42FA128-8DDD-4EC5-9A21-D7395DB337C3}"/>
    <cellStyle name="40% - Accent2 5 6 3" xfId="12117" xr:uid="{00000000-0005-0000-0000-0000F2350000}"/>
    <cellStyle name="40% - Accent2 5 6 3 2" xfId="35966" xr:uid="{4FB7BEFC-B297-454D-BEA0-F07B78DA2F31}"/>
    <cellStyle name="40% - Accent2 5 6 4" xfId="20072" xr:uid="{00000000-0005-0000-0000-0000F3350000}"/>
    <cellStyle name="40% - Accent2 5 6 4 2" xfId="43904" xr:uid="{0A0CDA66-6193-4422-9559-5294E957408B}"/>
    <cellStyle name="40% - Accent2 5 6 5" xfId="28025" xr:uid="{5F251950-0ADC-4C2E-89A3-5995A7E859F1}"/>
    <cellStyle name="40% - Accent2 5 7" xfId="5912" xr:uid="{00000000-0005-0000-0000-0000F4350000}"/>
    <cellStyle name="40% - Accent2 5 7 2" xfId="13896" xr:uid="{00000000-0005-0000-0000-0000F5350000}"/>
    <cellStyle name="40% - Accent2 5 7 2 2" xfId="37739" xr:uid="{528C675D-4F2D-4671-9BA2-2D42BAFEC445}"/>
    <cellStyle name="40% - Accent2 5 7 3" xfId="21844" xr:uid="{00000000-0005-0000-0000-0000F6350000}"/>
    <cellStyle name="40% - Accent2 5 7 3 2" xfId="45676" xr:uid="{C269208E-2BC9-4D29-A96E-356BB7662701}"/>
    <cellStyle name="40% - Accent2 5 7 4" xfId="29798" xr:uid="{D7251E87-FF89-46C9-9B2A-8BB0EE6F3637}"/>
    <cellStyle name="40% - Accent2 5 8" xfId="9465" xr:uid="{00000000-0005-0000-0000-0000F7350000}"/>
    <cellStyle name="40% - Accent2 5 8 2" xfId="17423" xr:uid="{00000000-0005-0000-0000-0000F8350000}"/>
    <cellStyle name="40% - Accent2 5 8 2 2" xfId="41263" xr:uid="{F61BB934-33F7-42BC-B537-67DEFCB7A4E7}"/>
    <cellStyle name="40% - Accent2 5 8 3" xfId="25367" xr:uid="{00000000-0005-0000-0000-0000F9350000}"/>
    <cellStyle name="40% - Accent2 5 8 3 2" xfId="49199" xr:uid="{13B59B0E-7518-4588-8A09-EC5AC8660409}"/>
    <cellStyle name="40% - Accent2 5 8 4" xfId="33322" xr:uid="{878D0418-F0A1-4D2D-BD33-5C07F3FCE6E4}"/>
    <cellStyle name="40% - Accent2 5 9" xfId="10361" xr:uid="{00000000-0005-0000-0000-0000FA350000}"/>
    <cellStyle name="40% - Accent2 5 9 2" xfId="34210" xr:uid="{9AEB0684-549C-4209-AC9C-017A7C5273B8}"/>
    <cellStyle name="40% - Accent2 5_Exh G" xfId="2885" xr:uid="{00000000-0005-0000-0000-0000FB350000}"/>
    <cellStyle name="40% - Accent2 6" xfId="417" xr:uid="{00000000-0005-0000-0000-0000FC350000}"/>
    <cellStyle name="40% - Accent2 6 10" xfId="18320" xr:uid="{00000000-0005-0000-0000-0000FD350000}"/>
    <cellStyle name="40% - Accent2 6 10 2" xfId="42152" xr:uid="{1C8B2E8D-BC58-4A6F-A41D-2FD43CEE9577}"/>
    <cellStyle name="40% - Accent2 6 11" xfId="26272" xr:uid="{F859D9F4-A5CE-4974-8FEE-D3CC7298EDB3}"/>
    <cellStyle name="40% - Accent2 6 2" xfId="418" xr:uid="{00000000-0005-0000-0000-0000FE350000}"/>
    <cellStyle name="40% - Accent2 6 2 2" xfId="419" xr:uid="{00000000-0005-0000-0000-0000FF350000}"/>
    <cellStyle name="40% - Accent2 6 2 2 2" xfId="1447" xr:uid="{00000000-0005-0000-0000-000000360000}"/>
    <cellStyle name="40% - Accent2 6 2 2 2 2" xfId="4977" xr:uid="{00000000-0005-0000-0000-000001360000}"/>
    <cellStyle name="40% - Accent2 6 2 2 2 2 2" xfId="8568" xr:uid="{00000000-0005-0000-0000-000002360000}"/>
    <cellStyle name="40% - Accent2 6 2 2 2 2 2 2" xfId="16539" xr:uid="{00000000-0005-0000-0000-000003360000}"/>
    <cellStyle name="40% - Accent2 6 2 2 2 2 2 2 2" xfId="40381" xr:uid="{E95826CC-B4D7-45CB-98C6-374E340535BA}"/>
    <cellStyle name="40% - Accent2 6 2 2 2 2 2 3" xfId="24485" xr:uid="{00000000-0005-0000-0000-000004360000}"/>
    <cellStyle name="40% - Accent2 6 2 2 2 2 2 3 2" xfId="48317" xr:uid="{C6DA9A95-80EF-40A2-B35F-61F6052095F2}"/>
    <cellStyle name="40% - Accent2 6 2 2 2 2 2 4" xfId="32440" xr:uid="{976A5AC1-5E2F-4031-AAA4-A19526CC3F3D}"/>
    <cellStyle name="40% - Accent2 6 2 2 2 2 3" xfId="13001" xr:uid="{00000000-0005-0000-0000-000005360000}"/>
    <cellStyle name="40% - Accent2 6 2 2 2 2 3 2" xfId="36850" xr:uid="{BF21DEB4-9C24-4445-9B53-A0A99117B517}"/>
    <cellStyle name="40% - Accent2 6 2 2 2 2 4" xfId="20956" xr:uid="{00000000-0005-0000-0000-000006360000}"/>
    <cellStyle name="40% - Accent2 6 2 2 2 2 4 2" xfId="44788" xr:uid="{B49F42D6-F763-4683-A092-01D41EC3C381}"/>
    <cellStyle name="40% - Accent2 6 2 2 2 2 5" xfId="28909" xr:uid="{CDF6A0FD-8FE3-4E48-A70D-B7178E52D569}"/>
    <cellStyle name="40% - Accent2 6 2 2 2 3" xfId="6809" xr:uid="{00000000-0005-0000-0000-000007360000}"/>
    <cellStyle name="40% - Accent2 6 2 2 2 3 2" xfId="14781" xr:uid="{00000000-0005-0000-0000-000008360000}"/>
    <cellStyle name="40% - Accent2 6 2 2 2 3 2 2" xfId="38623" xr:uid="{7F768D71-CB5B-470F-A7D9-4ED27E46E3B2}"/>
    <cellStyle name="40% - Accent2 6 2 2 2 3 3" xfId="22728" xr:uid="{00000000-0005-0000-0000-000009360000}"/>
    <cellStyle name="40% - Accent2 6 2 2 2 3 3 2" xfId="46560" xr:uid="{3D29567C-7574-44EE-B15A-757F4E1701E5}"/>
    <cellStyle name="40% - Accent2 6 2 2 2 3 4" xfId="30682" xr:uid="{4982C787-4995-46C4-8C05-3117CB49EDB9}"/>
    <cellStyle name="40% - Accent2 6 2 2 2 4" xfId="11245" xr:uid="{00000000-0005-0000-0000-00000A360000}"/>
    <cellStyle name="40% - Accent2 6 2 2 2 4 2" xfId="35094" xr:uid="{5386C729-AB79-4A4C-9AB8-094133C78951}"/>
    <cellStyle name="40% - Accent2 6 2 2 2 5" xfId="19200" xr:uid="{00000000-0005-0000-0000-00000B360000}"/>
    <cellStyle name="40% - Accent2 6 2 2 2 5 2" xfId="43032" xr:uid="{01147D27-27FB-4F73-9A41-BC723AF4BBBA}"/>
    <cellStyle name="40% - Accent2 6 2 2 2 6" xfId="27152" xr:uid="{BD4869CB-4D74-4ECF-AE57-EB47AB111701}"/>
    <cellStyle name="40% - Accent2 6 2 2 2_Exh G" xfId="2896" xr:uid="{00000000-0005-0000-0000-00000C360000}"/>
    <cellStyle name="40% - Accent2 6 2 2 3" xfId="4098" xr:uid="{00000000-0005-0000-0000-00000D360000}"/>
    <cellStyle name="40% - Accent2 6 2 2 3 2" xfId="7690" xr:uid="{00000000-0005-0000-0000-00000E360000}"/>
    <cellStyle name="40% - Accent2 6 2 2 3 2 2" xfId="15661" xr:uid="{00000000-0005-0000-0000-00000F360000}"/>
    <cellStyle name="40% - Accent2 6 2 2 3 2 2 2" xfId="39503" xr:uid="{21422A7F-CA59-4E53-9125-F2816CAD4E22}"/>
    <cellStyle name="40% - Accent2 6 2 2 3 2 3" xfId="23607" xr:uid="{00000000-0005-0000-0000-000010360000}"/>
    <cellStyle name="40% - Accent2 6 2 2 3 2 3 2" xfId="47439" xr:uid="{9F16DB45-11CA-469F-94D9-DA360DDC9EA4}"/>
    <cellStyle name="40% - Accent2 6 2 2 3 2 4" xfId="31562" xr:uid="{12B9A628-832D-4D37-A00E-119A256125B6}"/>
    <cellStyle name="40% - Accent2 6 2 2 3 3" xfId="12123" xr:uid="{00000000-0005-0000-0000-000011360000}"/>
    <cellStyle name="40% - Accent2 6 2 2 3 3 2" xfId="35972" xr:uid="{A6D40895-95AC-4136-BE48-46C768455ECF}"/>
    <cellStyle name="40% - Accent2 6 2 2 3 4" xfId="20078" xr:uid="{00000000-0005-0000-0000-000012360000}"/>
    <cellStyle name="40% - Accent2 6 2 2 3 4 2" xfId="43910" xr:uid="{139F0930-D05D-43B2-BF48-E21CCD3EC041}"/>
    <cellStyle name="40% - Accent2 6 2 2 3 5" xfId="28031" xr:uid="{D5D271F3-77E4-4DB8-9B41-A2A5E3EC2638}"/>
    <cellStyle name="40% - Accent2 6 2 2 4" xfId="5918" xr:uid="{00000000-0005-0000-0000-000013360000}"/>
    <cellStyle name="40% - Accent2 6 2 2 4 2" xfId="13902" xr:uid="{00000000-0005-0000-0000-000014360000}"/>
    <cellStyle name="40% - Accent2 6 2 2 4 2 2" xfId="37745" xr:uid="{A261FC01-1C81-4CC2-ABC8-2CA99323B36B}"/>
    <cellStyle name="40% - Accent2 6 2 2 4 3" xfId="21850" xr:uid="{00000000-0005-0000-0000-000015360000}"/>
    <cellStyle name="40% - Accent2 6 2 2 4 3 2" xfId="45682" xr:uid="{733CAE9D-4810-4242-A49C-033EAC438C08}"/>
    <cellStyle name="40% - Accent2 6 2 2 4 4" xfId="29804" xr:uid="{5DD964E5-00EF-4614-BB87-8F2E19EBE599}"/>
    <cellStyle name="40% - Accent2 6 2 2 5" xfId="9471" xr:uid="{00000000-0005-0000-0000-000016360000}"/>
    <cellStyle name="40% - Accent2 6 2 2 5 2" xfId="17429" xr:uid="{00000000-0005-0000-0000-000017360000}"/>
    <cellStyle name="40% - Accent2 6 2 2 5 2 2" xfId="41269" xr:uid="{C13FC989-9ADA-4663-BB9D-A6A880DC4419}"/>
    <cellStyle name="40% - Accent2 6 2 2 5 3" xfId="25373" xr:uid="{00000000-0005-0000-0000-000018360000}"/>
    <cellStyle name="40% - Accent2 6 2 2 5 3 2" xfId="49205" xr:uid="{D3AD7B6B-5DFE-4FE2-BFA3-9DA5B4DDA190}"/>
    <cellStyle name="40% - Accent2 6 2 2 5 4" xfId="33328" xr:uid="{2402AA21-36C4-4126-B5FB-0AD08AEA6C38}"/>
    <cellStyle name="40% - Accent2 6 2 2 6" xfId="10367" xr:uid="{00000000-0005-0000-0000-000019360000}"/>
    <cellStyle name="40% - Accent2 6 2 2 6 2" xfId="34216" xr:uid="{13CF32B7-484B-44BE-8098-46ACF9B77FBC}"/>
    <cellStyle name="40% - Accent2 6 2 2 7" xfId="18322" xr:uid="{00000000-0005-0000-0000-00001A360000}"/>
    <cellStyle name="40% - Accent2 6 2 2 7 2" xfId="42154" xr:uid="{1B6280DB-EDE2-4265-BBF2-73CD7014A6C1}"/>
    <cellStyle name="40% - Accent2 6 2 2 8" xfId="26274" xr:uid="{65A280BB-F71A-428E-AABC-9008A8440F93}"/>
    <cellStyle name="40% - Accent2 6 2 2_Exh G" xfId="2895" xr:uid="{00000000-0005-0000-0000-00001B360000}"/>
    <cellStyle name="40% - Accent2 6 2 3" xfId="1446" xr:uid="{00000000-0005-0000-0000-00001C360000}"/>
    <cellStyle name="40% - Accent2 6 2 3 2" xfId="4976" xr:uid="{00000000-0005-0000-0000-00001D360000}"/>
    <cellStyle name="40% - Accent2 6 2 3 2 2" xfId="8567" xr:uid="{00000000-0005-0000-0000-00001E360000}"/>
    <cellStyle name="40% - Accent2 6 2 3 2 2 2" xfId="16538" xr:uid="{00000000-0005-0000-0000-00001F360000}"/>
    <cellStyle name="40% - Accent2 6 2 3 2 2 2 2" xfId="40380" xr:uid="{B33BED86-A02D-4205-B72E-AC7C972BF3E4}"/>
    <cellStyle name="40% - Accent2 6 2 3 2 2 3" xfId="24484" xr:uid="{00000000-0005-0000-0000-000020360000}"/>
    <cellStyle name="40% - Accent2 6 2 3 2 2 3 2" xfId="48316" xr:uid="{CB4FEEE9-A2F3-4283-8682-FAEC8ECFBEE9}"/>
    <cellStyle name="40% - Accent2 6 2 3 2 2 4" xfId="32439" xr:uid="{ECCD114B-9821-4569-8387-D38B59B1B065}"/>
    <cellStyle name="40% - Accent2 6 2 3 2 3" xfId="13000" xr:uid="{00000000-0005-0000-0000-000021360000}"/>
    <cellStyle name="40% - Accent2 6 2 3 2 3 2" xfId="36849" xr:uid="{FB9BFD1E-C82E-4C6F-9DB1-398F534FD22B}"/>
    <cellStyle name="40% - Accent2 6 2 3 2 4" xfId="20955" xr:uid="{00000000-0005-0000-0000-000022360000}"/>
    <cellStyle name="40% - Accent2 6 2 3 2 4 2" xfId="44787" xr:uid="{0FF2A0C8-974F-44E4-9EA3-D9EB8A3FB28F}"/>
    <cellStyle name="40% - Accent2 6 2 3 2 5" xfId="28908" xr:uid="{BAC767C6-9C08-49C1-907E-EF1743098DC8}"/>
    <cellStyle name="40% - Accent2 6 2 3 3" xfId="6808" xr:uid="{00000000-0005-0000-0000-000023360000}"/>
    <cellStyle name="40% - Accent2 6 2 3 3 2" xfId="14780" xr:uid="{00000000-0005-0000-0000-000024360000}"/>
    <cellStyle name="40% - Accent2 6 2 3 3 2 2" xfId="38622" xr:uid="{064A2990-DF6A-45E1-B6A6-D287CADBD103}"/>
    <cellStyle name="40% - Accent2 6 2 3 3 3" xfId="22727" xr:uid="{00000000-0005-0000-0000-000025360000}"/>
    <cellStyle name="40% - Accent2 6 2 3 3 3 2" xfId="46559" xr:uid="{1ADFF4FC-E999-4329-A769-7A5546ECC796}"/>
    <cellStyle name="40% - Accent2 6 2 3 3 4" xfId="30681" xr:uid="{8CAB5152-4F16-4A2F-8FF6-465583465CD8}"/>
    <cellStyle name="40% - Accent2 6 2 3 4" xfId="11244" xr:uid="{00000000-0005-0000-0000-000026360000}"/>
    <cellStyle name="40% - Accent2 6 2 3 4 2" xfId="35093" xr:uid="{9C7541BD-5DD5-4111-87F4-501693756977}"/>
    <cellStyle name="40% - Accent2 6 2 3 5" xfId="19199" xr:uid="{00000000-0005-0000-0000-000027360000}"/>
    <cellStyle name="40% - Accent2 6 2 3 5 2" xfId="43031" xr:uid="{766A0FC8-4DB6-4C5E-8BB8-6589F4DB1122}"/>
    <cellStyle name="40% - Accent2 6 2 3 6" xfId="27151" xr:uid="{93379CE2-B705-45B2-9E8F-4A1D833C6DAE}"/>
    <cellStyle name="40% - Accent2 6 2 3_Exh G" xfId="2897" xr:uid="{00000000-0005-0000-0000-000028360000}"/>
    <cellStyle name="40% - Accent2 6 2 4" xfId="4097" xr:uid="{00000000-0005-0000-0000-000029360000}"/>
    <cellStyle name="40% - Accent2 6 2 4 2" xfId="7689" xr:uid="{00000000-0005-0000-0000-00002A360000}"/>
    <cellStyle name="40% - Accent2 6 2 4 2 2" xfId="15660" xr:uid="{00000000-0005-0000-0000-00002B360000}"/>
    <cellStyle name="40% - Accent2 6 2 4 2 2 2" xfId="39502" xr:uid="{00BD0D10-E574-4952-A91F-0C33D4C977A3}"/>
    <cellStyle name="40% - Accent2 6 2 4 2 3" xfId="23606" xr:uid="{00000000-0005-0000-0000-00002C360000}"/>
    <cellStyle name="40% - Accent2 6 2 4 2 3 2" xfId="47438" xr:uid="{D39103E4-6886-42C1-A88C-AC886327B26B}"/>
    <cellStyle name="40% - Accent2 6 2 4 2 4" xfId="31561" xr:uid="{D291E2E6-BF3A-442B-A143-C5A2423138D0}"/>
    <cellStyle name="40% - Accent2 6 2 4 3" xfId="12122" xr:uid="{00000000-0005-0000-0000-00002D360000}"/>
    <cellStyle name="40% - Accent2 6 2 4 3 2" xfId="35971" xr:uid="{B6172423-35BF-44CC-9551-285324503D29}"/>
    <cellStyle name="40% - Accent2 6 2 4 4" xfId="20077" xr:uid="{00000000-0005-0000-0000-00002E360000}"/>
    <cellStyle name="40% - Accent2 6 2 4 4 2" xfId="43909" xr:uid="{14C3123B-1E5A-4803-910C-21EE9E51C195}"/>
    <cellStyle name="40% - Accent2 6 2 4 5" xfId="28030" xr:uid="{999F0779-46C1-4C55-A140-9118845D22B3}"/>
    <cellStyle name="40% - Accent2 6 2 5" xfId="5917" xr:uid="{00000000-0005-0000-0000-00002F360000}"/>
    <cellStyle name="40% - Accent2 6 2 5 2" xfId="13901" xr:uid="{00000000-0005-0000-0000-000030360000}"/>
    <cellStyle name="40% - Accent2 6 2 5 2 2" xfId="37744" xr:uid="{A29CEC6F-E01C-491F-8F01-24761F600998}"/>
    <cellStyle name="40% - Accent2 6 2 5 3" xfId="21849" xr:uid="{00000000-0005-0000-0000-000031360000}"/>
    <cellStyle name="40% - Accent2 6 2 5 3 2" xfId="45681" xr:uid="{FC4E0C27-DFD0-45DD-B48B-413C65D4D5B8}"/>
    <cellStyle name="40% - Accent2 6 2 5 4" xfId="29803" xr:uid="{FF626714-93DC-4614-98FB-CBE823271499}"/>
    <cellStyle name="40% - Accent2 6 2 6" xfId="9470" xr:uid="{00000000-0005-0000-0000-000032360000}"/>
    <cellStyle name="40% - Accent2 6 2 6 2" xfId="17428" xr:uid="{00000000-0005-0000-0000-000033360000}"/>
    <cellStyle name="40% - Accent2 6 2 6 2 2" xfId="41268" xr:uid="{E57A4147-157E-4A57-9F71-FC6249FB3F30}"/>
    <cellStyle name="40% - Accent2 6 2 6 3" xfId="25372" xr:uid="{00000000-0005-0000-0000-000034360000}"/>
    <cellStyle name="40% - Accent2 6 2 6 3 2" xfId="49204" xr:uid="{65C06FEC-1A47-47D0-804C-82E379256230}"/>
    <cellStyle name="40% - Accent2 6 2 6 4" xfId="33327" xr:uid="{36E7E98E-42C5-42B2-9BBE-E567E237EEA3}"/>
    <cellStyle name="40% - Accent2 6 2 7" xfId="10366" xr:uid="{00000000-0005-0000-0000-000035360000}"/>
    <cellStyle name="40% - Accent2 6 2 7 2" xfId="34215" xr:uid="{E809122C-F136-474B-9F71-9771E0616A76}"/>
    <cellStyle name="40% - Accent2 6 2 8" xfId="18321" xr:uid="{00000000-0005-0000-0000-000036360000}"/>
    <cellStyle name="40% - Accent2 6 2 8 2" xfId="42153" xr:uid="{9E05DE1A-9207-4089-B35E-D6D3A7DA12D4}"/>
    <cellStyle name="40% - Accent2 6 2 9" xfId="26273" xr:uid="{67A32EA0-4E2D-497D-896B-E1594288980C}"/>
    <cellStyle name="40% - Accent2 6 2_Exh G" xfId="2894" xr:uid="{00000000-0005-0000-0000-000037360000}"/>
    <cellStyle name="40% - Accent2 6 3" xfId="420" xr:uid="{00000000-0005-0000-0000-000038360000}"/>
    <cellStyle name="40% - Accent2 6 3 2" xfId="1448" xr:uid="{00000000-0005-0000-0000-000039360000}"/>
    <cellStyle name="40% - Accent2 6 3 2 2" xfId="4978" xr:uid="{00000000-0005-0000-0000-00003A360000}"/>
    <cellStyle name="40% - Accent2 6 3 2 2 2" xfId="8569" xr:uid="{00000000-0005-0000-0000-00003B360000}"/>
    <cellStyle name="40% - Accent2 6 3 2 2 2 2" xfId="16540" xr:uid="{00000000-0005-0000-0000-00003C360000}"/>
    <cellStyle name="40% - Accent2 6 3 2 2 2 2 2" xfId="40382" xr:uid="{728BD024-74D4-4D5D-B1C1-B0CCEA3D7529}"/>
    <cellStyle name="40% - Accent2 6 3 2 2 2 3" xfId="24486" xr:uid="{00000000-0005-0000-0000-00003D360000}"/>
    <cellStyle name="40% - Accent2 6 3 2 2 2 3 2" xfId="48318" xr:uid="{ECD69224-A1DB-454A-B08C-733B9D0FCD62}"/>
    <cellStyle name="40% - Accent2 6 3 2 2 2 4" xfId="32441" xr:uid="{28A52944-F158-4270-A247-332943505019}"/>
    <cellStyle name="40% - Accent2 6 3 2 2 3" xfId="13002" xr:uid="{00000000-0005-0000-0000-00003E360000}"/>
    <cellStyle name="40% - Accent2 6 3 2 2 3 2" xfId="36851" xr:uid="{69ADCA3C-E192-4CB0-9C6B-A080F6E8A1CA}"/>
    <cellStyle name="40% - Accent2 6 3 2 2 4" xfId="20957" xr:uid="{00000000-0005-0000-0000-00003F360000}"/>
    <cellStyle name="40% - Accent2 6 3 2 2 4 2" xfId="44789" xr:uid="{04473271-9DE4-47E2-9C08-6BE2F42E8ADA}"/>
    <cellStyle name="40% - Accent2 6 3 2 2 5" xfId="28910" xr:uid="{A6FE6691-7003-4A23-858A-E6CEF803E0CF}"/>
    <cellStyle name="40% - Accent2 6 3 2 3" xfId="6810" xr:uid="{00000000-0005-0000-0000-000040360000}"/>
    <cellStyle name="40% - Accent2 6 3 2 3 2" xfId="14782" xr:uid="{00000000-0005-0000-0000-000041360000}"/>
    <cellStyle name="40% - Accent2 6 3 2 3 2 2" xfId="38624" xr:uid="{0CBDBBBA-DE4F-40F2-8E2D-5CA335851194}"/>
    <cellStyle name="40% - Accent2 6 3 2 3 3" xfId="22729" xr:uid="{00000000-0005-0000-0000-000042360000}"/>
    <cellStyle name="40% - Accent2 6 3 2 3 3 2" xfId="46561" xr:uid="{16B8E1F2-262C-44EE-AD4D-F748C68EB9B2}"/>
    <cellStyle name="40% - Accent2 6 3 2 3 4" xfId="30683" xr:uid="{B1B3943D-375A-47DB-BFDA-B90A688F1022}"/>
    <cellStyle name="40% - Accent2 6 3 2 4" xfId="11246" xr:uid="{00000000-0005-0000-0000-000043360000}"/>
    <cellStyle name="40% - Accent2 6 3 2 4 2" xfId="35095" xr:uid="{23FA1763-B9FB-4A4D-99F7-E921C18932F2}"/>
    <cellStyle name="40% - Accent2 6 3 2 5" xfId="19201" xr:uid="{00000000-0005-0000-0000-000044360000}"/>
    <cellStyle name="40% - Accent2 6 3 2 5 2" xfId="43033" xr:uid="{35915CD8-24C2-48DF-9DB2-A9FE2AA7B9D3}"/>
    <cellStyle name="40% - Accent2 6 3 2 6" xfId="27153" xr:uid="{CA60BF66-DF38-48F8-B2DC-63E21CA93C3F}"/>
    <cellStyle name="40% - Accent2 6 3 2_Exh G" xfId="2899" xr:uid="{00000000-0005-0000-0000-000045360000}"/>
    <cellStyle name="40% - Accent2 6 3 3" xfId="4099" xr:uid="{00000000-0005-0000-0000-000046360000}"/>
    <cellStyle name="40% - Accent2 6 3 3 2" xfId="7691" xr:uid="{00000000-0005-0000-0000-000047360000}"/>
    <cellStyle name="40% - Accent2 6 3 3 2 2" xfId="15662" xr:uid="{00000000-0005-0000-0000-000048360000}"/>
    <cellStyle name="40% - Accent2 6 3 3 2 2 2" xfId="39504" xr:uid="{E2E0D82F-37CD-4732-92F5-F132A765CD0F}"/>
    <cellStyle name="40% - Accent2 6 3 3 2 3" xfId="23608" xr:uid="{00000000-0005-0000-0000-000049360000}"/>
    <cellStyle name="40% - Accent2 6 3 3 2 3 2" xfId="47440" xr:uid="{DBAFFFEB-6FF0-41E9-A60D-CD407005EEA2}"/>
    <cellStyle name="40% - Accent2 6 3 3 2 4" xfId="31563" xr:uid="{47B38BA6-1FED-4FEA-A724-3137DE20F9FC}"/>
    <cellStyle name="40% - Accent2 6 3 3 3" xfId="12124" xr:uid="{00000000-0005-0000-0000-00004A360000}"/>
    <cellStyle name="40% - Accent2 6 3 3 3 2" xfId="35973" xr:uid="{A839B9FA-8DD6-4704-A79E-317D6B7C8EA0}"/>
    <cellStyle name="40% - Accent2 6 3 3 4" xfId="20079" xr:uid="{00000000-0005-0000-0000-00004B360000}"/>
    <cellStyle name="40% - Accent2 6 3 3 4 2" xfId="43911" xr:uid="{E5C10669-EF4A-4C5B-B98A-F1A9BFF93FAF}"/>
    <cellStyle name="40% - Accent2 6 3 3 5" xfId="28032" xr:uid="{6FEC2550-B45D-4E10-9E67-A22F34572F82}"/>
    <cellStyle name="40% - Accent2 6 3 4" xfId="5919" xr:uid="{00000000-0005-0000-0000-00004C360000}"/>
    <cellStyle name="40% - Accent2 6 3 4 2" xfId="13903" xr:uid="{00000000-0005-0000-0000-00004D360000}"/>
    <cellStyle name="40% - Accent2 6 3 4 2 2" xfId="37746" xr:uid="{FC30A006-0567-4502-8D80-9F11BC6905F3}"/>
    <cellStyle name="40% - Accent2 6 3 4 3" xfId="21851" xr:uid="{00000000-0005-0000-0000-00004E360000}"/>
    <cellStyle name="40% - Accent2 6 3 4 3 2" xfId="45683" xr:uid="{85B9782F-8CDB-4306-9FA6-3A7D9E2CB233}"/>
    <cellStyle name="40% - Accent2 6 3 4 4" xfId="29805" xr:uid="{0243FF40-A6B4-4884-8D5B-375BF457D3AD}"/>
    <cellStyle name="40% - Accent2 6 3 5" xfId="9472" xr:uid="{00000000-0005-0000-0000-00004F360000}"/>
    <cellStyle name="40% - Accent2 6 3 5 2" xfId="17430" xr:uid="{00000000-0005-0000-0000-000050360000}"/>
    <cellStyle name="40% - Accent2 6 3 5 2 2" xfId="41270" xr:uid="{75A2FE73-671B-437F-A6A4-8410BB8F20ED}"/>
    <cellStyle name="40% - Accent2 6 3 5 3" xfId="25374" xr:uid="{00000000-0005-0000-0000-000051360000}"/>
    <cellStyle name="40% - Accent2 6 3 5 3 2" xfId="49206" xr:uid="{13EE6CD9-050B-4061-9DAE-F36129270456}"/>
    <cellStyle name="40% - Accent2 6 3 5 4" xfId="33329" xr:uid="{D8921CAC-44A3-49B0-B902-8AE3757077C9}"/>
    <cellStyle name="40% - Accent2 6 3 6" xfId="10368" xr:uid="{00000000-0005-0000-0000-000052360000}"/>
    <cellStyle name="40% - Accent2 6 3 6 2" xfId="34217" xr:uid="{1FF8CB94-B70B-413C-BD9E-9ADD0A8BAD88}"/>
    <cellStyle name="40% - Accent2 6 3 7" xfId="18323" xr:uid="{00000000-0005-0000-0000-000053360000}"/>
    <cellStyle name="40% - Accent2 6 3 7 2" xfId="42155" xr:uid="{85F7CE3E-AC6A-4E4C-9E3D-B085663D39E9}"/>
    <cellStyle name="40% - Accent2 6 3 8" xfId="26275" xr:uid="{89D17E27-43B3-4F4E-BE24-6E3182E48EB2}"/>
    <cellStyle name="40% - Accent2 6 3_Exh G" xfId="2898" xr:uid="{00000000-0005-0000-0000-000054360000}"/>
    <cellStyle name="40% - Accent2 6 4" xfId="954" xr:uid="{00000000-0005-0000-0000-000055360000}"/>
    <cellStyle name="40% - Accent2 6 4 2" xfId="1875" xr:uid="{00000000-0005-0000-0000-000056360000}"/>
    <cellStyle name="40% - Accent2 6 4 2 2" xfId="5393" xr:uid="{00000000-0005-0000-0000-000057360000}"/>
    <cellStyle name="40% - Accent2 6 4 2 2 2" xfId="8984" xr:uid="{00000000-0005-0000-0000-000058360000}"/>
    <cellStyle name="40% - Accent2 6 4 2 2 2 2" xfId="16955" xr:uid="{00000000-0005-0000-0000-000059360000}"/>
    <cellStyle name="40% - Accent2 6 4 2 2 2 2 2" xfId="40797" xr:uid="{E947C116-5CCC-4DB4-86F5-C241F886AED8}"/>
    <cellStyle name="40% - Accent2 6 4 2 2 2 3" xfId="24901" xr:uid="{00000000-0005-0000-0000-00005A360000}"/>
    <cellStyle name="40% - Accent2 6 4 2 2 2 3 2" xfId="48733" xr:uid="{67984B06-3729-47CB-8B0A-37594B73CE42}"/>
    <cellStyle name="40% - Accent2 6 4 2 2 2 4" xfId="32856" xr:uid="{C04966DF-E15F-4C38-9109-EFA70639FF2C}"/>
    <cellStyle name="40% - Accent2 6 4 2 2 3" xfId="13417" xr:uid="{00000000-0005-0000-0000-00005B360000}"/>
    <cellStyle name="40% - Accent2 6 4 2 2 3 2" xfId="37266" xr:uid="{515A34B7-B864-4370-B27B-A6818F4931DF}"/>
    <cellStyle name="40% - Accent2 6 4 2 2 4" xfId="21372" xr:uid="{00000000-0005-0000-0000-00005C360000}"/>
    <cellStyle name="40% - Accent2 6 4 2 2 4 2" xfId="45204" xr:uid="{C3D035BD-599B-4B86-A126-C795D608D337}"/>
    <cellStyle name="40% - Accent2 6 4 2 2 5" xfId="29325" xr:uid="{3BA26163-5713-4E11-981F-DFCA6D341A35}"/>
    <cellStyle name="40% - Accent2 6 4 2 3" xfId="7225" xr:uid="{00000000-0005-0000-0000-00005D360000}"/>
    <cellStyle name="40% - Accent2 6 4 2 3 2" xfId="15197" xr:uid="{00000000-0005-0000-0000-00005E360000}"/>
    <cellStyle name="40% - Accent2 6 4 2 3 2 2" xfId="39039" xr:uid="{D6D29148-9C6E-4E76-A742-1DE0E6AD6090}"/>
    <cellStyle name="40% - Accent2 6 4 2 3 3" xfId="23144" xr:uid="{00000000-0005-0000-0000-00005F360000}"/>
    <cellStyle name="40% - Accent2 6 4 2 3 3 2" xfId="46976" xr:uid="{CC996DE2-D6D6-4B66-8CA8-CA74B553CE8F}"/>
    <cellStyle name="40% - Accent2 6 4 2 3 4" xfId="31098" xr:uid="{979585C4-81B7-4D18-AE7E-15E945CE4F07}"/>
    <cellStyle name="40% - Accent2 6 4 2 4" xfId="11661" xr:uid="{00000000-0005-0000-0000-000060360000}"/>
    <cellStyle name="40% - Accent2 6 4 2 4 2" xfId="35510" xr:uid="{D0EB261F-6EA3-4AA2-AA07-34DB1CD69F5D}"/>
    <cellStyle name="40% - Accent2 6 4 2 5" xfId="19616" xr:uid="{00000000-0005-0000-0000-000061360000}"/>
    <cellStyle name="40% - Accent2 6 4 2 5 2" xfId="43448" xr:uid="{A689512F-9B1F-4A0D-99D0-F479C538EFF6}"/>
    <cellStyle name="40% - Accent2 6 4 2 6" xfId="27568" xr:uid="{B96D3667-75DB-4167-B56C-05A4B0CF601A}"/>
    <cellStyle name="40% - Accent2 6 4 2_Exh G" xfId="2901" xr:uid="{00000000-0005-0000-0000-000062360000}"/>
    <cellStyle name="40% - Accent2 6 4 3" xfId="4514" xr:uid="{00000000-0005-0000-0000-000063360000}"/>
    <cellStyle name="40% - Accent2 6 4 3 2" xfId="8106" xr:uid="{00000000-0005-0000-0000-000064360000}"/>
    <cellStyle name="40% - Accent2 6 4 3 2 2" xfId="16077" xr:uid="{00000000-0005-0000-0000-000065360000}"/>
    <cellStyle name="40% - Accent2 6 4 3 2 2 2" xfId="39919" xr:uid="{2035E387-A485-4A4B-AEFB-6F95D76BD72A}"/>
    <cellStyle name="40% - Accent2 6 4 3 2 3" xfId="24023" xr:uid="{00000000-0005-0000-0000-000066360000}"/>
    <cellStyle name="40% - Accent2 6 4 3 2 3 2" xfId="47855" xr:uid="{85AEA3C8-80F4-4BFE-9F7A-C04D57690F3D}"/>
    <cellStyle name="40% - Accent2 6 4 3 2 4" xfId="31978" xr:uid="{8635099E-292D-4405-9149-4C52F69FCE95}"/>
    <cellStyle name="40% - Accent2 6 4 3 3" xfId="12539" xr:uid="{00000000-0005-0000-0000-000067360000}"/>
    <cellStyle name="40% - Accent2 6 4 3 3 2" xfId="36388" xr:uid="{0DCB56E3-3C44-486B-B49C-D64B0D2E0AF7}"/>
    <cellStyle name="40% - Accent2 6 4 3 4" xfId="20494" xr:uid="{00000000-0005-0000-0000-000068360000}"/>
    <cellStyle name="40% - Accent2 6 4 3 4 2" xfId="44326" xr:uid="{0F6CC355-5B3A-40ED-B33D-16FA3B425920}"/>
    <cellStyle name="40% - Accent2 6 4 3 5" xfId="28447" xr:uid="{9E9CE308-F197-46C3-8E03-CDF43EF9656C}"/>
    <cellStyle name="40% - Accent2 6 4 4" xfId="6344" xr:uid="{00000000-0005-0000-0000-000069360000}"/>
    <cellStyle name="40% - Accent2 6 4 4 2" xfId="14319" xr:uid="{00000000-0005-0000-0000-00006A360000}"/>
    <cellStyle name="40% - Accent2 6 4 4 2 2" xfId="38161" xr:uid="{3D3F5EA4-60DA-4542-BE01-662E175B789F}"/>
    <cellStyle name="40% - Accent2 6 4 4 3" xfId="22266" xr:uid="{00000000-0005-0000-0000-00006B360000}"/>
    <cellStyle name="40% - Accent2 6 4 4 3 2" xfId="46098" xr:uid="{3CDA65A2-EDBE-43A0-BDD5-2A6C5155C7CB}"/>
    <cellStyle name="40% - Accent2 6 4 4 4" xfId="30220" xr:uid="{B205C560-D565-43BB-94FA-00232962340B}"/>
    <cellStyle name="40% - Accent2 6 4 5" xfId="9887" xr:uid="{00000000-0005-0000-0000-00006C360000}"/>
    <cellStyle name="40% - Accent2 6 4 5 2" xfId="17845" xr:uid="{00000000-0005-0000-0000-00006D360000}"/>
    <cellStyle name="40% - Accent2 6 4 5 2 2" xfId="41685" xr:uid="{736AE602-25E4-4AE6-8ECD-825FDDD1D0C5}"/>
    <cellStyle name="40% - Accent2 6 4 5 3" xfId="25789" xr:uid="{00000000-0005-0000-0000-00006E360000}"/>
    <cellStyle name="40% - Accent2 6 4 5 3 2" xfId="49621" xr:uid="{FEA48D69-3C1B-420F-8980-8E5648C5FB45}"/>
    <cellStyle name="40% - Accent2 6 4 5 4" xfId="33744" xr:uid="{34E43B64-DB79-462A-BA3B-621BF459C242}"/>
    <cellStyle name="40% - Accent2 6 4 6" xfId="10783" xr:uid="{00000000-0005-0000-0000-00006F360000}"/>
    <cellStyle name="40% - Accent2 6 4 6 2" xfId="34632" xr:uid="{3034184A-FFFD-4F71-9085-872C190771BB}"/>
    <cellStyle name="40% - Accent2 6 4 7" xfId="18738" xr:uid="{00000000-0005-0000-0000-000070360000}"/>
    <cellStyle name="40% - Accent2 6 4 7 2" xfId="42570" xr:uid="{849E8CB9-3A66-4549-A19D-F16651DC8AA2}"/>
    <cellStyle name="40% - Accent2 6 4 8" xfId="26690" xr:uid="{57AC1B36-26D6-4DA7-9C77-FF055702BFF9}"/>
    <cellStyle name="40% - Accent2 6 4_Exh G" xfId="2900" xr:uid="{00000000-0005-0000-0000-000071360000}"/>
    <cellStyle name="40% - Accent2 6 5" xfId="1445" xr:uid="{00000000-0005-0000-0000-000072360000}"/>
    <cellStyle name="40% - Accent2 6 5 2" xfId="4975" xr:uid="{00000000-0005-0000-0000-000073360000}"/>
    <cellStyle name="40% - Accent2 6 5 2 2" xfId="8566" xr:uid="{00000000-0005-0000-0000-000074360000}"/>
    <cellStyle name="40% - Accent2 6 5 2 2 2" xfId="16537" xr:uid="{00000000-0005-0000-0000-000075360000}"/>
    <cellStyle name="40% - Accent2 6 5 2 2 2 2" xfId="40379" xr:uid="{D62CF5FF-61F5-46B6-AA83-D8A85CE0F799}"/>
    <cellStyle name="40% - Accent2 6 5 2 2 3" xfId="24483" xr:uid="{00000000-0005-0000-0000-000076360000}"/>
    <cellStyle name="40% - Accent2 6 5 2 2 3 2" xfId="48315" xr:uid="{DBAC7668-449C-4942-ABB9-5AABFB938CEA}"/>
    <cellStyle name="40% - Accent2 6 5 2 2 4" xfId="32438" xr:uid="{A6F7E7E8-80BA-4844-A5B3-1BD7CE06C1FD}"/>
    <cellStyle name="40% - Accent2 6 5 2 3" xfId="12999" xr:uid="{00000000-0005-0000-0000-000077360000}"/>
    <cellStyle name="40% - Accent2 6 5 2 3 2" xfId="36848" xr:uid="{2544595D-3B37-4DAF-96D9-FA1D2622AA07}"/>
    <cellStyle name="40% - Accent2 6 5 2 4" xfId="20954" xr:uid="{00000000-0005-0000-0000-000078360000}"/>
    <cellStyle name="40% - Accent2 6 5 2 4 2" xfId="44786" xr:uid="{7A72CE60-D10F-4A5F-9819-247C2D456C73}"/>
    <cellStyle name="40% - Accent2 6 5 2 5" xfId="28907" xr:uid="{5FF7F5C3-15C5-417B-B45B-6D7726F72A8D}"/>
    <cellStyle name="40% - Accent2 6 5 3" xfId="6807" xr:uid="{00000000-0005-0000-0000-000079360000}"/>
    <cellStyle name="40% - Accent2 6 5 3 2" xfId="14779" xr:uid="{00000000-0005-0000-0000-00007A360000}"/>
    <cellStyle name="40% - Accent2 6 5 3 2 2" xfId="38621" xr:uid="{2EE72209-8549-4BF6-A22D-14C6A0B44C41}"/>
    <cellStyle name="40% - Accent2 6 5 3 3" xfId="22726" xr:uid="{00000000-0005-0000-0000-00007B360000}"/>
    <cellStyle name="40% - Accent2 6 5 3 3 2" xfId="46558" xr:uid="{E168E41E-9C6B-463B-9C89-ECF55ABF6783}"/>
    <cellStyle name="40% - Accent2 6 5 3 4" xfId="30680" xr:uid="{54B3BA51-5AE3-4684-8808-A68B9B8F0284}"/>
    <cellStyle name="40% - Accent2 6 5 4" xfId="11243" xr:uid="{00000000-0005-0000-0000-00007C360000}"/>
    <cellStyle name="40% - Accent2 6 5 4 2" xfId="35092" xr:uid="{7C6B5B16-4213-42BF-AFE6-09DCFC296649}"/>
    <cellStyle name="40% - Accent2 6 5 5" xfId="19198" xr:uid="{00000000-0005-0000-0000-00007D360000}"/>
    <cellStyle name="40% - Accent2 6 5 5 2" xfId="43030" xr:uid="{B7F44030-86CA-4327-A6DF-144F6ED90C5E}"/>
    <cellStyle name="40% - Accent2 6 5 6" xfId="27150" xr:uid="{5E8D5422-F491-401A-876F-2844BDE576D9}"/>
    <cellStyle name="40% - Accent2 6 5_Exh G" xfId="2902" xr:uid="{00000000-0005-0000-0000-00007E360000}"/>
    <cellStyle name="40% - Accent2 6 6" xfId="4096" xr:uid="{00000000-0005-0000-0000-00007F360000}"/>
    <cellStyle name="40% - Accent2 6 6 2" xfId="7688" xr:uid="{00000000-0005-0000-0000-000080360000}"/>
    <cellStyle name="40% - Accent2 6 6 2 2" xfId="15659" xr:uid="{00000000-0005-0000-0000-000081360000}"/>
    <cellStyle name="40% - Accent2 6 6 2 2 2" xfId="39501" xr:uid="{558E1EC6-2B7C-42E3-954D-4581B1B9087B}"/>
    <cellStyle name="40% - Accent2 6 6 2 3" xfId="23605" xr:uid="{00000000-0005-0000-0000-000082360000}"/>
    <cellStyle name="40% - Accent2 6 6 2 3 2" xfId="47437" xr:uid="{CBE4F388-9279-4491-B1FE-5D58B5689937}"/>
    <cellStyle name="40% - Accent2 6 6 2 4" xfId="31560" xr:uid="{25B952BD-6588-4BF7-9E63-1A06B73BB6D9}"/>
    <cellStyle name="40% - Accent2 6 6 3" xfId="12121" xr:uid="{00000000-0005-0000-0000-000083360000}"/>
    <cellStyle name="40% - Accent2 6 6 3 2" xfId="35970" xr:uid="{C94D62A3-F4B7-47AA-97F4-05B6FC3D8692}"/>
    <cellStyle name="40% - Accent2 6 6 4" xfId="20076" xr:uid="{00000000-0005-0000-0000-000084360000}"/>
    <cellStyle name="40% - Accent2 6 6 4 2" xfId="43908" xr:uid="{77CDA010-827C-44BA-8F6C-AE1BA065434F}"/>
    <cellStyle name="40% - Accent2 6 6 5" xfId="28029" xr:uid="{CF6079AD-0858-4372-A322-2F12AC542365}"/>
    <cellStyle name="40% - Accent2 6 7" xfId="5916" xr:uid="{00000000-0005-0000-0000-000085360000}"/>
    <cellStyle name="40% - Accent2 6 7 2" xfId="13900" xr:uid="{00000000-0005-0000-0000-000086360000}"/>
    <cellStyle name="40% - Accent2 6 7 2 2" xfId="37743" xr:uid="{08CF703C-91D1-453A-B955-3E1274A8AB17}"/>
    <cellStyle name="40% - Accent2 6 7 3" xfId="21848" xr:uid="{00000000-0005-0000-0000-000087360000}"/>
    <cellStyle name="40% - Accent2 6 7 3 2" xfId="45680" xr:uid="{10382DAC-DB86-4767-8679-ACC8E0C5B572}"/>
    <cellStyle name="40% - Accent2 6 7 4" xfId="29802" xr:uid="{A756305E-BCA2-4CD7-A710-621E168F0A1B}"/>
    <cellStyle name="40% - Accent2 6 8" xfId="9469" xr:uid="{00000000-0005-0000-0000-000088360000}"/>
    <cellStyle name="40% - Accent2 6 8 2" xfId="17427" xr:uid="{00000000-0005-0000-0000-000089360000}"/>
    <cellStyle name="40% - Accent2 6 8 2 2" xfId="41267" xr:uid="{3C492D67-3B31-48E9-982B-B6295B1D1206}"/>
    <cellStyle name="40% - Accent2 6 8 3" xfId="25371" xr:uid="{00000000-0005-0000-0000-00008A360000}"/>
    <cellStyle name="40% - Accent2 6 8 3 2" xfId="49203" xr:uid="{4B627A38-CC68-4605-8163-2FBE936433D6}"/>
    <cellStyle name="40% - Accent2 6 8 4" xfId="33326" xr:uid="{45A3F2D6-18E4-4DCB-B779-A6A9F4940BA4}"/>
    <cellStyle name="40% - Accent2 6 9" xfId="10365" xr:uid="{00000000-0005-0000-0000-00008B360000}"/>
    <cellStyle name="40% - Accent2 6 9 2" xfId="34214" xr:uid="{CDB32A53-74A8-4051-A176-B304E5BB712B}"/>
    <cellStyle name="40% - Accent2 6_Exh G" xfId="2893" xr:uid="{00000000-0005-0000-0000-00008C360000}"/>
    <cellStyle name="40% - Accent2 7" xfId="421" xr:uid="{00000000-0005-0000-0000-00008D360000}"/>
    <cellStyle name="40% - Accent2 7 10" xfId="18324" xr:uid="{00000000-0005-0000-0000-00008E360000}"/>
    <cellStyle name="40% - Accent2 7 10 2" xfId="42156" xr:uid="{49F349FA-4D19-4980-9DC9-B0E55821F18C}"/>
    <cellStyle name="40% - Accent2 7 11" xfId="26276" xr:uid="{AA8184AB-46EC-4732-9C4F-7A3C717436C8}"/>
    <cellStyle name="40% - Accent2 7 2" xfId="422" xr:uid="{00000000-0005-0000-0000-00008F360000}"/>
    <cellStyle name="40% - Accent2 7 2 2" xfId="423" xr:uid="{00000000-0005-0000-0000-000090360000}"/>
    <cellStyle name="40% - Accent2 7 2 2 2" xfId="1451" xr:uid="{00000000-0005-0000-0000-000091360000}"/>
    <cellStyle name="40% - Accent2 7 2 2 2 2" xfId="4981" xr:uid="{00000000-0005-0000-0000-000092360000}"/>
    <cellStyle name="40% - Accent2 7 2 2 2 2 2" xfId="8572" xr:uid="{00000000-0005-0000-0000-000093360000}"/>
    <cellStyle name="40% - Accent2 7 2 2 2 2 2 2" xfId="16543" xr:uid="{00000000-0005-0000-0000-000094360000}"/>
    <cellStyle name="40% - Accent2 7 2 2 2 2 2 2 2" xfId="40385" xr:uid="{0C22E43C-7150-4DB7-84C2-85ADCDD531E3}"/>
    <cellStyle name="40% - Accent2 7 2 2 2 2 2 3" xfId="24489" xr:uid="{00000000-0005-0000-0000-000095360000}"/>
    <cellStyle name="40% - Accent2 7 2 2 2 2 2 3 2" xfId="48321" xr:uid="{6BDB3C7D-5AF2-42A1-BDA7-D7BE58053154}"/>
    <cellStyle name="40% - Accent2 7 2 2 2 2 2 4" xfId="32444" xr:uid="{84368FA0-342A-4CC8-819F-ED78A64EC0F3}"/>
    <cellStyle name="40% - Accent2 7 2 2 2 2 3" xfId="13005" xr:uid="{00000000-0005-0000-0000-000096360000}"/>
    <cellStyle name="40% - Accent2 7 2 2 2 2 3 2" xfId="36854" xr:uid="{C4E85F34-4EF0-4E10-A4CD-8693ACE0272A}"/>
    <cellStyle name="40% - Accent2 7 2 2 2 2 4" xfId="20960" xr:uid="{00000000-0005-0000-0000-000097360000}"/>
    <cellStyle name="40% - Accent2 7 2 2 2 2 4 2" xfId="44792" xr:uid="{06AEDD5B-4BC9-4E31-9555-560FB69CD7AD}"/>
    <cellStyle name="40% - Accent2 7 2 2 2 2 5" xfId="28913" xr:uid="{648E3A5A-DFD9-4BC7-B069-0B83FDDDE759}"/>
    <cellStyle name="40% - Accent2 7 2 2 2 3" xfId="6813" xr:uid="{00000000-0005-0000-0000-000098360000}"/>
    <cellStyle name="40% - Accent2 7 2 2 2 3 2" xfId="14785" xr:uid="{00000000-0005-0000-0000-000099360000}"/>
    <cellStyle name="40% - Accent2 7 2 2 2 3 2 2" xfId="38627" xr:uid="{C43BC31C-29B4-41E4-A67D-907D11F3C9E1}"/>
    <cellStyle name="40% - Accent2 7 2 2 2 3 3" xfId="22732" xr:uid="{00000000-0005-0000-0000-00009A360000}"/>
    <cellStyle name="40% - Accent2 7 2 2 2 3 3 2" xfId="46564" xr:uid="{6C80ABC1-4F35-4219-A9B1-29EB3D1A8B7E}"/>
    <cellStyle name="40% - Accent2 7 2 2 2 3 4" xfId="30686" xr:uid="{E8E4878D-8E2C-4BE7-9EF1-77BA3CC9FC29}"/>
    <cellStyle name="40% - Accent2 7 2 2 2 4" xfId="11249" xr:uid="{00000000-0005-0000-0000-00009B360000}"/>
    <cellStyle name="40% - Accent2 7 2 2 2 4 2" xfId="35098" xr:uid="{632E57E4-6AD8-40BC-BA3C-E57588F03646}"/>
    <cellStyle name="40% - Accent2 7 2 2 2 5" xfId="19204" xr:uid="{00000000-0005-0000-0000-00009C360000}"/>
    <cellStyle name="40% - Accent2 7 2 2 2 5 2" xfId="43036" xr:uid="{201D181C-08BF-41B7-88C8-8DEE0380B289}"/>
    <cellStyle name="40% - Accent2 7 2 2 2 6" xfId="27156" xr:uid="{4651D422-A9A5-4523-B585-389D45A472F3}"/>
    <cellStyle name="40% - Accent2 7 2 2 2_Exh G" xfId="2906" xr:uid="{00000000-0005-0000-0000-00009D360000}"/>
    <cellStyle name="40% - Accent2 7 2 2 3" xfId="4102" xr:uid="{00000000-0005-0000-0000-00009E360000}"/>
    <cellStyle name="40% - Accent2 7 2 2 3 2" xfId="7694" xr:uid="{00000000-0005-0000-0000-00009F360000}"/>
    <cellStyle name="40% - Accent2 7 2 2 3 2 2" xfId="15665" xr:uid="{00000000-0005-0000-0000-0000A0360000}"/>
    <cellStyle name="40% - Accent2 7 2 2 3 2 2 2" xfId="39507" xr:uid="{D5E2D470-0DEA-4EC6-B989-4233FA410B13}"/>
    <cellStyle name="40% - Accent2 7 2 2 3 2 3" xfId="23611" xr:uid="{00000000-0005-0000-0000-0000A1360000}"/>
    <cellStyle name="40% - Accent2 7 2 2 3 2 3 2" xfId="47443" xr:uid="{9D65E10F-5FE1-4134-B2F1-1E6F691C2B47}"/>
    <cellStyle name="40% - Accent2 7 2 2 3 2 4" xfId="31566" xr:uid="{CEC217EF-FFA6-4DBF-891E-991CCC5BEB0B}"/>
    <cellStyle name="40% - Accent2 7 2 2 3 3" xfId="12127" xr:uid="{00000000-0005-0000-0000-0000A2360000}"/>
    <cellStyle name="40% - Accent2 7 2 2 3 3 2" xfId="35976" xr:uid="{E3C86173-A192-4F7A-990D-1A1BB6F2F6F0}"/>
    <cellStyle name="40% - Accent2 7 2 2 3 4" xfId="20082" xr:uid="{00000000-0005-0000-0000-0000A3360000}"/>
    <cellStyle name="40% - Accent2 7 2 2 3 4 2" xfId="43914" xr:uid="{47594CA2-6949-4665-A9EB-3439FF499D40}"/>
    <cellStyle name="40% - Accent2 7 2 2 3 5" xfId="28035" xr:uid="{0515708B-AF52-4960-9319-C399FCC72AE2}"/>
    <cellStyle name="40% - Accent2 7 2 2 4" xfId="5922" xr:uid="{00000000-0005-0000-0000-0000A4360000}"/>
    <cellStyle name="40% - Accent2 7 2 2 4 2" xfId="13906" xr:uid="{00000000-0005-0000-0000-0000A5360000}"/>
    <cellStyle name="40% - Accent2 7 2 2 4 2 2" xfId="37749" xr:uid="{493CD4AB-3D82-4DC8-BE43-5C2F551019FB}"/>
    <cellStyle name="40% - Accent2 7 2 2 4 3" xfId="21854" xr:uid="{00000000-0005-0000-0000-0000A6360000}"/>
    <cellStyle name="40% - Accent2 7 2 2 4 3 2" xfId="45686" xr:uid="{96C90A09-67F9-4D19-8F85-D1E7B2AC04E6}"/>
    <cellStyle name="40% - Accent2 7 2 2 4 4" xfId="29808" xr:uid="{C13597E1-9E45-4B12-B542-CF562238C19D}"/>
    <cellStyle name="40% - Accent2 7 2 2 5" xfId="9475" xr:uid="{00000000-0005-0000-0000-0000A7360000}"/>
    <cellStyle name="40% - Accent2 7 2 2 5 2" xfId="17433" xr:uid="{00000000-0005-0000-0000-0000A8360000}"/>
    <cellStyle name="40% - Accent2 7 2 2 5 2 2" xfId="41273" xr:uid="{7541638C-C3A9-470A-8E7A-21FCE318E45E}"/>
    <cellStyle name="40% - Accent2 7 2 2 5 3" xfId="25377" xr:uid="{00000000-0005-0000-0000-0000A9360000}"/>
    <cellStyle name="40% - Accent2 7 2 2 5 3 2" xfId="49209" xr:uid="{9AC1F3EC-A373-4F50-93E1-0FFD2CF1EB41}"/>
    <cellStyle name="40% - Accent2 7 2 2 5 4" xfId="33332" xr:uid="{642AB921-9388-42EC-943A-33E4439EA606}"/>
    <cellStyle name="40% - Accent2 7 2 2 6" xfId="10371" xr:uid="{00000000-0005-0000-0000-0000AA360000}"/>
    <cellStyle name="40% - Accent2 7 2 2 6 2" xfId="34220" xr:uid="{D13EA1F8-2184-4156-B085-6F4C9C244D19}"/>
    <cellStyle name="40% - Accent2 7 2 2 7" xfId="18326" xr:uid="{00000000-0005-0000-0000-0000AB360000}"/>
    <cellStyle name="40% - Accent2 7 2 2 7 2" xfId="42158" xr:uid="{41AE658E-0606-4F43-8F69-9E68D8186EE6}"/>
    <cellStyle name="40% - Accent2 7 2 2 8" xfId="26278" xr:uid="{237F8F13-19BC-4A22-8212-74B5D3E794E0}"/>
    <cellStyle name="40% - Accent2 7 2 2_Exh G" xfId="2905" xr:uid="{00000000-0005-0000-0000-0000AC360000}"/>
    <cellStyle name="40% - Accent2 7 2 3" xfId="1450" xr:uid="{00000000-0005-0000-0000-0000AD360000}"/>
    <cellStyle name="40% - Accent2 7 2 3 2" xfId="4980" xr:uid="{00000000-0005-0000-0000-0000AE360000}"/>
    <cellStyle name="40% - Accent2 7 2 3 2 2" xfId="8571" xr:uid="{00000000-0005-0000-0000-0000AF360000}"/>
    <cellStyle name="40% - Accent2 7 2 3 2 2 2" xfId="16542" xr:uid="{00000000-0005-0000-0000-0000B0360000}"/>
    <cellStyle name="40% - Accent2 7 2 3 2 2 2 2" xfId="40384" xr:uid="{AC310EAA-33F4-4F35-813E-D87F142B2BED}"/>
    <cellStyle name="40% - Accent2 7 2 3 2 2 3" xfId="24488" xr:uid="{00000000-0005-0000-0000-0000B1360000}"/>
    <cellStyle name="40% - Accent2 7 2 3 2 2 3 2" xfId="48320" xr:uid="{8171B26E-E322-4377-85D7-7A82B015A6C0}"/>
    <cellStyle name="40% - Accent2 7 2 3 2 2 4" xfId="32443" xr:uid="{83D7061A-FF1B-45E8-A4B1-CE6AB73CAD19}"/>
    <cellStyle name="40% - Accent2 7 2 3 2 3" xfId="13004" xr:uid="{00000000-0005-0000-0000-0000B2360000}"/>
    <cellStyle name="40% - Accent2 7 2 3 2 3 2" xfId="36853" xr:uid="{FB95A21E-CABB-466D-90AD-7DAD6220E632}"/>
    <cellStyle name="40% - Accent2 7 2 3 2 4" xfId="20959" xr:uid="{00000000-0005-0000-0000-0000B3360000}"/>
    <cellStyle name="40% - Accent2 7 2 3 2 4 2" xfId="44791" xr:uid="{01C231C2-E9FA-42E8-ABF6-3E9D27C83529}"/>
    <cellStyle name="40% - Accent2 7 2 3 2 5" xfId="28912" xr:uid="{49FCCAE3-DC06-4976-87E8-9A66A9F9DC87}"/>
    <cellStyle name="40% - Accent2 7 2 3 3" xfId="6812" xr:uid="{00000000-0005-0000-0000-0000B4360000}"/>
    <cellStyle name="40% - Accent2 7 2 3 3 2" xfId="14784" xr:uid="{00000000-0005-0000-0000-0000B5360000}"/>
    <cellStyle name="40% - Accent2 7 2 3 3 2 2" xfId="38626" xr:uid="{CE4D672F-DACA-4BBC-97AE-EDE3B45806C9}"/>
    <cellStyle name="40% - Accent2 7 2 3 3 3" xfId="22731" xr:uid="{00000000-0005-0000-0000-0000B6360000}"/>
    <cellStyle name="40% - Accent2 7 2 3 3 3 2" xfId="46563" xr:uid="{75C3B3B7-27F8-49D5-9B19-DA7E6FC03F7E}"/>
    <cellStyle name="40% - Accent2 7 2 3 3 4" xfId="30685" xr:uid="{B6836403-CAD8-4CEE-9B5A-529471FA7862}"/>
    <cellStyle name="40% - Accent2 7 2 3 4" xfId="11248" xr:uid="{00000000-0005-0000-0000-0000B7360000}"/>
    <cellStyle name="40% - Accent2 7 2 3 4 2" xfId="35097" xr:uid="{90965EEA-FF99-4D49-8726-AF0674C12095}"/>
    <cellStyle name="40% - Accent2 7 2 3 5" xfId="19203" xr:uid="{00000000-0005-0000-0000-0000B8360000}"/>
    <cellStyle name="40% - Accent2 7 2 3 5 2" xfId="43035" xr:uid="{1AD125CB-B506-403A-BFD4-7BCB908F6225}"/>
    <cellStyle name="40% - Accent2 7 2 3 6" xfId="27155" xr:uid="{A21EE124-F5BB-4619-B42A-7AEDAB6A7967}"/>
    <cellStyle name="40% - Accent2 7 2 3_Exh G" xfId="2907" xr:uid="{00000000-0005-0000-0000-0000B9360000}"/>
    <cellStyle name="40% - Accent2 7 2 4" xfId="4101" xr:uid="{00000000-0005-0000-0000-0000BA360000}"/>
    <cellStyle name="40% - Accent2 7 2 4 2" xfId="7693" xr:uid="{00000000-0005-0000-0000-0000BB360000}"/>
    <cellStyle name="40% - Accent2 7 2 4 2 2" xfId="15664" xr:uid="{00000000-0005-0000-0000-0000BC360000}"/>
    <cellStyle name="40% - Accent2 7 2 4 2 2 2" xfId="39506" xr:uid="{0D1BD1C7-1C6F-4423-8501-2AF376A8D983}"/>
    <cellStyle name="40% - Accent2 7 2 4 2 3" xfId="23610" xr:uid="{00000000-0005-0000-0000-0000BD360000}"/>
    <cellStyle name="40% - Accent2 7 2 4 2 3 2" xfId="47442" xr:uid="{E250F73E-0C74-4103-8944-A89900813E65}"/>
    <cellStyle name="40% - Accent2 7 2 4 2 4" xfId="31565" xr:uid="{5FF7E5B0-1C80-484E-85C8-143F3E61B891}"/>
    <cellStyle name="40% - Accent2 7 2 4 3" xfId="12126" xr:uid="{00000000-0005-0000-0000-0000BE360000}"/>
    <cellStyle name="40% - Accent2 7 2 4 3 2" xfId="35975" xr:uid="{A2817982-5035-42DC-8737-FA0290F728BF}"/>
    <cellStyle name="40% - Accent2 7 2 4 4" xfId="20081" xr:uid="{00000000-0005-0000-0000-0000BF360000}"/>
    <cellStyle name="40% - Accent2 7 2 4 4 2" xfId="43913" xr:uid="{F4F96E32-72DE-4A96-B58C-BAECC1172AFE}"/>
    <cellStyle name="40% - Accent2 7 2 4 5" xfId="28034" xr:uid="{A1DC503E-D570-4A23-9165-2D7674BC81A8}"/>
    <cellStyle name="40% - Accent2 7 2 5" xfId="5921" xr:uid="{00000000-0005-0000-0000-0000C0360000}"/>
    <cellStyle name="40% - Accent2 7 2 5 2" xfId="13905" xr:uid="{00000000-0005-0000-0000-0000C1360000}"/>
    <cellStyle name="40% - Accent2 7 2 5 2 2" xfId="37748" xr:uid="{5DBE9EAF-B491-4994-9748-9D8DB5998298}"/>
    <cellStyle name="40% - Accent2 7 2 5 3" xfId="21853" xr:uid="{00000000-0005-0000-0000-0000C2360000}"/>
    <cellStyle name="40% - Accent2 7 2 5 3 2" xfId="45685" xr:uid="{B242B8BF-9C0F-457C-B3BA-BA5A391AEB29}"/>
    <cellStyle name="40% - Accent2 7 2 5 4" xfId="29807" xr:uid="{3B316129-2119-464D-836D-165160B42B98}"/>
    <cellStyle name="40% - Accent2 7 2 6" xfId="9474" xr:uid="{00000000-0005-0000-0000-0000C3360000}"/>
    <cellStyle name="40% - Accent2 7 2 6 2" xfId="17432" xr:uid="{00000000-0005-0000-0000-0000C4360000}"/>
    <cellStyle name="40% - Accent2 7 2 6 2 2" xfId="41272" xr:uid="{29AF511E-5FE3-48F9-8CAE-FE6A9D872480}"/>
    <cellStyle name="40% - Accent2 7 2 6 3" xfId="25376" xr:uid="{00000000-0005-0000-0000-0000C5360000}"/>
    <cellStyle name="40% - Accent2 7 2 6 3 2" xfId="49208" xr:uid="{9426A29F-E543-4B36-992A-BFD515240636}"/>
    <cellStyle name="40% - Accent2 7 2 6 4" xfId="33331" xr:uid="{3EE7318E-8C11-4100-828C-85B2BBEC3E64}"/>
    <cellStyle name="40% - Accent2 7 2 7" xfId="10370" xr:uid="{00000000-0005-0000-0000-0000C6360000}"/>
    <cellStyle name="40% - Accent2 7 2 7 2" xfId="34219" xr:uid="{FDC12FF1-0C89-479C-ACBF-14CBD4A52438}"/>
    <cellStyle name="40% - Accent2 7 2 8" xfId="18325" xr:uid="{00000000-0005-0000-0000-0000C7360000}"/>
    <cellStyle name="40% - Accent2 7 2 8 2" xfId="42157" xr:uid="{06BA69F6-AF4C-42A7-9ADA-2A74F9D11FF5}"/>
    <cellStyle name="40% - Accent2 7 2 9" xfId="26277" xr:uid="{0CD0BBA6-E275-48ED-A7DF-24AD2A50D53E}"/>
    <cellStyle name="40% - Accent2 7 2_Exh G" xfId="2904" xr:uid="{00000000-0005-0000-0000-0000C8360000}"/>
    <cellStyle name="40% - Accent2 7 3" xfId="424" xr:uid="{00000000-0005-0000-0000-0000C9360000}"/>
    <cellStyle name="40% - Accent2 7 3 2" xfId="1452" xr:uid="{00000000-0005-0000-0000-0000CA360000}"/>
    <cellStyle name="40% - Accent2 7 3 2 2" xfId="4982" xr:uid="{00000000-0005-0000-0000-0000CB360000}"/>
    <cellStyle name="40% - Accent2 7 3 2 2 2" xfId="8573" xr:uid="{00000000-0005-0000-0000-0000CC360000}"/>
    <cellStyle name="40% - Accent2 7 3 2 2 2 2" xfId="16544" xr:uid="{00000000-0005-0000-0000-0000CD360000}"/>
    <cellStyle name="40% - Accent2 7 3 2 2 2 2 2" xfId="40386" xr:uid="{F97AA14F-CC06-4341-B91B-4C9AEB03FC0D}"/>
    <cellStyle name="40% - Accent2 7 3 2 2 2 3" xfId="24490" xr:uid="{00000000-0005-0000-0000-0000CE360000}"/>
    <cellStyle name="40% - Accent2 7 3 2 2 2 3 2" xfId="48322" xr:uid="{4A3043EF-F69B-48F1-B74F-A2CE9C0BD849}"/>
    <cellStyle name="40% - Accent2 7 3 2 2 2 4" xfId="32445" xr:uid="{BBC32C24-F0B0-440C-B3E2-02B7629E1CA6}"/>
    <cellStyle name="40% - Accent2 7 3 2 2 3" xfId="13006" xr:uid="{00000000-0005-0000-0000-0000CF360000}"/>
    <cellStyle name="40% - Accent2 7 3 2 2 3 2" xfId="36855" xr:uid="{43667967-2EF3-4CDB-A23F-61BD362441BF}"/>
    <cellStyle name="40% - Accent2 7 3 2 2 4" xfId="20961" xr:uid="{00000000-0005-0000-0000-0000D0360000}"/>
    <cellStyle name="40% - Accent2 7 3 2 2 4 2" xfId="44793" xr:uid="{8B4C207A-E704-4323-B304-ED836926CB0A}"/>
    <cellStyle name="40% - Accent2 7 3 2 2 5" xfId="28914" xr:uid="{472C88C6-E884-4E3A-B920-BDC87DEEDA87}"/>
    <cellStyle name="40% - Accent2 7 3 2 3" xfId="6814" xr:uid="{00000000-0005-0000-0000-0000D1360000}"/>
    <cellStyle name="40% - Accent2 7 3 2 3 2" xfId="14786" xr:uid="{00000000-0005-0000-0000-0000D2360000}"/>
    <cellStyle name="40% - Accent2 7 3 2 3 2 2" xfId="38628" xr:uid="{B5EA48A4-0545-45F2-BB84-66CEDB795F0D}"/>
    <cellStyle name="40% - Accent2 7 3 2 3 3" xfId="22733" xr:uid="{00000000-0005-0000-0000-0000D3360000}"/>
    <cellStyle name="40% - Accent2 7 3 2 3 3 2" xfId="46565" xr:uid="{2CF7FB22-0CE4-494D-94C8-3915FEA74B65}"/>
    <cellStyle name="40% - Accent2 7 3 2 3 4" xfId="30687" xr:uid="{5D993C4B-1016-49FB-BB36-0E4DDE82B83D}"/>
    <cellStyle name="40% - Accent2 7 3 2 4" xfId="11250" xr:uid="{00000000-0005-0000-0000-0000D4360000}"/>
    <cellStyle name="40% - Accent2 7 3 2 4 2" xfId="35099" xr:uid="{C599B48A-44FD-4BF5-92CF-AF8F21F2E92C}"/>
    <cellStyle name="40% - Accent2 7 3 2 5" xfId="19205" xr:uid="{00000000-0005-0000-0000-0000D5360000}"/>
    <cellStyle name="40% - Accent2 7 3 2 5 2" xfId="43037" xr:uid="{81CF83E6-758C-4003-B09F-8F2042BBBB00}"/>
    <cellStyle name="40% - Accent2 7 3 2 6" xfId="27157" xr:uid="{3F00A1B1-A547-41D3-AA88-898751EFE32E}"/>
    <cellStyle name="40% - Accent2 7 3 2_Exh G" xfId="2909" xr:uid="{00000000-0005-0000-0000-0000D6360000}"/>
    <cellStyle name="40% - Accent2 7 3 3" xfId="4103" xr:uid="{00000000-0005-0000-0000-0000D7360000}"/>
    <cellStyle name="40% - Accent2 7 3 3 2" xfId="7695" xr:uid="{00000000-0005-0000-0000-0000D8360000}"/>
    <cellStyle name="40% - Accent2 7 3 3 2 2" xfId="15666" xr:uid="{00000000-0005-0000-0000-0000D9360000}"/>
    <cellStyle name="40% - Accent2 7 3 3 2 2 2" xfId="39508" xr:uid="{A2593999-2A32-4CFF-96BD-5A7CA17934DC}"/>
    <cellStyle name="40% - Accent2 7 3 3 2 3" xfId="23612" xr:uid="{00000000-0005-0000-0000-0000DA360000}"/>
    <cellStyle name="40% - Accent2 7 3 3 2 3 2" xfId="47444" xr:uid="{74B00345-67A1-403F-81D8-CC4A95D22530}"/>
    <cellStyle name="40% - Accent2 7 3 3 2 4" xfId="31567" xr:uid="{9A5EEDB8-F7E2-4B67-9186-46EC6D45DA90}"/>
    <cellStyle name="40% - Accent2 7 3 3 3" xfId="12128" xr:uid="{00000000-0005-0000-0000-0000DB360000}"/>
    <cellStyle name="40% - Accent2 7 3 3 3 2" xfId="35977" xr:uid="{8E08186B-40F0-40E5-A168-3B4FF85BF18A}"/>
    <cellStyle name="40% - Accent2 7 3 3 4" xfId="20083" xr:uid="{00000000-0005-0000-0000-0000DC360000}"/>
    <cellStyle name="40% - Accent2 7 3 3 4 2" xfId="43915" xr:uid="{7F7B972F-E4D0-4B98-B0AA-A7E06A4C9AD9}"/>
    <cellStyle name="40% - Accent2 7 3 3 5" xfId="28036" xr:uid="{F9F0E527-E484-4383-BFC4-B84CF6CC844B}"/>
    <cellStyle name="40% - Accent2 7 3 4" xfId="5923" xr:uid="{00000000-0005-0000-0000-0000DD360000}"/>
    <cellStyle name="40% - Accent2 7 3 4 2" xfId="13907" xr:uid="{00000000-0005-0000-0000-0000DE360000}"/>
    <cellStyle name="40% - Accent2 7 3 4 2 2" xfId="37750" xr:uid="{A72ED007-B8D7-4A44-BAD6-BE2352C00928}"/>
    <cellStyle name="40% - Accent2 7 3 4 3" xfId="21855" xr:uid="{00000000-0005-0000-0000-0000DF360000}"/>
    <cellStyle name="40% - Accent2 7 3 4 3 2" xfId="45687" xr:uid="{BBAC55FC-2101-42F1-8FCF-7B45CC14112B}"/>
    <cellStyle name="40% - Accent2 7 3 4 4" xfId="29809" xr:uid="{968B9666-D86F-4D11-AA2D-CB3E6BB6DDD4}"/>
    <cellStyle name="40% - Accent2 7 3 5" xfId="9476" xr:uid="{00000000-0005-0000-0000-0000E0360000}"/>
    <cellStyle name="40% - Accent2 7 3 5 2" xfId="17434" xr:uid="{00000000-0005-0000-0000-0000E1360000}"/>
    <cellStyle name="40% - Accent2 7 3 5 2 2" xfId="41274" xr:uid="{B0BC0397-1FAE-4174-BC62-A677BBA42518}"/>
    <cellStyle name="40% - Accent2 7 3 5 3" xfId="25378" xr:uid="{00000000-0005-0000-0000-0000E2360000}"/>
    <cellStyle name="40% - Accent2 7 3 5 3 2" xfId="49210" xr:uid="{3E47B02B-506E-40EA-91BA-46D1236EA812}"/>
    <cellStyle name="40% - Accent2 7 3 5 4" xfId="33333" xr:uid="{6B0F85D2-AC0A-4040-8BB5-911D767B6C5E}"/>
    <cellStyle name="40% - Accent2 7 3 6" xfId="10372" xr:uid="{00000000-0005-0000-0000-0000E3360000}"/>
    <cellStyle name="40% - Accent2 7 3 6 2" xfId="34221" xr:uid="{3ABCF1F5-E52C-478E-AE25-E1B4A3AD23BB}"/>
    <cellStyle name="40% - Accent2 7 3 7" xfId="18327" xr:uid="{00000000-0005-0000-0000-0000E4360000}"/>
    <cellStyle name="40% - Accent2 7 3 7 2" xfId="42159" xr:uid="{8E8ACCA7-3AE1-441D-A596-C9EC3C4DCF92}"/>
    <cellStyle name="40% - Accent2 7 3 8" xfId="26279" xr:uid="{C2746FC2-F8C7-493F-9A94-C7FEBB37C5A4}"/>
    <cellStyle name="40% - Accent2 7 3_Exh G" xfId="2908" xr:uid="{00000000-0005-0000-0000-0000E5360000}"/>
    <cellStyle name="40% - Accent2 7 4" xfId="955" xr:uid="{00000000-0005-0000-0000-0000E6360000}"/>
    <cellStyle name="40% - Accent2 7 4 2" xfId="1876" xr:uid="{00000000-0005-0000-0000-0000E7360000}"/>
    <cellStyle name="40% - Accent2 7 4 2 2" xfId="5394" xr:uid="{00000000-0005-0000-0000-0000E8360000}"/>
    <cellStyle name="40% - Accent2 7 4 2 2 2" xfId="8985" xr:uid="{00000000-0005-0000-0000-0000E9360000}"/>
    <cellStyle name="40% - Accent2 7 4 2 2 2 2" xfId="16956" xr:uid="{00000000-0005-0000-0000-0000EA360000}"/>
    <cellStyle name="40% - Accent2 7 4 2 2 2 2 2" xfId="40798" xr:uid="{BA0DC2C9-6A80-488E-904D-2345E53C80A0}"/>
    <cellStyle name="40% - Accent2 7 4 2 2 2 3" xfId="24902" xr:uid="{00000000-0005-0000-0000-0000EB360000}"/>
    <cellStyle name="40% - Accent2 7 4 2 2 2 3 2" xfId="48734" xr:uid="{99E14347-C8E3-4543-84D3-8E9BF1AEA74D}"/>
    <cellStyle name="40% - Accent2 7 4 2 2 2 4" xfId="32857" xr:uid="{BC32681A-A18E-4EE8-B4A9-C254988ED70E}"/>
    <cellStyle name="40% - Accent2 7 4 2 2 3" xfId="13418" xr:uid="{00000000-0005-0000-0000-0000EC360000}"/>
    <cellStyle name="40% - Accent2 7 4 2 2 3 2" xfId="37267" xr:uid="{10E0F474-244E-4C92-BD12-C7C4AFFCA27E}"/>
    <cellStyle name="40% - Accent2 7 4 2 2 4" xfId="21373" xr:uid="{00000000-0005-0000-0000-0000ED360000}"/>
    <cellStyle name="40% - Accent2 7 4 2 2 4 2" xfId="45205" xr:uid="{5356ED9A-1F9E-4587-8C22-BAFCA8D8F7A2}"/>
    <cellStyle name="40% - Accent2 7 4 2 2 5" xfId="29326" xr:uid="{201184C0-84BA-4618-A0CD-63278E7467D1}"/>
    <cellStyle name="40% - Accent2 7 4 2 3" xfId="7226" xr:uid="{00000000-0005-0000-0000-0000EE360000}"/>
    <cellStyle name="40% - Accent2 7 4 2 3 2" xfId="15198" xr:uid="{00000000-0005-0000-0000-0000EF360000}"/>
    <cellStyle name="40% - Accent2 7 4 2 3 2 2" xfId="39040" xr:uid="{AD29C9EC-EE4A-404C-90FF-C971E6F4EC8F}"/>
    <cellStyle name="40% - Accent2 7 4 2 3 3" xfId="23145" xr:uid="{00000000-0005-0000-0000-0000F0360000}"/>
    <cellStyle name="40% - Accent2 7 4 2 3 3 2" xfId="46977" xr:uid="{46268CD2-1572-464C-9A7A-B68887E439E5}"/>
    <cellStyle name="40% - Accent2 7 4 2 3 4" xfId="31099" xr:uid="{624B82B3-5FB2-4DEC-A07F-EF4426D40C4A}"/>
    <cellStyle name="40% - Accent2 7 4 2 4" xfId="11662" xr:uid="{00000000-0005-0000-0000-0000F1360000}"/>
    <cellStyle name="40% - Accent2 7 4 2 4 2" xfId="35511" xr:uid="{FC976C31-4B4D-4B33-86FA-87C79DE9D384}"/>
    <cellStyle name="40% - Accent2 7 4 2 5" xfId="19617" xr:uid="{00000000-0005-0000-0000-0000F2360000}"/>
    <cellStyle name="40% - Accent2 7 4 2 5 2" xfId="43449" xr:uid="{A7800988-C5E6-4637-9BA9-FB38FC24F30D}"/>
    <cellStyle name="40% - Accent2 7 4 2 6" xfId="27569" xr:uid="{9FE4E6EA-DEDA-43CE-A096-FB958735A083}"/>
    <cellStyle name="40% - Accent2 7 4 2_Exh G" xfId="2911" xr:uid="{00000000-0005-0000-0000-0000F3360000}"/>
    <cellStyle name="40% - Accent2 7 4 3" xfId="4515" xr:uid="{00000000-0005-0000-0000-0000F4360000}"/>
    <cellStyle name="40% - Accent2 7 4 3 2" xfId="8107" xr:uid="{00000000-0005-0000-0000-0000F5360000}"/>
    <cellStyle name="40% - Accent2 7 4 3 2 2" xfId="16078" xr:uid="{00000000-0005-0000-0000-0000F6360000}"/>
    <cellStyle name="40% - Accent2 7 4 3 2 2 2" xfId="39920" xr:uid="{FC8AE248-9EA9-4258-87AA-88083C7A7C0E}"/>
    <cellStyle name="40% - Accent2 7 4 3 2 3" xfId="24024" xr:uid="{00000000-0005-0000-0000-0000F7360000}"/>
    <cellStyle name="40% - Accent2 7 4 3 2 3 2" xfId="47856" xr:uid="{75B71305-2019-4DC6-B968-4C0172174FB0}"/>
    <cellStyle name="40% - Accent2 7 4 3 2 4" xfId="31979" xr:uid="{EB7E1869-D011-4D8B-A102-B948D1AF5E8A}"/>
    <cellStyle name="40% - Accent2 7 4 3 3" xfId="12540" xr:uid="{00000000-0005-0000-0000-0000F8360000}"/>
    <cellStyle name="40% - Accent2 7 4 3 3 2" xfId="36389" xr:uid="{27B8B578-B4AA-4760-9693-9BF3AAEF6D79}"/>
    <cellStyle name="40% - Accent2 7 4 3 4" xfId="20495" xr:uid="{00000000-0005-0000-0000-0000F9360000}"/>
    <cellStyle name="40% - Accent2 7 4 3 4 2" xfId="44327" xr:uid="{21C53ECF-406B-4D55-BF5B-950F2F5E9D51}"/>
    <cellStyle name="40% - Accent2 7 4 3 5" xfId="28448" xr:uid="{F898D311-3844-4F5C-9C4B-8953BBF61FDF}"/>
    <cellStyle name="40% - Accent2 7 4 4" xfId="6345" xr:uid="{00000000-0005-0000-0000-0000FA360000}"/>
    <cellStyle name="40% - Accent2 7 4 4 2" xfId="14320" xr:uid="{00000000-0005-0000-0000-0000FB360000}"/>
    <cellStyle name="40% - Accent2 7 4 4 2 2" xfId="38162" xr:uid="{BE70F177-F55A-44E6-8ABE-A173A24529BB}"/>
    <cellStyle name="40% - Accent2 7 4 4 3" xfId="22267" xr:uid="{00000000-0005-0000-0000-0000FC360000}"/>
    <cellStyle name="40% - Accent2 7 4 4 3 2" xfId="46099" xr:uid="{8BC97117-6BD5-46EE-87C0-AF4C0E46D07B}"/>
    <cellStyle name="40% - Accent2 7 4 4 4" xfId="30221" xr:uid="{276370F7-F08F-438B-A36D-F74D5C3C9B11}"/>
    <cellStyle name="40% - Accent2 7 4 5" xfId="9888" xr:uid="{00000000-0005-0000-0000-0000FD360000}"/>
    <cellStyle name="40% - Accent2 7 4 5 2" xfId="17846" xr:uid="{00000000-0005-0000-0000-0000FE360000}"/>
    <cellStyle name="40% - Accent2 7 4 5 2 2" xfId="41686" xr:uid="{26872498-F853-430B-B6E7-0305AF89660F}"/>
    <cellStyle name="40% - Accent2 7 4 5 3" xfId="25790" xr:uid="{00000000-0005-0000-0000-0000FF360000}"/>
    <cellStyle name="40% - Accent2 7 4 5 3 2" xfId="49622" xr:uid="{E3C17AC5-ED52-4CCD-9E8A-4C6FE33D00BF}"/>
    <cellStyle name="40% - Accent2 7 4 5 4" xfId="33745" xr:uid="{F063A29D-3A2E-4312-B646-1DA362F29213}"/>
    <cellStyle name="40% - Accent2 7 4 6" xfId="10784" xr:uid="{00000000-0005-0000-0000-000000370000}"/>
    <cellStyle name="40% - Accent2 7 4 6 2" xfId="34633" xr:uid="{004991C6-248C-4E8B-92A1-18552B19F835}"/>
    <cellStyle name="40% - Accent2 7 4 7" xfId="18739" xr:uid="{00000000-0005-0000-0000-000001370000}"/>
    <cellStyle name="40% - Accent2 7 4 7 2" xfId="42571" xr:uid="{56336CA0-804F-4C4F-8D6F-3932CFC928B5}"/>
    <cellStyle name="40% - Accent2 7 4 8" xfId="26691" xr:uid="{D499A65C-B34D-4A32-9B34-372302BE61E8}"/>
    <cellStyle name="40% - Accent2 7 4_Exh G" xfId="2910" xr:uid="{00000000-0005-0000-0000-000002370000}"/>
    <cellStyle name="40% - Accent2 7 5" xfId="1449" xr:uid="{00000000-0005-0000-0000-000003370000}"/>
    <cellStyle name="40% - Accent2 7 5 2" xfId="4979" xr:uid="{00000000-0005-0000-0000-000004370000}"/>
    <cellStyle name="40% - Accent2 7 5 2 2" xfId="8570" xr:uid="{00000000-0005-0000-0000-000005370000}"/>
    <cellStyle name="40% - Accent2 7 5 2 2 2" xfId="16541" xr:uid="{00000000-0005-0000-0000-000006370000}"/>
    <cellStyle name="40% - Accent2 7 5 2 2 2 2" xfId="40383" xr:uid="{074A23DA-BCBA-4A68-801B-C398B093D2DB}"/>
    <cellStyle name="40% - Accent2 7 5 2 2 3" xfId="24487" xr:uid="{00000000-0005-0000-0000-000007370000}"/>
    <cellStyle name="40% - Accent2 7 5 2 2 3 2" xfId="48319" xr:uid="{F4EA54E4-C25F-4D09-9EE4-AD1EB4041BC8}"/>
    <cellStyle name="40% - Accent2 7 5 2 2 4" xfId="32442" xr:uid="{9848D111-ACE0-4B2E-8B58-260BF189F408}"/>
    <cellStyle name="40% - Accent2 7 5 2 3" xfId="13003" xr:uid="{00000000-0005-0000-0000-000008370000}"/>
    <cellStyle name="40% - Accent2 7 5 2 3 2" xfId="36852" xr:uid="{58E1C946-F0E4-4E16-A152-A156AD40495D}"/>
    <cellStyle name="40% - Accent2 7 5 2 4" xfId="20958" xr:uid="{00000000-0005-0000-0000-000009370000}"/>
    <cellStyle name="40% - Accent2 7 5 2 4 2" xfId="44790" xr:uid="{DF78E525-0E2E-488A-BDC7-0031803A2B48}"/>
    <cellStyle name="40% - Accent2 7 5 2 5" xfId="28911" xr:uid="{FD01D8E9-3AD2-4CE7-AF48-09170F5E3444}"/>
    <cellStyle name="40% - Accent2 7 5 3" xfId="6811" xr:uid="{00000000-0005-0000-0000-00000A370000}"/>
    <cellStyle name="40% - Accent2 7 5 3 2" xfId="14783" xr:uid="{00000000-0005-0000-0000-00000B370000}"/>
    <cellStyle name="40% - Accent2 7 5 3 2 2" xfId="38625" xr:uid="{F4B00D8C-FBEB-450B-B88E-2DFFDB7FA3AF}"/>
    <cellStyle name="40% - Accent2 7 5 3 3" xfId="22730" xr:uid="{00000000-0005-0000-0000-00000C370000}"/>
    <cellStyle name="40% - Accent2 7 5 3 3 2" xfId="46562" xr:uid="{470FDA0C-B30D-48F0-9FF0-7E498CD74A8B}"/>
    <cellStyle name="40% - Accent2 7 5 3 4" xfId="30684" xr:uid="{0828E386-E984-4855-8050-3CA03DBE210C}"/>
    <cellStyle name="40% - Accent2 7 5 4" xfId="11247" xr:uid="{00000000-0005-0000-0000-00000D370000}"/>
    <cellStyle name="40% - Accent2 7 5 4 2" xfId="35096" xr:uid="{B5CD9C22-6CEC-4431-8B06-66E54DA7497F}"/>
    <cellStyle name="40% - Accent2 7 5 5" xfId="19202" xr:uid="{00000000-0005-0000-0000-00000E370000}"/>
    <cellStyle name="40% - Accent2 7 5 5 2" xfId="43034" xr:uid="{7381E626-36B5-403F-AC38-56FABCA2ED44}"/>
    <cellStyle name="40% - Accent2 7 5 6" xfId="27154" xr:uid="{F25D8C9B-3697-4A08-B289-361191184CC3}"/>
    <cellStyle name="40% - Accent2 7 5_Exh G" xfId="2912" xr:uid="{00000000-0005-0000-0000-00000F370000}"/>
    <cellStyle name="40% - Accent2 7 6" xfId="4100" xr:uid="{00000000-0005-0000-0000-000010370000}"/>
    <cellStyle name="40% - Accent2 7 6 2" xfId="7692" xr:uid="{00000000-0005-0000-0000-000011370000}"/>
    <cellStyle name="40% - Accent2 7 6 2 2" xfId="15663" xr:uid="{00000000-0005-0000-0000-000012370000}"/>
    <cellStyle name="40% - Accent2 7 6 2 2 2" xfId="39505" xr:uid="{39F5E5DD-C2AE-4DA0-ACBE-1D901A5A70E8}"/>
    <cellStyle name="40% - Accent2 7 6 2 3" xfId="23609" xr:uid="{00000000-0005-0000-0000-000013370000}"/>
    <cellStyle name="40% - Accent2 7 6 2 3 2" xfId="47441" xr:uid="{F86098D9-A776-474B-98C5-36993FAB90F6}"/>
    <cellStyle name="40% - Accent2 7 6 2 4" xfId="31564" xr:uid="{D3828852-ABF2-4F27-975A-C90E33658D8C}"/>
    <cellStyle name="40% - Accent2 7 6 3" xfId="12125" xr:uid="{00000000-0005-0000-0000-000014370000}"/>
    <cellStyle name="40% - Accent2 7 6 3 2" xfId="35974" xr:uid="{1F1383FF-19B4-44E9-A9E7-BDC8B223FE07}"/>
    <cellStyle name="40% - Accent2 7 6 4" xfId="20080" xr:uid="{00000000-0005-0000-0000-000015370000}"/>
    <cellStyle name="40% - Accent2 7 6 4 2" xfId="43912" xr:uid="{A22AC932-784F-4418-8DB2-432805A22C97}"/>
    <cellStyle name="40% - Accent2 7 6 5" xfId="28033" xr:uid="{3964287A-96FB-420A-A85A-BE8EB7401722}"/>
    <cellStyle name="40% - Accent2 7 7" xfId="5920" xr:uid="{00000000-0005-0000-0000-000016370000}"/>
    <cellStyle name="40% - Accent2 7 7 2" xfId="13904" xr:uid="{00000000-0005-0000-0000-000017370000}"/>
    <cellStyle name="40% - Accent2 7 7 2 2" xfId="37747" xr:uid="{61E5A472-18AB-4C33-9DBE-F42B550D6C26}"/>
    <cellStyle name="40% - Accent2 7 7 3" xfId="21852" xr:uid="{00000000-0005-0000-0000-000018370000}"/>
    <cellStyle name="40% - Accent2 7 7 3 2" xfId="45684" xr:uid="{14AFA0CF-3302-40B2-982B-B39ACB2B9F83}"/>
    <cellStyle name="40% - Accent2 7 7 4" xfId="29806" xr:uid="{157F7162-3454-48EC-9D12-5EE990BF8AED}"/>
    <cellStyle name="40% - Accent2 7 8" xfId="9473" xr:uid="{00000000-0005-0000-0000-000019370000}"/>
    <cellStyle name="40% - Accent2 7 8 2" xfId="17431" xr:uid="{00000000-0005-0000-0000-00001A370000}"/>
    <cellStyle name="40% - Accent2 7 8 2 2" xfId="41271" xr:uid="{60AC1A19-73ED-458F-9FFD-222C7EA9B77D}"/>
    <cellStyle name="40% - Accent2 7 8 3" xfId="25375" xr:uid="{00000000-0005-0000-0000-00001B370000}"/>
    <cellStyle name="40% - Accent2 7 8 3 2" xfId="49207" xr:uid="{AF09E9C3-C874-4C2C-ADD2-6C5EFD0BA8E3}"/>
    <cellStyle name="40% - Accent2 7 8 4" xfId="33330" xr:uid="{3C1D2293-B70A-458C-9CA8-0A370D495C33}"/>
    <cellStyle name="40% - Accent2 7 9" xfId="10369" xr:uid="{00000000-0005-0000-0000-00001C370000}"/>
    <cellStyle name="40% - Accent2 7 9 2" xfId="34218" xr:uid="{F797DE64-04DF-4E20-9BD6-09EF7B8A436F}"/>
    <cellStyle name="40% - Accent2 7_Exh G" xfId="2903" xr:uid="{00000000-0005-0000-0000-00001D370000}"/>
    <cellStyle name="40% - Accent2 8" xfId="425" xr:uid="{00000000-0005-0000-0000-00001E370000}"/>
    <cellStyle name="40% - Accent2 8 10" xfId="18328" xr:uid="{00000000-0005-0000-0000-00001F370000}"/>
    <cellStyle name="40% - Accent2 8 10 2" xfId="42160" xr:uid="{FD2D3FB0-35EA-4C6B-8A63-7BB86CC2324F}"/>
    <cellStyle name="40% - Accent2 8 11" xfId="26280" xr:uid="{354F1B97-A954-48CF-B18E-492C2B4DB7D6}"/>
    <cellStyle name="40% - Accent2 8 2" xfId="426" xr:uid="{00000000-0005-0000-0000-000020370000}"/>
    <cellStyle name="40% - Accent2 8 2 2" xfId="427" xr:uid="{00000000-0005-0000-0000-000021370000}"/>
    <cellStyle name="40% - Accent2 8 2 2 2" xfId="1455" xr:uid="{00000000-0005-0000-0000-000022370000}"/>
    <cellStyle name="40% - Accent2 8 2 2 2 2" xfId="4985" xr:uid="{00000000-0005-0000-0000-000023370000}"/>
    <cellStyle name="40% - Accent2 8 2 2 2 2 2" xfId="8576" xr:uid="{00000000-0005-0000-0000-000024370000}"/>
    <cellStyle name="40% - Accent2 8 2 2 2 2 2 2" xfId="16547" xr:uid="{00000000-0005-0000-0000-000025370000}"/>
    <cellStyle name="40% - Accent2 8 2 2 2 2 2 2 2" xfId="40389" xr:uid="{2E225F7A-6CC9-422C-AB33-45D3A2F29E3B}"/>
    <cellStyle name="40% - Accent2 8 2 2 2 2 2 3" xfId="24493" xr:uid="{00000000-0005-0000-0000-000026370000}"/>
    <cellStyle name="40% - Accent2 8 2 2 2 2 2 3 2" xfId="48325" xr:uid="{D7D08312-04AA-4AF0-A3BB-4A2C4BC47B2D}"/>
    <cellStyle name="40% - Accent2 8 2 2 2 2 2 4" xfId="32448" xr:uid="{9537474A-027A-4EB8-B32A-EAA762970771}"/>
    <cellStyle name="40% - Accent2 8 2 2 2 2 3" xfId="13009" xr:uid="{00000000-0005-0000-0000-000027370000}"/>
    <cellStyle name="40% - Accent2 8 2 2 2 2 3 2" xfId="36858" xr:uid="{BA4FBC5A-C18F-4FD5-B05E-1AFE94C7DE82}"/>
    <cellStyle name="40% - Accent2 8 2 2 2 2 4" xfId="20964" xr:uid="{00000000-0005-0000-0000-000028370000}"/>
    <cellStyle name="40% - Accent2 8 2 2 2 2 4 2" xfId="44796" xr:uid="{2DF3C982-5FA9-4E17-AB5C-F7C1CCE12065}"/>
    <cellStyle name="40% - Accent2 8 2 2 2 2 5" xfId="28917" xr:uid="{0E78E2DB-30BF-4CC6-854C-C9819335ABA7}"/>
    <cellStyle name="40% - Accent2 8 2 2 2 3" xfId="6817" xr:uid="{00000000-0005-0000-0000-000029370000}"/>
    <cellStyle name="40% - Accent2 8 2 2 2 3 2" xfId="14789" xr:uid="{00000000-0005-0000-0000-00002A370000}"/>
    <cellStyle name="40% - Accent2 8 2 2 2 3 2 2" xfId="38631" xr:uid="{120FF5A9-BF97-461A-8B75-3C279BE30391}"/>
    <cellStyle name="40% - Accent2 8 2 2 2 3 3" xfId="22736" xr:uid="{00000000-0005-0000-0000-00002B370000}"/>
    <cellStyle name="40% - Accent2 8 2 2 2 3 3 2" xfId="46568" xr:uid="{A7CFE4C6-0FB2-40AB-9F4D-6B895BEE8DD8}"/>
    <cellStyle name="40% - Accent2 8 2 2 2 3 4" xfId="30690" xr:uid="{59934B1E-E5F6-4D73-AB6C-F28F935EC129}"/>
    <cellStyle name="40% - Accent2 8 2 2 2 4" xfId="11253" xr:uid="{00000000-0005-0000-0000-00002C370000}"/>
    <cellStyle name="40% - Accent2 8 2 2 2 4 2" xfId="35102" xr:uid="{87BF1148-0E82-4C1F-9246-AA80F0CABA54}"/>
    <cellStyle name="40% - Accent2 8 2 2 2 5" xfId="19208" xr:uid="{00000000-0005-0000-0000-00002D370000}"/>
    <cellStyle name="40% - Accent2 8 2 2 2 5 2" xfId="43040" xr:uid="{3AB44FAA-9A17-445A-B7FC-1F13C9099B88}"/>
    <cellStyle name="40% - Accent2 8 2 2 2 6" xfId="27160" xr:uid="{7E8C26B2-3F69-4D1E-85F7-8A875D99DC99}"/>
    <cellStyle name="40% - Accent2 8 2 2 2_Exh G" xfId="2916" xr:uid="{00000000-0005-0000-0000-00002E370000}"/>
    <cellStyle name="40% - Accent2 8 2 2 3" xfId="4106" xr:uid="{00000000-0005-0000-0000-00002F370000}"/>
    <cellStyle name="40% - Accent2 8 2 2 3 2" xfId="7698" xr:uid="{00000000-0005-0000-0000-000030370000}"/>
    <cellStyle name="40% - Accent2 8 2 2 3 2 2" xfId="15669" xr:uid="{00000000-0005-0000-0000-000031370000}"/>
    <cellStyle name="40% - Accent2 8 2 2 3 2 2 2" xfId="39511" xr:uid="{114B299D-63DC-4B23-8B35-D8D24AFA2846}"/>
    <cellStyle name="40% - Accent2 8 2 2 3 2 3" xfId="23615" xr:uid="{00000000-0005-0000-0000-000032370000}"/>
    <cellStyle name="40% - Accent2 8 2 2 3 2 3 2" xfId="47447" xr:uid="{CCE8DB8E-7C88-4708-BD71-DDEEE09A005A}"/>
    <cellStyle name="40% - Accent2 8 2 2 3 2 4" xfId="31570" xr:uid="{06E92A8B-F586-408D-91A3-2D3548E8457E}"/>
    <cellStyle name="40% - Accent2 8 2 2 3 3" xfId="12131" xr:uid="{00000000-0005-0000-0000-000033370000}"/>
    <cellStyle name="40% - Accent2 8 2 2 3 3 2" xfId="35980" xr:uid="{66738711-DCB1-4684-9D5D-E5395F2158F8}"/>
    <cellStyle name="40% - Accent2 8 2 2 3 4" xfId="20086" xr:uid="{00000000-0005-0000-0000-000034370000}"/>
    <cellStyle name="40% - Accent2 8 2 2 3 4 2" xfId="43918" xr:uid="{2C53E1B2-9152-4348-AF98-54AF7021F172}"/>
    <cellStyle name="40% - Accent2 8 2 2 3 5" xfId="28039" xr:uid="{1B31AD2C-D755-40F5-8879-6B5E7C117730}"/>
    <cellStyle name="40% - Accent2 8 2 2 4" xfId="5926" xr:uid="{00000000-0005-0000-0000-000035370000}"/>
    <cellStyle name="40% - Accent2 8 2 2 4 2" xfId="13910" xr:uid="{00000000-0005-0000-0000-000036370000}"/>
    <cellStyle name="40% - Accent2 8 2 2 4 2 2" xfId="37753" xr:uid="{5A7873B2-2379-43AC-AE00-C2B6E388A13B}"/>
    <cellStyle name="40% - Accent2 8 2 2 4 3" xfId="21858" xr:uid="{00000000-0005-0000-0000-000037370000}"/>
    <cellStyle name="40% - Accent2 8 2 2 4 3 2" xfId="45690" xr:uid="{2BCBD240-F970-49AA-9979-1CB2B4572231}"/>
    <cellStyle name="40% - Accent2 8 2 2 4 4" xfId="29812" xr:uid="{7B9A35C9-198D-4038-AFC2-58A73947EFD6}"/>
    <cellStyle name="40% - Accent2 8 2 2 5" xfId="9479" xr:uid="{00000000-0005-0000-0000-000038370000}"/>
    <cellStyle name="40% - Accent2 8 2 2 5 2" xfId="17437" xr:uid="{00000000-0005-0000-0000-000039370000}"/>
    <cellStyle name="40% - Accent2 8 2 2 5 2 2" xfId="41277" xr:uid="{9BCA4A96-81C1-45BF-8585-CE4DE73A9584}"/>
    <cellStyle name="40% - Accent2 8 2 2 5 3" xfId="25381" xr:uid="{00000000-0005-0000-0000-00003A370000}"/>
    <cellStyle name="40% - Accent2 8 2 2 5 3 2" xfId="49213" xr:uid="{940E0A9E-4B2F-46B2-8624-0A782994A3A6}"/>
    <cellStyle name="40% - Accent2 8 2 2 5 4" xfId="33336" xr:uid="{5304529B-1D99-4B8C-AB23-A65F496DC415}"/>
    <cellStyle name="40% - Accent2 8 2 2 6" xfId="10375" xr:uid="{00000000-0005-0000-0000-00003B370000}"/>
    <cellStyle name="40% - Accent2 8 2 2 6 2" xfId="34224" xr:uid="{DC8ED17C-428D-4A2A-AA9C-38177B47B7AB}"/>
    <cellStyle name="40% - Accent2 8 2 2 7" xfId="18330" xr:uid="{00000000-0005-0000-0000-00003C370000}"/>
    <cellStyle name="40% - Accent2 8 2 2 7 2" xfId="42162" xr:uid="{849CCEC2-0CCC-4E81-B325-D9C0DE558F70}"/>
    <cellStyle name="40% - Accent2 8 2 2 8" xfId="26282" xr:uid="{F1B71589-FDEC-4EAA-AD2A-9A8E2BD7B337}"/>
    <cellStyle name="40% - Accent2 8 2 2_Exh G" xfId="2915" xr:uid="{00000000-0005-0000-0000-00003D370000}"/>
    <cellStyle name="40% - Accent2 8 2 3" xfId="1454" xr:uid="{00000000-0005-0000-0000-00003E370000}"/>
    <cellStyle name="40% - Accent2 8 2 3 2" xfId="4984" xr:uid="{00000000-0005-0000-0000-00003F370000}"/>
    <cellStyle name="40% - Accent2 8 2 3 2 2" xfId="8575" xr:uid="{00000000-0005-0000-0000-000040370000}"/>
    <cellStyle name="40% - Accent2 8 2 3 2 2 2" xfId="16546" xr:uid="{00000000-0005-0000-0000-000041370000}"/>
    <cellStyle name="40% - Accent2 8 2 3 2 2 2 2" xfId="40388" xr:uid="{3A827EE2-1202-4245-BC86-91144D8121D1}"/>
    <cellStyle name="40% - Accent2 8 2 3 2 2 3" xfId="24492" xr:uid="{00000000-0005-0000-0000-000042370000}"/>
    <cellStyle name="40% - Accent2 8 2 3 2 2 3 2" xfId="48324" xr:uid="{FBD71264-D469-4B71-A41B-2D3F0A4A6904}"/>
    <cellStyle name="40% - Accent2 8 2 3 2 2 4" xfId="32447" xr:uid="{16A20070-C8B5-4F89-BD1E-52994A499078}"/>
    <cellStyle name="40% - Accent2 8 2 3 2 3" xfId="13008" xr:uid="{00000000-0005-0000-0000-000043370000}"/>
    <cellStyle name="40% - Accent2 8 2 3 2 3 2" xfId="36857" xr:uid="{F878BDA6-4906-43D0-A6F6-A826607A51B2}"/>
    <cellStyle name="40% - Accent2 8 2 3 2 4" xfId="20963" xr:uid="{00000000-0005-0000-0000-000044370000}"/>
    <cellStyle name="40% - Accent2 8 2 3 2 4 2" xfId="44795" xr:uid="{267C9137-98EB-4914-BB83-DCAF8A465368}"/>
    <cellStyle name="40% - Accent2 8 2 3 2 5" xfId="28916" xr:uid="{54F5F73B-E7A5-49E7-88A4-AB7AF56742C0}"/>
    <cellStyle name="40% - Accent2 8 2 3 3" xfId="6816" xr:uid="{00000000-0005-0000-0000-000045370000}"/>
    <cellStyle name="40% - Accent2 8 2 3 3 2" xfId="14788" xr:uid="{00000000-0005-0000-0000-000046370000}"/>
    <cellStyle name="40% - Accent2 8 2 3 3 2 2" xfId="38630" xr:uid="{40579D99-C4EA-4D6D-900F-2A790BB3516C}"/>
    <cellStyle name="40% - Accent2 8 2 3 3 3" xfId="22735" xr:uid="{00000000-0005-0000-0000-000047370000}"/>
    <cellStyle name="40% - Accent2 8 2 3 3 3 2" xfId="46567" xr:uid="{CEE7E2F3-8928-4218-8A94-A3FBACF31698}"/>
    <cellStyle name="40% - Accent2 8 2 3 3 4" xfId="30689" xr:uid="{68D4054A-44E6-4635-94DD-452F46B0BD1C}"/>
    <cellStyle name="40% - Accent2 8 2 3 4" xfId="11252" xr:uid="{00000000-0005-0000-0000-000048370000}"/>
    <cellStyle name="40% - Accent2 8 2 3 4 2" xfId="35101" xr:uid="{0898A93A-A03A-4594-9457-46B365BA5D01}"/>
    <cellStyle name="40% - Accent2 8 2 3 5" xfId="19207" xr:uid="{00000000-0005-0000-0000-000049370000}"/>
    <cellStyle name="40% - Accent2 8 2 3 5 2" xfId="43039" xr:uid="{0A8177A0-3811-482B-8F39-8BEA7FC3D9FE}"/>
    <cellStyle name="40% - Accent2 8 2 3 6" xfId="27159" xr:uid="{13DD78FD-D7CD-4E2E-AB22-5F80BF450055}"/>
    <cellStyle name="40% - Accent2 8 2 3_Exh G" xfId="2917" xr:uid="{00000000-0005-0000-0000-00004A370000}"/>
    <cellStyle name="40% - Accent2 8 2 4" xfId="4105" xr:uid="{00000000-0005-0000-0000-00004B370000}"/>
    <cellStyle name="40% - Accent2 8 2 4 2" xfId="7697" xr:uid="{00000000-0005-0000-0000-00004C370000}"/>
    <cellStyle name="40% - Accent2 8 2 4 2 2" xfId="15668" xr:uid="{00000000-0005-0000-0000-00004D370000}"/>
    <cellStyle name="40% - Accent2 8 2 4 2 2 2" xfId="39510" xr:uid="{A59C5477-FC86-4A57-A097-2EB725C75F3C}"/>
    <cellStyle name="40% - Accent2 8 2 4 2 3" xfId="23614" xr:uid="{00000000-0005-0000-0000-00004E370000}"/>
    <cellStyle name="40% - Accent2 8 2 4 2 3 2" xfId="47446" xr:uid="{84370C5C-BE6A-46D4-91D9-4F47A11B7636}"/>
    <cellStyle name="40% - Accent2 8 2 4 2 4" xfId="31569" xr:uid="{E04C9837-CEA9-440B-8532-31D6E5E9CCF5}"/>
    <cellStyle name="40% - Accent2 8 2 4 3" xfId="12130" xr:uid="{00000000-0005-0000-0000-00004F370000}"/>
    <cellStyle name="40% - Accent2 8 2 4 3 2" xfId="35979" xr:uid="{C45ED26A-D3CC-4B56-9CEA-2C53C1A40069}"/>
    <cellStyle name="40% - Accent2 8 2 4 4" xfId="20085" xr:uid="{00000000-0005-0000-0000-000050370000}"/>
    <cellStyle name="40% - Accent2 8 2 4 4 2" xfId="43917" xr:uid="{15B3132C-B154-47F0-B217-9DFCA17966F1}"/>
    <cellStyle name="40% - Accent2 8 2 4 5" xfId="28038" xr:uid="{2F8DE1C1-EA27-4ED0-8CB4-1EA620F3CDA9}"/>
    <cellStyle name="40% - Accent2 8 2 5" xfId="5925" xr:uid="{00000000-0005-0000-0000-000051370000}"/>
    <cellStyle name="40% - Accent2 8 2 5 2" xfId="13909" xr:uid="{00000000-0005-0000-0000-000052370000}"/>
    <cellStyle name="40% - Accent2 8 2 5 2 2" xfId="37752" xr:uid="{7FB0AA73-F617-4ED0-8889-B60251F74622}"/>
    <cellStyle name="40% - Accent2 8 2 5 3" xfId="21857" xr:uid="{00000000-0005-0000-0000-000053370000}"/>
    <cellStyle name="40% - Accent2 8 2 5 3 2" xfId="45689" xr:uid="{5EB0D5C9-44A9-46C3-BD0C-20BDFD60A112}"/>
    <cellStyle name="40% - Accent2 8 2 5 4" xfId="29811" xr:uid="{0C7ADDFB-6C05-4BB1-BD09-2E78F4484E6C}"/>
    <cellStyle name="40% - Accent2 8 2 6" xfId="9478" xr:uid="{00000000-0005-0000-0000-000054370000}"/>
    <cellStyle name="40% - Accent2 8 2 6 2" xfId="17436" xr:uid="{00000000-0005-0000-0000-000055370000}"/>
    <cellStyle name="40% - Accent2 8 2 6 2 2" xfId="41276" xr:uid="{6FA64F2E-0346-4672-870A-864669802986}"/>
    <cellStyle name="40% - Accent2 8 2 6 3" xfId="25380" xr:uid="{00000000-0005-0000-0000-000056370000}"/>
    <cellStyle name="40% - Accent2 8 2 6 3 2" xfId="49212" xr:uid="{A2945D6C-EEB6-44E1-BEB0-927167C9FD31}"/>
    <cellStyle name="40% - Accent2 8 2 6 4" xfId="33335" xr:uid="{F1830CA1-B7DB-47AA-89D7-36D6442C7988}"/>
    <cellStyle name="40% - Accent2 8 2 7" xfId="10374" xr:uid="{00000000-0005-0000-0000-000057370000}"/>
    <cellStyle name="40% - Accent2 8 2 7 2" xfId="34223" xr:uid="{249D487A-1B63-4A1F-AFC7-2CCD413C8E7D}"/>
    <cellStyle name="40% - Accent2 8 2 8" xfId="18329" xr:uid="{00000000-0005-0000-0000-000058370000}"/>
    <cellStyle name="40% - Accent2 8 2 8 2" xfId="42161" xr:uid="{6475669A-4CB5-4A29-8DC2-D0BBA6CE6470}"/>
    <cellStyle name="40% - Accent2 8 2 9" xfId="26281" xr:uid="{1D447BDF-C705-461E-AA6D-2EA76E898E6E}"/>
    <cellStyle name="40% - Accent2 8 2_Exh G" xfId="2914" xr:uid="{00000000-0005-0000-0000-000059370000}"/>
    <cellStyle name="40% - Accent2 8 3" xfId="428" xr:uid="{00000000-0005-0000-0000-00005A370000}"/>
    <cellStyle name="40% - Accent2 8 3 2" xfId="1456" xr:uid="{00000000-0005-0000-0000-00005B370000}"/>
    <cellStyle name="40% - Accent2 8 3 2 2" xfId="4986" xr:uid="{00000000-0005-0000-0000-00005C370000}"/>
    <cellStyle name="40% - Accent2 8 3 2 2 2" xfId="8577" xr:uid="{00000000-0005-0000-0000-00005D370000}"/>
    <cellStyle name="40% - Accent2 8 3 2 2 2 2" xfId="16548" xr:uid="{00000000-0005-0000-0000-00005E370000}"/>
    <cellStyle name="40% - Accent2 8 3 2 2 2 2 2" xfId="40390" xr:uid="{937704CA-DC43-488A-AD75-DE598F2E2F12}"/>
    <cellStyle name="40% - Accent2 8 3 2 2 2 3" xfId="24494" xr:uid="{00000000-0005-0000-0000-00005F370000}"/>
    <cellStyle name="40% - Accent2 8 3 2 2 2 3 2" xfId="48326" xr:uid="{9FAE75CC-7DD1-4C40-BA08-D4236B93E946}"/>
    <cellStyle name="40% - Accent2 8 3 2 2 2 4" xfId="32449" xr:uid="{624CFEA7-8713-4DEB-8E1F-8C56E573CCFE}"/>
    <cellStyle name="40% - Accent2 8 3 2 2 3" xfId="13010" xr:uid="{00000000-0005-0000-0000-000060370000}"/>
    <cellStyle name="40% - Accent2 8 3 2 2 3 2" xfId="36859" xr:uid="{763DB6DF-54BD-473B-A20A-842A494A5C81}"/>
    <cellStyle name="40% - Accent2 8 3 2 2 4" xfId="20965" xr:uid="{00000000-0005-0000-0000-000061370000}"/>
    <cellStyle name="40% - Accent2 8 3 2 2 4 2" xfId="44797" xr:uid="{F2E49562-AF21-485A-B144-A9060B32D176}"/>
    <cellStyle name="40% - Accent2 8 3 2 2 5" xfId="28918" xr:uid="{378FFE98-1E4A-47AE-85DA-590F163EBA9B}"/>
    <cellStyle name="40% - Accent2 8 3 2 3" xfId="6818" xr:uid="{00000000-0005-0000-0000-000062370000}"/>
    <cellStyle name="40% - Accent2 8 3 2 3 2" xfId="14790" xr:uid="{00000000-0005-0000-0000-000063370000}"/>
    <cellStyle name="40% - Accent2 8 3 2 3 2 2" xfId="38632" xr:uid="{CF30239C-DFBD-402D-8C19-E1025FA93020}"/>
    <cellStyle name="40% - Accent2 8 3 2 3 3" xfId="22737" xr:uid="{00000000-0005-0000-0000-000064370000}"/>
    <cellStyle name="40% - Accent2 8 3 2 3 3 2" xfId="46569" xr:uid="{CB684409-D123-46A6-9A02-C8C6693B0260}"/>
    <cellStyle name="40% - Accent2 8 3 2 3 4" xfId="30691" xr:uid="{E947C11B-9989-4B98-BEFC-90B590B19E62}"/>
    <cellStyle name="40% - Accent2 8 3 2 4" xfId="11254" xr:uid="{00000000-0005-0000-0000-000065370000}"/>
    <cellStyle name="40% - Accent2 8 3 2 4 2" xfId="35103" xr:uid="{3568492B-9595-4614-BCB2-3BB54B987030}"/>
    <cellStyle name="40% - Accent2 8 3 2 5" xfId="19209" xr:uid="{00000000-0005-0000-0000-000066370000}"/>
    <cellStyle name="40% - Accent2 8 3 2 5 2" xfId="43041" xr:uid="{C737C923-F77D-45A8-94ED-8367F5F49281}"/>
    <cellStyle name="40% - Accent2 8 3 2 6" xfId="27161" xr:uid="{D106A3B9-821A-44B7-9293-C6DFD7C9BB62}"/>
    <cellStyle name="40% - Accent2 8 3 2_Exh G" xfId="2919" xr:uid="{00000000-0005-0000-0000-000067370000}"/>
    <cellStyle name="40% - Accent2 8 3 3" xfId="4107" xr:uid="{00000000-0005-0000-0000-000068370000}"/>
    <cellStyle name="40% - Accent2 8 3 3 2" xfId="7699" xr:uid="{00000000-0005-0000-0000-000069370000}"/>
    <cellStyle name="40% - Accent2 8 3 3 2 2" xfId="15670" xr:uid="{00000000-0005-0000-0000-00006A370000}"/>
    <cellStyle name="40% - Accent2 8 3 3 2 2 2" xfId="39512" xr:uid="{D68E4870-487F-4794-B352-C0AB8296C924}"/>
    <cellStyle name="40% - Accent2 8 3 3 2 3" xfId="23616" xr:uid="{00000000-0005-0000-0000-00006B370000}"/>
    <cellStyle name="40% - Accent2 8 3 3 2 3 2" xfId="47448" xr:uid="{B2DA4D1B-3CB1-4607-B399-EF71720CD6F6}"/>
    <cellStyle name="40% - Accent2 8 3 3 2 4" xfId="31571" xr:uid="{011F76AE-80E9-427B-90BE-3306BC63A4EA}"/>
    <cellStyle name="40% - Accent2 8 3 3 3" xfId="12132" xr:uid="{00000000-0005-0000-0000-00006C370000}"/>
    <cellStyle name="40% - Accent2 8 3 3 3 2" xfId="35981" xr:uid="{50027826-6B7D-45A1-A7B4-772A58BB38FB}"/>
    <cellStyle name="40% - Accent2 8 3 3 4" xfId="20087" xr:uid="{00000000-0005-0000-0000-00006D370000}"/>
    <cellStyle name="40% - Accent2 8 3 3 4 2" xfId="43919" xr:uid="{F0CEA638-F585-4BE3-A8CA-EA4F9CF54FC0}"/>
    <cellStyle name="40% - Accent2 8 3 3 5" xfId="28040" xr:uid="{A82A6DA4-DEC2-46AC-BCA4-8ABEC16C94AB}"/>
    <cellStyle name="40% - Accent2 8 3 4" xfId="5927" xr:uid="{00000000-0005-0000-0000-00006E370000}"/>
    <cellStyle name="40% - Accent2 8 3 4 2" xfId="13911" xr:uid="{00000000-0005-0000-0000-00006F370000}"/>
    <cellStyle name="40% - Accent2 8 3 4 2 2" xfId="37754" xr:uid="{8326DB53-1B2D-4E76-9DA1-8E2054755F9D}"/>
    <cellStyle name="40% - Accent2 8 3 4 3" xfId="21859" xr:uid="{00000000-0005-0000-0000-000070370000}"/>
    <cellStyle name="40% - Accent2 8 3 4 3 2" xfId="45691" xr:uid="{B13793AB-48B5-4003-83DE-385FA1CB2751}"/>
    <cellStyle name="40% - Accent2 8 3 4 4" xfId="29813" xr:uid="{1105941F-DD78-4E86-A0B5-29C81C615E6C}"/>
    <cellStyle name="40% - Accent2 8 3 5" xfId="9480" xr:uid="{00000000-0005-0000-0000-000071370000}"/>
    <cellStyle name="40% - Accent2 8 3 5 2" xfId="17438" xr:uid="{00000000-0005-0000-0000-000072370000}"/>
    <cellStyle name="40% - Accent2 8 3 5 2 2" xfId="41278" xr:uid="{441881B4-E07B-4B6B-9627-E57DB0EC8F8D}"/>
    <cellStyle name="40% - Accent2 8 3 5 3" xfId="25382" xr:uid="{00000000-0005-0000-0000-000073370000}"/>
    <cellStyle name="40% - Accent2 8 3 5 3 2" xfId="49214" xr:uid="{E6F59260-7A65-42EB-975B-EE3FD5C188CA}"/>
    <cellStyle name="40% - Accent2 8 3 5 4" xfId="33337" xr:uid="{300B4720-39F6-4D61-A593-59D35C107724}"/>
    <cellStyle name="40% - Accent2 8 3 6" xfId="10376" xr:uid="{00000000-0005-0000-0000-000074370000}"/>
    <cellStyle name="40% - Accent2 8 3 6 2" xfId="34225" xr:uid="{971D71F5-4616-4A82-B054-41678F2CF5AC}"/>
    <cellStyle name="40% - Accent2 8 3 7" xfId="18331" xr:uid="{00000000-0005-0000-0000-000075370000}"/>
    <cellStyle name="40% - Accent2 8 3 7 2" xfId="42163" xr:uid="{715D47BD-1D5C-4DB5-A6BA-E633ADECD555}"/>
    <cellStyle name="40% - Accent2 8 3 8" xfId="26283" xr:uid="{671717B4-DB0D-42EA-9287-C427A18470D9}"/>
    <cellStyle name="40% - Accent2 8 3_Exh G" xfId="2918" xr:uid="{00000000-0005-0000-0000-000076370000}"/>
    <cellStyle name="40% - Accent2 8 4" xfId="956" xr:uid="{00000000-0005-0000-0000-000077370000}"/>
    <cellStyle name="40% - Accent2 8 4 2" xfId="1877" xr:uid="{00000000-0005-0000-0000-000078370000}"/>
    <cellStyle name="40% - Accent2 8 4 2 2" xfId="5395" xr:uid="{00000000-0005-0000-0000-000079370000}"/>
    <cellStyle name="40% - Accent2 8 4 2 2 2" xfId="8986" xr:uid="{00000000-0005-0000-0000-00007A370000}"/>
    <cellStyle name="40% - Accent2 8 4 2 2 2 2" xfId="16957" xr:uid="{00000000-0005-0000-0000-00007B370000}"/>
    <cellStyle name="40% - Accent2 8 4 2 2 2 2 2" xfId="40799" xr:uid="{873FED0E-E410-46CF-BEC0-8D75DB6A2716}"/>
    <cellStyle name="40% - Accent2 8 4 2 2 2 3" xfId="24903" xr:uid="{00000000-0005-0000-0000-00007C370000}"/>
    <cellStyle name="40% - Accent2 8 4 2 2 2 3 2" xfId="48735" xr:uid="{DEE7E4DA-22E6-4B04-AEA3-DFB7758390C4}"/>
    <cellStyle name="40% - Accent2 8 4 2 2 2 4" xfId="32858" xr:uid="{11B9DC38-5E8F-448E-8ADF-40EAA46E3BFD}"/>
    <cellStyle name="40% - Accent2 8 4 2 2 3" xfId="13419" xr:uid="{00000000-0005-0000-0000-00007D370000}"/>
    <cellStyle name="40% - Accent2 8 4 2 2 3 2" xfId="37268" xr:uid="{3D34CAA8-9D76-4637-973F-834827894E8B}"/>
    <cellStyle name="40% - Accent2 8 4 2 2 4" xfId="21374" xr:uid="{00000000-0005-0000-0000-00007E370000}"/>
    <cellStyle name="40% - Accent2 8 4 2 2 4 2" xfId="45206" xr:uid="{E786612F-7406-4D9F-B541-E245EC8935A1}"/>
    <cellStyle name="40% - Accent2 8 4 2 2 5" xfId="29327" xr:uid="{A0193097-1013-4091-B3DF-16C23E018C8B}"/>
    <cellStyle name="40% - Accent2 8 4 2 3" xfId="7227" xr:uid="{00000000-0005-0000-0000-00007F370000}"/>
    <cellStyle name="40% - Accent2 8 4 2 3 2" xfId="15199" xr:uid="{00000000-0005-0000-0000-000080370000}"/>
    <cellStyle name="40% - Accent2 8 4 2 3 2 2" xfId="39041" xr:uid="{8C847272-957B-42AD-B126-AA7864737B79}"/>
    <cellStyle name="40% - Accent2 8 4 2 3 3" xfId="23146" xr:uid="{00000000-0005-0000-0000-000081370000}"/>
    <cellStyle name="40% - Accent2 8 4 2 3 3 2" xfId="46978" xr:uid="{BC47ED58-543E-4DD8-9225-2B84360EBD16}"/>
    <cellStyle name="40% - Accent2 8 4 2 3 4" xfId="31100" xr:uid="{9D95F692-1102-4825-8FB9-BBF165DD1E3F}"/>
    <cellStyle name="40% - Accent2 8 4 2 4" xfId="11663" xr:uid="{00000000-0005-0000-0000-000082370000}"/>
    <cellStyle name="40% - Accent2 8 4 2 4 2" xfId="35512" xr:uid="{B40B63B9-7744-4576-A9BC-317A5402B492}"/>
    <cellStyle name="40% - Accent2 8 4 2 5" xfId="19618" xr:uid="{00000000-0005-0000-0000-000083370000}"/>
    <cellStyle name="40% - Accent2 8 4 2 5 2" xfId="43450" xr:uid="{E92B2896-2476-4267-8820-582D35606A2A}"/>
    <cellStyle name="40% - Accent2 8 4 2 6" xfId="27570" xr:uid="{D723C96A-A680-4351-B643-1F9A16BA22EF}"/>
    <cellStyle name="40% - Accent2 8 4 2_Exh G" xfId="2921" xr:uid="{00000000-0005-0000-0000-000084370000}"/>
    <cellStyle name="40% - Accent2 8 4 3" xfId="4516" xr:uid="{00000000-0005-0000-0000-000085370000}"/>
    <cellStyle name="40% - Accent2 8 4 3 2" xfId="8108" xr:uid="{00000000-0005-0000-0000-000086370000}"/>
    <cellStyle name="40% - Accent2 8 4 3 2 2" xfId="16079" xr:uid="{00000000-0005-0000-0000-000087370000}"/>
    <cellStyle name="40% - Accent2 8 4 3 2 2 2" xfId="39921" xr:uid="{BC7A6E09-BF84-42BC-8036-8F67C08307A3}"/>
    <cellStyle name="40% - Accent2 8 4 3 2 3" xfId="24025" xr:uid="{00000000-0005-0000-0000-000088370000}"/>
    <cellStyle name="40% - Accent2 8 4 3 2 3 2" xfId="47857" xr:uid="{D5AE2412-9707-46FA-9E4D-17A651CD0CC3}"/>
    <cellStyle name="40% - Accent2 8 4 3 2 4" xfId="31980" xr:uid="{55DFA4F5-27AE-4D8C-A1C7-EEAF09D1B3D5}"/>
    <cellStyle name="40% - Accent2 8 4 3 3" xfId="12541" xr:uid="{00000000-0005-0000-0000-000089370000}"/>
    <cellStyle name="40% - Accent2 8 4 3 3 2" xfId="36390" xr:uid="{6618377E-56FE-4D77-9168-296DF091970F}"/>
    <cellStyle name="40% - Accent2 8 4 3 4" xfId="20496" xr:uid="{00000000-0005-0000-0000-00008A370000}"/>
    <cellStyle name="40% - Accent2 8 4 3 4 2" xfId="44328" xr:uid="{A75EF86C-2169-4C2A-9480-9A21F582C610}"/>
    <cellStyle name="40% - Accent2 8 4 3 5" xfId="28449" xr:uid="{E982B94F-593C-4E4F-87C0-B8DD22EF99EA}"/>
    <cellStyle name="40% - Accent2 8 4 4" xfId="6346" xr:uid="{00000000-0005-0000-0000-00008B370000}"/>
    <cellStyle name="40% - Accent2 8 4 4 2" xfId="14321" xr:uid="{00000000-0005-0000-0000-00008C370000}"/>
    <cellStyle name="40% - Accent2 8 4 4 2 2" xfId="38163" xr:uid="{23C4C772-4BE1-4B5E-841F-EDE5299540EB}"/>
    <cellStyle name="40% - Accent2 8 4 4 3" xfId="22268" xr:uid="{00000000-0005-0000-0000-00008D370000}"/>
    <cellStyle name="40% - Accent2 8 4 4 3 2" xfId="46100" xr:uid="{FB64CBE3-4D14-422C-AF10-D2A5F5D444F8}"/>
    <cellStyle name="40% - Accent2 8 4 4 4" xfId="30222" xr:uid="{8D6B4493-525C-4518-AB1F-A6908CB25CCA}"/>
    <cellStyle name="40% - Accent2 8 4 5" xfId="9889" xr:uid="{00000000-0005-0000-0000-00008E370000}"/>
    <cellStyle name="40% - Accent2 8 4 5 2" xfId="17847" xr:uid="{00000000-0005-0000-0000-00008F370000}"/>
    <cellStyle name="40% - Accent2 8 4 5 2 2" xfId="41687" xr:uid="{1A41FFB4-889D-41A8-99A1-3045A76DFA07}"/>
    <cellStyle name="40% - Accent2 8 4 5 3" xfId="25791" xr:uid="{00000000-0005-0000-0000-000090370000}"/>
    <cellStyle name="40% - Accent2 8 4 5 3 2" xfId="49623" xr:uid="{3AF30844-6C14-4A26-8CA8-47570F58EBD8}"/>
    <cellStyle name="40% - Accent2 8 4 5 4" xfId="33746" xr:uid="{A521ED10-1DB1-42B7-B652-5DBA9E2EACF7}"/>
    <cellStyle name="40% - Accent2 8 4 6" xfId="10785" xr:uid="{00000000-0005-0000-0000-000091370000}"/>
    <cellStyle name="40% - Accent2 8 4 6 2" xfId="34634" xr:uid="{5DFB1549-C53D-4EB6-9383-D12E5ACD7BD4}"/>
    <cellStyle name="40% - Accent2 8 4 7" xfId="18740" xr:uid="{00000000-0005-0000-0000-000092370000}"/>
    <cellStyle name="40% - Accent2 8 4 7 2" xfId="42572" xr:uid="{21D07A62-7793-4CDE-A0A4-15F37671CDD2}"/>
    <cellStyle name="40% - Accent2 8 4 8" xfId="26692" xr:uid="{B1BCB9A7-AB0D-4A01-977E-5C5F15B70EE0}"/>
    <cellStyle name="40% - Accent2 8 4_Exh G" xfId="2920" xr:uid="{00000000-0005-0000-0000-000093370000}"/>
    <cellStyle name="40% - Accent2 8 5" xfId="1453" xr:uid="{00000000-0005-0000-0000-000094370000}"/>
    <cellStyle name="40% - Accent2 8 5 2" xfId="4983" xr:uid="{00000000-0005-0000-0000-000095370000}"/>
    <cellStyle name="40% - Accent2 8 5 2 2" xfId="8574" xr:uid="{00000000-0005-0000-0000-000096370000}"/>
    <cellStyle name="40% - Accent2 8 5 2 2 2" xfId="16545" xr:uid="{00000000-0005-0000-0000-000097370000}"/>
    <cellStyle name="40% - Accent2 8 5 2 2 2 2" xfId="40387" xr:uid="{E313DED2-6271-4E88-AEFF-E95C74D6D158}"/>
    <cellStyle name="40% - Accent2 8 5 2 2 3" xfId="24491" xr:uid="{00000000-0005-0000-0000-000098370000}"/>
    <cellStyle name="40% - Accent2 8 5 2 2 3 2" xfId="48323" xr:uid="{BFB57539-416D-42AD-843A-F681CEA12F42}"/>
    <cellStyle name="40% - Accent2 8 5 2 2 4" xfId="32446" xr:uid="{17CBA1A4-553D-4C6D-A60F-9B48ABC640F8}"/>
    <cellStyle name="40% - Accent2 8 5 2 3" xfId="13007" xr:uid="{00000000-0005-0000-0000-000099370000}"/>
    <cellStyle name="40% - Accent2 8 5 2 3 2" xfId="36856" xr:uid="{C9BCEA1E-206E-409C-98D6-C8977F560B37}"/>
    <cellStyle name="40% - Accent2 8 5 2 4" xfId="20962" xr:uid="{00000000-0005-0000-0000-00009A370000}"/>
    <cellStyle name="40% - Accent2 8 5 2 4 2" xfId="44794" xr:uid="{17FB4A9E-D5BB-414A-A383-B340D131420D}"/>
    <cellStyle name="40% - Accent2 8 5 2 5" xfId="28915" xr:uid="{6FE6BBA4-DB50-4B09-AA79-AF5B9609E6F6}"/>
    <cellStyle name="40% - Accent2 8 5 3" xfId="6815" xr:uid="{00000000-0005-0000-0000-00009B370000}"/>
    <cellStyle name="40% - Accent2 8 5 3 2" xfId="14787" xr:uid="{00000000-0005-0000-0000-00009C370000}"/>
    <cellStyle name="40% - Accent2 8 5 3 2 2" xfId="38629" xr:uid="{F8784868-AFA1-4977-9133-53A99A7E8BDD}"/>
    <cellStyle name="40% - Accent2 8 5 3 3" xfId="22734" xr:uid="{00000000-0005-0000-0000-00009D370000}"/>
    <cellStyle name="40% - Accent2 8 5 3 3 2" xfId="46566" xr:uid="{BBB9F074-E783-4952-AEB1-FE463626447D}"/>
    <cellStyle name="40% - Accent2 8 5 3 4" xfId="30688" xr:uid="{4D6405A0-9620-4836-8C0F-C5628E75FC12}"/>
    <cellStyle name="40% - Accent2 8 5 4" xfId="11251" xr:uid="{00000000-0005-0000-0000-00009E370000}"/>
    <cellStyle name="40% - Accent2 8 5 4 2" xfId="35100" xr:uid="{56923332-C037-499B-BD93-F231514C241F}"/>
    <cellStyle name="40% - Accent2 8 5 5" xfId="19206" xr:uid="{00000000-0005-0000-0000-00009F370000}"/>
    <cellStyle name="40% - Accent2 8 5 5 2" xfId="43038" xr:uid="{2AC1C9A4-9261-441D-AB23-83C935D26DED}"/>
    <cellStyle name="40% - Accent2 8 5 6" xfId="27158" xr:uid="{A041A3CA-D97F-4D03-884B-6208AFB24A5B}"/>
    <cellStyle name="40% - Accent2 8 5_Exh G" xfId="2922" xr:uid="{00000000-0005-0000-0000-0000A0370000}"/>
    <cellStyle name="40% - Accent2 8 6" xfId="4104" xr:uid="{00000000-0005-0000-0000-0000A1370000}"/>
    <cellStyle name="40% - Accent2 8 6 2" xfId="7696" xr:uid="{00000000-0005-0000-0000-0000A2370000}"/>
    <cellStyle name="40% - Accent2 8 6 2 2" xfId="15667" xr:uid="{00000000-0005-0000-0000-0000A3370000}"/>
    <cellStyle name="40% - Accent2 8 6 2 2 2" xfId="39509" xr:uid="{ADAA81E3-1F7B-4671-B3DA-CCEDF1EC3049}"/>
    <cellStyle name="40% - Accent2 8 6 2 3" xfId="23613" xr:uid="{00000000-0005-0000-0000-0000A4370000}"/>
    <cellStyle name="40% - Accent2 8 6 2 3 2" xfId="47445" xr:uid="{6E791F29-1447-4278-B5AB-BEA85C7A4EF7}"/>
    <cellStyle name="40% - Accent2 8 6 2 4" xfId="31568" xr:uid="{E00E6DB1-7769-48A5-B0B7-F46065B5C7B9}"/>
    <cellStyle name="40% - Accent2 8 6 3" xfId="12129" xr:uid="{00000000-0005-0000-0000-0000A5370000}"/>
    <cellStyle name="40% - Accent2 8 6 3 2" xfId="35978" xr:uid="{FF80691D-FB54-4DAD-91DF-B0A7D68C7551}"/>
    <cellStyle name="40% - Accent2 8 6 4" xfId="20084" xr:uid="{00000000-0005-0000-0000-0000A6370000}"/>
    <cellStyle name="40% - Accent2 8 6 4 2" xfId="43916" xr:uid="{0FE68EFB-6375-45EC-BDD2-A06632531571}"/>
    <cellStyle name="40% - Accent2 8 6 5" xfId="28037" xr:uid="{2A0E37D0-26AD-4F61-8783-91E79883E83F}"/>
    <cellStyle name="40% - Accent2 8 7" xfId="5924" xr:uid="{00000000-0005-0000-0000-0000A7370000}"/>
    <cellStyle name="40% - Accent2 8 7 2" xfId="13908" xr:uid="{00000000-0005-0000-0000-0000A8370000}"/>
    <cellStyle name="40% - Accent2 8 7 2 2" xfId="37751" xr:uid="{A1A14F8A-4773-4A48-A928-FC1D007A3B21}"/>
    <cellStyle name="40% - Accent2 8 7 3" xfId="21856" xr:uid="{00000000-0005-0000-0000-0000A9370000}"/>
    <cellStyle name="40% - Accent2 8 7 3 2" xfId="45688" xr:uid="{2442D272-CF9E-4764-A0F5-C041C27B9590}"/>
    <cellStyle name="40% - Accent2 8 7 4" xfId="29810" xr:uid="{4B44C72D-DB80-452D-A052-EE90005014E9}"/>
    <cellStyle name="40% - Accent2 8 8" xfId="9477" xr:uid="{00000000-0005-0000-0000-0000AA370000}"/>
    <cellStyle name="40% - Accent2 8 8 2" xfId="17435" xr:uid="{00000000-0005-0000-0000-0000AB370000}"/>
    <cellStyle name="40% - Accent2 8 8 2 2" xfId="41275" xr:uid="{C21C516F-7B6A-427C-A0AF-0DDAAD49FCFA}"/>
    <cellStyle name="40% - Accent2 8 8 3" xfId="25379" xr:uid="{00000000-0005-0000-0000-0000AC370000}"/>
    <cellStyle name="40% - Accent2 8 8 3 2" xfId="49211" xr:uid="{DD26547A-3AE5-446A-941F-CA97C360B641}"/>
    <cellStyle name="40% - Accent2 8 8 4" xfId="33334" xr:uid="{A2AF59D1-06FC-4728-935B-A544B8AC9D0B}"/>
    <cellStyle name="40% - Accent2 8 9" xfId="10373" xr:uid="{00000000-0005-0000-0000-0000AD370000}"/>
    <cellStyle name="40% - Accent2 8 9 2" xfId="34222" xr:uid="{A331A7E6-3959-4BE5-B6AD-AE4A76AE8C39}"/>
    <cellStyle name="40% - Accent2 8_Exh G" xfId="2913" xr:uid="{00000000-0005-0000-0000-0000AE370000}"/>
    <cellStyle name="40% - Accent2 9" xfId="429" xr:uid="{00000000-0005-0000-0000-0000AF370000}"/>
    <cellStyle name="40% - Accent2 9 10" xfId="18332" xr:uid="{00000000-0005-0000-0000-0000B0370000}"/>
    <cellStyle name="40% - Accent2 9 10 2" xfId="42164" xr:uid="{9D91FDB2-C365-453E-8144-1F269643EA1E}"/>
    <cellStyle name="40% - Accent2 9 11" xfId="26284" xr:uid="{9B3071E1-9458-4F54-9A6F-7DB759DD7791}"/>
    <cellStyle name="40% - Accent2 9 2" xfId="430" xr:uid="{00000000-0005-0000-0000-0000B1370000}"/>
    <cellStyle name="40% - Accent2 9 2 2" xfId="431" xr:uid="{00000000-0005-0000-0000-0000B2370000}"/>
    <cellStyle name="40% - Accent2 9 2 2 2" xfId="1459" xr:uid="{00000000-0005-0000-0000-0000B3370000}"/>
    <cellStyle name="40% - Accent2 9 2 2 2 2" xfId="4989" xr:uid="{00000000-0005-0000-0000-0000B4370000}"/>
    <cellStyle name="40% - Accent2 9 2 2 2 2 2" xfId="8580" xr:uid="{00000000-0005-0000-0000-0000B5370000}"/>
    <cellStyle name="40% - Accent2 9 2 2 2 2 2 2" xfId="16551" xr:uid="{00000000-0005-0000-0000-0000B6370000}"/>
    <cellStyle name="40% - Accent2 9 2 2 2 2 2 2 2" xfId="40393" xr:uid="{1A818EA2-7691-4330-8554-576F7850859E}"/>
    <cellStyle name="40% - Accent2 9 2 2 2 2 2 3" xfId="24497" xr:uid="{00000000-0005-0000-0000-0000B7370000}"/>
    <cellStyle name="40% - Accent2 9 2 2 2 2 2 3 2" xfId="48329" xr:uid="{A5CD495C-85A5-4FE5-BA81-385108154547}"/>
    <cellStyle name="40% - Accent2 9 2 2 2 2 2 4" xfId="32452" xr:uid="{4F38F85C-B37C-489A-8FA7-9EA6F9789AEA}"/>
    <cellStyle name="40% - Accent2 9 2 2 2 2 3" xfId="13013" xr:uid="{00000000-0005-0000-0000-0000B8370000}"/>
    <cellStyle name="40% - Accent2 9 2 2 2 2 3 2" xfId="36862" xr:uid="{62C34F96-6E74-4C83-B4BA-1C6DB3605904}"/>
    <cellStyle name="40% - Accent2 9 2 2 2 2 4" xfId="20968" xr:uid="{00000000-0005-0000-0000-0000B9370000}"/>
    <cellStyle name="40% - Accent2 9 2 2 2 2 4 2" xfId="44800" xr:uid="{A9F41B72-D9F1-4892-8EB5-9BC63235CB19}"/>
    <cellStyle name="40% - Accent2 9 2 2 2 2 5" xfId="28921" xr:uid="{0733DC69-A294-45A5-A4EB-A56D0E9F15AF}"/>
    <cellStyle name="40% - Accent2 9 2 2 2 3" xfId="6821" xr:uid="{00000000-0005-0000-0000-0000BA370000}"/>
    <cellStyle name="40% - Accent2 9 2 2 2 3 2" xfId="14793" xr:uid="{00000000-0005-0000-0000-0000BB370000}"/>
    <cellStyle name="40% - Accent2 9 2 2 2 3 2 2" xfId="38635" xr:uid="{10A2A6C3-A5CA-4C2D-8804-155387022186}"/>
    <cellStyle name="40% - Accent2 9 2 2 2 3 3" xfId="22740" xr:uid="{00000000-0005-0000-0000-0000BC370000}"/>
    <cellStyle name="40% - Accent2 9 2 2 2 3 3 2" xfId="46572" xr:uid="{420194A5-76D1-42ED-91CA-67D0DC576AC4}"/>
    <cellStyle name="40% - Accent2 9 2 2 2 3 4" xfId="30694" xr:uid="{76DCCD73-6809-45BF-8B7B-3319141C8DE5}"/>
    <cellStyle name="40% - Accent2 9 2 2 2 4" xfId="11257" xr:uid="{00000000-0005-0000-0000-0000BD370000}"/>
    <cellStyle name="40% - Accent2 9 2 2 2 4 2" xfId="35106" xr:uid="{935FABA4-C928-436C-A0B0-F922FDADC186}"/>
    <cellStyle name="40% - Accent2 9 2 2 2 5" xfId="19212" xr:uid="{00000000-0005-0000-0000-0000BE370000}"/>
    <cellStyle name="40% - Accent2 9 2 2 2 5 2" xfId="43044" xr:uid="{38B163DF-5DCA-4268-9F5C-C7B05770CB9F}"/>
    <cellStyle name="40% - Accent2 9 2 2 2 6" xfId="27164" xr:uid="{739B09BB-1764-4BB2-AEF0-29280343C519}"/>
    <cellStyle name="40% - Accent2 9 2 2 2_Exh G" xfId="2926" xr:uid="{00000000-0005-0000-0000-0000BF370000}"/>
    <cellStyle name="40% - Accent2 9 2 2 3" xfId="4110" xr:uid="{00000000-0005-0000-0000-0000C0370000}"/>
    <cellStyle name="40% - Accent2 9 2 2 3 2" xfId="7702" xr:uid="{00000000-0005-0000-0000-0000C1370000}"/>
    <cellStyle name="40% - Accent2 9 2 2 3 2 2" xfId="15673" xr:uid="{00000000-0005-0000-0000-0000C2370000}"/>
    <cellStyle name="40% - Accent2 9 2 2 3 2 2 2" xfId="39515" xr:uid="{FA9D3525-5638-45BF-B2BF-591F2CA8F684}"/>
    <cellStyle name="40% - Accent2 9 2 2 3 2 3" xfId="23619" xr:uid="{00000000-0005-0000-0000-0000C3370000}"/>
    <cellStyle name="40% - Accent2 9 2 2 3 2 3 2" xfId="47451" xr:uid="{B774D899-44E0-41E2-9EE9-7A888C21B027}"/>
    <cellStyle name="40% - Accent2 9 2 2 3 2 4" xfId="31574" xr:uid="{AD255D7D-0B95-47CE-AAC5-5B9C727F3110}"/>
    <cellStyle name="40% - Accent2 9 2 2 3 3" xfId="12135" xr:uid="{00000000-0005-0000-0000-0000C4370000}"/>
    <cellStyle name="40% - Accent2 9 2 2 3 3 2" xfId="35984" xr:uid="{AC8EF79F-DB46-4FE8-B4B4-43902ED61CBA}"/>
    <cellStyle name="40% - Accent2 9 2 2 3 4" xfId="20090" xr:uid="{00000000-0005-0000-0000-0000C5370000}"/>
    <cellStyle name="40% - Accent2 9 2 2 3 4 2" xfId="43922" xr:uid="{C8F06135-2199-41AE-8921-E976EDA667F2}"/>
    <cellStyle name="40% - Accent2 9 2 2 3 5" xfId="28043" xr:uid="{1D86BF30-15EB-424B-84B7-8C8290F05E66}"/>
    <cellStyle name="40% - Accent2 9 2 2 4" xfId="5930" xr:uid="{00000000-0005-0000-0000-0000C6370000}"/>
    <cellStyle name="40% - Accent2 9 2 2 4 2" xfId="13914" xr:uid="{00000000-0005-0000-0000-0000C7370000}"/>
    <cellStyle name="40% - Accent2 9 2 2 4 2 2" xfId="37757" xr:uid="{739F20C5-B67D-442D-98F8-C076F416C404}"/>
    <cellStyle name="40% - Accent2 9 2 2 4 3" xfId="21862" xr:uid="{00000000-0005-0000-0000-0000C8370000}"/>
    <cellStyle name="40% - Accent2 9 2 2 4 3 2" xfId="45694" xr:uid="{55811174-9025-4278-A321-A25AAFFFEB4E}"/>
    <cellStyle name="40% - Accent2 9 2 2 4 4" xfId="29816" xr:uid="{51F1E1B5-EDE1-4FF4-B198-7FE6D9E7074B}"/>
    <cellStyle name="40% - Accent2 9 2 2 5" xfId="9483" xr:uid="{00000000-0005-0000-0000-0000C9370000}"/>
    <cellStyle name="40% - Accent2 9 2 2 5 2" xfId="17441" xr:uid="{00000000-0005-0000-0000-0000CA370000}"/>
    <cellStyle name="40% - Accent2 9 2 2 5 2 2" xfId="41281" xr:uid="{E5CAF9CD-FFF3-4C77-9F46-29542368B91E}"/>
    <cellStyle name="40% - Accent2 9 2 2 5 3" xfId="25385" xr:uid="{00000000-0005-0000-0000-0000CB370000}"/>
    <cellStyle name="40% - Accent2 9 2 2 5 3 2" xfId="49217" xr:uid="{CBDB4F8D-19E4-4404-97E0-CBE820B69B3D}"/>
    <cellStyle name="40% - Accent2 9 2 2 5 4" xfId="33340" xr:uid="{7217F120-38CB-4759-B2B5-42A27FFAC177}"/>
    <cellStyle name="40% - Accent2 9 2 2 6" xfId="10379" xr:uid="{00000000-0005-0000-0000-0000CC370000}"/>
    <cellStyle name="40% - Accent2 9 2 2 6 2" xfId="34228" xr:uid="{AD229586-A75A-4D63-9205-5AE526A2D5FC}"/>
    <cellStyle name="40% - Accent2 9 2 2 7" xfId="18334" xr:uid="{00000000-0005-0000-0000-0000CD370000}"/>
    <cellStyle name="40% - Accent2 9 2 2 7 2" xfId="42166" xr:uid="{23193DAD-342C-4584-8CD8-C0E7D034429E}"/>
    <cellStyle name="40% - Accent2 9 2 2 8" xfId="26286" xr:uid="{38EE6F9E-4A24-469F-A16E-0A340FF16C1D}"/>
    <cellStyle name="40% - Accent2 9 2 2_Exh G" xfId="2925" xr:uid="{00000000-0005-0000-0000-0000CE370000}"/>
    <cellStyle name="40% - Accent2 9 2 3" xfId="1458" xr:uid="{00000000-0005-0000-0000-0000CF370000}"/>
    <cellStyle name="40% - Accent2 9 2 3 2" xfId="4988" xr:uid="{00000000-0005-0000-0000-0000D0370000}"/>
    <cellStyle name="40% - Accent2 9 2 3 2 2" xfId="8579" xr:uid="{00000000-0005-0000-0000-0000D1370000}"/>
    <cellStyle name="40% - Accent2 9 2 3 2 2 2" xfId="16550" xr:uid="{00000000-0005-0000-0000-0000D2370000}"/>
    <cellStyle name="40% - Accent2 9 2 3 2 2 2 2" xfId="40392" xr:uid="{9DF12AF6-0C55-4F9E-B6F7-420525AF1D8A}"/>
    <cellStyle name="40% - Accent2 9 2 3 2 2 3" xfId="24496" xr:uid="{00000000-0005-0000-0000-0000D3370000}"/>
    <cellStyle name="40% - Accent2 9 2 3 2 2 3 2" xfId="48328" xr:uid="{0E56A1AE-BDA8-45DB-B33E-369C08A91B23}"/>
    <cellStyle name="40% - Accent2 9 2 3 2 2 4" xfId="32451" xr:uid="{3C25C93C-8648-4CA5-BC40-6D4237ADD252}"/>
    <cellStyle name="40% - Accent2 9 2 3 2 3" xfId="13012" xr:uid="{00000000-0005-0000-0000-0000D4370000}"/>
    <cellStyle name="40% - Accent2 9 2 3 2 3 2" xfId="36861" xr:uid="{0A43FE63-BEF9-4DB8-B964-2F2F7DEDBBDD}"/>
    <cellStyle name="40% - Accent2 9 2 3 2 4" xfId="20967" xr:uid="{00000000-0005-0000-0000-0000D5370000}"/>
    <cellStyle name="40% - Accent2 9 2 3 2 4 2" xfId="44799" xr:uid="{E37BF21A-4D06-4C98-B90F-D56E34E475A0}"/>
    <cellStyle name="40% - Accent2 9 2 3 2 5" xfId="28920" xr:uid="{024C505E-6FA0-40FC-A2AE-92995E20562E}"/>
    <cellStyle name="40% - Accent2 9 2 3 3" xfId="6820" xr:uid="{00000000-0005-0000-0000-0000D6370000}"/>
    <cellStyle name="40% - Accent2 9 2 3 3 2" xfId="14792" xr:uid="{00000000-0005-0000-0000-0000D7370000}"/>
    <cellStyle name="40% - Accent2 9 2 3 3 2 2" xfId="38634" xr:uid="{BEBF3962-A3CB-43B1-AD40-3918B3B7EFAF}"/>
    <cellStyle name="40% - Accent2 9 2 3 3 3" xfId="22739" xr:uid="{00000000-0005-0000-0000-0000D8370000}"/>
    <cellStyle name="40% - Accent2 9 2 3 3 3 2" xfId="46571" xr:uid="{7AD98134-79FE-4F52-86B5-35254B0D059A}"/>
    <cellStyle name="40% - Accent2 9 2 3 3 4" xfId="30693" xr:uid="{2BBF786B-DE70-4C8D-8474-8D8444EAB932}"/>
    <cellStyle name="40% - Accent2 9 2 3 4" xfId="11256" xr:uid="{00000000-0005-0000-0000-0000D9370000}"/>
    <cellStyle name="40% - Accent2 9 2 3 4 2" xfId="35105" xr:uid="{86C2B4FD-7D41-4138-A882-164E655F6C7F}"/>
    <cellStyle name="40% - Accent2 9 2 3 5" xfId="19211" xr:uid="{00000000-0005-0000-0000-0000DA370000}"/>
    <cellStyle name="40% - Accent2 9 2 3 5 2" xfId="43043" xr:uid="{ECDDEC4C-D31C-4524-891B-0D9CC8CFC646}"/>
    <cellStyle name="40% - Accent2 9 2 3 6" xfId="27163" xr:uid="{DFA5B8FD-DA1D-4D03-8D37-3F64CAE4E617}"/>
    <cellStyle name="40% - Accent2 9 2 3_Exh G" xfId="2927" xr:uid="{00000000-0005-0000-0000-0000DB370000}"/>
    <cellStyle name="40% - Accent2 9 2 4" xfId="4109" xr:uid="{00000000-0005-0000-0000-0000DC370000}"/>
    <cellStyle name="40% - Accent2 9 2 4 2" xfId="7701" xr:uid="{00000000-0005-0000-0000-0000DD370000}"/>
    <cellStyle name="40% - Accent2 9 2 4 2 2" xfId="15672" xr:uid="{00000000-0005-0000-0000-0000DE370000}"/>
    <cellStyle name="40% - Accent2 9 2 4 2 2 2" xfId="39514" xr:uid="{4F1B26FE-6F09-467F-9419-DED247948235}"/>
    <cellStyle name="40% - Accent2 9 2 4 2 3" xfId="23618" xr:uid="{00000000-0005-0000-0000-0000DF370000}"/>
    <cellStyle name="40% - Accent2 9 2 4 2 3 2" xfId="47450" xr:uid="{B55BDB90-638B-4A1C-AC5E-245FE7A06799}"/>
    <cellStyle name="40% - Accent2 9 2 4 2 4" xfId="31573" xr:uid="{BEB32DAF-CAE3-4E95-8030-A5545C205AC0}"/>
    <cellStyle name="40% - Accent2 9 2 4 3" xfId="12134" xr:uid="{00000000-0005-0000-0000-0000E0370000}"/>
    <cellStyle name="40% - Accent2 9 2 4 3 2" xfId="35983" xr:uid="{F5C6A411-21D8-4448-8E39-AFDD403887E2}"/>
    <cellStyle name="40% - Accent2 9 2 4 4" xfId="20089" xr:uid="{00000000-0005-0000-0000-0000E1370000}"/>
    <cellStyle name="40% - Accent2 9 2 4 4 2" xfId="43921" xr:uid="{EF5F5EA9-DE80-488B-B53C-CA081D2AE2FA}"/>
    <cellStyle name="40% - Accent2 9 2 4 5" xfId="28042" xr:uid="{A2516867-F9FE-4624-B365-B2C88DB17678}"/>
    <cellStyle name="40% - Accent2 9 2 5" xfId="5929" xr:uid="{00000000-0005-0000-0000-0000E2370000}"/>
    <cellStyle name="40% - Accent2 9 2 5 2" xfId="13913" xr:uid="{00000000-0005-0000-0000-0000E3370000}"/>
    <cellStyle name="40% - Accent2 9 2 5 2 2" xfId="37756" xr:uid="{56C92A42-B2DD-4836-AA70-EF9674018CB5}"/>
    <cellStyle name="40% - Accent2 9 2 5 3" xfId="21861" xr:uid="{00000000-0005-0000-0000-0000E4370000}"/>
    <cellStyle name="40% - Accent2 9 2 5 3 2" xfId="45693" xr:uid="{58CEA88D-C075-442B-9336-C9DDF3DDD660}"/>
    <cellStyle name="40% - Accent2 9 2 5 4" xfId="29815" xr:uid="{4C334CD2-E586-4F44-9B9C-818BB771E86C}"/>
    <cellStyle name="40% - Accent2 9 2 6" xfId="9482" xr:uid="{00000000-0005-0000-0000-0000E5370000}"/>
    <cellStyle name="40% - Accent2 9 2 6 2" xfId="17440" xr:uid="{00000000-0005-0000-0000-0000E6370000}"/>
    <cellStyle name="40% - Accent2 9 2 6 2 2" xfId="41280" xr:uid="{C25CB17D-35BE-45D8-9C61-5AD1970BE244}"/>
    <cellStyle name="40% - Accent2 9 2 6 3" xfId="25384" xr:uid="{00000000-0005-0000-0000-0000E7370000}"/>
    <cellStyle name="40% - Accent2 9 2 6 3 2" xfId="49216" xr:uid="{97CBC0E7-2491-4457-8B03-779050793471}"/>
    <cellStyle name="40% - Accent2 9 2 6 4" xfId="33339" xr:uid="{0C5C4C72-16BD-4907-93BD-68CA9E58B38D}"/>
    <cellStyle name="40% - Accent2 9 2 7" xfId="10378" xr:uid="{00000000-0005-0000-0000-0000E8370000}"/>
    <cellStyle name="40% - Accent2 9 2 7 2" xfId="34227" xr:uid="{77B53D50-72F6-40A3-8C4B-1014FDF2FEB9}"/>
    <cellStyle name="40% - Accent2 9 2 8" xfId="18333" xr:uid="{00000000-0005-0000-0000-0000E9370000}"/>
    <cellStyle name="40% - Accent2 9 2 8 2" xfId="42165" xr:uid="{CC2A0CDC-32AF-4A6D-A56D-F74B0593AC6E}"/>
    <cellStyle name="40% - Accent2 9 2 9" xfId="26285" xr:uid="{3FACE7AA-7F60-4ABC-BF64-6E4F4EE04223}"/>
    <cellStyle name="40% - Accent2 9 2_Exh G" xfId="2924" xr:uid="{00000000-0005-0000-0000-0000EA370000}"/>
    <cellStyle name="40% - Accent2 9 3" xfId="432" xr:uid="{00000000-0005-0000-0000-0000EB370000}"/>
    <cellStyle name="40% - Accent2 9 3 2" xfId="1460" xr:uid="{00000000-0005-0000-0000-0000EC370000}"/>
    <cellStyle name="40% - Accent2 9 3 2 2" xfId="4990" xr:uid="{00000000-0005-0000-0000-0000ED370000}"/>
    <cellStyle name="40% - Accent2 9 3 2 2 2" xfId="8581" xr:uid="{00000000-0005-0000-0000-0000EE370000}"/>
    <cellStyle name="40% - Accent2 9 3 2 2 2 2" xfId="16552" xr:uid="{00000000-0005-0000-0000-0000EF370000}"/>
    <cellStyle name="40% - Accent2 9 3 2 2 2 2 2" xfId="40394" xr:uid="{9306A775-9FDC-4F8F-82E8-C9CC5BBF55E4}"/>
    <cellStyle name="40% - Accent2 9 3 2 2 2 3" xfId="24498" xr:uid="{00000000-0005-0000-0000-0000F0370000}"/>
    <cellStyle name="40% - Accent2 9 3 2 2 2 3 2" xfId="48330" xr:uid="{0187C5FD-F4AE-4C26-B74F-BD3B6B25B2F1}"/>
    <cellStyle name="40% - Accent2 9 3 2 2 2 4" xfId="32453" xr:uid="{2CB3993B-E102-4D23-BA8C-4D1E85D44147}"/>
    <cellStyle name="40% - Accent2 9 3 2 2 3" xfId="13014" xr:uid="{00000000-0005-0000-0000-0000F1370000}"/>
    <cellStyle name="40% - Accent2 9 3 2 2 3 2" xfId="36863" xr:uid="{8913A634-014C-490D-A7A6-775191DD6514}"/>
    <cellStyle name="40% - Accent2 9 3 2 2 4" xfId="20969" xr:uid="{00000000-0005-0000-0000-0000F2370000}"/>
    <cellStyle name="40% - Accent2 9 3 2 2 4 2" xfId="44801" xr:uid="{C822EECF-A8CE-4DDD-8E83-EAACDA9ABAEB}"/>
    <cellStyle name="40% - Accent2 9 3 2 2 5" xfId="28922" xr:uid="{093434C1-93B2-455C-837A-4DF056AE6734}"/>
    <cellStyle name="40% - Accent2 9 3 2 3" xfId="6822" xr:uid="{00000000-0005-0000-0000-0000F3370000}"/>
    <cellStyle name="40% - Accent2 9 3 2 3 2" xfId="14794" xr:uid="{00000000-0005-0000-0000-0000F4370000}"/>
    <cellStyle name="40% - Accent2 9 3 2 3 2 2" xfId="38636" xr:uid="{86E944D1-F4D8-489B-87D6-D8673E37C7A6}"/>
    <cellStyle name="40% - Accent2 9 3 2 3 3" xfId="22741" xr:uid="{00000000-0005-0000-0000-0000F5370000}"/>
    <cellStyle name="40% - Accent2 9 3 2 3 3 2" xfId="46573" xr:uid="{64057FBE-10FF-474F-BB75-B0EE16BD9B85}"/>
    <cellStyle name="40% - Accent2 9 3 2 3 4" xfId="30695" xr:uid="{41B38F75-1AB0-4D89-925C-FED12BF7A74B}"/>
    <cellStyle name="40% - Accent2 9 3 2 4" xfId="11258" xr:uid="{00000000-0005-0000-0000-0000F6370000}"/>
    <cellStyle name="40% - Accent2 9 3 2 4 2" xfId="35107" xr:uid="{4BDF730A-6C7B-4F4C-8C5A-AE74DBBCAFC2}"/>
    <cellStyle name="40% - Accent2 9 3 2 5" xfId="19213" xr:uid="{00000000-0005-0000-0000-0000F7370000}"/>
    <cellStyle name="40% - Accent2 9 3 2 5 2" xfId="43045" xr:uid="{B5308980-702F-4C38-BB80-72451CB056E1}"/>
    <cellStyle name="40% - Accent2 9 3 2 6" xfId="27165" xr:uid="{4DA81E0F-B881-44A5-AC8E-A8BFBBCE34BC}"/>
    <cellStyle name="40% - Accent2 9 3 2_Exh G" xfId="2929" xr:uid="{00000000-0005-0000-0000-0000F8370000}"/>
    <cellStyle name="40% - Accent2 9 3 3" xfId="4111" xr:uid="{00000000-0005-0000-0000-0000F9370000}"/>
    <cellStyle name="40% - Accent2 9 3 3 2" xfId="7703" xr:uid="{00000000-0005-0000-0000-0000FA370000}"/>
    <cellStyle name="40% - Accent2 9 3 3 2 2" xfId="15674" xr:uid="{00000000-0005-0000-0000-0000FB370000}"/>
    <cellStyle name="40% - Accent2 9 3 3 2 2 2" xfId="39516" xr:uid="{6B11E242-8AD7-48E9-9AF6-28FE7A467315}"/>
    <cellStyle name="40% - Accent2 9 3 3 2 3" xfId="23620" xr:uid="{00000000-0005-0000-0000-0000FC370000}"/>
    <cellStyle name="40% - Accent2 9 3 3 2 3 2" xfId="47452" xr:uid="{0405BFD6-2C35-4DB9-8AD5-B92E4511581A}"/>
    <cellStyle name="40% - Accent2 9 3 3 2 4" xfId="31575" xr:uid="{A54B87EA-E5DA-4007-8074-FD74416D4E6D}"/>
    <cellStyle name="40% - Accent2 9 3 3 3" xfId="12136" xr:uid="{00000000-0005-0000-0000-0000FD370000}"/>
    <cellStyle name="40% - Accent2 9 3 3 3 2" xfId="35985" xr:uid="{02F08A68-B2BE-49D9-B697-6F4F06518E19}"/>
    <cellStyle name="40% - Accent2 9 3 3 4" xfId="20091" xr:uid="{00000000-0005-0000-0000-0000FE370000}"/>
    <cellStyle name="40% - Accent2 9 3 3 4 2" xfId="43923" xr:uid="{4DB60B6E-7628-4631-A76B-360273C3C945}"/>
    <cellStyle name="40% - Accent2 9 3 3 5" xfId="28044" xr:uid="{222BACE6-9123-4CF3-BB70-24960BAF1EA4}"/>
    <cellStyle name="40% - Accent2 9 3 4" xfId="5931" xr:uid="{00000000-0005-0000-0000-0000FF370000}"/>
    <cellStyle name="40% - Accent2 9 3 4 2" xfId="13915" xr:uid="{00000000-0005-0000-0000-000000380000}"/>
    <cellStyle name="40% - Accent2 9 3 4 2 2" xfId="37758" xr:uid="{578D6B04-978D-4D5A-B763-DC544BF320B5}"/>
    <cellStyle name="40% - Accent2 9 3 4 3" xfId="21863" xr:uid="{00000000-0005-0000-0000-000001380000}"/>
    <cellStyle name="40% - Accent2 9 3 4 3 2" xfId="45695" xr:uid="{30D3F7B4-EB3D-40EF-96C5-BE7D751315EB}"/>
    <cellStyle name="40% - Accent2 9 3 4 4" xfId="29817" xr:uid="{D7E1E6C8-DD5F-4515-B796-A51F451DCC5B}"/>
    <cellStyle name="40% - Accent2 9 3 5" xfId="9484" xr:uid="{00000000-0005-0000-0000-000002380000}"/>
    <cellStyle name="40% - Accent2 9 3 5 2" xfId="17442" xr:uid="{00000000-0005-0000-0000-000003380000}"/>
    <cellStyle name="40% - Accent2 9 3 5 2 2" xfId="41282" xr:uid="{68506962-92E0-4F84-820F-FDF7D0213437}"/>
    <cellStyle name="40% - Accent2 9 3 5 3" xfId="25386" xr:uid="{00000000-0005-0000-0000-000004380000}"/>
    <cellStyle name="40% - Accent2 9 3 5 3 2" xfId="49218" xr:uid="{92750618-9641-42BA-8DDF-02D30751E469}"/>
    <cellStyle name="40% - Accent2 9 3 5 4" xfId="33341" xr:uid="{0C849CF7-3A69-499E-A76B-CCA610845635}"/>
    <cellStyle name="40% - Accent2 9 3 6" xfId="10380" xr:uid="{00000000-0005-0000-0000-000005380000}"/>
    <cellStyle name="40% - Accent2 9 3 6 2" xfId="34229" xr:uid="{D3D4B0E4-39C6-4180-9B07-F412090606A2}"/>
    <cellStyle name="40% - Accent2 9 3 7" xfId="18335" xr:uid="{00000000-0005-0000-0000-000006380000}"/>
    <cellStyle name="40% - Accent2 9 3 7 2" xfId="42167" xr:uid="{170EAA3B-7D7F-4CC7-AC74-35FF8411F793}"/>
    <cellStyle name="40% - Accent2 9 3 8" xfId="26287" xr:uid="{1B4C55E8-A639-4DF7-B9D0-18B3BE2BE7AB}"/>
    <cellStyle name="40% - Accent2 9 3_Exh G" xfId="2928" xr:uid="{00000000-0005-0000-0000-000007380000}"/>
    <cellStyle name="40% - Accent2 9 4" xfId="957" xr:uid="{00000000-0005-0000-0000-000008380000}"/>
    <cellStyle name="40% - Accent2 9 4 2" xfId="1878" xr:uid="{00000000-0005-0000-0000-000009380000}"/>
    <cellStyle name="40% - Accent2 9 4 2 2" xfId="5396" xr:uid="{00000000-0005-0000-0000-00000A380000}"/>
    <cellStyle name="40% - Accent2 9 4 2 2 2" xfId="8987" xr:uid="{00000000-0005-0000-0000-00000B380000}"/>
    <cellStyle name="40% - Accent2 9 4 2 2 2 2" xfId="16958" xr:uid="{00000000-0005-0000-0000-00000C380000}"/>
    <cellStyle name="40% - Accent2 9 4 2 2 2 2 2" xfId="40800" xr:uid="{E0A122CE-FC9E-46E6-B656-3A956257736B}"/>
    <cellStyle name="40% - Accent2 9 4 2 2 2 3" xfId="24904" xr:uid="{00000000-0005-0000-0000-00000D380000}"/>
    <cellStyle name="40% - Accent2 9 4 2 2 2 3 2" xfId="48736" xr:uid="{97A90131-A3F0-4C23-9ED8-16F093D3E548}"/>
    <cellStyle name="40% - Accent2 9 4 2 2 2 4" xfId="32859" xr:uid="{2FDC8149-86A8-4961-9365-AC034DFDD490}"/>
    <cellStyle name="40% - Accent2 9 4 2 2 3" xfId="13420" xr:uid="{00000000-0005-0000-0000-00000E380000}"/>
    <cellStyle name="40% - Accent2 9 4 2 2 3 2" xfId="37269" xr:uid="{9886D8A9-947C-4E3B-BA61-87C055BE628C}"/>
    <cellStyle name="40% - Accent2 9 4 2 2 4" xfId="21375" xr:uid="{00000000-0005-0000-0000-00000F380000}"/>
    <cellStyle name="40% - Accent2 9 4 2 2 4 2" xfId="45207" xr:uid="{C636207B-95C7-4BE3-8629-1FE24291882E}"/>
    <cellStyle name="40% - Accent2 9 4 2 2 5" xfId="29328" xr:uid="{B0836826-6B98-45D2-8A1F-5EBF4D0638EE}"/>
    <cellStyle name="40% - Accent2 9 4 2 3" xfId="7228" xr:uid="{00000000-0005-0000-0000-000010380000}"/>
    <cellStyle name="40% - Accent2 9 4 2 3 2" xfId="15200" xr:uid="{00000000-0005-0000-0000-000011380000}"/>
    <cellStyle name="40% - Accent2 9 4 2 3 2 2" xfId="39042" xr:uid="{8CB4FD69-E3AA-4208-AAE4-CB81641F20AD}"/>
    <cellStyle name="40% - Accent2 9 4 2 3 3" xfId="23147" xr:uid="{00000000-0005-0000-0000-000012380000}"/>
    <cellStyle name="40% - Accent2 9 4 2 3 3 2" xfId="46979" xr:uid="{CB8B7546-9AFA-4556-BAB4-B0A4E718ABF6}"/>
    <cellStyle name="40% - Accent2 9 4 2 3 4" xfId="31101" xr:uid="{C78F0782-194A-47CF-8166-4B08920677AF}"/>
    <cellStyle name="40% - Accent2 9 4 2 4" xfId="11664" xr:uid="{00000000-0005-0000-0000-000013380000}"/>
    <cellStyle name="40% - Accent2 9 4 2 4 2" xfId="35513" xr:uid="{71501CCD-E144-44ED-8D21-44FC393552A7}"/>
    <cellStyle name="40% - Accent2 9 4 2 5" xfId="19619" xr:uid="{00000000-0005-0000-0000-000014380000}"/>
    <cellStyle name="40% - Accent2 9 4 2 5 2" xfId="43451" xr:uid="{2F2A41AC-71FC-45FB-8914-F6714453273C}"/>
    <cellStyle name="40% - Accent2 9 4 2 6" xfId="27571" xr:uid="{CBD7ECC6-695C-4C9D-88C0-A5B03EDC9A20}"/>
    <cellStyle name="40% - Accent2 9 4 2_Exh G" xfId="2931" xr:uid="{00000000-0005-0000-0000-000015380000}"/>
    <cellStyle name="40% - Accent2 9 4 3" xfId="4517" xr:uid="{00000000-0005-0000-0000-000016380000}"/>
    <cellStyle name="40% - Accent2 9 4 3 2" xfId="8109" xr:uid="{00000000-0005-0000-0000-000017380000}"/>
    <cellStyle name="40% - Accent2 9 4 3 2 2" xfId="16080" xr:uid="{00000000-0005-0000-0000-000018380000}"/>
    <cellStyle name="40% - Accent2 9 4 3 2 2 2" xfId="39922" xr:uid="{FBB72158-22C5-4F6A-9684-7C2345134078}"/>
    <cellStyle name="40% - Accent2 9 4 3 2 3" xfId="24026" xr:uid="{00000000-0005-0000-0000-000019380000}"/>
    <cellStyle name="40% - Accent2 9 4 3 2 3 2" xfId="47858" xr:uid="{C9D2ED9E-9BD3-4987-BF00-929D31D34C52}"/>
    <cellStyle name="40% - Accent2 9 4 3 2 4" xfId="31981" xr:uid="{549D9582-2044-4CE7-952A-49E218904A11}"/>
    <cellStyle name="40% - Accent2 9 4 3 3" xfId="12542" xr:uid="{00000000-0005-0000-0000-00001A380000}"/>
    <cellStyle name="40% - Accent2 9 4 3 3 2" xfId="36391" xr:uid="{713A8996-D1BA-44F7-9428-9B9ADCCE8662}"/>
    <cellStyle name="40% - Accent2 9 4 3 4" xfId="20497" xr:uid="{00000000-0005-0000-0000-00001B380000}"/>
    <cellStyle name="40% - Accent2 9 4 3 4 2" xfId="44329" xr:uid="{5073C482-9A95-45B5-8566-4F1813C905BE}"/>
    <cellStyle name="40% - Accent2 9 4 3 5" xfId="28450" xr:uid="{13A11FA9-127A-430E-BDF9-7D731714D3B2}"/>
    <cellStyle name="40% - Accent2 9 4 4" xfId="6347" xr:uid="{00000000-0005-0000-0000-00001C380000}"/>
    <cellStyle name="40% - Accent2 9 4 4 2" xfId="14322" xr:uid="{00000000-0005-0000-0000-00001D380000}"/>
    <cellStyle name="40% - Accent2 9 4 4 2 2" xfId="38164" xr:uid="{0B5E94B6-7358-457E-BFE4-8621CBF0CA0F}"/>
    <cellStyle name="40% - Accent2 9 4 4 3" xfId="22269" xr:uid="{00000000-0005-0000-0000-00001E380000}"/>
    <cellStyle name="40% - Accent2 9 4 4 3 2" xfId="46101" xr:uid="{A6E95926-D0E9-4B72-81DA-4993D26D964A}"/>
    <cellStyle name="40% - Accent2 9 4 4 4" xfId="30223" xr:uid="{08750E39-DFC9-4069-B973-A9A6E0AA9ED8}"/>
    <cellStyle name="40% - Accent2 9 4 5" xfId="9890" xr:uid="{00000000-0005-0000-0000-00001F380000}"/>
    <cellStyle name="40% - Accent2 9 4 5 2" xfId="17848" xr:uid="{00000000-0005-0000-0000-000020380000}"/>
    <cellStyle name="40% - Accent2 9 4 5 2 2" xfId="41688" xr:uid="{4A67C841-9A28-4224-9B65-597308EB24D1}"/>
    <cellStyle name="40% - Accent2 9 4 5 3" xfId="25792" xr:uid="{00000000-0005-0000-0000-000021380000}"/>
    <cellStyle name="40% - Accent2 9 4 5 3 2" xfId="49624" xr:uid="{637120D7-D8BF-4C0F-8BCC-D9CD74F913B7}"/>
    <cellStyle name="40% - Accent2 9 4 5 4" xfId="33747" xr:uid="{FFDC60B5-21E1-4FCA-B332-6633A363CA3C}"/>
    <cellStyle name="40% - Accent2 9 4 6" xfId="10786" xr:uid="{00000000-0005-0000-0000-000022380000}"/>
    <cellStyle name="40% - Accent2 9 4 6 2" xfId="34635" xr:uid="{9E28BF84-998F-49F4-A0D9-F285D50BB857}"/>
    <cellStyle name="40% - Accent2 9 4 7" xfId="18741" xr:uid="{00000000-0005-0000-0000-000023380000}"/>
    <cellStyle name="40% - Accent2 9 4 7 2" xfId="42573" xr:uid="{A24F91E9-4FF4-4624-8AB2-7695D2F9656F}"/>
    <cellStyle name="40% - Accent2 9 4 8" xfId="26693" xr:uid="{FE117CEB-FEE7-482E-BE80-B12375EBF09E}"/>
    <cellStyle name="40% - Accent2 9 4_Exh G" xfId="2930" xr:uid="{00000000-0005-0000-0000-000024380000}"/>
    <cellStyle name="40% - Accent2 9 5" xfId="1457" xr:uid="{00000000-0005-0000-0000-000025380000}"/>
    <cellStyle name="40% - Accent2 9 5 2" xfId="4987" xr:uid="{00000000-0005-0000-0000-000026380000}"/>
    <cellStyle name="40% - Accent2 9 5 2 2" xfId="8578" xr:uid="{00000000-0005-0000-0000-000027380000}"/>
    <cellStyle name="40% - Accent2 9 5 2 2 2" xfId="16549" xr:uid="{00000000-0005-0000-0000-000028380000}"/>
    <cellStyle name="40% - Accent2 9 5 2 2 2 2" xfId="40391" xr:uid="{97E0802C-2D32-4541-9BF4-D6370A5F97E1}"/>
    <cellStyle name="40% - Accent2 9 5 2 2 3" xfId="24495" xr:uid="{00000000-0005-0000-0000-000029380000}"/>
    <cellStyle name="40% - Accent2 9 5 2 2 3 2" xfId="48327" xr:uid="{D28ED6C3-9AD5-4392-BF5F-3B7FA1C39564}"/>
    <cellStyle name="40% - Accent2 9 5 2 2 4" xfId="32450" xr:uid="{15FD246A-3044-44DA-927A-CFD7D9643CB1}"/>
    <cellStyle name="40% - Accent2 9 5 2 3" xfId="13011" xr:uid="{00000000-0005-0000-0000-00002A380000}"/>
    <cellStyle name="40% - Accent2 9 5 2 3 2" xfId="36860" xr:uid="{811C7A58-82DE-4C38-8AC7-0658EDB5BA3F}"/>
    <cellStyle name="40% - Accent2 9 5 2 4" xfId="20966" xr:uid="{00000000-0005-0000-0000-00002B380000}"/>
    <cellStyle name="40% - Accent2 9 5 2 4 2" xfId="44798" xr:uid="{70CE2AEE-49E9-488A-9BA2-B47053553A7B}"/>
    <cellStyle name="40% - Accent2 9 5 2 5" xfId="28919" xr:uid="{01325990-1747-4DDC-9D20-1C2603CCE963}"/>
    <cellStyle name="40% - Accent2 9 5 3" xfId="6819" xr:uid="{00000000-0005-0000-0000-00002C380000}"/>
    <cellStyle name="40% - Accent2 9 5 3 2" xfId="14791" xr:uid="{00000000-0005-0000-0000-00002D380000}"/>
    <cellStyle name="40% - Accent2 9 5 3 2 2" xfId="38633" xr:uid="{483359A7-7839-46A8-959B-0DFE307724E6}"/>
    <cellStyle name="40% - Accent2 9 5 3 3" xfId="22738" xr:uid="{00000000-0005-0000-0000-00002E380000}"/>
    <cellStyle name="40% - Accent2 9 5 3 3 2" xfId="46570" xr:uid="{80659E03-F25C-4E60-9456-EB937C950C97}"/>
    <cellStyle name="40% - Accent2 9 5 3 4" xfId="30692" xr:uid="{5B943B17-053C-4D8E-B2EA-2E7FD40207A8}"/>
    <cellStyle name="40% - Accent2 9 5 4" xfId="11255" xr:uid="{00000000-0005-0000-0000-00002F380000}"/>
    <cellStyle name="40% - Accent2 9 5 4 2" xfId="35104" xr:uid="{4632288E-7FF8-48E2-BDDC-74800F93B36C}"/>
    <cellStyle name="40% - Accent2 9 5 5" xfId="19210" xr:uid="{00000000-0005-0000-0000-000030380000}"/>
    <cellStyle name="40% - Accent2 9 5 5 2" xfId="43042" xr:uid="{3B9DC9D8-366F-423C-B531-AF00C43CEFD6}"/>
    <cellStyle name="40% - Accent2 9 5 6" xfId="27162" xr:uid="{AEAF5638-78D7-43CF-8BFE-C98A13F1CF30}"/>
    <cellStyle name="40% - Accent2 9 5_Exh G" xfId="2932" xr:uid="{00000000-0005-0000-0000-000031380000}"/>
    <cellStyle name="40% - Accent2 9 6" xfId="4108" xr:uid="{00000000-0005-0000-0000-000032380000}"/>
    <cellStyle name="40% - Accent2 9 6 2" xfId="7700" xr:uid="{00000000-0005-0000-0000-000033380000}"/>
    <cellStyle name="40% - Accent2 9 6 2 2" xfId="15671" xr:uid="{00000000-0005-0000-0000-000034380000}"/>
    <cellStyle name="40% - Accent2 9 6 2 2 2" xfId="39513" xr:uid="{2D5B5EDA-F6E1-4B45-B707-19E2FE4A4BAD}"/>
    <cellStyle name="40% - Accent2 9 6 2 3" xfId="23617" xr:uid="{00000000-0005-0000-0000-000035380000}"/>
    <cellStyle name="40% - Accent2 9 6 2 3 2" xfId="47449" xr:uid="{E2461A19-0D85-49A1-BB6B-29CC4399E9F1}"/>
    <cellStyle name="40% - Accent2 9 6 2 4" xfId="31572" xr:uid="{B2179914-3F62-438E-AFE6-D202F966EFC1}"/>
    <cellStyle name="40% - Accent2 9 6 3" xfId="12133" xr:uid="{00000000-0005-0000-0000-000036380000}"/>
    <cellStyle name="40% - Accent2 9 6 3 2" xfId="35982" xr:uid="{2D723C34-25F6-478B-8364-D9224EBEBD0C}"/>
    <cellStyle name="40% - Accent2 9 6 4" xfId="20088" xr:uid="{00000000-0005-0000-0000-000037380000}"/>
    <cellStyle name="40% - Accent2 9 6 4 2" xfId="43920" xr:uid="{275AC6AE-9F15-4E0D-8403-7B62CB4A4916}"/>
    <cellStyle name="40% - Accent2 9 6 5" xfId="28041" xr:uid="{51E2E43E-F68C-43FA-A868-66F5DD671B44}"/>
    <cellStyle name="40% - Accent2 9 7" xfId="5928" xr:uid="{00000000-0005-0000-0000-000038380000}"/>
    <cellStyle name="40% - Accent2 9 7 2" xfId="13912" xr:uid="{00000000-0005-0000-0000-000039380000}"/>
    <cellStyle name="40% - Accent2 9 7 2 2" xfId="37755" xr:uid="{318007FF-F307-45B4-A394-F6D204A13515}"/>
    <cellStyle name="40% - Accent2 9 7 3" xfId="21860" xr:uid="{00000000-0005-0000-0000-00003A380000}"/>
    <cellStyle name="40% - Accent2 9 7 3 2" xfId="45692" xr:uid="{A339FC58-0829-423F-9EC2-03387681CC21}"/>
    <cellStyle name="40% - Accent2 9 7 4" xfId="29814" xr:uid="{9C2F696A-32E6-436E-8A7F-7DCE9F539027}"/>
    <cellStyle name="40% - Accent2 9 8" xfId="9481" xr:uid="{00000000-0005-0000-0000-00003B380000}"/>
    <cellStyle name="40% - Accent2 9 8 2" xfId="17439" xr:uid="{00000000-0005-0000-0000-00003C380000}"/>
    <cellStyle name="40% - Accent2 9 8 2 2" xfId="41279" xr:uid="{6F5455DB-E785-40C3-A635-EACF1363CC04}"/>
    <cellStyle name="40% - Accent2 9 8 3" xfId="25383" xr:uid="{00000000-0005-0000-0000-00003D380000}"/>
    <cellStyle name="40% - Accent2 9 8 3 2" xfId="49215" xr:uid="{6989F803-62AE-4CB6-8E37-EDDC92C1BAA0}"/>
    <cellStyle name="40% - Accent2 9 8 4" xfId="33338" xr:uid="{CC2C912B-8DCE-4837-8F58-E22635F91000}"/>
    <cellStyle name="40% - Accent2 9 9" xfId="10377" xr:uid="{00000000-0005-0000-0000-00003E380000}"/>
    <cellStyle name="40% - Accent2 9 9 2" xfId="34226" xr:uid="{7A798301-80B6-4F6C-B333-B1D8E60F054C}"/>
    <cellStyle name="40% - Accent2 9_Exh G" xfId="2923" xr:uid="{00000000-0005-0000-0000-00003F380000}"/>
    <cellStyle name="40% - Accent3" xfId="49701" builtinId="39" customBuiltin="1"/>
    <cellStyle name="40% - Accent3 10" xfId="433" xr:uid="{00000000-0005-0000-0000-000040380000}"/>
    <cellStyle name="40% - Accent3 10 10" xfId="18336" xr:uid="{00000000-0005-0000-0000-000041380000}"/>
    <cellStyle name="40% - Accent3 10 10 2" xfId="42168" xr:uid="{F831439E-9CE4-46F0-B1A3-85C89AFD2B20}"/>
    <cellStyle name="40% - Accent3 10 11" xfId="26288" xr:uid="{D810F4AB-48F8-4CAB-9BBF-71C12F070960}"/>
    <cellStyle name="40% - Accent3 10 2" xfId="434" xr:uid="{00000000-0005-0000-0000-000042380000}"/>
    <cellStyle name="40% - Accent3 10 2 2" xfId="435" xr:uid="{00000000-0005-0000-0000-000043380000}"/>
    <cellStyle name="40% - Accent3 10 2 2 2" xfId="1463" xr:uid="{00000000-0005-0000-0000-000044380000}"/>
    <cellStyle name="40% - Accent3 10 2 2 2 2" xfId="4993" xr:uid="{00000000-0005-0000-0000-000045380000}"/>
    <cellStyle name="40% - Accent3 10 2 2 2 2 2" xfId="8584" xr:uid="{00000000-0005-0000-0000-000046380000}"/>
    <cellStyle name="40% - Accent3 10 2 2 2 2 2 2" xfId="16555" xr:uid="{00000000-0005-0000-0000-000047380000}"/>
    <cellStyle name="40% - Accent3 10 2 2 2 2 2 2 2" xfId="40397" xr:uid="{4ADF53B9-1AFC-4A7C-BAB0-BD4F851947D6}"/>
    <cellStyle name="40% - Accent3 10 2 2 2 2 2 3" xfId="24501" xr:uid="{00000000-0005-0000-0000-000048380000}"/>
    <cellStyle name="40% - Accent3 10 2 2 2 2 2 3 2" xfId="48333" xr:uid="{0F1C19A8-C569-4BC3-BFE5-4C02C00D5279}"/>
    <cellStyle name="40% - Accent3 10 2 2 2 2 2 4" xfId="32456" xr:uid="{F61D1097-BD2B-48D4-91B4-63D5A76F6CA5}"/>
    <cellStyle name="40% - Accent3 10 2 2 2 2 3" xfId="13017" xr:uid="{00000000-0005-0000-0000-000049380000}"/>
    <cellStyle name="40% - Accent3 10 2 2 2 2 3 2" xfId="36866" xr:uid="{ED84CC49-7143-4F23-AA0B-B0F8F18E82C1}"/>
    <cellStyle name="40% - Accent3 10 2 2 2 2 4" xfId="20972" xr:uid="{00000000-0005-0000-0000-00004A380000}"/>
    <cellStyle name="40% - Accent3 10 2 2 2 2 4 2" xfId="44804" xr:uid="{CF32FC18-5D42-41CB-8614-7ABE8835AACC}"/>
    <cellStyle name="40% - Accent3 10 2 2 2 2 5" xfId="28925" xr:uid="{44E7EC81-EDB7-4049-9DB3-A6C143AE4270}"/>
    <cellStyle name="40% - Accent3 10 2 2 2 3" xfId="6825" xr:uid="{00000000-0005-0000-0000-00004B380000}"/>
    <cellStyle name="40% - Accent3 10 2 2 2 3 2" xfId="14797" xr:uid="{00000000-0005-0000-0000-00004C380000}"/>
    <cellStyle name="40% - Accent3 10 2 2 2 3 2 2" xfId="38639" xr:uid="{B78C71F7-BC37-4BC9-B565-E6763E13DC9B}"/>
    <cellStyle name="40% - Accent3 10 2 2 2 3 3" xfId="22744" xr:uid="{00000000-0005-0000-0000-00004D380000}"/>
    <cellStyle name="40% - Accent3 10 2 2 2 3 3 2" xfId="46576" xr:uid="{FA5AB461-E856-4EAB-B2B3-83C457EED532}"/>
    <cellStyle name="40% - Accent3 10 2 2 2 3 4" xfId="30698" xr:uid="{3E8C87B7-C977-4C61-A4D5-AA5597E419D0}"/>
    <cellStyle name="40% - Accent3 10 2 2 2 4" xfId="11261" xr:uid="{00000000-0005-0000-0000-00004E380000}"/>
    <cellStyle name="40% - Accent3 10 2 2 2 4 2" xfId="35110" xr:uid="{33583B8E-C932-4C73-8DB4-1F48098BA284}"/>
    <cellStyle name="40% - Accent3 10 2 2 2 5" xfId="19216" xr:uid="{00000000-0005-0000-0000-00004F380000}"/>
    <cellStyle name="40% - Accent3 10 2 2 2 5 2" xfId="43048" xr:uid="{6866EE04-3C06-41C6-BA2E-3C8A7EBB07EF}"/>
    <cellStyle name="40% - Accent3 10 2 2 2 6" xfId="27168" xr:uid="{E1E2D537-17AB-4481-ACCD-76829A80C41C}"/>
    <cellStyle name="40% - Accent3 10 2 2 2_Exh G" xfId="2936" xr:uid="{00000000-0005-0000-0000-000050380000}"/>
    <cellStyle name="40% - Accent3 10 2 2 3" xfId="4114" xr:uid="{00000000-0005-0000-0000-000051380000}"/>
    <cellStyle name="40% - Accent3 10 2 2 3 2" xfId="7706" xr:uid="{00000000-0005-0000-0000-000052380000}"/>
    <cellStyle name="40% - Accent3 10 2 2 3 2 2" xfId="15677" xr:uid="{00000000-0005-0000-0000-000053380000}"/>
    <cellStyle name="40% - Accent3 10 2 2 3 2 2 2" xfId="39519" xr:uid="{B387E84B-44A7-4107-BE5D-B86F94428621}"/>
    <cellStyle name="40% - Accent3 10 2 2 3 2 3" xfId="23623" xr:uid="{00000000-0005-0000-0000-000054380000}"/>
    <cellStyle name="40% - Accent3 10 2 2 3 2 3 2" xfId="47455" xr:uid="{CCD626C6-D190-4C24-A32F-7F3A1E39389A}"/>
    <cellStyle name="40% - Accent3 10 2 2 3 2 4" xfId="31578" xr:uid="{BF1606F1-6083-4208-8312-3AD92567EF84}"/>
    <cellStyle name="40% - Accent3 10 2 2 3 3" xfId="12139" xr:uid="{00000000-0005-0000-0000-000055380000}"/>
    <cellStyle name="40% - Accent3 10 2 2 3 3 2" xfId="35988" xr:uid="{7EE5735C-17AB-46E7-B095-EEE516917AA2}"/>
    <cellStyle name="40% - Accent3 10 2 2 3 4" xfId="20094" xr:uid="{00000000-0005-0000-0000-000056380000}"/>
    <cellStyle name="40% - Accent3 10 2 2 3 4 2" xfId="43926" xr:uid="{915469C6-78A1-43AD-BBEF-494B3885C7AA}"/>
    <cellStyle name="40% - Accent3 10 2 2 3 5" xfId="28047" xr:uid="{7BEA732F-0C8C-4A27-B277-CF09AB3C0723}"/>
    <cellStyle name="40% - Accent3 10 2 2 4" xfId="5934" xr:uid="{00000000-0005-0000-0000-000057380000}"/>
    <cellStyle name="40% - Accent3 10 2 2 4 2" xfId="13918" xr:uid="{00000000-0005-0000-0000-000058380000}"/>
    <cellStyle name="40% - Accent3 10 2 2 4 2 2" xfId="37761" xr:uid="{54E30A2B-ACDD-41BA-A3F6-00937812F181}"/>
    <cellStyle name="40% - Accent3 10 2 2 4 3" xfId="21866" xr:uid="{00000000-0005-0000-0000-000059380000}"/>
    <cellStyle name="40% - Accent3 10 2 2 4 3 2" xfId="45698" xr:uid="{AB9F3E5B-71BA-41A1-B885-0823C8966DCE}"/>
    <cellStyle name="40% - Accent3 10 2 2 4 4" xfId="29820" xr:uid="{F5D757E8-FA08-4132-AC59-747F5A0F27E7}"/>
    <cellStyle name="40% - Accent3 10 2 2 5" xfId="9487" xr:uid="{00000000-0005-0000-0000-00005A380000}"/>
    <cellStyle name="40% - Accent3 10 2 2 5 2" xfId="17445" xr:uid="{00000000-0005-0000-0000-00005B380000}"/>
    <cellStyle name="40% - Accent3 10 2 2 5 2 2" xfId="41285" xr:uid="{E625AFE7-6541-49DC-A2A4-87A265EA5968}"/>
    <cellStyle name="40% - Accent3 10 2 2 5 3" xfId="25389" xr:uid="{00000000-0005-0000-0000-00005C380000}"/>
    <cellStyle name="40% - Accent3 10 2 2 5 3 2" xfId="49221" xr:uid="{A03713F1-BB47-486D-806E-614395F32A19}"/>
    <cellStyle name="40% - Accent3 10 2 2 5 4" xfId="33344" xr:uid="{2EAC7D85-FDBD-47AF-B863-5E660D1C7FE1}"/>
    <cellStyle name="40% - Accent3 10 2 2 6" xfId="10383" xr:uid="{00000000-0005-0000-0000-00005D380000}"/>
    <cellStyle name="40% - Accent3 10 2 2 6 2" xfId="34232" xr:uid="{F6EB6D4C-E59B-46AE-B6AD-9713CCE94657}"/>
    <cellStyle name="40% - Accent3 10 2 2 7" xfId="18338" xr:uid="{00000000-0005-0000-0000-00005E380000}"/>
    <cellStyle name="40% - Accent3 10 2 2 7 2" xfId="42170" xr:uid="{76265628-1937-472D-9AA6-1851D1453CFA}"/>
    <cellStyle name="40% - Accent3 10 2 2 8" xfId="26290" xr:uid="{B5DA5BB1-2E8D-4A6E-AB0F-00D204B7B6AC}"/>
    <cellStyle name="40% - Accent3 10 2 2_Exh G" xfId="2935" xr:uid="{00000000-0005-0000-0000-00005F380000}"/>
    <cellStyle name="40% - Accent3 10 2 3" xfId="1462" xr:uid="{00000000-0005-0000-0000-000060380000}"/>
    <cellStyle name="40% - Accent3 10 2 3 2" xfId="4992" xr:uid="{00000000-0005-0000-0000-000061380000}"/>
    <cellStyle name="40% - Accent3 10 2 3 2 2" xfId="8583" xr:uid="{00000000-0005-0000-0000-000062380000}"/>
    <cellStyle name="40% - Accent3 10 2 3 2 2 2" xfId="16554" xr:uid="{00000000-0005-0000-0000-000063380000}"/>
    <cellStyle name="40% - Accent3 10 2 3 2 2 2 2" xfId="40396" xr:uid="{67C75F41-CF5D-4D5F-BC34-D13541E55A25}"/>
    <cellStyle name="40% - Accent3 10 2 3 2 2 3" xfId="24500" xr:uid="{00000000-0005-0000-0000-000064380000}"/>
    <cellStyle name="40% - Accent3 10 2 3 2 2 3 2" xfId="48332" xr:uid="{84EF1E45-C767-46C3-A850-FBD293714D47}"/>
    <cellStyle name="40% - Accent3 10 2 3 2 2 4" xfId="32455" xr:uid="{6B15F6C4-5E22-49D7-BB56-C3F3A63C144B}"/>
    <cellStyle name="40% - Accent3 10 2 3 2 3" xfId="13016" xr:uid="{00000000-0005-0000-0000-000065380000}"/>
    <cellStyle name="40% - Accent3 10 2 3 2 3 2" xfId="36865" xr:uid="{25F4567A-9DD1-429F-85D2-B1D4FC2F2CF5}"/>
    <cellStyle name="40% - Accent3 10 2 3 2 4" xfId="20971" xr:uid="{00000000-0005-0000-0000-000066380000}"/>
    <cellStyle name="40% - Accent3 10 2 3 2 4 2" xfId="44803" xr:uid="{B5C60053-7BA6-4B9A-B269-9ECE30D8AF52}"/>
    <cellStyle name="40% - Accent3 10 2 3 2 5" xfId="28924" xr:uid="{922D32B1-8C59-40EA-A2AA-005E9C9AA880}"/>
    <cellStyle name="40% - Accent3 10 2 3 3" xfId="6824" xr:uid="{00000000-0005-0000-0000-000067380000}"/>
    <cellStyle name="40% - Accent3 10 2 3 3 2" xfId="14796" xr:uid="{00000000-0005-0000-0000-000068380000}"/>
    <cellStyle name="40% - Accent3 10 2 3 3 2 2" xfId="38638" xr:uid="{9FD37FA0-46F7-4DB3-B3A0-A597DA15394B}"/>
    <cellStyle name="40% - Accent3 10 2 3 3 3" xfId="22743" xr:uid="{00000000-0005-0000-0000-000069380000}"/>
    <cellStyle name="40% - Accent3 10 2 3 3 3 2" xfId="46575" xr:uid="{0688A684-3870-46F9-A19C-82673019AF8B}"/>
    <cellStyle name="40% - Accent3 10 2 3 3 4" xfId="30697" xr:uid="{EE9A72E7-B372-45A0-B74A-A24C68E203F7}"/>
    <cellStyle name="40% - Accent3 10 2 3 4" xfId="11260" xr:uid="{00000000-0005-0000-0000-00006A380000}"/>
    <cellStyle name="40% - Accent3 10 2 3 4 2" xfId="35109" xr:uid="{84DE924A-F527-4637-A4B1-248E5FF10910}"/>
    <cellStyle name="40% - Accent3 10 2 3 5" xfId="19215" xr:uid="{00000000-0005-0000-0000-00006B380000}"/>
    <cellStyle name="40% - Accent3 10 2 3 5 2" xfId="43047" xr:uid="{58351DA0-0A4B-4E28-B477-2732B64F0128}"/>
    <cellStyle name="40% - Accent3 10 2 3 6" xfId="27167" xr:uid="{8276EF07-84B3-41FB-A8BD-698A876DA13D}"/>
    <cellStyle name="40% - Accent3 10 2 3_Exh G" xfId="2937" xr:uid="{00000000-0005-0000-0000-00006C380000}"/>
    <cellStyle name="40% - Accent3 10 2 4" xfId="4113" xr:uid="{00000000-0005-0000-0000-00006D380000}"/>
    <cellStyle name="40% - Accent3 10 2 4 2" xfId="7705" xr:uid="{00000000-0005-0000-0000-00006E380000}"/>
    <cellStyle name="40% - Accent3 10 2 4 2 2" xfId="15676" xr:uid="{00000000-0005-0000-0000-00006F380000}"/>
    <cellStyle name="40% - Accent3 10 2 4 2 2 2" xfId="39518" xr:uid="{66A61A3D-52A2-4ED1-A648-3D6303B16986}"/>
    <cellStyle name="40% - Accent3 10 2 4 2 3" xfId="23622" xr:uid="{00000000-0005-0000-0000-000070380000}"/>
    <cellStyle name="40% - Accent3 10 2 4 2 3 2" xfId="47454" xr:uid="{16D638F0-C546-41A3-996E-784E69425CBA}"/>
    <cellStyle name="40% - Accent3 10 2 4 2 4" xfId="31577" xr:uid="{3DB5626B-CD0E-45AD-849B-522CCE9DECB7}"/>
    <cellStyle name="40% - Accent3 10 2 4 3" xfId="12138" xr:uid="{00000000-0005-0000-0000-000071380000}"/>
    <cellStyle name="40% - Accent3 10 2 4 3 2" xfId="35987" xr:uid="{4F2FD807-A3CE-4500-8C80-2DC9E87C5BA5}"/>
    <cellStyle name="40% - Accent3 10 2 4 4" xfId="20093" xr:uid="{00000000-0005-0000-0000-000072380000}"/>
    <cellStyle name="40% - Accent3 10 2 4 4 2" xfId="43925" xr:uid="{B48392DA-3F3D-4681-9129-2D90A2D76A0C}"/>
    <cellStyle name="40% - Accent3 10 2 4 5" xfId="28046" xr:uid="{1A23CCF9-6515-4498-B676-9713CB7BAB64}"/>
    <cellStyle name="40% - Accent3 10 2 5" xfId="5933" xr:uid="{00000000-0005-0000-0000-000073380000}"/>
    <cellStyle name="40% - Accent3 10 2 5 2" xfId="13917" xr:uid="{00000000-0005-0000-0000-000074380000}"/>
    <cellStyle name="40% - Accent3 10 2 5 2 2" xfId="37760" xr:uid="{7985F66D-DCBC-45E8-8309-56FE0827E004}"/>
    <cellStyle name="40% - Accent3 10 2 5 3" xfId="21865" xr:uid="{00000000-0005-0000-0000-000075380000}"/>
    <cellStyle name="40% - Accent3 10 2 5 3 2" xfId="45697" xr:uid="{A32A415E-03CC-4EEA-8738-D701E5BBCBBF}"/>
    <cellStyle name="40% - Accent3 10 2 5 4" xfId="29819" xr:uid="{804503F3-5B5E-485C-97D5-6647BAB9959E}"/>
    <cellStyle name="40% - Accent3 10 2 6" xfId="9486" xr:uid="{00000000-0005-0000-0000-000076380000}"/>
    <cellStyle name="40% - Accent3 10 2 6 2" xfId="17444" xr:uid="{00000000-0005-0000-0000-000077380000}"/>
    <cellStyle name="40% - Accent3 10 2 6 2 2" xfId="41284" xr:uid="{FD228C64-EDF0-466E-938E-A34068666FDD}"/>
    <cellStyle name="40% - Accent3 10 2 6 3" xfId="25388" xr:uid="{00000000-0005-0000-0000-000078380000}"/>
    <cellStyle name="40% - Accent3 10 2 6 3 2" xfId="49220" xr:uid="{088BD30A-F8FD-4C06-93DD-1E639BB198A6}"/>
    <cellStyle name="40% - Accent3 10 2 6 4" xfId="33343" xr:uid="{73A9AF9E-7292-45FE-BAF9-91CAF8AFA342}"/>
    <cellStyle name="40% - Accent3 10 2 7" xfId="10382" xr:uid="{00000000-0005-0000-0000-000079380000}"/>
    <cellStyle name="40% - Accent3 10 2 7 2" xfId="34231" xr:uid="{AF50873E-6695-41F1-A900-FE7BA96E521D}"/>
    <cellStyle name="40% - Accent3 10 2 8" xfId="18337" xr:uid="{00000000-0005-0000-0000-00007A380000}"/>
    <cellStyle name="40% - Accent3 10 2 8 2" xfId="42169" xr:uid="{347D3231-3DD6-4ECA-BEE6-ACB2AB618C2D}"/>
    <cellStyle name="40% - Accent3 10 2 9" xfId="26289" xr:uid="{F65C36E8-EF32-4683-B2F2-5C0C10BF1857}"/>
    <cellStyle name="40% - Accent3 10 2_Exh G" xfId="2934" xr:uid="{00000000-0005-0000-0000-00007B380000}"/>
    <cellStyle name="40% - Accent3 10 3" xfId="436" xr:uid="{00000000-0005-0000-0000-00007C380000}"/>
    <cellStyle name="40% - Accent3 10 3 2" xfId="1464" xr:uid="{00000000-0005-0000-0000-00007D380000}"/>
    <cellStyle name="40% - Accent3 10 3 2 2" xfId="4994" xr:uid="{00000000-0005-0000-0000-00007E380000}"/>
    <cellStyle name="40% - Accent3 10 3 2 2 2" xfId="8585" xr:uid="{00000000-0005-0000-0000-00007F380000}"/>
    <cellStyle name="40% - Accent3 10 3 2 2 2 2" xfId="16556" xr:uid="{00000000-0005-0000-0000-000080380000}"/>
    <cellStyle name="40% - Accent3 10 3 2 2 2 2 2" xfId="40398" xr:uid="{7CBF3352-1812-4B51-A510-FAA3FFF999DC}"/>
    <cellStyle name="40% - Accent3 10 3 2 2 2 3" xfId="24502" xr:uid="{00000000-0005-0000-0000-000081380000}"/>
    <cellStyle name="40% - Accent3 10 3 2 2 2 3 2" xfId="48334" xr:uid="{F6E650E8-2C45-4B05-9A54-8C3C198E1640}"/>
    <cellStyle name="40% - Accent3 10 3 2 2 2 4" xfId="32457" xr:uid="{3E03B960-75D8-4E33-8F4F-9CB8B1B70ADF}"/>
    <cellStyle name="40% - Accent3 10 3 2 2 3" xfId="13018" xr:uid="{00000000-0005-0000-0000-000082380000}"/>
    <cellStyle name="40% - Accent3 10 3 2 2 3 2" xfId="36867" xr:uid="{60125317-CE1A-468C-999D-091E358F65BF}"/>
    <cellStyle name="40% - Accent3 10 3 2 2 4" xfId="20973" xr:uid="{00000000-0005-0000-0000-000083380000}"/>
    <cellStyle name="40% - Accent3 10 3 2 2 4 2" xfId="44805" xr:uid="{D94F06A1-0FDF-4265-9A41-81F1A5437831}"/>
    <cellStyle name="40% - Accent3 10 3 2 2 5" xfId="28926" xr:uid="{E40BB5FB-A31B-4026-A3C4-2C33AEF72108}"/>
    <cellStyle name="40% - Accent3 10 3 2 3" xfId="6826" xr:uid="{00000000-0005-0000-0000-000084380000}"/>
    <cellStyle name="40% - Accent3 10 3 2 3 2" xfId="14798" xr:uid="{00000000-0005-0000-0000-000085380000}"/>
    <cellStyle name="40% - Accent3 10 3 2 3 2 2" xfId="38640" xr:uid="{B284695C-B384-48E0-BB99-3D5F38CFDD17}"/>
    <cellStyle name="40% - Accent3 10 3 2 3 3" xfId="22745" xr:uid="{00000000-0005-0000-0000-000086380000}"/>
    <cellStyle name="40% - Accent3 10 3 2 3 3 2" xfId="46577" xr:uid="{5CB2E02D-276C-4742-8003-0B9C8D80642B}"/>
    <cellStyle name="40% - Accent3 10 3 2 3 4" xfId="30699" xr:uid="{86DC389C-951B-4144-BBB7-A794CDCAC4AA}"/>
    <cellStyle name="40% - Accent3 10 3 2 4" xfId="11262" xr:uid="{00000000-0005-0000-0000-000087380000}"/>
    <cellStyle name="40% - Accent3 10 3 2 4 2" xfId="35111" xr:uid="{A8622CA6-6607-4B34-8C4B-B4BF71CFAA23}"/>
    <cellStyle name="40% - Accent3 10 3 2 5" xfId="19217" xr:uid="{00000000-0005-0000-0000-000088380000}"/>
    <cellStyle name="40% - Accent3 10 3 2 5 2" xfId="43049" xr:uid="{6C846587-00D9-430A-AFE1-9EF6FCA473C9}"/>
    <cellStyle name="40% - Accent3 10 3 2 6" xfId="27169" xr:uid="{62342D30-BA6E-40DB-975E-094393D498A2}"/>
    <cellStyle name="40% - Accent3 10 3 2_Exh G" xfId="2939" xr:uid="{00000000-0005-0000-0000-000089380000}"/>
    <cellStyle name="40% - Accent3 10 3 3" xfId="4115" xr:uid="{00000000-0005-0000-0000-00008A380000}"/>
    <cellStyle name="40% - Accent3 10 3 3 2" xfId="7707" xr:uid="{00000000-0005-0000-0000-00008B380000}"/>
    <cellStyle name="40% - Accent3 10 3 3 2 2" xfId="15678" xr:uid="{00000000-0005-0000-0000-00008C380000}"/>
    <cellStyle name="40% - Accent3 10 3 3 2 2 2" xfId="39520" xr:uid="{E594CA9E-19D5-438A-8972-DCE25D9C7F98}"/>
    <cellStyle name="40% - Accent3 10 3 3 2 3" xfId="23624" xr:uid="{00000000-0005-0000-0000-00008D380000}"/>
    <cellStyle name="40% - Accent3 10 3 3 2 3 2" xfId="47456" xr:uid="{337E24D0-3B15-4474-AEB0-6B14F8F7BD9D}"/>
    <cellStyle name="40% - Accent3 10 3 3 2 4" xfId="31579" xr:uid="{4D372761-8712-46CC-9618-72B043B06DE6}"/>
    <cellStyle name="40% - Accent3 10 3 3 3" xfId="12140" xr:uid="{00000000-0005-0000-0000-00008E380000}"/>
    <cellStyle name="40% - Accent3 10 3 3 3 2" xfId="35989" xr:uid="{248422C4-BB54-48B3-A5AC-F30C1180A30F}"/>
    <cellStyle name="40% - Accent3 10 3 3 4" xfId="20095" xr:uid="{00000000-0005-0000-0000-00008F380000}"/>
    <cellStyle name="40% - Accent3 10 3 3 4 2" xfId="43927" xr:uid="{6DE92F73-860C-473B-8931-3FD98D93FA01}"/>
    <cellStyle name="40% - Accent3 10 3 3 5" xfId="28048" xr:uid="{FA297A70-201F-4760-9CD6-A9E7654F2340}"/>
    <cellStyle name="40% - Accent3 10 3 4" xfId="5935" xr:uid="{00000000-0005-0000-0000-000090380000}"/>
    <cellStyle name="40% - Accent3 10 3 4 2" xfId="13919" xr:uid="{00000000-0005-0000-0000-000091380000}"/>
    <cellStyle name="40% - Accent3 10 3 4 2 2" xfId="37762" xr:uid="{D0E667E1-ECB1-4C7C-93B1-778108907DE0}"/>
    <cellStyle name="40% - Accent3 10 3 4 3" xfId="21867" xr:uid="{00000000-0005-0000-0000-000092380000}"/>
    <cellStyle name="40% - Accent3 10 3 4 3 2" xfId="45699" xr:uid="{029BEFBE-0D43-47C6-84D9-FE1680F1D3A7}"/>
    <cellStyle name="40% - Accent3 10 3 4 4" xfId="29821" xr:uid="{572A82EB-A3E6-4444-8DD9-7D79F2AC5999}"/>
    <cellStyle name="40% - Accent3 10 3 5" xfId="9488" xr:uid="{00000000-0005-0000-0000-000093380000}"/>
    <cellStyle name="40% - Accent3 10 3 5 2" xfId="17446" xr:uid="{00000000-0005-0000-0000-000094380000}"/>
    <cellStyle name="40% - Accent3 10 3 5 2 2" xfId="41286" xr:uid="{003E2AD7-DCC0-411A-B14D-B3E15AF51825}"/>
    <cellStyle name="40% - Accent3 10 3 5 3" xfId="25390" xr:uid="{00000000-0005-0000-0000-000095380000}"/>
    <cellStyle name="40% - Accent3 10 3 5 3 2" xfId="49222" xr:uid="{478A9ABB-4F1C-4400-9478-A25C4A0B5C56}"/>
    <cellStyle name="40% - Accent3 10 3 5 4" xfId="33345" xr:uid="{679CA8AD-433D-4A67-A1DD-B0021967EE4B}"/>
    <cellStyle name="40% - Accent3 10 3 6" xfId="10384" xr:uid="{00000000-0005-0000-0000-000096380000}"/>
    <cellStyle name="40% - Accent3 10 3 6 2" xfId="34233" xr:uid="{2EB6B681-B278-4328-86C3-EF9028C1547D}"/>
    <cellStyle name="40% - Accent3 10 3 7" xfId="18339" xr:uid="{00000000-0005-0000-0000-000097380000}"/>
    <cellStyle name="40% - Accent3 10 3 7 2" xfId="42171" xr:uid="{492307DA-A0E6-4B2C-9B66-006D977B5C46}"/>
    <cellStyle name="40% - Accent3 10 3 8" xfId="26291" xr:uid="{5D556E8E-8959-413F-A7AF-CC47994571CB}"/>
    <cellStyle name="40% - Accent3 10 3_Exh G" xfId="2938" xr:uid="{00000000-0005-0000-0000-000098380000}"/>
    <cellStyle name="40% - Accent3 10 4" xfId="958" xr:uid="{00000000-0005-0000-0000-000099380000}"/>
    <cellStyle name="40% - Accent3 10 5" xfId="1461" xr:uid="{00000000-0005-0000-0000-00009A380000}"/>
    <cellStyle name="40% - Accent3 10 5 2" xfId="4991" xr:uid="{00000000-0005-0000-0000-00009B380000}"/>
    <cellStyle name="40% - Accent3 10 5 2 2" xfId="8582" xr:uid="{00000000-0005-0000-0000-00009C380000}"/>
    <cellStyle name="40% - Accent3 10 5 2 2 2" xfId="16553" xr:uid="{00000000-0005-0000-0000-00009D380000}"/>
    <cellStyle name="40% - Accent3 10 5 2 2 2 2" xfId="40395" xr:uid="{57CF7236-C52C-4116-AD2B-A740996AC313}"/>
    <cellStyle name="40% - Accent3 10 5 2 2 3" xfId="24499" xr:uid="{00000000-0005-0000-0000-00009E380000}"/>
    <cellStyle name="40% - Accent3 10 5 2 2 3 2" xfId="48331" xr:uid="{710CA8F1-2F65-456F-8861-7F56EE9223A2}"/>
    <cellStyle name="40% - Accent3 10 5 2 2 4" xfId="32454" xr:uid="{92ECF40B-78C8-472C-A463-256868206ABD}"/>
    <cellStyle name="40% - Accent3 10 5 2 3" xfId="13015" xr:uid="{00000000-0005-0000-0000-00009F380000}"/>
    <cellStyle name="40% - Accent3 10 5 2 3 2" xfId="36864" xr:uid="{FAA50A9D-5DB3-4618-91DD-9116B5886629}"/>
    <cellStyle name="40% - Accent3 10 5 2 4" xfId="20970" xr:uid="{00000000-0005-0000-0000-0000A0380000}"/>
    <cellStyle name="40% - Accent3 10 5 2 4 2" xfId="44802" xr:uid="{0CA7B6D4-DB24-41D8-8C41-75B77392DC87}"/>
    <cellStyle name="40% - Accent3 10 5 2 5" xfId="28923" xr:uid="{3CE86311-98C7-4F85-9D64-236EECF6340B}"/>
    <cellStyle name="40% - Accent3 10 5 3" xfId="6823" xr:uid="{00000000-0005-0000-0000-0000A1380000}"/>
    <cellStyle name="40% - Accent3 10 5 3 2" xfId="14795" xr:uid="{00000000-0005-0000-0000-0000A2380000}"/>
    <cellStyle name="40% - Accent3 10 5 3 2 2" xfId="38637" xr:uid="{E34BC18E-6798-42B8-A29F-264CCB86014D}"/>
    <cellStyle name="40% - Accent3 10 5 3 3" xfId="22742" xr:uid="{00000000-0005-0000-0000-0000A3380000}"/>
    <cellStyle name="40% - Accent3 10 5 3 3 2" xfId="46574" xr:uid="{7B2D2981-2526-4157-AFF3-52D33A681628}"/>
    <cellStyle name="40% - Accent3 10 5 3 4" xfId="30696" xr:uid="{EEB5EC87-28E5-4133-8509-7936AC7D95C9}"/>
    <cellStyle name="40% - Accent3 10 5 4" xfId="11259" xr:uid="{00000000-0005-0000-0000-0000A4380000}"/>
    <cellStyle name="40% - Accent3 10 5 4 2" xfId="35108" xr:uid="{CD0DB8F3-7BAA-4EEB-A112-7402E4F91F11}"/>
    <cellStyle name="40% - Accent3 10 5 5" xfId="19214" xr:uid="{00000000-0005-0000-0000-0000A5380000}"/>
    <cellStyle name="40% - Accent3 10 5 5 2" xfId="43046" xr:uid="{9413FE93-0D7C-4DD2-B1F5-9D8DFAB0EADF}"/>
    <cellStyle name="40% - Accent3 10 5 6" xfId="27166" xr:uid="{A8A508A4-FA45-4C0B-83A0-F37A985B15E1}"/>
    <cellStyle name="40% - Accent3 10 5_Exh G" xfId="2940" xr:uid="{00000000-0005-0000-0000-0000A6380000}"/>
    <cellStyle name="40% - Accent3 10 6" xfId="4112" xr:uid="{00000000-0005-0000-0000-0000A7380000}"/>
    <cellStyle name="40% - Accent3 10 6 2" xfId="7704" xr:uid="{00000000-0005-0000-0000-0000A8380000}"/>
    <cellStyle name="40% - Accent3 10 6 2 2" xfId="15675" xr:uid="{00000000-0005-0000-0000-0000A9380000}"/>
    <cellStyle name="40% - Accent3 10 6 2 2 2" xfId="39517" xr:uid="{22EDDD45-9990-4602-99E3-58175A1AACDD}"/>
    <cellStyle name="40% - Accent3 10 6 2 3" xfId="23621" xr:uid="{00000000-0005-0000-0000-0000AA380000}"/>
    <cellStyle name="40% - Accent3 10 6 2 3 2" xfId="47453" xr:uid="{627A2A13-FF4C-44C0-9818-7BF63B452079}"/>
    <cellStyle name="40% - Accent3 10 6 2 4" xfId="31576" xr:uid="{EC7EF4B0-6F00-4B32-BF3F-862CAEB5BE21}"/>
    <cellStyle name="40% - Accent3 10 6 3" xfId="12137" xr:uid="{00000000-0005-0000-0000-0000AB380000}"/>
    <cellStyle name="40% - Accent3 10 6 3 2" xfId="35986" xr:uid="{F7D1DEDF-ECA7-4C68-8675-4970AF887DB2}"/>
    <cellStyle name="40% - Accent3 10 6 4" xfId="20092" xr:uid="{00000000-0005-0000-0000-0000AC380000}"/>
    <cellStyle name="40% - Accent3 10 6 4 2" xfId="43924" xr:uid="{0CA7035D-C1C3-4B39-8E5A-DF3A6A00ADEC}"/>
    <cellStyle name="40% - Accent3 10 6 5" xfId="28045" xr:uid="{6B743942-CF46-4A19-AABA-68D1AB26F2D0}"/>
    <cellStyle name="40% - Accent3 10 7" xfId="5932" xr:uid="{00000000-0005-0000-0000-0000AD380000}"/>
    <cellStyle name="40% - Accent3 10 7 2" xfId="13916" xr:uid="{00000000-0005-0000-0000-0000AE380000}"/>
    <cellStyle name="40% - Accent3 10 7 2 2" xfId="37759" xr:uid="{9DE25303-D850-4FFC-AEE5-9E1A7767DCFA}"/>
    <cellStyle name="40% - Accent3 10 7 3" xfId="21864" xr:uid="{00000000-0005-0000-0000-0000AF380000}"/>
    <cellStyle name="40% - Accent3 10 7 3 2" xfId="45696" xr:uid="{4E993591-69AD-46A3-A8CF-7282729E5591}"/>
    <cellStyle name="40% - Accent3 10 7 4" xfId="29818" xr:uid="{57811158-C316-40B4-83CB-3D3E2D990143}"/>
    <cellStyle name="40% - Accent3 10 8" xfId="9485" xr:uid="{00000000-0005-0000-0000-0000B0380000}"/>
    <cellStyle name="40% - Accent3 10 8 2" xfId="17443" xr:uid="{00000000-0005-0000-0000-0000B1380000}"/>
    <cellStyle name="40% - Accent3 10 8 2 2" xfId="41283" xr:uid="{6BBAA99D-C26A-4994-A7C7-17D70B1BAEC6}"/>
    <cellStyle name="40% - Accent3 10 8 3" xfId="25387" xr:uid="{00000000-0005-0000-0000-0000B2380000}"/>
    <cellStyle name="40% - Accent3 10 8 3 2" xfId="49219" xr:uid="{7BAA4C92-A62C-40E5-96C1-932654397E29}"/>
    <cellStyle name="40% - Accent3 10 8 4" xfId="33342" xr:uid="{942B01AD-C54D-4410-AD40-9B788B8083C2}"/>
    <cellStyle name="40% - Accent3 10 9" xfId="10381" xr:uid="{00000000-0005-0000-0000-0000B3380000}"/>
    <cellStyle name="40% - Accent3 10 9 2" xfId="34230" xr:uid="{F4FB3A4B-5865-4361-B659-7E66520C4CA1}"/>
    <cellStyle name="40% - Accent3 10_Exh G" xfId="2933" xr:uid="{00000000-0005-0000-0000-0000B4380000}"/>
    <cellStyle name="40% - Accent3 11" xfId="437" xr:uid="{00000000-0005-0000-0000-0000B5380000}"/>
    <cellStyle name="40% - Accent3 11 10" xfId="26292" xr:uid="{8F5055ED-DD13-4687-A390-BC148DC9BBBF}"/>
    <cellStyle name="40% - Accent3 11 2" xfId="438" xr:uid="{00000000-0005-0000-0000-0000B6380000}"/>
    <cellStyle name="40% - Accent3 11 2 2" xfId="439" xr:uid="{00000000-0005-0000-0000-0000B7380000}"/>
    <cellStyle name="40% - Accent3 11 2 2 2" xfId="1467" xr:uid="{00000000-0005-0000-0000-0000B8380000}"/>
    <cellStyle name="40% - Accent3 11 2 2 2 2" xfId="4997" xr:uid="{00000000-0005-0000-0000-0000B9380000}"/>
    <cellStyle name="40% - Accent3 11 2 2 2 2 2" xfId="8588" xr:uid="{00000000-0005-0000-0000-0000BA380000}"/>
    <cellStyle name="40% - Accent3 11 2 2 2 2 2 2" xfId="16559" xr:uid="{00000000-0005-0000-0000-0000BB380000}"/>
    <cellStyle name="40% - Accent3 11 2 2 2 2 2 2 2" xfId="40401" xr:uid="{40763EC8-81EC-4482-A071-81A1D83D1F59}"/>
    <cellStyle name="40% - Accent3 11 2 2 2 2 2 3" xfId="24505" xr:uid="{00000000-0005-0000-0000-0000BC380000}"/>
    <cellStyle name="40% - Accent3 11 2 2 2 2 2 3 2" xfId="48337" xr:uid="{8DD30D96-002A-49D5-9CD9-9592164E91D8}"/>
    <cellStyle name="40% - Accent3 11 2 2 2 2 2 4" xfId="32460" xr:uid="{2384EE59-06FA-41C2-BBD5-9D5F35DFFBA6}"/>
    <cellStyle name="40% - Accent3 11 2 2 2 2 3" xfId="13021" xr:uid="{00000000-0005-0000-0000-0000BD380000}"/>
    <cellStyle name="40% - Accent3 11 2 2 2 2 3 2" xfId="36870" xr:uid="{F5FD0C82-FB74-4517-9EE1-481219644F67}"/>
    <cellStyle name="40% - Accent3 11 2 2 2 2 4" xfId="20976" xr:uid="{00000000-0005-0000-0000-0000BE380000}"/>
    <cellStyle name="40% - Accent3 11 2 2 2 2 4 2" xfId="44808" xr:uid="{A48C8847-82FC-4728-AE89-9447F4EAF998}"/>
    <cellStyle name="40% - Accent3 11 2 2 2 2 5" xfId="28929" xr:uid="{25BF4C8B-5B70-4B91-BF3D-1E66ABB24A1A}"/>
    <cellStyle name="40% - Accent3 11 2 2 2 3" xfId="6829" xr:uid="{00000000-0005-0000-0000-0000BF380000}"/>
    <cellStyle name="40% - Accent3 11 2 2 2 3 2" xfId="14801" xr:uid="{00000000-0005-0000-0000-0000C0380000}"/>
    <cellStyle name="40% - Accent3 11 2 2 2 3 2 2" xfId="38643" xr:uid="{A09EE429-8FA6-43E5-BE42-742DCD344DDD}"/>
    <cellStyle name="40% - Accent3 11 2 2 2 3 3" xfId="22748" xr:uid="{00000000-0005-0000-0000-0000C1380000}"/>
    <cellStyle name="40% - Accent3 11 2 2 2 3 3 2" xfId="46580" xr:uid="{7ADCF931-99A0-45D4-974C-E7437BC91225}"/>
    <cellStyle name="40% - Accent3 11 2 2 2 3 4" xfId="30702" xr:uid="{302AC81F-A427-466B-B6DF-08DBAAF0CF56}"/>
    <cellStyle name="40% - Accent3 11 2 2 2 4" xfId="11265" xr:uid="{00000000-0005-0000-0000-0000C2380000}"/>
    <cellStyle name="40% - Accent3 11 2 2 2 4 2" xfId="35114" xr:uid="{1CB6CBA2-B1F5-4F31-BD7D-683680834177}"/>
    <cellStyle name="40% - Accent3 11 2 2 2 5" xfId="19220" xr:uid="{00000000-0005-0000-0000-0000C3380000}"/>
    <cellStyle name="40% - Accent3 11 2 2 2 5 2" xfId="43052" xr:uid="{3803AAE6-DD49-44ED-A590-DDCB3C334563}"/>
    <cellStyle name="40% - Accent3 11 2 2 2 6" xfId="27172" xr:uid="{D63D38DA-38E9-48AC-A191-E89B4785EB75}"/>
    <cellStyle name="40% - Accent3 11 2 2 2_Exh G" xfId="2944" xr:uid="{00000000-0005-0000-0000-0000C4380000}"/>
    <cellStyle name="40% - Accent3 11 2 2 3" xfId="4118" xr:uid="{00000000-0005-0000-0000-0000C5380000}"/>
    <cellStyle name="40% - Accent3 11 2 2 3 2" xfId="7710" xr:uid="{00000000-0005-0000-0000-0000C6380000}"/>
    <cellStyle name="40% - Accent3 11 2 2 3 2 2" xfId="15681" xr:uid="{00000000-0005-0000-0000-0000C7380000}"/>
    <cellStyle name="40% - Accent3 11 2 2 3 2 2 2" xfId="39523" xr:uid="{E7C4C7EE-BC8B-49D8-BAAD-540353C9A63D}"/>
    <cellStyle name="40% - Accent3 11 2 2 3 2 3" xfId="23627" xr:uid="{00000000-0005-0000-0000-0000C8380000}"/>
    <cellStyle name="40% - Accent3 11 2 2 3 2 3 2" xfId="47459" xr:uid="{D814541F-D38B-440A-894E-A4EDCCD048CA}"/>
    <cellStyle name="40% - Accent3 11 2 2 3 2 4" xfId="31582" xr:uid="{25332F0F-D894-4F6C-88D4-AA5984DBCA69}"/>
    <cellStyle name="40% - Accent3 11 2 2 3 3" xfId="12143" xr:uid="{00000000-0005-0000-0000-0000C9380000}"/>
    <cellStyle name="40% - Accent3 11 2 2 3 3 2" xfId="35992" xr:uid="{2CB9E787-0B73-4F52-931D-74402B3F7BFB}"/>
    <cellStyle name="40% - Accent3 11 2 2 3 4" xfId="20098" xr:uid="{00000000-0005-0000-0000-0000CA380000}"/>
    <cellStyle name="40% - Accent3 11 2 2 3 4 2" xfId="43930" xr:uid="{3DFBFCF9-0A6A-4B26-95CA-6284029300D9}"/>
    <cellStyle name="40% - Accent3 11 2 2 3 5" xfId="28051" xr:uid="{29B73428-76E3-4598-8AEF-C41E85A93CE9}"/>
    <cellStyle name="40% - Accent3 11 2 2 4" xfId="5938" xr:uid="{00000000-0005-0000-0000-0000CB380000}"/>
    <cellStyle name="40% - Accent3 11 2 2 4 2" xfId="13922" xr:uid="{00000000-0005-0000-0000-0000CC380000}"/>
    <cellStyle name="40% - Accent3 11 2 2 4 2 2" xfId="37765" xr:uid="{7B4A6E72-355B-413E-BD4E-381F371F9C6D}"/>
    <cellStyle name="40% - Accent3 11 2 2 4 3" xfId="21870" xr:uid="{00000000-0005-0000-0000-0000CD380000}"/>
    <cellStyle name="40% - Accent3 11 2 2 4 3 2" xfId="45702" xr:uid="{A34D1EF0-3DB1-41D1-ABD6-B3FCC14281B7}"/>
    <cellStyle name="40% - Accent3 11 2 2 4 4" xfId="29824" xr:uid="{5A64A901-0F26-4B40-A945-1D8C96BF6EF0}"/>
    <cellStyle name="40% - Accent3 11 2 2 5" xfId="9491" xr:uid="{00000000-0005-0000-0000-0000CE380000}"/>
    <cellStyle name="40% - Accent3 11 2 2 5 2" xfId="17449" xr:uid="{00000000-0005-0000-0000-0000CF380000}"/>
    <cellStyle name="40% - Accent3 11 2 2 5 2 2" xfId="41289" xr:uid="{350A71AD-E72E-408F-9CD2-8A459D143D72}"/>
    <cellStyle name="40% - Accent3 11 2 2 5 3" xfId="25393" xr:uid="{00000000-0005-0000-0000-0000D0380000}"/>
    <cellStyle name="40% - Accent3 11 2 2 5 3 2" xfId="49225" xr:uid="{37C370B5-6B71-4328-8FB1-45059FD08D81}"/>
    <cellStyle name="40% - Accent3 11 2 2 5 4" xfId="33348" xr:uid="{772216DB-2AB2-42D3-B1A1-91C47EB0CEC5}"/>
    <cellStyle name="40% - Accent3 11 2 2 6" xfId="10387" xr:uid="{00000000-0005-0000-0000-0000D1380000}"/>
    <cellStyle name="40% - Accent3 11 2 2 6 2" xfId="34236" xr:uid="{AF2B092E-7EF2-4DA7-B7A1-5E816514F928}"/>
    <cellStyle name="40% - Accent3 11 2 2 7" xfId="18342" xr:uid="{00000000-0005-0000-0000-0000D2380000}"/>
    <cellStyle name="40% - Accent3 11 2 2 7 2" xfId="42174" xr:uid="{09759246-EAA5-4E14-B925-0D1DBFD90654}"/>
    <cellStyle name="40% - Accent3 11 2 2 8" xfId="26294" xr:uid="{13C75EB2-F282-4401-9339-984B7DFC822C}"/>
    <cellStyle name="40% - Accent3 11 2 2_Exh G" xfId="2943" xr:uid="{00000000-0005-0000-0000-0000D3380000}"/>
    <cellStyle name="40% - Accent3 11 2 3" xfId="1466" xr:uid="{00000000-0005-0000-0000-0000D4380000}"/>
    <cellStyle name="40% - Accent3 11 2 3 2" xfId="4996" xr:uid="{00000000-0005-0000-0000-0000D5380000}"/>
    <cellStyle name="40% - Accent3 11 2 3 2 2" xfId="8587" xr:uid="{00000000-0005-0000-0000-0000D6380000}"/>
    <cellStyle name="40% - Accent3 11 2 3 2 2 2" xfId="16558" xr:uid="{00000000-0005-0000-0000-0000D7380000}"/>
    <cellStyle name="40% - Accent3 11 2 3 2 2 2 2" xfId="40400" xr:uid="{6752436D-C1A1-47A3-8604-41A3322EAAAF}"/>
    <cellStyle name="40% - Accent3 11 2 3 2 2 3" xfId="24504" xr:uid="{00000000-0005-0000-0000-0000D8380000}"/>
    <cellStyle name="40% - Accent3 11 2 3 2 2 3 2" xfId="48336" xr:uid="{C711F6FD-661D-4406-A818-79D48C62ADA3}"/>
    <cellStyle name="40% - Accent3 11 2 3 2 2 4" xfId="32459" xr:uid="{E648DF9B-F0F4-407A-9AC5-A56BA159523A}"/>
    <cellStyle name="40% - Accent3 11 2 3 2 3" xfId="13020" xr:uid="{00000000-0005-0000-0000-0000D9380000}"/>
    <cellStyle name="40% - Accent3 11 2 3 2 3 2" xfId="36869" xr:uid="{3E6F95E6-EEB3-4347-883E-64BB8F1B0617}"/>
    <cellStyle name="40% - Accent3 11 2 3 2 4" xfId="20975" xr:uid="{00000000-0005-0000-0000-0000DA380000}"/>
    <cellStyle name="40% - Accent3 11 2 3 2 4 2" xfId="44807" xr:uid="{9A507236-BCF2-4416-8735-E1BC70616B54}"/>
    <cellStyle name="40% - Accent3 11 2 3 2 5" xfId="28928" xr:uid="{2F6044A9-6550-4C0D-89C6-278AF9FE7688}"/>
    <cellStyle name="40% - Accent3 11 2 3 3" xfId="6828" xr:uid="{00000000-0005-0000-0000-0000DB380000}"/>
    <cellStyle name="40% - Accent3 11 2 3 3 2" xfId="14800" xr:uid="{00000000-0005-0000-0000-0000DC380000}"/>
    <cellStyle name="40% - Accent3 11 2 3 3 2 2" xfId="38642" xr:uid="{536B4A12-CF59-4E9D-A898-F494C987BEEE}"/>
    <cellStyle name="40% - Accent3 11 2 3 3 3" xfId="22747" xr:uid="{00000000-0005-0000-0000-0000DD380000}"/>
    <cellStyle name="40% - Accent3 11 2 3 3 3 2" xfId="46579" xr:uid="{0EA0C4AD-C023-40E4-B8EC-A9E1524BC493}"/>
    <cellStyle name="40% - Accent3 11 2 3 3 4" xfId="30701" xr:uid="{94B5F2A5-614F-48BF-9905-0DC4B1A47786}"/>
    <cellStyle name="40% - Accent3 11 2 3 4" xfId="11264" xr:uid="{00000000-0005-0000-0000-0000DE380000}"/>
    <cellStyle name="40% - Accent3 11 2 3 4 2" xfId="35113" xr:uid="{750F56FC-08F8-47F6-A971-AC8BCA034096}"/>
    <cellStyle name="40% - Accent3 11 2 3 5" xfId="19219" xr:uid="{00000000-0005-0000-0000-0000DF380000}"/>
    <cellStyle name="40% - Accent3 11 2 3 5 2" xfId="43051" xr:uid="{321A63C9-414E-4605-ADBB-EC91054DECB8}"/>
    <cellStyle name="40% - Accent3 11 2 3 6" xfId="27171" xr:uid="{4AA82CF9-D8C8-46D4-BC2C-D0ABD27DF618}"/>
    <cellStyle name="40% - Accent3 11 2 3_Exh G" xfId="2945" xr:uid="{00000000-0005-0000-0000-0000E0380000}"/>
    <cellStyle name="40% - Accent3 11 2 4" xfId="4117" xr:uid="{00000000-0005-0000-0000-0000E1380000}"/>
    <cellStyle name="40% - Accent3 11 2 4 2" xfId="7709" xr:uid="{00000000-0005-0000-0000-0000E2380000}"/>
    <cellStyle name="40% - Accent3 11 2 4 2 2" xfId="15680" xr:uid="{00000000-0005-0000-0000-0000E3380000}"/>
    <cellStyle name="40% - Accent3 11 2 4 2 2 2" xfId="39522" xr:uid="{2005AB95-4A3D-44C5-A537-499F584E98A7}"/>
    <cellStyle name="40% - Accent3 11 2 4 2 3" xfId="23626" xr:uid="{00000000-0005-0000-0000-0000E4380000}"/>
    <cellStyle name="40% - Accent3 11 2 4 2 3 2" xfId="47458" xr:uid="{88C18D3A-097A-488A-BCB4-F54A61F2B8D0}"/>
    <cellStyle name="40% - Accent3 11 2 4 2 4" xfId="31581" xr:uid="{7D4E0D5B-5F90-4A1D-95A0-2A1E3AB37243}"/>
    <cellStyle name="40% - Accent3 11 2 4 3" xfId="12142" xr:uid="{00000000-0005-0000-0000-0000E5380000}"/>
    <cellStyle name="40% - Accent3 11 2 4 3 2" xfId="35991" xr:uid="{14178B1D-F80D-4579-988C-8AC72E54BCF1}"/>
    <cellStyle name="40% - Accent3 11 2 4 4" xfId="20097" xr:uid="{00000000-0005-0000-0000-0000E6380000}"/>
    <cellStyle name="40% - Accent3 11 2 4 4 2" xfId="43929" xr:uid="{BE3C46B3-5E4E-4102-ADCB-B4326559894A}"/>
    <cellStyle name="40% - Accent3 11 2 4 5" xfId="28050" xr:uid="{8F4B148B-F681-4FA4-86F4-416BB5558CE8}"/>
    <cellStyle name="40% - Accent3 11 2 5" xfId="5937" xr:uid="{00000000-0005-0000-0000-0000E7380000}"/>
    <cellStyle name="40% - Accent3 11 2 5 2" xfId="13921" xr:uid="{00000000-0005-0000-0000-0000E8380000}"/>
    <cellStyle name="40% - Accent3 11 2 5 2 2" xfId="37764" xr:uid="{1C4372FD-8C11-4458-ADF3-4CFAF68BB87B}"/>
    <cellStyle name="40% - Accent3 11 2 5 3" xfId="21869" xr:uid="{00000000-0005-0000-0000-0000E9380000}"/>
    <cellStyle name="40% - Accent3 11 2 5 3 2" xfId="45701" xr:uid="{F79211D0-55E6-49DF-A612-398B413DE6E7}"/>
    <cellStyle name="40% - Accent3 11 2 5 4" xfId="29823" xr:uid="{5A6860B3-75EB-4CE0-8822-58F8D5AD79A7}"/>
    <cellStyle name="40% - Accent3 11 2 6" xfId="9490" xr:uid="{00000000-0005-0000-0000-0000EA380000}"/>
    <cellStyle name="40% - Accent3 11 2 6 2" xfId="17448" xr:uid="{00000000-0005-0000-0000-0000EB380000}"/>
    <cellStyle name="40% - Accent3 11 2 6 2 2" xfId="41288" xr:uid="{8FF46466-E96F-4ABD-83C5-86ACF79ADBCB}"/>
    <cellStyle name="40% - Accent3 11 2 6 3" xfId="25392" xr:uid="{00000000-0005-0000-0000-0000EC380000}"/>
    <cellStyle name="40% - Accent3 11 2 6 3 2" xfId="49224" xr:uid="{24FC201F-C163-4556-9E0C-D0ABEAC2695B}"/>
    <cellStyle name="40% - Accent3 11 2 6 4" xfId="33347" xr:uid="{4BC5800E-219B-4C31-8CF2-1F85987B7C83}"/>
    <cellStyle name="40% - Accent3 11 2 7" xfId="10386" xr:uid="{00000000-0005-0000-0000-0000ED380000}"/>
    <cellStyle name="40% - Accent3 11 2 7 2" xfId="34235" xr:uid="{82EEA6BB-344F-4F8B-8DD7-6818AEFE357B}"/>
    <cellStyle name="40% - Accent3 11 2 8" xfId="18341" xr:uid="{00000000-0005-0000-0000-0000EE380000}"/>
    <cellStyle name="40% - Accent3 11 2 8 2" xfId="42173" xr:uid="{A18AD9A0-0D02-4B0F-8C70-39EFDAD768C8}"/>
    <cellStyle name="40% - Accent3 11 2 9" xfId="26293" xr:uid="{7A6A4971-7B57-4DC7-BD62-900658D9F806}"/>
    <cellStyle name="40% - Accent3 11 2_Exh G" xfId="2942" xr:uid="{00000000-0005-0000-0000-0000EF380000}"/>
    <cellStyle name="40% - Accent3 11 3" xfId="440" xr:uid="{00000000-0005-0000-0000-0000F0380000}"/>
    <cellStyle name="40% - Accent3 11 3 2" xfId="1468" xr:uid="{00000000-0005-0000-0000-0000F1380000}"/>
    <cellStyle name="40% - Accent3 11 3 2 2" xfId="4998" xr:uid="{00000000-0005-0000-0000-0000F2380000}"/>
    <cellStyle name="40% - Accent3 11 3 2 2 2" xfId="8589" xr:uid="{00000000-0005-0000-0000-0000F3380000}"/>
    <cellStyle name="40% - Accent3 11 3 2 2 2 2" xfId="16560" xr:uid="{00000000-0005-0000-0000-0000F4380000}"/>
    <cellStyle name="40% - Accent3 11 3 2 2 2 2 2" xfId="40402" xr:uid="{BE05F68D-FA96-477D-BE49-6C619173E8F9}"/>
    <cellStyle name="40% - Accent3 11 3 2 2 2 3" xfId="24506" xr:uid="{00000000-0005-0000-0000-0000F5380000}"/>
    <cellStyle name="40% - Accent3 11 3 2 2 2 3 2" xfId="48338" xr:uid="{E8152564-311A-4C63-AB70-8669AE4EB4C4}"/>
    <cellStyle name="40% - Accent3 11 3 2 2 2 4" xfId="32461" xr:uid="{7F266F41-EC47-424E-9D91-70C9723687AB}"/>
    <cellStyle name="40% - Accent3 11 3 2 2 3" xfId="13022" xr:uid="{00000000-0005-0000-0000-0000F6380000}"/>
    <cellStyle name="40% - Accent3 11 3 2 2 3 2" xfId="36871" xr:uid="{68BA6606-8298-43B6-8081-BF93AB2DA7B4}"/>
    <cellStyle name="40% - Accent3 11 3 2 2 4" xfId="20977" xr:uid="{00000000-0005-0000-0000-0000F7380000}"/>
    <cellStyle name="40% - Accent3 11 3 2 2 4 2" xfId="44809" xr:uid="{CC1169C7-4CC0-4EDB-A8EF-337A19561243}"/>
    <cellStyle name="40% - Accent3 11 3 2 2 5" xfId="28930" xr:uid="{9248ED0F-DCB0-4048-BC6E-2A9F90616DF1}"/>
    <cellStyle name="40% - Accent3 11 3 2 3" xfId="6830" xr:uid="{00000000-0005-0000-0000-0000F8380000}"/>
    <cellStyle name="40% - Accent3 11 3 2 3 2" xfId="14802" xr:uid="{00000000-0005-0000-0000-0000F9380000}"/>
    <cellStyle name="40% - Accent3 11 3 2 3 2 2" xfId="38644" xr:uid="{8EB315DB-3E8E-48B4-930D-553F9C1C1895}"/>
    <cellStyle name="40% - Accent3 11 3 2 3 3" xfId="22749" xr:uid="{00000000-0005-0000-0000-0000FA380000}"/>
    <cellStyle name="40% - Accent3 11 3 2 3 3 2" xfId="46581" xr:uid="{BE9F07CA-81DB-4349-A79F-BD19A266DED8}"/>
    <cellStyle name="40% - Accent3 11 3 2 3 4" xfId="30703" xr:uid="{1BEE36D1-0AAC-4451-8C14-5E3A01F1AAAD}"/>
    <cellStyle name="40% - Accent3 11 3 2 4" xfId="11266" xr:uid="{00000000-0005-0000-0000-0000FB380000}"/>
    <cellStyle name="40% - Accent3 11 3 2 4 2" xfId="35115" xr:uid="{82E891E5-5E60-4920-89C0-060B1A8CD6EB}"/>
    <cellStyle name="40% - Accent3 11 3 2 5" xfId="19221" xr:uid="{00000000-0005-0000-0000-0000FC380000}"/>
    <cellStyle name="40% - Accent3 11 3 2 5 2" xfId="43053" xr:uid="{D01B0282-CB8F-431C-AC3F-B13CAB30EA69}"/>
    <cellStyle name="40% - Accent3 11 3 2 6" xfId="27173" xr:uid="{6965F987-6A4D-441D-BF9E-773CFFB2C506}"/>
    <cellStyle name="40% - Accent3 11 3 2_Exh G" xfId="2947" xr:uid="{00000000-0005-0000-0000-0000FD380000}"/>
    <cellStyle name="40% - Accent3 11 3 3" xfId="4119" xr:uid="{00000000-0005-0000-0000-0000FE380000}"/>
    <cellStyle name="40% - Accent3 11 3 3 2" xfId="7711" xr:uid="{00000000-0005-0000-0000-0000FF380000}"/>
    <cellStyle name="40% - Accent3 11 3 3 2 2" xfId="15682" xr:uid="{00000000-0005-0000-0000-000000390000}"/>
    <cellStyle name="40% - Accent3 11 3 3 2 2 2" xfId="39524" xr:uid="{61B36BA2-834D-4B7B-AF8C-B9D7539CB6B7}"/>
    <cellStyle name="40% - Accent3 11 3 3 2 3" xfId="23628" xr:uid="{00000000-0005-0000-0000-000001390000}"/>
    <cellStyle name="40% - Accent3 11 3 3 2 3 2" xfId="47460" xr:uid="{7582120C-97E8-4534-A3EC-9348D1E7B090}"/>
    <cellStyle name="40% - Accent3 11 3 3 2 4" xfId="31583" xr:uid="{41CE5280-2E3D-4E54-BD00-A101F079624D}"/>
    <cellStyle name="40% - Accent3 11 3 3 3" xfId="12144" xr:uid="{00000000-0005-0000-0000-000002390000}"/>
    <cellStyle name="40% - Accent3 11 3 3 3 2" xfId="35993" xr:uid="{704D2823-7778-460F-83FA-F4BA2D4AE157}"/>
    <cellStyle name="40% - Accent3 11 3 3 4" xfId="20099" xr:uid="{00000000-0005-0000-0000-000003390000}"/>
    <cellStyle name="40% - Accent3 11 3 3 4 2" xfId="43931" xr:uid="{59465280-A2E6-42AC-A1F8-D8BB685C87CD}"/>
    <cellStyle name="40% - Accent3 11 3 3 5" xfId="28052" xr:uid="{B2F10BE6-D94C-41D4-AD1E-B0A5BD9E9507}"/>
    <cellStyle name="40% - Accent3 11 3 4" xfId="5939" xr:uid="{00000000-0005-0000-0000-000004390000}"/>
    <cellStyle name="40% - Accent3 11 3 4 2" xfId="13923" xr:uid="{00000000-0005-0000-0000-000005390000}"/>
    <cellStyle name="40% - Accent3 11 3 4 2 2" xfId="37766" xr:uid="{312CB3EA-84E5-4616-93D0-2E4F2903D8B3}"/>
    <cellStyle name="40% - Accent3 11 3 4 3" xfId="21871" xr:uid="{00000000-0005-0000-0000-000006390000}"/>
    <cellStyle name="40% - Accent3 11 3 4 3 2" xfId="45703" xr:uid="{39DD4414-2ADF-4186-A978-5B238ECA292B}"/>
    <cellStyle name="40% - Accent3 11 3 4 4" xfId="29825" xr:uid="{01A0B7CB-E5C8-437F-8C4F-47AE3C5550D1}"/>
    <cellStyle name="40% - Accent3 11 3 5" xfId="9492" xr:uid="{00000000-0005-0000-0000-000007390000}"/>
    <cellStyle name="40% - Accent3 11 3 5 2" xfId="17450" xr:uid="{00000000-0005-0000-0000-000008390000}"/>
    <cellStyle name="40% - Accent3 11 3 5 2 2" xfId="41290" xr:uid="{879F2AE0-4B0C-45F9-B3CE-F39BA81EDCA3}"/>
    <cellStyle name="40% - Accent3 11 3 5 3" xfId="25394" xr:uid="{00000000-0005-0000-0000-000009390000}"/>
    <cellStyle name="40% - Accent3 11 3 5 3 2" xfId="49226" xr:uid="{BED1F27F-3EE0-43D0-AC03-0F9A0C3FF7AB}"/>
    <cellStyle name="40% - Accent3 11 3 5 4" xfId="33349" xr:uid="{A1D03E28-86A3-4845-89A7-16FDBDC9820A}"/>
    <cellStyle name="40% - Accent3 11 3 6" xfId="10388" xr:uid="{00000000-0005-0000-0000-00000A390000}"/>
    <cellStyle name="40% - Accent3 11 3 6 2" xfId="34237" xr:uid="{AD292949-BEA0-4D43-AECC-E69E422100E6}"/>
    <cellStyle name="40% - Accent3 11 3 7" xfId="18343" xr:uid="{00000000-0005-0000-0000-00000B390000}"/>
    <cellStyle name="40% - Accent3 11 3 7 2" xfId="42175" xr:uid="{662658F5-0C42-4C32-A03F-DF0710BE4A85}"/>
    <cellStyle name="40% - Accent3 11 3 8" xfId="26295" xr:uid="{DEFE11F3-9078-4B9D-8734-8DD5F6BC9E22}"/>
    <cellStyle name="40% - Accent3 11 3_Exh G" xfId="2946" xr:uid="{00000000-0005-0000-0000-00000C390000}"/>
    <cellStyle name="40% - Accent3 11 4" xfId="1465" xr:uid="{00000000-0005-0000-0000-00000D390000}"/>
    <cellStyle name="40% - Accent3 11 4 2" xfId="4995" xr:uid="{00000000-0005-0000-0000-00000E390000}"/>
    <cellStyle name="40% - Accent3 11 4 2 2" xfId="8586" xr:uid="{00000000-0005-0000-0000-00000F390000}"/>
    <cellStyle name="40% - Accent3 11 4 2 2 2" xfId="16557" xr:uid="{00000000-0005-0000-0000-000010390000}"/>
    <cellStyle name="40% - Accent3 11 4 2 2 2 2" xfId="40399" xr:uid="{7020D6BF-BDF0-4F92-B0DC-3B743A5454DD}"/>
    <cellStyle name="40% - Accent3 11 4 2 2 3" xfId="24503" xr:uid="{00000000-0005-0000-0000-000011390000}"/>
    <cellStyle name="40% - Accent3 11 4 2 2 3 2" xfId="48335" xr:uid="{6BEE27FE-E814-4AFB-92DA-1D7F403B6196}"/>
    <cellStyle name="40% - Accent3 11 4 2 2 4" xfId="32458" xr:uid="{5E952A09-7548-4E32-BD2E-2648C4A2660C}"/>
    <cellStyle name="40% - Accent3 11 4 2 3" xfId="13019" xr:uid="{00000000-0005-0000-0000-000012390000}"/>
    <cellStyle name="40% - Accent3 11 4 2 3 2" xfId="36868" xr:uid="{52E0DE41-90C9-4AF2-B1F3-37C1AEA787F2}"/>
    <cellStyle name="40% - Accent3 11 4 2 4" xfId="20974" xr:uid="{00000000-0005-0000-0000-000013390000}"/>
    <cellStyle name="40% - Accent3 11 4 2 4 2" xfId="44806" xr:uid="{3E75B81B-5987-4B52-8213-E37DAD0B10A7}"/>
    <cellStyle name="40% - Accent3 11 4 2 5" xfId="28927" xr:uid="{09FC0DEF-D2AB-4BB3-8F5D-9C8CCB4AB696}"/>
    <cellStyle name="40% - Accent3 11 4 3" xfId="6827" xr:uid="{00000000-0005-0000-0000-000014390000}"/>
    <cellStyle name="40% - Accent3 11 4 3 2" xfId="14799" xr:uid="{00000000-0005-0000-0000-000015390000}"/>
    <cellStyle name="40% - Accent3 11 4 3 2 2" xfId="38641" xr:uid="{442B0495-BFB3-441A-BE67-7876860685AE}"/>
    <cellStyle name="40% - Accent3 11 4 3 3" xfId="22746" xr:uid="{00000000-0005-0000-0000-000016390000}"/>
    <cellStyle name="40% - Accent3 11 4 3 3 2" xfId="46578" xr:uid="{FBE9C73A-8AC9-45ED-94E3-D58D167BEB0C}"/>
    <cellStyle name="40% - Accent3 11 4 3 4" xfId="30700" xr:uid="{C3ED9023-FE0E-4C8E-A551-51E17A83D975}"/>
    <cellStyle name="40% - Accent3 11 4 4" xfId="11263" xr:uid="{00000000-0005-0000-0000-000017390000}"/>
    <cellStyle name="40% - Accent3 11 4 4 2" xfId="35112" xr:uid="{76DD4F48-2506-4D05-B55E-F2717C7F8700}"/>
    <cellStyle name="40% - Accent3 11 4 5" xfId="19218" xr:uid="{00000000-0005-0000-0000-000018390000}"/>
    <cellStyle name="40% - Accent3 11 4 5 2" xfId="43050" xr:uid="{455C5A0D-B57A-4861-8F50-FE43C5DF68FC}"/>
    <cellStyle name="40% - Accent3 11 4 6" xfId="27170" xr:uid="{FDF3405E-35AF-4D74-BA5C-7F2FD6B3132C}"/>
    <cellStyle name="40% - Accent3 11 4_Exh G" xfId="2948" xr:uid="{00000000-0005-0000-0000-000019390000}"/>
    <cellStyle name="40% - Accent3 11 5" xfId="4116" xr:uid="{00000000-0005-0000-0000-00001A390000}"/>
    <cellStyle name="40% - Accent3 11 5 2" xfId="7708" xr:uid="{00000000-0005-0000-0000-00001B390000}"/>
    <cellStyle name="40% - Accent3 11 5 2 2" xfId="15679" xr:uid="{00000000-0005-0000-0000-00001C390000}"/>
    <cellStyle name="40% - Accent3 11 5 2 2 2" xfId="39521" xr:uid="{405322EF-B947-4654-BAD5-1BE979060CBF}"/>
    <cellStyle name="40% - Accent3 11 5 2 3" xfId="23625" xr:uid="{00000000-0005-0000-0000-00001D390000}"/>
    <cellStyle name="40% - Accent3 11 5 2 3 2" xfId="47457" xr:uid="{7DA761A5-6F12-4F9B-923C-A9F3771C7E1C}"/>
    <cellStyle name="40% - Accent3 11 5 2 4" xfId="31580" xr:uid="{3C56DDB6-415E-4F86-BD9F-E9494A401534}"/>
    <cellStyle name="40% - Accent3 11 5 3" xfId="12141" xr:uid="{00000000-0005-0000-0000-00001E390000}"/>
    <cellStyle name="40% - Accent3 11 5 3 2" xfId="35990" xr:uid="{F3A363EA-8818-4340-88B4-FF80CE831EBB}"/>
    <cellStyle name="40% - Accent3 11 5 4" xfId="20096" xr:uid="{00000000-0005-0000-0000-00001F390000}"/>
    <cellStyle name="40% - Accent3 11 5 4 2" xfId="43928" xr:uid="{CDC4BB20-1F24-4086-B535-A9170C9D9CF2}"/>
    <cellStyle name="40% - Accent3 11 5 5" xfId="28049" xr:uid="{66BF3940-5B8A-49CC-B575-1F41470EF590}"/>
    <cellStyle name="40% - Accent3 11 6" xfId="5936" xr:uid="{00000000-0005-0000-0000-000020390000}"/>
    <cellStyle name="40% - Accent3 11 6 2" xfId="13920" xr:uid="{00000000-0005-0000-0000-000021390000}"/>
    <cellStyle name="40% - Accent3 11 6 2 2" xfId="37763" xr:uid="{BE003510-9B29-4120-A042-A7F0293D2F83}"/>
    <cellStyle name="40% - Accent3 11 6 3" xfId="21868" xr:uid="{00000000-0005-0000-0000-000022390000}"/>
    <cellStyle name="40% - Accent3 11 6 3 2" xfId="45700" xr:uid="{B8B20C70-9A7A-4656-BD5F-6D73CAA5611D}"/>
    <cellStyle name="40% - Accent3 11 6 4" xfId="29822" xr:uid="{2CF0CBD9-01A6-418A-8718-81CDA7DDCD5C}"/>
    <cellStyle name="40% - Accent3 11 7" xfId="9489" xr:uid="{00000000-0005-0000-0000-000023390000}"/>
    <cellStyle name="40% - Accent3 11 7 2" xfId="17447" xr:uid="{00000000-0005-0000-0000-000024390000}"/>
    <cellStyle name="40% - Accent3 11 7 2 2" xfId="41287" xr:uid="{9FBE0641-1697-45EC-B214-9C6CE5CA1E1E}"/>
    <cellStyle name="40% - Accent3 11 7 3" xfId="25391" xr:uid="{00000000-0005-0000-0000-000025390000}"/>
    <cellStyle name="40% - Accent3 11 7 3 2" xfId="49223" xr:uid="{31BB3123-251B-4CFC-9CCA-AF791198B233}"/>
    <cellStyle name="40% - Accent3 11 7 4" xfId="33346" xr:uid="{92FB7D10-5D44-475E-88F8-F4E7B7D90E8D}"/>
    <cellStyle name="40% - Accent3 11 8" xfId="10385" xr:uid="{00000000-0005-0000-0000-000026390000}"/>
    <cellStyle name="40% - Accent3 11 8 2" xfId="34234" xr:uid="{3E8BE526-9602-4A2E-91EE-7B405E51F524}"/>
    <cellStyle name="40% - Accent3 11 9" xfId="18340" xr:uid="{00000000-0005-0000-0000-000027390000}"/>
    <cellStyle name="40% - Accent3 11 9 2" xfId="42172" xr:uid="{A9D09D68-AA8F-4574-A3BA-3BCC6D391B80}"/>
    <cellStyle name="40% - Accent3 11_Exh G" xfId="2941" xr:uid="{00000000-0005-0000-0000-000028390000}"/>
    <cellStyle name="40% - Accent3 12" xfId="441" xr:uid="{00000000-0005-0000-0000-000029390000}"/>
    <cellStyle name="40% - Accent3 12 10" xfId="26296" xr:uid="{50B186F4-BE75-4323-B915-2830404B5BFB}"/>
    <cellStyle name="40% - Accent3 12 2" xfId="442" xr:uid="{00000000-0005-0000-0000-00002A390000}"/>
    <cellStyle name="40% - Accent3 12 2 2" xfId="443" xr:uid="{00000000-0005-0000-0000-00002B390000}"/>
    <cellStyle name="40% - Accent3 12 2 2 2" xfId="1471" xr:uid="{00000000-0005-0000-0000-00002C390000}"/>
    <cellStyle name="40% - Accent3 12 2 2 2 2" xfId="5001" xr:uid="{00000000-0005-0000-0000-00002D390000}"/>
    <cellStyle name="40% - Accent3 12 2 2 2 2 2" xfId="8592" xr:uid="{00000000-0005-0000-0000-00002E390000}"/>
    <cellStyle name="40% - Accent3 12 2 2 2 2 2 2" xfId="16563" xr:uid="{00000000-0005-0000-0000-00002F390000}"/>
    <cellStyle name="40% - Accent3 12 2 2 2 2 2 2 2" xfId="40405" xr:uid="{7988C3AF-B379-4A46-9BD9-5C7A576F58E3}"/>
    <cellStyle name="40% - Accent3 12 2 2 2 2 2 3" xfId="24509" xr:uid="{00000000-0005-0000-0000-000030390000}"/>
    <cellStyle name="40% - Accent3 12 2 2 2 2 2 3 2" xfId="48341" xr:uid="{205E6C44-0175-4927-B8E8-B27765C5F738}"/>
    <cellStyle name="40% - Accent3 12 2 2 2 2 2 4" xfId="32464" xr:uid="{17A8B17F-B5EF-4787-91A3-5F18AF2C59FF}"/>
    <cellStyle name="40% - Accent3 12 2 2 2 2 3" xfId="13025" xr:uid="{00000000-0005-0000-0000-000031390000}"/>
    <cellStyle name="40% - Accent3 12 2 2 2 2 3 2" xfId="36874" xr:uid="{86E47A43-1BDF-41AF-9143-FE0E81A2A3DF}"/>
    <cellStyle name="40% - Accent3 12 2 2 2 2 4" xfId="20980" xr:uid="{00000000-0005-0000-0000-000032390000}"/>
    <cellStyle name="40% - Accent3 12 2 2 2 2 4 2" xfId="44812" xr:uid="{609A2972-33C7-4B1F-A11F-B046C83FB3E4}"/>
    <cellStyle name="40% - Accent3 12 2 2 2 2 5" xfId="28933" xr:uid="{50E90ABA-0FA0-4118-B243-D904C49B2E2C}"/>
    <cellStyle name="40% - Accent3 12 2 2 2 3" xfId="6833" xr:uid="{00000000-0005-0000-0000-000033390000}"/>
    <cellStyle name="40% - Accent3 12 2 2 2 3 2" xfId="14805" xr:uid="{00000000-0005-0000-0000-000034390000}"/>
    <cellStyle name="40% - Accent3 12 2 2 2 3 2 2" xfId="38647" xr:uid="{87A979DD-E811-435D-987E-AA8DADDFD688}"/>
    <cellStyle name="40% - Accent3 12 2 2 2 3 3" xfId="22752" xr:uid="{00000000-0005-0000-0000-000035390000}"/>
    <cellStyle name="40% - Accent3 12 2 2 2 3 3 2" xfId="46584" xr:uid="{5464DD08-18D5-421E-9828-062B5CF1D7C3}"/>
    <cellStyle name="40% - Accent3 12 2 2 2 3 4" xfId="30706" xr:uid="{32D9DA5C-F987-4F39-94C3-BBF4FFE80DDD}"/>
    <cellStyle name="40% - Accent3 12 2 2 2 4" xfId="11269" xr:uid="{00000000-0005-0000-0000-000036390000}"/>
    <cellStyle name="40% - Accent3 12 2 2 2 4 2" xfId="35118" xr:uid="{79D8D395-7A45-480D-9DC2-EEAC402A71E5}"/>
    <cellStyle name="40% - Accent3 12 2 2 2 5" xfId="19224" xr:uid="{00000000-0005-0000-0000-000037390000}"/>
    <cellStyle name="40% - Accent3 12 2 2 2 5 2" xfId="43056" xr:uid="{CAC01408-6B3E-485E-971B-95F0F9DC2662}"/>
    <cellStyle name="40% - Accent3 12 2 2 2 6" xfId="27176" xr:uid="{B29BD3DC-0E6D-44C5-95CA-B2E45A62B582}"/>
    <cellStyle name="40% - Accent3 12 2 2 2_Exh G" xfId="2952" xr:uid="{00000000-0005-0000-0000-000038390000}"/>
    <cellStyle name="40% - Accent3 12 2 2 3" xfId="4122" xr:uid="{00000000-0005-0000-0000-000039390000}"/>
    <cellStyle name="40% - Accent3 12 2 2 3 2" xfId="7714" xr:uid="{00000000-0005-0000-0000-00003A390000}"/>
    <cellStyle name="40% - Accent3 12 2 2 3 2 2" xfId="15685" xr:uid="{00000000-0005-0000-0000-00003B390000}"/>
    <cellStyle name="40% - Accent3 12 2 2 3 2 2 2" xfId="39527" xr:uid="{B4243537-B338-46F8-BFC8-5A0739C974EE}"/>
    <cellStyle name="40% - Accent3 12 2 2 3 2 3" xfId="23631" xr:uid="{00000000-0005-0000-0000-00003C390000}"/>
    <cellStyle name="40% - Accent3 12 2 2 3 2 3 2" xfId="47463" xr:uid="{D5E10D40-CB94-4053-AD0D-793CE5AC302E}"/>
    <cellStyle name="40% - Accent3 12 2 2 3 2 4" xfId="31586" xr:uid="{93D7DC1D-7DF9-48CE-B638-A5C3D6EFE876}"/>
    <cellStyle name="40% - Accent3 12 2 2 3 3" xfId="12147" xr:uid="{00000000-0005-0000-0000-00003D390000}"/>
    <cellStyle name="40% - Accent3 12 2 2 3 3 2" xfId="35996" xr:uid="{C715E25E-892A-4EF3-BBFC-8742BDB68C80}"/>
    <cellStyle name="40% - Accent3 12 2 2 3 4" xfId="20102" xr:uid="{00000000-0005-0000-0000-00003E390000}"/>
    <cellStyle name="40% - Accent3 12 2 2 3 4 2" xfId="43934" xr:uid="{6BC43147-A819-4555-81D5-166F6A6483BF}"/>
    <cellStyle name="40% - Accent3 12 2 2 3 5" xfId="28055" xr:uid="{31CE2B8A-73A7-4F15-81C5-DFEBC38EDD7C}"/>
    <cellStyle name="40% - Accent3 12 2 2 4" xfId="5942" xr:uid="{00000000-0005-0000-0000-00003F390000}"/>
    <cellStyle name="40% - Accent3 12 2 2 4 2" xfId="13926" xr:uid="{00000000-0005-0000-0000-000040390000}"/>
    <cellStyle name="40% - Accent3 12 2 2 4 2 2" xfId="37769" xr:uid="{E0E329F9-DE25-4804-AA78-7D6EE64476B3}"/>
    <cellStyle name="40% - Accent3 12 2 2 4 3" xfId="21874" xr:uid="{00000000-0005-0000-0000-000041390000}"/>
    <cellStyle name="40% - Accent3 12 2 2 4 3 2" xfId="45706" xr:uid="{D1729AC8-68E6-469B-9264-688495BA4E2E}"/>
    <cellStyle name="40% - Accent3 12 2 2 4 4" xfId="29828" xr:uid="{3B1CD2E5-C7EA-470A-8A04-204A9078CE53}"/>
    <cellStyle name="40% - Accent3 12 2 2 5" xfId="9495" xr:uid="{00000000-0005-0000-0000-000042390000}"/>
    <cellStyle name="40% - Accent3 12 2 2 5 2" xfId="17453" xr:uid="{00000000-0005-0000-0000-000043390000}"/>
    <cellStyle name="40% - Accent3 12 2 2 5 2 2" xfId="41293" xr:uid="{08E61AA6-D227-4F60-8784-D0AF8117889E}"/>
    <cellStyle name="40% - Accent3 12 2 2 5 3" xfId="25397" xr:uid="{00000000-0005-0000-0000-000044390000}"/>
    <cellStyle name="40% - Accent3 12 2 2 5 3 2" xfId="49229" xr:uid="{82B6F76B-46CE-42F3-B3E9-65F375629FE2}"/>
    <cellStyle name="40% - Accent3 12 2 2 5 4" xfId="33352" xr:uid="{CF13B194-5C21-4630-BBEE-B9322B9135FD}"/>
    <cellStyle name="40% - Accent3 12 2 2 6" xfId="10391" xr:uid="{00000000-0005-0000-0000-000045390000}"/>
    <cellStyle name="40% - Accent3 12 2 2 6 2" xfId="34240" xr:uid="{29321987-3C10-4BA5-B604-6602F7F67447}"/>
    <cellStyle name="40% - Accent3 12 2 2 7" xfId="18346" xr:uid="{00000000-0005-0000-0000-000046390000}"/>
    <cellStyle name="40% - Accent3 12 2 2 7 2" xfId="42178" xr:uid="{1FECD364-E191-465C-ADFD-DAFA9A8183D6}"/>
    <cellStyle name="40% - Accent3 12 2 2 8" xfId="26298" xr:uid="{4F6DC7E0-4732-48AA-9C29-43D916E9B383}"/>
    <cellStyle name="40% - Accent3 12 2 2_Exh G" xfId="2951" xr:uid="{00000000-0005-0000-0000-000047390000}"/>
    <cellStyle name="40% - Accent3 12 2 3" xfId="1470" xr:uid="{00000000-0005-0000-0000-000048390000}"/>
    <cellStyle name="40% - Accent3 12 2 3 2" xfId="5000" xr:uid="{00000000-0005-0000-0000-000049390000}"/>
    <cellStyle name="40% - Accent3 12 2 3 2 2" xfId="8591" xr:uid="{00000000-0005-0000-0000-00004A390000}"/>
    <cellStyle name="40% - Accent3 12 2 3 2 2 2" xfId="16562" xr:uid="{00000000-0005-0000-0000-00004B390000}"/>
    <cellStyle name="40% - Accent3 12 2 3 2 2 2 2" xfId="40404" xr:uid="{4B5216E2-E9D3-4799-AAD6-801E1864D253}"/>
    <cellStyle name="40% - Accent3 12 2 3 2 2 3" xfId="24508" xr:uid="{00000000-0005-0000-0000-00004C390000}"/>
    <cellStyle name="40% - Accent3 12 2 3 2 2 3 2" xfId="48340" xr:uid="{EBC0A154-9F9B-48D6-805E-A94439427F4E}"/>
    <cellStyle name="40% - Accent3 12 2 3 2 2 4" xfId="32463" xr:uid="{D201A6FB-EDD1-4C55-B80E-86B3EECCF19A}"/>
    <cellStyle name="40% - Accent3 12 2 3 2 3" xfId="13024" xr:uid="{00000000-0005-0000-0000-00004D390000}"/>
    <cellStyle name="40% - Accent3 12 2 3 2 3 2" xfId="36873" xr:uid="{8C3C42BB-C68A-4899-961D-93B132BEFDAD}"/>
    <cellStyle name="40% - Accent3 12 2 3 2 4" xfId="20979" xr:uid="{00000000-0005-0000-0000-00004E390000}"/>
    <cellStyle name="40% - Accent3 12 2 3 2 4 2" xfId="44811" xr:uid="{0506F050-F712-4B7D-97FA-7AF0A8ABCC04}"/>
    <cellStyle name="40% - Accent3 12 2 3 2 5" xfId="28932" xr:uid="{A9FF8579-0413-4A58-A489-5068E4F3C351}"/>
    <cellStyle name="40% - Accent3 12 2 3 3" xfId="6832" xr:uid="{00000000-0005-0000-0000-00004F390000}"/>
    <cellStyle name="40% - Accent3 12 2 3 3 2" xfId="14804" xr:uid="{00000000-0005-0000-0000-000050390000}"/>
    <cellStyle name="40% - Accent3 12 2 3 3 2 2" xfId="38646" xr:uid="{792F113B-880C-45FB-AFB2-8F8F42D71713}"/>
    <cellStyle name="40% - Accent3 12 2 3 3 3" xfId="22751" xr:uid="{00000000-0005-0000-0000-000051390000}"/>
    <cellStyle name="40% - Accent3 12 2 3 3 3 2" xfId="46583" xr:uid="{2CCE9B6D-A835-4990-9869-2236D92DC173}"/>
    <cellStyle name="40% - Accent3 12 2 3 3 4" xfId="30705" xr:uid="{226F4F81-DC77-45C9-AFF3-6EEBF0D2C5E3}"/>
    <cellStyle name="40% - Accent3 12 2 3 4" xfId="11268" xr:uid="{00000000-0005-0000-0000-000052390000}"/>
    <cellStyle name="40% - Accent3 12 2 3 4 2" xfId="35117" xr:uid="{05F1B0E2-86A2-40AC-8B6F-6AD1D808C827}"/>
    <cellStyle name="40% - Accent3 12 2 3 5" xfId="19223" xr:uid="{00000000-0005-0000-0000-000053390000}"/>
    <cellStyle name="40% - Accent3 12 2 3 5 2" xfId="43055" xr:uid="{FCD480A1-A667-466C-A64E-D31920E4038F}"/>
    <cellStyle name="40% - Accent3 12 2 3 6" xfId="27175" xr:uid="{7FC0AA22-CECC-486C-820F-D9DC2931A087}"/>
    <cellStyle name="40% - Accent3 12 2 3_Exh G" xfId="2953" xr:uid="{00000000-0005-0000-0000-000054390000}"/>
    <cellStyle name="40% - Accent3 12 2 4" xfId="4121" xr:uid="{00000000-0005-0000-0000-000055390000}"/>
    <cellStyle name="40% - Accent3 12 2 4 2" xfId="7713" xr:uid="{00000000-0005-0000-0000-000056390000}"/>
    <cellStyle name="40% - Accent3 12 2 4 2 2" xfId="15684" xr:uid="{00000000-0005-0000-0000-000057390000}"/>
    <cellStyle name="40% - Accent3 12 2 4 2 2 2" xfId="39526" xr:uid="{71EA8572-EB79-4711-95F4-079789EFB982}"/>
    <cellStyle name="40% - Accent3 12 2 4 2 3" xfId="23630" xr:uid="{00000000-0005-0000-0000-000058390000}"/>
    <cellStyle name="40% - Accent3 12 2 4 2 3 2" xfId="47462" xr:uid="{35220E10-A6E9-4395-8A52-2806656C5B45}"/>
    <cellStyle name="40% - Accent3 12 2 4 2 4" xfId="31585" xr:uid="{DE2F3C5B-7AC0-47AC-B7BE-BB30CF68AD8C}"/>
    <cellStyle name="40% - Accent3 12 2 4 3" xfId="12146" xr:uid="{00000000-0005-0000-0000-000059390000}"/>
    <cellStyle name="40% - Accent3 12 2 4 3 2" xfId="35995" xr:uid="{7FE52DB4-25AA-4F4D-9324-648717165EF3}"/>
    <cellStyle name="40% - Accent3 12 2 4 4" xfId="20101" xr:uid="{00000000-0005-0000-0000-00005A390000}"/>
    <cellStyle name="40% - Accent3 12 2 4 4 2" xfId="43933" xr:uid="{9B2DC97B-56B0-4438-BF4A-18638C6FC841}"/>
    <cellStyle name="40% - Accent3 12 2 4 5" xfId="28054" xr:uid="{9E1A6068-80EF-481F-A6C7-12301424A7FC}"/>
    <cellStyle name="40% - Accent3 12 2 5" xfId="5941" xr:uid="{00000000-0005-0000-0000-00005B390000}"/>
    <cellStyle name="40% - Accent3 12 2 5 2" xfId="13925" xr:uid="{00000000-0005-0000-0000-00005C390000}"/>
    <cellStyle name="40% - Accent3 12 2 5 2 2" xfId="37768" xr:uid="{BF9FA8F7-36D8-49E1-8C23-C973F8BB5300}"/>
    <cellStyle name="40% - Accent3 12 2 5 3" xfId="21873" xr:uid="{00000000-0005-0000-0000-00005D390000}"/>
    <cellStyle name="40% - Accent3 12 2 5 3 2" xfId="45705" xr:uid="{AC8E5D6F-AD05-4941-A6CD-F4408AD67CE6}"/>
    <cellStyle name="40% - Accent3 12 2 5 4" xfId="29827" xr:uid="{AB2C0784-303A-4188-B6C9-2BACE265E918}"/>
    <cellStyle name="40% - Accent3 12 2 6" xfId="9494" xr:uid="{00000000-0005-0000-0000-00005E390000}"/>
    <cellStyle name="40% - Accent3 12 2 6 2" xfId="17452" xr:uid="{00000000-0005-0000-0000-00005F390000}"/>
    <cellStyle name="40% - Accent3 12 2 6 2 2" xfId="41292" xr:uid="{8697538C-A0A3-4A69-9287-D24DBEAAB65F}"/>
    <cellStyle name="40% - Accent3 12 2 6 3" xfId="25396" xr:uid="{00000000-0005-0000-0000-000060390000}"/>
    <cellStyle name="40% - Accent3 12 2 6 3 2" xfId="49228" xr:uid="{0BF601B8-4FC8-466C-A4FA-4A9D99C1B946}"/>
    <cellStyle name="40% - Accent3 12 2 6 4" xfId="33351" xr:uid="{6497C456-0A91-44A0-9562-B0CC2D83BA71}"/>
    <cellStyle name="40% - Accent3 12 2 7" xfId="10390" xr:uid="{00000000-0005-0000-0000-000061390000}"/>
    <cellStyle name="40% - Accent3 12 2 7 2" xfId="34239" xr:uid="{5D27C993-36F1-4B4C-A2FB-10A7173918FE}"/>
    <cellStyle name="40% - Accent3 12 2 8" xfId="18345" xr:uid="{00000000-0005-0000-0000-000062390000}"/>
    <cellStyle name="40% - Accent3 12 2 8 2" xfId="42177" xr:uid="{88453CA9-18D8-4AF3-96A8-2E17115A01CA}"/>
    <cellStyle name="40% - Accent3 12 2 9" xfId="26297" xr:uid="{D96F55E0-9E26-41F7-85B7-AB70B0AA4225}"/>
    <cellStyle name="40% - Accent3 12 2_Exh G" xfId="2950" xr:uid="{00000000-0005-0000-0000-000063390000}"/>
    <cellStyle name="40% - Accent3 12 3" xfId="444" xr:uid="{00000000-0005-0000-0000-000064390000}"/>
    <cellStyle name="40% - Accent3 12 3 2" xfId="1472" xr:uid="{00000000-0005-0000-0000-000065390000}"/>
    <cellStyle name="40% - Accent3 12 3 2 2" xfId="5002" xr:uid="{00000000-0005-0000-0000-000066390000}"/>
    <cellStyle name="40% - Accent3 12 3 2 2 2" xfId="8593" xr:uid="{00000000-0005-0000-0000-000067390000}"/>
    <cellStyle name="40% - Accent3 12 3 2 2 2 2" xfId="16564" xr:uid="{00000000-0005-0000-0000-000068390000}"/>
    <cellStyle name="40% - Accent3 12 3 2 2 2 2 2" xfId="40406" xr:uid="{D6AE9146-F760-406B-A690-C79B69145070}"/>
    <cellStyle name="40% - Accent3 12 3 2 2 2 3" xfId="24510" xr:uid="{00000000-0005-0000-0000-000069390000}"/>
    <cellStyle name="40% - Accent3 12 3 2 2 2 3 2" xfId="48342" xr:uid="{C36EBAAC-7703-4C84-97F5-A838526C9008}"/>
    <cellStyle name="40% - Accent3 12 3 2 2 2 4" xfId="32465" xr:uid="{B78D403A-FDF0-45DD-A2CC-E07435D902AC}"/>
    <cellStyle name="40% - Accent3 12 3 2 2 3" xfId="13026" xr:uid="{00000000-0005-0000-0000-00006A390000}"/>
    <cellStyle name="40% - Accent3 12 3 2 2 3 2" xfId="36875" xr:uid="{476340BA-9DEB-4B2E-BB14-BEFE8303DF0B}"/>
    <cellStyle name="40% - Accent3 12 3 2 2 4" xfId="20981" xr:uid="{00000000-0005-0000-0000-00006B390000}"/>
    <cellStyle name="40% - Accent3 12 3 2 2 4 2" xfId="44813" xr:uid="{8516379E-F56F-4815-AB18-CED6200C76AC}"/>
    <cellStyle name="40% - Accent3 12 3 2 2 5" xfId="28934" xr:uid="{49AD85C0-B852-4450-B848-FF8683903DAA}"/>
    <cellStyle name="40% - Accent3 12 3 2 3" xfId="6834" xr:uid="{00000000-0005-0000-0000-00006C390000}"/>
    <cellStyle name="40% - Accent3 12 3 2 3 2" xfId="14806" xr:uid="{00000000-0005-0000-0000-00006D390000}"/>
    <cellStyle name="40% - Accent3 12 3 2 3 2 2" xfId="38648" xr:uid="{2D54C9F8-A9E6-4F5D-BAEE-409DABF48F4B}"/>
    <cellStyle name="40% - Accent3 12 3 2 3 3" xfId="22753" xr:uid="{00000000-0005-0000-0000-00006E390000}"/>
    <cellStyle name="40% - Accent3 12 3 2 3 3 2" xfId="46585" xr:uid="{17B91554-099C-41CA-9B50-79663DDB0537}"/>
    <cellStyle name="40% - Accent3 12 3 2 3 4" xfId="30707" xr:uid="{AD2A565C-EFCA-430F-8D5A-57A6A69720AF}"/>
    <cellStyle name="40% - Accent3 12 3 2 4" xfId="11270" xr:uid="{00000000-0005-0000-0000-00006F390000}"/>
    <cellStyle name="40% - Accent3 12 3 2 4 2" xfId="35119" xr:uid="{2D23CE79-0A5F-44E9-B8E8-50583ACAB488}"/>
    <cellStyle name="40% - Accent3 12 3 2 5" xfId="19225" xr:uid="{00000000-0005-0000-0000-000070390000}"/>
    <cellStyle name="40% - Accent3 12 3 2 5 2" xfId="43057" xr:uid="{6216D79A-33F0-44D0-9BFB-71E356B51E91}"/>
    <cellStyle name="40% - Accent3 12 3 2 6" xfId="27177" xr:uid="{D6F267CC-DAFE-4DBD-AA93-CE82E0479EE5}"/>
    <cellStyle name="40% - Accent3 12 3 2_Exh G" xfId="2955" xr:uid="{00000000-0005-0000-0000-000071390000}"/>
    <cellStyle name="40% - Accent3 12 3 3" xfId="4123" xr:uid="{00000000-0005-0000-0000-000072390000}"/>
    <cellStyle name="40% - Accent3 12 3 3 2" xfId="7715" xr:uid="{00000000-0005-0000-0000-000073390000}"/>
    <cellStyle name="40% - Accent3 12 3 3 2 2" xfId="15686" xr:uid="{00000000-0005-0000-0000-000074390000}"/>
    <cellStyle name="40% - Accent3 12 3 3 2 2 2" xfId="39528" xr:uid="{CE876B4A-5E22-4A57-A6A3-C0FFE9D126F0}"/>
    <cellStyle name="40% - Accent3 12 3 3 2 3" xfId="23632" xr:uid="{00000000-0005-0000-0000-000075390000}"/>
    <cellStyle name="40% - Accent3 12 3 3 2 3 2" xfId="47464" xr:uid="{E7284B5E-4320-46E7-8824-2CC060C4157F}"/>
    <cellStyle name="40% - Accent3 12 3 3 2 4" xfId="31587" xr:uid="{96E8D99F-4F52-4532-B24E-3E28CC5F4C65}"/>
    <cellStyle name="40% - Accent3 12 3 3 3" xfId="12148" xr:uid="{00000000-0005-0000-0000-000076390000}"/>
    <cellStyle name="40% - Accent3 12 3 3 3 2" xfId="35997" xr:uid="{756EA774-118F-4E62-80D9-6075ACF60D17}"/>
    <cellStyle name="40% - Accent3 12 3 3 4" xfId="20103" xr:uid="{00000000-0005-0000-0000-000077390000}"/>
    <cellStyle name="40% - Accent3 12 3 3 4 2" xfId="43935" xr:uid="{AEB77B8E-2F4F-49BD-8C9A-396F25A68900}"/>
    <cellStyle name="40% - Accent3 12 3 3 5" xfId="28056" xr:uid="{5046BE75-D0B2-4DC7-BF73-7791AA1C644C}"/>
    <cellStyle name="40% - Accent3 12 3 4" xfId="5943" xr:uid="{00000000-0005-0000-0000-000078390000}"/>
    <cellStyle name="40% - Accent3 12 3 4 2" xfId="13927" xr:uid="{00000000-0005-0000-0000-000079390000}"/>
    <cellStyle name="40% - Accent3 12 3 4 2 2" xfId="37770" xr:uid="{7224D535-DEEB-4457-A373-4164D02F53BB}"/>
    <cellStyle name="40% - Accent3 12 3 4 3" xfId="21875" xr:uid="{00000000-0005-0000-0000-00007A390000}"/>
    <cellStyle name="40% - Accent3 12 3 4 3 2" xfId="45707" xr:uid="{327DA871-78F5-4E34-B3E2-4E99141A4FFB}"/>
    <cellStyle name="40% - Accent3 12 3 4 4" xfId="29829" xr:uid="{FD2BF93A-4BAE-4432-B054-02F6ACC78DA7}"/>
    <cellStyle name="40% - Accent3 12 3 5" xfId="9496" xr:uid="{00000000-0005-0000-0000-00007B390000}"/>
    <cellStyle name="40% - Accent3 12 3 5 2" xfId="17454" xr:uid="{00000000-0005-0000-0000-00007C390000}"/>
    <cellStyle name="40% - Accent3 12 3 5 2 2" xfId="41294" xr:uid="{590827D8-B4D0-48A1-83F2-184AD14A1F09}"/>
    <cellStyle name="40% - Accent3 12 3 5 3" xfId="25398" xr:uid="{00000000-0005-0000-0000-00007D390000}"/>
    <cellStyle name="40% - Accent3 12 3 5 3 2" xfId="49230" xr:uid="{BC0A6678-8C36-4E04-AF80-07644C358952}"/>
    <cellStyle name="40% - Accent3 12 3 5 4" xfId="33353" xr:uid="{F5DC7111-F962-4C75-B761-BFC0E198ACDA}"/>
    <cellStyle name="40% - Accent3 12 3 6" xfId="10392" xr:uid="{00000000-0005-0000-0000-00007E390000}"/>
    <cellStyle name="40% - Accent3 12 3 6 2" xfId="34241" xr:uid="{481CC3B3-AB38-46E1-975E-7D7BA15C957A}"/>
    <cellStyle name="40% - Accent3 12 3 7" xfId="18347" xr:uid="{00000000-0005-0000-0000-00007F390000}"/>
    <cellStyle name="40% - Accent3 12 3 7 2" xfId="42179" xr:uid="{C45E880E-1BEA-4D4E-80C2-CB9BB3E582F8}"/>
    <cellStyle name="40% - Accent3 12 3 8" xfId="26299" xr:uid="{220DCA65-4909-4E73-A23F-AC325021E8FB}"/>
    <cellStyle name="40% - Accent3 12 3_Exh G" xfId="2954" xr:uid="{00000000-0005-0000-0000-000080390000}"/>
    <cellStyle name="40% - Accent3 12 4" xfId="1469" xr:uid="{00000000-0005-0000-0000-000081390000}"/>
    <cellStyle name="40% - Accent3 12 4 2" xfId="4999" xr:uid="{00000000-0005-0000-0000-000082390000}"/>
    <cellStyle name="40% - Accent3 12 4 2 2" xfId="8590" xr:uid="{00000000-0005-0000-0000-000083390000}"/>
    <cellStyle name="40% - Accent3 12 4 2 2 2" xfId="16561" xr:uid="{00000000-0005-0000-0000-000084390000}"/>
    <cellStyle name="40% - Accent3 12 4 2 2 2 2" xfId="40403" xr:uid="{410CB908-2538-42EB-9C49-2818464BEC30}"/>
    <cellStyle name="40% - Accent3 12 4 2 2 3" xfId="24507" xr:uid="{00000000-0005-0000-0000-000085390000}"/>
    <cellStyle name="40% - Accent3 12 4 2 2 3 2" xfId="48339" xr:uid="{448F98A2-DC71-4D90-AFE0-7E2D6187BB0B}"/>
    <cellStyle name="40% - Accent3 12 4 2 2 4" xfId="32462" xr:uid="{08406362-11F9-4C7C-80DC-93285FE0E848}"/>
    <cellStyle name="40% - Accent3 12 4 2 3" xfId="13023" xr:uid="{00000000-0005-0000-0000-000086390000}"/>
    <cellStyle name="40% - Accent3 12 4 2 3 2" xfId="36872" xr:uid="{7ECA8A21-022A-4067-B22A-125FF28A30A5}"/>
    <cellStyle name="40% - Accent3 12 4 2 4" xfId="20978" xr:uid="{00000000-0005-0000-0000-000087390000}"/>
    <cellStyle name="40% - Accent3 12 4 2 4 2" xfId="44810" xr:uid="{4D81998C-C1F4-4D56-9CD7-CB8B9887E7F7}"/>
    <cellStyle name="40% - Accent3 12 4 2 5" xfId="28931" xr:uid="{85AF902D-0194-42FC-BD89-DFD14C400217}"/>
    <cellStyle name="40% - Accent3 12 4 3" xfId="6831" xr:uid="{00000000-0005-0000-0000-000088390000}"/>
    <cellStyle name="40% - Accent3 12 4 3 2" xfId="14803" xr:uid="{00000000-0005-0000-0000-000089390000}"/>
    <cellStyle name="40% - Accent3 12 4 3 2 2" xfId="38645" xr:uid="{8F36CAC2-7C2B-40C0-BEFE-8CD1E9C8CA24}"/>
    <cellStyle name="40% - Accent3 12 4 3 3" xfId="22750" xr:uid="{00000000-0005-0000-0000-00008A390000}"/>
    <cellStyle name="40% - Accent3 12 4 3 3 2" xfId="46582" xr:uid="{04A3F83D-0EE0-4F9F-BCC7-2941A5CBCCE9}"/>
    <cellStyle name="40% - Accent3 12 4 3 4" xfId="30704" xr:uid="{95F424DB-33BC-43F2-871A-23EEE963DE06}"/>
    <cellStyle name="40% - Accent3 12 4 4" xfId="11267" xr:uid="{00000000-0005-0000-0000-00008B390000}"/>
    <cellStyle name="40% - Accent3 12 4 4 2" xfId="35116" xr:uid="{2BD9F799-14F1-4EA2-A97F-578266B08C49}"/>
    <cellStyle name="40% - Accent3 12 4 5" xfId="19222" xr:uid="{00000000-0005-0000-0000-00008C390000}"/>
    <cellStyle name="40% - Accent3 12 4 5 2" xfId="43054" xr:uid="{3BAB6FFA-8C3E-4C86-8424-F720290376EC}"/>
    <cellStyle name="40% - Accent3 12 4 6" xfId="27174" xr:uid="{BE21B014-1878-403E-A2CD-AA589CE5ECFA}"/>
    <cellStyle name="40% - Accent3 12 4_Exh G" xfId="2956" xr:uid="{00000000-0005-0000-0000-00008D390000}"/>
    <cellStyle name="40% - Accent3 12 5" xfId="4120" xr:uid="{00000000-0005-0000-0000-00008E390000}"/>
    <cellStyle name="40% - Accent3 12 5 2" xfId="7712" xr:uid="{00000000-0005-0000-0000-00008F390000}"/>
    <cellStyle name="40% - Accent3 12 5 2 2" xfId="15683" xr:uid="{00000000-0005-0000-0000-000090390000}"/>
    <cellStyle name="40% - Accent3 12 5 2 2 2" xfId="39525" xr:uid="{D432A8A4-EE95-48A7-B507-6178153DA09B}"/>
    <cellStyle name="40% - Accent3 12 5 2 3" xfId="23629" xr:uid="{00000000-0005-0000-0000-000091390000}"/>
    <cellStyle name="40% - Accent3 12 5 2 3 2" xfId="47461" xr:uid="{92B19D84-7C4D-4368-BE46-F8A3F738F79B}"/>
    <cellStyle name="40% - Accent3 12 5 2 4" xfId="31584" xr:uid="{27CA6606-503A-434C-91A2-713A980800AB}"/>
    <cellStyle name="40% - Accent3 12 5 3" xfId="12145" xr:uid="{00000000-0005-0000-0000-000092390000}"/>
    <cellStyle name="40% - Accent3 12 5 3 2" xfId="35994" xr:uid="{692D875C-8E20-4878-9029-ADC9E2E1274A}"/>
    <cellStyle name="40% - Accent3 12 5 4" xfId="20100" xr:uid="{00000000-0005-0000-0000-000093390000}"/>
    <cellStyle name="40% - Accent3 12 5 4 2" xfId="43932" xr:uid="{1F35F925-DCCD-4BCB-B798-5F9025A02204}"/>
    <cellStyle name="40% - Accent3 12 5 5" xfId="28053" xr:uid="{C1E5CEC0-253D-4B3D-82BF-217BFD88F8A1}"/>
    <cellStyle name="40% - Accent3 12 6" xfId="5940" xr:uid="{00000000-0005-0000-0000-000094390000}"/>
    <cellStyle name="40% - Accent3 12 6 2" xfId="13924" xr:uid="{00000000-0005-0000-0000-000095390000}"/>
    <cellStyle name="40% - Accent3 12 6 2 2" xfId="37767" xr:uid="{C2294583-BDC9-4DF5-AFA3-7193351689DA}"/>
    <cellStyle name="40% - Accent3 12 6 3" xfId="21872" xr:uid="{00000000-0005-0000-0000-000096390000}"/>
    <cellStyle name="40% - Accent3 12 6 3 2" xfId="45704" xr:uid="{E129C3E6-8EDA-453E-9562-3293EA3ED901}"/>
    <cellStyle name="40% - Accent3 12 6 4" xfId="29826" xr:uid="{D86A4760-DCCF-4E17-8995-01CA903B7B5A}"/>
    <cellStyle name="40% - Accent3 12 7" xfId="9493" xr:uid="{00000000-0005-0000-0000-000097390000}"/>
    <cellStyle name="40% - Accent3 12 7 2" xfId="17451" xr:uid="{00000000-0005-0000-0000-000098390000}"/>
    <cellStyle name="40% - Accent3 12 7 2 2" xfId="41291" xr:uid="{BC9D215B-46D6-4A55-B7D7-79CE569E7E93}"/>
    <cellStyle name="40% - Accent3 12 7 3" xfId="25395" xr:uid="{00000000-0005-0000-0000-000099390000}"/>
    <cellStyle name="40% - Accent3 12 7 3 2" xfId="49227" xr:uid="{A141F370-971F-42D1-962B-2B3FC359CE59}"/>
    <cellStyle name="40% - Accent3 12 7 4" xfId="33350" xr:uid="{5B752A54-FB93-4779-B138-F9519C8353AA}"/>
    <cellStyle name="40% - Accent3 12 8" xfId="10389" xr:uid="{00000000-0005-0000-0000-00009A390000}"/>
    <cellStyle name="40% - Accent3 12 8 2" xfId="34238" xr:uid="{559F1E7B-3A78-47C7-A97A-BFCC13497E15}"/>
    <cellStyle name="40% - Accent3 12 9" xfId="18344" xr:uid="{00000000-0005-0000-0000-00009B390000}"/>
    <cellStyle name="40% - Accent3 12 9 2" xfId="42176" xr:uid="{17632AB3-8AD7-440E-8D1C-C6A4DE32DB58}"/>
    <cellStyle name="40% - Accent3 12_Exh G" xfId="2949" xr:uid="{00000000-0005-0000-0000-00009C390000}"/>
    <cellStyle name="40% - Accent3 13" xfId="445" xr:uid="{00000000-0005-0000-0000-00009D390000}"/>
    <cellStyle name="40% - Accent3 13 10" xfId="26300" xr:uid="{A6B4D995-40AC-4BDA-8E85-11967BD18740}"/>
    <cellStyle name="40% - Accent3 13 2" xfId="446" xr:uid="{00000000-0005-0000-0000-00009E390000}"/>
    <cellStyle name="40% - Accent3 13 2 2" xfId="447" xr:uid="{00000000-0005-0000-0000-00009F390000}"/>
    <cellStyle name="40% - Accent3 13 2 2 2" xfId="1475" xr:uid="{00000000-0005-0000-0000-0000A0390000}"/>
    <cellStyle name="40% - Accent3 13 2 2 2 2" xfId="5005" xr:uid="{00000000-0005-0000-0000-0000A1390000}"/>
    <cellStyle name="40% - Accent3 13 2 2 2 2 2" xfId="8596" xr:uid="{00000000-0005-0000-0000-0000A2390000}"/>
    <cellStyle name="40% - Accent3 13 2 2 2 2 2 2" xfId="16567" xr:uid="{00000000-0005-0000-0000-0000A3390000}"/>
    <cellStyle name="40% - Accent3 13 2 2 2 2 2 2 2" xfId="40409" xr:uid="{CD11F873-70C1-4B2F-9C5C-34CC9C3F0CEC}"/>
    <cellStyle name="40% - Accent3 13 2 2 2 2 2 3" xfId="24513" xr:uid="{00000000-0005-0000-0000-0000A4390000}"/>
    <cellStyle name="40% - Accent3 13 2 2 2 2 2 3 2" xfId="48345" xr:uid="{2043A819-FBFA-4D4F-8332-1A4AF652D94D}"/>
    <cellStyle name="40% - Accent3 13 2 2 2 2 2 4" xfId="32468" xr:uid="{10FA5580-26EE-4386-B726-E80DFAE7C2C5}"/>
    <cellStyle name="40% - Accent3 13 2 2 2 2 3" xfId="13029" xr:uid="{00000000-0005-0000-0000-0000A5390000}"/>
    <cellStyle name="40% - Accent3 13 2 2 2 2 3 2" xfId="36878" xr:uid="{DC18C896-EBCD-4D84-AB00-579357532564}"/>
    <cellStyle name="40% - Accent3 13 2 2 2 2 4" xfId="20984" xr:uid="{00000000-0005-0000-0000-0000A6390000}"/>
    <cellStyle name="40% - Accent3 13 2 2 2 2 4 2" xfId="44816" xr:uid="{F3312416-2791-406A-AAD1-41677AF1F1D3}"/>
    <cellStyle name="40% - Accent3 13 2 2 2 2 5" xfId="28937" xr:uid="{62D7F712-C27B-411A-B2E7-EA4405E58C1D}"/>
    <cellStyle name="40% - Accent3 13 2 2 2 3" xfId="6837" xr:uid="{00000000-0005-0000-0000-0000A7390000}"/>
    <cellStyle name="40% - Accent3 13 2 2 2 3 2" xfId="14809" xr:uid="{00000000-0005-0000-0000-0000A8390000}"/>
    <cellStyle name="40% - Accent3 13 2 2 2 3 2 2" xfId="38651" xr:uid="{451D3F83-D2A5-4E1C-93ED-D5BF065B860C}"/>
    <cellStyle name="40% - Accent3 13 2 2 2 3 3" xfId="22756" xr:uid="{00000000-0005-0000-0000-0000A9390000}"/>
    <cellStyle name="40% - Accent3 13 2 2 2 3 3 2" xfId="46588" xr:uid="{646E9C59-923C-4B24-8670-8D8E38C96F0A}"/>
    <cellStyle name="40% - Accent3 13 2 2 2 3 4" xfId="30710" xr:uid="{15966F91-2377-4939-9BC6-B6962E14C227}"/>
    <cellStyle name="40% - Accent3 13 2 2 2 4" xfId="11273" xr:uid="{00000000-0005-0000-0000-0000AA390000}"/>
    <cellStyle name="40% - Accent3 13 2 2 2 4 2" xfId="35122" xr:uid="{85B97C23-DAD8-4A6A-A4A3-DAF947940DBD}"/>
    <cellStyle name="40% - Accent3 13 2 2 2 5" xfId="19228" xr:uid="{00000000-0005-0000-0000-0000AB390000}"/>
    <cellStyle name="40% - Accent3 13 2 2 2 5 2" xfId="43060" xr:uid="{10A9D414-4E93-414C-9A53-2AC7A5F59F99}"/>
    <cellStyle name="40% - Accent3 13 2 2 2 6" xfId="27180" xr:uid="{4ECE735D-8204-4E08-95E2-E089209EFED9}"/>
    <cellStyle name="40% - Accent3 13 2 2 2_Exh G" xfId="2960" xr:uid="{00000000-0005-0000-0000-0000AC390000}"/>
    <cellStyle name="40% - Accent3 13 2 2 3" xfId="4126" xr:uid="{00000000-0005-0000-0000-0000AD390000}"/>
    <cellStyle name="40% - Accent3 13 2 2 3 2" xfId="7718" xr:uid="{00000000-0005-0000-0000-0000AE390000}"/>
    <cellStyle name="40% - Accent3 13 2 2 3 2 2" xfId="15689" xr:uid="{00000000-0005-0000-0000-0000AF390000}"/>
    <cellStyle name="40% - Accent3 13 2 2 3 2 2 2" xfId="39531" xr:uid="{FD55D23B-6226-4ACF-ABED-733E3FCD5A3B}"/>
    <cellStyle name="40% - Accent3 13 2 2 3 2 3" xfId="23635" xr:uid="{00000000-0005-0000-0000-0000B0390000}"/>
    <cellStyle name="40% - Accent3 13 2 2 3 2 3 2" xfId="47467" xr:uid="{81839022-D968-4DDA-B2A3-7ACD2F8E2444}"/>
    <cellStyle name="40% - Accent3 13 2 2 3 2 4" xfId="31590" xr:uid="{C58B0839-1534-4A1A-B77C-E02168EFC624}"/>
    <cellStyle name="40% - Accent3 13 2 2 3 3" xfId="12151" xr:uid="{00000000-0005-0000-0000-0000B1390000}"/>
    <cellStyle name="40% - Accent3 13 2 2 3 3 2" xfId="36000" xr:uid="{62DCD7CA-467F-4429-99F9-6ECEB9F31D81}"/>
    <cellStyle name="40% - Accent3 13 2 2 3 4" xfId="20106" xr:uid="{00000000-0005-0000-0000-0000B2390000}"/>
    <cellStyle name="40% - Accent3 13 2 2 3 4 2" xfId="43938" xr:uid="{CA18A6F7-0318-43C1-BE26-E60ECE5ABC7F}"/>
    <cellStyle name="40% - Accent3 13 2 2 3 5" xfId="28059" xr:uid="{72D01BD1-B121-4DD5-8483-DA146120D2D0}"/>
    <cellStyle name="40% - Accent3 13 2 2 4" xfId="5946" xr:uid="{00000000-0005-0000-0000-0000B3390000}"/>
    <cellStyle name="40% - Accent3 13 2 2 4 2" xfId="13930" xr:uid="{00000000-0005-0000-0000-0000B4390000}"/>
    <cellStyle name="40% - Accent3 13 2 2 4 2 2" xfId="37773" xr:uid="{B56F07F5-F9F8-48E5-9A26-E425BE6443E3}"/>
    <cellStyle name="40% - Accent3 13 2 2 4 3" xfId="21878" xr:uid="{00000000-0005-0000-0000-0000B5390000}"/>
    <cellStyle name="40% - Accent3 13 2 2 4 3 2" xfId="45710" xr:uid="{0960330C-CE38-4423-8797-258AE8D087DC}"/>
    <cellStyle name="40% - Accent3 13 2 2 4 4" xfId="29832" xr:uid="{39B0C29D-CBF4-45FE-87D4-90417DDE7FC0}"/>
    <cellStyle name="40% - Accent3 13 2 2 5" xfId="9499" xr:uid="{00000000-0005-0000-0000-0000B6390000}"/>
    <cellStyle name="40% - Accent3 13 2 2 5 2" xfId="17457" xr:uid="{00000000-0005-0000-0000-0000B7390000}"/>
    <cellStyle name="40% - Accent3 13 2 2 5 2 2" xfId="41297" xr:uid="{0AEF84EC-E5E2-4E87-9D95-0A7175861B75}"/>
    <cellStyle name="40% - Accent3 13 2 2 5 3" xfId="25401" xr:uid="{00000000-0005-0000-0000-0000B8390000}"/>
    <cellStyle name="40% - Accent3 13 2 2 5 3 2" xfId="49233" xr:uid="{EEDA3109-8DC0-4001-9252-AC8B75F07010}"/>
    <cellStyle name="40% - Accent3 13 2 2 5 4" xfId="33356" xr:uid="{BD9959F4-154C-4F37-87BC-0970EA9851D5}"/>
    <cellStyle name="40% - Accent3 13 2 2 6" xfId="10395" xr:uid="{00000000-0005-0000-0000-0000B9390000}"/>
    <cellStyle name="40% - Accent3 13 2 2 6 2" xfId="34244" xr:uid="{BDDFD51A-A62E-4619-99D9-D6B31BB5EF14}"/>
    <cellStyle name="40% - Accent3 13 2 2 7" xfId="18350" xr:uid="{00000000-0005-0000-0000-0000BA390000}"/>
    <cellStyle name="40% - Accent3 13 2 2 7 2" xfId="42182" xr:uid="{6263E635-B7D5-4215-BB47-D86CF0D10D22}"/>
    <cellStyle name="40% - Accent3 13 2 2 8" xfId="26302" xr:uid="{A733CE9D-5A08-434E-940F-66DB66AC02D7}"/>
    <cellStyle name="40% - Accent3 13 2 2_Exh G" xfId="2959" xr:uid="{00000000-0005-0000-0000-0000BB390000}"/>
    <cellStyle name="40% - Accent3 13 2 3" xfId="1474" xr:uid="{00000000-0005-0000-0000-0000BC390000}"/>
    <cellStyle name="40% - Accent3 13 2 3 2" xfId="5004" xr:uid="{00000000-0005-0000-0000-0000BD390000}"/>
    <cellStyle name="40% - Accent3 13 2 3 2 2" xfId="8595" xr:uid="{00000000-0005-0000-0000-0000BE390000}"/>
    <cellStyle name="40% - Accent3 13 2 3 2 2 2" xfId="16566" xr:uid="{00000000-0005-0000-0000-0000BF390000}"/>
    <cellStyle name="40% - Accent3 13 2 3 2 2 2 2" xfId="40408" xr:uid="{68E905F7-0270-49CF-AFDA-C628FCDA4806}"/>
    <cellStyle name="40% - Accent3 13 2 3 2 2 3" xfId="24512" xr:uid="{00000000-0005-0000-0000-0000C0390000}"/>
    <cellStyle name="40% - Accent3 13 2 3 2 2 3 2" xfId="48344" xr:uid="{32C466D3-4E43-4606-8FB1-D6BEF7E08EB6}"/>
    <cellStyle name="40% - Accent3 13 2 3 2 2 4" xfId="32467" xr:uid="{9A67C178-E161-4DFF-BB2B-368E87F88544}"/>
    <cellStyle name="40% - Accent3 13 2 3 2 3" xfId="13028" xr:uid="{00000000-0005-0000-0000-0000C1390000}"/>
    <cellStyle name="40% - Accent3 13 2 3 2 3 2" xfId="36877" xr:uid="{BD259F23-98C9-483E-BFE3-6988A1A8E645}"/>
    <cellStyle name="40% - Accent3 13 2 3 2 4" xfId="20983" xr:uid="{00000000-0005-0000-0000-0000C2390000}"/>
    <cellStyle name="40% - Accent3 13 2 3 2 4 2" xfId="44815" xr:uid="{0D89719E-95B1-4AD7-B271-8D319A04396C}"/>
    <cellStyle name="40% - Accent3 13 2 3 2 5" xfId="28936" xr:uid="{D75ADBFD-4B23-4D76-936D-A1D814CE1D64}"/>
    <cellStyle name="40% - Accent3 13 2 3 3" xfId="6836" xr:uid="{00000000-0005-0000-0000-0000C3390000}"/>
    <cellStyle name="40% - Accent3 13 2 3 3 2" xfId="14808" xr:uid="{00000000-0005-0000-0000-0000C4390000}"/>
    <cellStyle name="40% - Accent3 13 2 3 3 2 2" xfId="38650" xr:uid="{91F7CD96-F461-474C-86DE-E706AB391610}"/>
    <cellStyle name="40% - Accent3 13 2 3 3 3" xfId="22755" xr:uid="{00000000-0005-0000-0000-0000C5390000}"/>
    <cellStyle name="40% - Accent3 13 2 3 3 3 2" xfId="46587" xr:uid="{F7ED104B-0D3E-4CEA-B246-8F4F736AAECF}"/>
    <cellStyle name="40% - Accent3 13 2 3 3 4" xfId="30709" xr:uid="{50885B64-6D0D-4DC9-847C-C65AC862815E}"/>
    <cellStyle name="40% - Accent3 13 2 3 4" xfId="11272" xr:uid="{00000000-0005-0000-0000-0000C6390000}"/>
    <cellStyle name="40% - Accent3 13 2 3 4 2" xfId="35121" xr:uid="{36A24932-8FDB-47C2-BDF7-15E0437D5FE3}"/>
    <cellStyle name="40% - Accent3 13 2 3 5" xfId="19227" xr:uid="{00000000-0005-0000-0000-0000C7390000}"/>
    <cellStyle name="40% - Accent3 13 2 3 5 2" xfId="43059" xr:uid="{F07E5A24-74F0-405E-AA2D-0F9BF92B8C78}"/>
    <cellStyle name="40% - Accent3 13 2 3 6" xfId="27179" xr:uid="{7C2D23A3-2F0A-487A-9023-44D6319E30E8}"/>
    <cellStyle name="40% - Accent3 13 2 3_Exh G" xfId="2961" xr:uid="{00000000-0005-0000-0000-0000C8390000}"/>
    <cellStyle name="40% - Accent3 13 2 4" xfId="4125" xr:uid="{00000000-0005-0000-0000-0000C9390000}"/>
    <cellStyle name="40% - Accent3 13 2 4 2" xfId="7717" xr:uid="{00000000-0005-0000-0000-0000CA390000}"/>
    <cellStyle name="40% - Accent3 13 2 4 2 2" xfId="15688" xr:uid="{00000000-0005-0000-0000-0000CB390000}"/>
    <cellStyle name="40% - Accent3 13 2 4 2 2 2" xfId="39530" xr:uid="{8C2D98DC-F5DC-4A3D-8D26-4F26BD7EBBB4}"/>
    <cellStyle name="40% - Accent3 13 2 4 2 3" xfId="23634" xr:uid="{00000000-0005-0000-0000-0000CC390000}"/>
    <cellStyle name="40% - Accent3 13 2 4 2 3 2" xfId="47466" xr:uid="{DCAB4954-DEA7-4FB9-A7F8-D8DF4DAAA26F}"/>
    <cellStyle name="40% - Accent3 13 2 4 2 4" xfId="31589" xr:uid="{9FDA7654-43EB-4E59-934B-5DB7DC3B9E32}"/>
    <cellStyle name="40% - Accent3 13 2 4 3" xfId="12150" xr:uid="{00000000-0005-0000-0000-0000CD390000}"/>
    <cellStyle name="40% - Accent3 13 2 4 3 2" xfId="35999" xr:uid="{7E7DD5A7-ECBD-4879-AABE-5511CEB22295}"/>
    <cellStyle name="40% - Accent3 13 2 4 4" xfId="20105" xr:uid="{00000000-0005-0000-0000-0000CE390000}"/>
    <cellStyle name="40% - Accent3 13 2 4 4 2" xfId="43937" xr:uid="{B53EB556-A98D-48CB-A7CF-331E62E3DB90}"/>
    <cellStyle name="40% - Accent3 13 2 4 5" xfId="28058" xr:uid="{E5EF464A-D3BB-40E0-A716-0D527B4FA662}"/>
    <cellStyle name="40% - Accent3 13 2 5" xfId="5945" xr:uid="{00000000-0005-0000-0000-0000CF390000}"/>
    <cellStyle name="40% - Accent3 13 2 5 2" xfId="13929" xr:uid="{00000000-0005-0000-0000-0000D0390000}"/>
    <cellStyle name="40% - Accent3 13 2 5 2 2" xfId="37772" xr:uid="{3D32EE5C-6D9A-4D07-B894-F8DCE74A2813}"/>
    <cellStyle name="40% - Accent3 13 2 5 3" xfId="21877" xr:uid="{00000000-0005-0000-0000-0000D1390000}"/>
    <cellStyle name="40% - Accent3 13 2 5 3 2" xfId="45709" xr:uid="{10C50A3D-618E-4896-B06F-68BDE2447BBF}"/>
    <cellStyle name="40% - Accent3 13 2 5 4" xfId="29831" xr:uid="{F5FF86D4-81B5-4509-907D-AD970833B49C}"/>
    <cellStyle name="40% - Accent3 13 2 6" xfId="9498" xr:uid="{00000000-0005-0000-0000-0000D2390000}"/>
    <cellStyle name="40% - Accent3 13 2 6 2" xfId="17456" xr:uid="{00000000-0005-0000-0000-0000D3390000}"/>
    <cellStyle name="40% - Accent3 13 2 6 2 2" xfId="41296" xr:uid="{5294745F-EFA3-4966-BE86-3CFAEF4B0E8A}"/>
    <cellStyle name="40% - Accent3 13 2 6 3" xfId="25400" xr:uid="{00000000-0005-0000-0000-0000D4390000}"/>
    <cellStyle name="40% - Accent3 13 2 6 3 2" xfId="49232" xr:uid="{D084D615-3A2E-46F8-9403-D425EED2E3BD}"/>
    <cellStyle name="40% - Accent3 13 2 6 4" xfId="33355" xr:uid="{D689EDB2-DA10-447B-BD70-8BF00B34A30E}"/>
    <cellStyle name="40% - Accent3 13 2 7" xfId="10394" xr:uid="{00000000-0005-0000-0000-0000D5390000}"/>
    <cellStyle name="40% - Accent3 13 2 7 2" xfId="34243" xr:uid="{19BEA041-8CF5-4034-AD2C-15059855A29D}"/>
    <cellStyle name="40% - Accent3 13 2 8" xfId="18349" xr:uid="{00000000-0005-0000-0000-0000D6390000}"/>
    <cellStyle name="40% - Accent3 13 2 8 2" xfId="42181" xr:uid="{A1A01E94-A931-476F-9AA1-200C247609DC}"/>
    <cellStyle name="40% - Accent3 13 2 9" xfId="26301" xr:uid="{5848D651-68F3-4BF1-87CE-9DCFCA1BA442}"/>
    <cellStyle name="40% - Accent3 13 2_Exh G" xfId="2958" xr:uid="{00000000-0005-0000-0000-0000D7390000}"/>
    <cellStyle name="40% - Accent3 13 3" xfId="448" xr:uid="{00000000-0005-0000-0000-0000D8390000}"/>
    <cellStyle name="40% - Accent3 13 3 2" xfId="1476" xr:uid="{00000000-0005-0000-0000-0000D9390000}"/>
    <cellStyle name="40% - Accent3 13 3 2 2" xfId="5006" xr:uid="{00000000-0005-0000-0000-0000DA390000}"/>
    <cellStyle name="40% - Accent3 13 3 2 2 2" xfId="8597" xr:uid="{00000000-0005-0000-0000-0000DB390000}"/>
    <cellStyle name="40% - Accent3 13 3 2 2 2 2" xfId="16568" xr:uid="{00000000-0005-0000-0000-0000DC390000}"/>
    <cellStyle name="40% - Accent3 13 3 2 2 2 2 2" xfId="40410" xr:uid="{62354B5D-CCDE-40E7-B9B9-B7CB739BE6F8}"/>
    <cellStyle name="40% - Accent3 13 3 2 2 2 3" xfId="24514" xr:uid="{00000000-0005-0000-0000-0000DD390000}"/>
    <cellStyle name="40% - Accent3 13 3 2 2 2 3 2" xfId="48346" xr:uid="{D739A099-CD00-41C0-8C82-5F7123577100}"/>
    <cellStyle name="40% - Accent3 13 3 2 2 2 4" xfId="32469" xr:uid="{B016E22B-DF2B-4C59-8064-94BA7DB5205A}"/>
    <cellStyle name="40% - Accent3 13 3 2 2 3" xfId="13030" xr:uid="{00000000-0005-0000-0000-0000DE390000}"/>
    <cellStyle name="40% - Accent3 13 3 2 2 3 2" xfId="36879" xr:uid="{F04DB6E1-1BAC-45FC-A4E7-219200A23E73}"/>
    <cellStyle name="40% - Accent3 13 3 2 2 4" xfId="20985" xr:uid="{00000000-0005-0000-0000-0000DF390000}"/>
    <cellStyle name="40% - Accent3 13 3 2 2 4 2" xfId="44817" xr:uid="{ADC09437-7B6B-43FF-BA83-237ADAFA9C8E}"/>
    <cellStyle name="40% - Accent3 13 3 2 2 5" xfId="28938" xr:uid="{7D87D8D1-1858-4404-BFC4-EF9CD889DF7C}"/>
    <cellStyle name="40% - Accent3 13 3 2 3" xfId="6838" xr:uid="{00000000-0005-0000-0000-0000E0390000}"/>
    <cellStyle name="40% - Accent3 13 3 2 3 2" xfId="14810" xr:uid="{00000000-0005-0000-0000-0000E1390000}"/>
    <cellStyle name="40% - Accent3 13 3 2 3 2 2" xfId="38652" xr:uid="{B7CFF18F-812E-4F8A-8B9B-2271E8EDDADB}"/>
    <cellStyle name="40% - Accent3 13 3 2 3 3" xfId="22757" xr:uid="{00000000-0005-0000-0000-0000E2390000}"/>
    <cellStyle name="40% - Accent3 13 3 2 3 3 2" xfId="46589" xr:uid="{40006922-D74F-42AC-8996-8E8660F969C6}"/>
    <cellStyle name="40% - Accent3 13 3 2 3 4" xfId="30711" xr:uid="{D223818E-8709-4F54-8A8F-9BA84CEF0B0D}"/>
    <cellStyle name="40% - Accent3 13 3 2 4" xfId="11274" xr:uid="{00000000-0005-0000-0000-0000E3390000}"/>
    <cellStyle name="40% - Accent3 13 3 2 4 2" xfId="35123" xr:uid="{E17D8EAD-0705-4719-8AED-88B27F426F3B}"/>
    <cellStyle name="40% - Accent3 13 3 2 5" xfId="19229" xr:uid="{00000000-0005-0000-0000-0000E4390000}"/>
    <cellStyle name="40% - Accent3 13 3 2 5 2" xfId="43061" xr:uid="{B3CED1C2-5B6C-4332-AFE2-E70EB56E4E85}"/>
    <cellStyle name="40% - Accent3 13 3 2 6" xfId="27181" xr:uid="{C04FAEEF-8C73-4009-9033-CBD159D22E75}"/>
    <cellStyle name="40% - Accent3 13 3 2_Exh G" xfId="2963" xr:uid="{00000000-0005-0000-0000-0000E5390000}"/>
    <cellStyle name="40% - Accent3 13 3 3" xfId="4127" xr:uid="{00000000-0005-0000-0000-0000E6390000}"/>
    <cellStyle name="40% - Accent3 13 3 3 2" xfId="7719" xr:uid="{00000000-0005-0000-0000-0000E7390000}"/>
    <cellStyle name="40% - Accent3 13 3 3 2 2" xfId="15690" xr:uid="{00000000-0005-0000-0000-0000E8390000}"/>
    <cellStyle name="40% - Accent3 13 3 3 2 2 2" xfId="39532" xr:uid="{79DB8F3E-E5A9-4B69-93E2-FAC63B993CB4}"/>
    <cellStyle name="40% - Accent3 13 3 3 2 3" xfId="23636" xr:uid="{00000000-0005-0000-0000-0000E9390000}"/>
    <cellStyle name="40% - Accent3 13 3 3 2 3 2" xfId="47468" xr:uid="{586C955A-10D4-42D5-BD7C-2407286AC35A}"/>
    <cellStyle name="40% - Accent3 13 3 3 2 4" xfId="31591" xr:uid="{ECC06B10-11A6-4435-97E9-0FBEAFE1C82B}"/>
    <cellStyle name="40% - Accent3 13 3 3 3" xfId="12152" xr:uid="{00000000-0005-0000-0000-0000EA390000}"/>
    <cellStyle name="40% - Accent3 13 3 3 3 2" xfId="36001" xr:uid="{23C68C35-7FF1-422A-9B36-47E29D6D6135}"/>
    <cellStyle name="40% - Accent3 13 3 3 4" xfId="20107" xr:uid="{00000000-0005-0000-0000-0000EB390000}"/>
    <cellStyle name="40% - Accent3 13 3 3 4 2" xfId="43939" xr:uid="{0934E5E7-44B6-4EAE-8E67-18674D3ED2A0}"/>
    <cellStyle name="40% - Accent3 13 3 3 5" xfId="28060" xr:uid="{429EB644-17B9-4E3F-BADC-00BEEAB10629}"/>
    <cellStyle name="40% - Accent3 13 3 4" xfId="5947" xr:uid="{00000000-0005-0000-0000-0000EC390000}"/>
    <cellStyle name="40% - Accent3 13 3 4 2" xfId="13931" xr:uid="{00000000-0005-0000-0000-0000ED390000}"/>
    <cellStyle name="40% - Accent3 13 3 4 2 2" xfId="37774" xr:uid="{41693659-54F9-47C0-BBF2-84BE60C9B0DB}"/>
    <cellStyle name="40% - Accent3 13 3 4 3" xfId="21879" xr:uid="{00000000-0005-0000-0000-0000EE390000}"/>
    <cellStyle name="40% - Accent3 13 3 4 3 2" xfId="45711" xr:uid="{9DE9B664-5408-44D9-926A-E6F999F0A1EC}"/>
    <cellStyle name="40% - Accent3 13 3 4 4" xfId="29833" xr:uid="{6C941219-3EA9-4136-A22E-0FF62DBB56B5}"/>
    <cellStyle name="40% - Accent3 13 3 5" xfId="9500" xr:uid="{00000000-0005-0000-0000-0000EF390000}"/>
    <cellStyle name="40% - Accent3 13 3 5 2" xfId="17458" xr:uid="{00000000-0005-0000-0000-0000F0390000}"/>
    <cellStyle name="40% - Accent3 13 3 5 2 2" xfId="41298" xr:uid="{A88133B5-4789-4C2B-A71D-987BBAE0C06D}"/>
    <cellStyle name="40% - Accent3 13 3 5 3" xfId="25402" xr:uid="{00000000-0005-0000-0000-0000F1390000}"/>
    <cellStyle name="40% - Accent3 13 3 5 3 2" xfId="49234" xr:uid="{C25D845A-A8EF-49CE-BF89-8548FFB388A2}"/>
    <cellStyle name="40% - Accent3 13 3 5 4" xfId="33357" xr:uid="{6B56F987-7726-4282-8974-985D998A4B78}"/>
    <cellStyle name="40% - Accent3 13 3 6" xfId="10396" xr:uid="{00000000-0005-0000-0000-0000F2390000}"/>
    <cellStyle name="40% - Accent3 13 3 6 2" xfId="34245" xr:uid="{03427FCF-8E57-4793-9DEB-0BF58062B2DF}"/>
    <cellStyle name="40% - Accent3 13 3 7" xfId="18351" xr:uid="{00000000-0005-0000-0000-0000F3390000}"/>
    <cellStyle name="40% - Accent3 13 3 7 2" xfId="42183" xr:uid="{22C7A55D-C986-4846-BB86-A57AD06979C0}"/>
    <cellStyle name="40% - Accent3 13 3 8" xfId="26303" xr:uid="{72B9E3F4-F9BD-4AB5-9366-62926B972A9E}"/>
    <cellStyle name="40% - Accent3 13 3_Exh G" xfId="2962" xr:uid="{00000000-0005-0000-0000-0000F4390000}"/>
    <cellStyle name="40% - Accent3 13 4" xfId="1473" xr:uid="{00000000-0005-0000-0000-0000F5390000}"/>
    <cellStyle name="40% - Accent3 13 4 2" xfId="5003" xr:uid="{00000000-0005-0000-0000-0000F6390000}"/>
    <cellStyle name="40% - Accent3 13 4 2 2" xfId="8594" xr:uid="{00000000-0005-0000-0000-0000F7390000}"/>
    <cellStyle name="40% - Accent3 13 4 2 2 2" xfId="16565" xr:uid="{00000000-0005-0000-0000-0000F8390000}"/>
    <cellStyle name="40% - Accent3 13 4 2 2 2 2" xfId="40407" xr:uid="{35EE409E-C5C7-4FEE-9CE4-1A078213EF26}"/>
    <cellStyle name="40% - Accent3 13 4 2 2 3" xfId="24511" xr:uid="{00000000-0005-0000-0000-0000F9390000}"/>
    <cellStyle name="40% - Accent3 13 4 2 2 3 2" xfId="48343" xr:uid="{B5CC02B1-AA53-4EC2-B511-1B81424C2601}"/>
    <cellStyle name="40% - Accent3 13 4 2 2 4" xfId="32466" xr:uid="{92CFF5E3-A8B4-4248-B6B0-B0864F69657C}"/>
    <cellStyle name="40% - Accent3 13 4 2 3" xfId="13027" xr:uid="{00000000-0005-0000-0000-0000FA390000}"/>
    <cellStyle name="40% - Accent3 13 4 2 3 2" xfId="36876" xr:uid="{C38B6737-041D-44C7-9658-8FA5B8963179}"/>
    <cellStyle name="40% - Accent3 13 4 2 4" xfId="20982" xr:uid="{00000000-0005-0000-0000-0000FB390000}"/>
    <cellStyle name="40% - Accent3 13 4 2 4 2" xfId="44814" xr:uid="{516389AB-AC12-4010-A8E2-46CED23D284F}"/>
    <cellStyle name="40% - Accent3 13 4 2 5" xfId="28935" xr:uid="{D49181B4-8CDA-40DC-A83D-FB867839133A}"/>
    <cellStyle name="40% - Accent3 13 4 3" xfId="6835" xr:uid="{00000000-0005-0000-0000-0000FC390000}"/>
    <cellStyle name="40% - Accent3 13 4 3 2" xfId="14807" xr:uid="{00000000-0005-0000-0000-0000FD390000}"/>
    <cellStyle name="40% - Accent3 13 4 3 2 2" xfId="38649" xr:uid="{69415B6B-2E89-42E1-BE2A-79EE5A721892}"/>
    <cellStyle name="40% - Accent3 13 4 3 3" xfId="22754" xr:uid="{00000000-0005-0000-0000-0000FE390000}"/>
    <cellStyle name="40% - Accent3 13 4 3 3 2" xfId="46586" xr:uid="{8BB64479-FEED-49DB-BD07-3C63955BCEA3}"/>
    <cellStyle name="40% - Accent3 13 4 3 4" xfId="30708" xr:uid="{F866B10B-1994-4149-AF92-9A46F40D57E1}"/>
    <cellStyle name="40% - Accent3 13 4 4" xfId="11271" xr:uid="{00000000-0005-0000-0000-0000FF390000}"/>
    <cellStyle name="40% - Accent3 13 4 4 2" xfId="35120" xr:uid="{91267AAF-5CE9-4A32-B7DE-05B737EE0A27}"/>
    <cellStyle name="40% - Accent3 13 4 5" xfId="19226" xr:uid="{00000000-0005-0000-0000-0000003A0000}"/>
    <cellStyle name="40% - Accent3 13 4 5 2" xfId="43058" xr:uid="{58C3064E-4570-460E-BD9A-EA6A71C259B9}"/>
    <cellStyle name="40% - Accent3 13 4 6" xfId="27178" xr:uid="{BC5EBF7A-08B7-4803-808F-B19799FE6328}"/>
    <cellStyle name="40% - Accent3 13 4_Exh G" xfId="2964" xr:uid="{00000000-0005-0000-0000-0000013A0000}"/>
    <cellStyle name="40% - Accent3 13 5" xfId="4124" xr:uid="{00000000-0005-0000-0000-0000023A0000}"/>
    <cellStyle name="40% - Accent3 13 5 2" xfId="7716" xr:uid="{00000000-0005-0000-0000-0000033A0000}"/>
    <cellStyle name="40% - Accent3 13 5 2 2" xfId="15687" xr:uid="{00000000-0005-0000-0000-0000043A0000}"/>
    <cellStyle name="40% - Accent3 13 5 2 2 2" xfId="39529" xr:uid="{FB8E4AD8-EC04-436E-832F-2E091FC6E626}"/>
    <cellStyle name="40% - Accent3 13 5 2 3" xfId="23633" xr:uid="{00000000-0005-0000-0000-0000053A0000}"/>
    <cellStyle name="40% - Accent3 13 5 2 3 2" xfId="47465" xr:uid="{993BB98F-D660-4A8F-B325-DF43D87F15D4}"/>
    <cellStyle name="40% - Accent3 13 5 2 4" xfId="31588" xr:uid="{3FA39635-EC52-422F-839F-4CD26660AEDD}"/>
    <cellStyle name="40% - Accent3 13 5 3" xfId="12149" xr:uid="{00000000-0005-0000-0000-0000063A0000}"/>
    <cellStyle name="40% - Accent3 13 5 3 2" xfId="35998" xr:uid="{C8A3FFED-02F5-417D-AFB1-B084F568047D}"/>
    <cellStyle name="40% - Accent3 13 5 4" xfId="20104" xr:uid="{00000000-0005-0000-0000-0000073A0000}"/>
    <cellStyle name="40% - Accent3 13 5 4 2" xfId="43936" xr:uid="{E136148B-18A7-4C71-B6A4-ADBF3AFC4AB6}"/>
    <cellStyle name="40% - Accent3 13 5 5" xfId="28057" xr:uid="{8E4BB517-17C1-4C7D-98C2-BE8B49A4DD57}"/>
    <cellStyle name="40% - Accent3 13 6" xfId="5944" xr:uid="{00000000-0005-0000-0000-0000083A0000}"/>
    <cellStyle name="40% - Accent3 13 6 2" xfId="13928" xr:uid="{00000000-0005-0000-0000-0000093A0000}"/>
    <cellStyle name="40% - Accent3 13 6 2 2" xfId="37771" xr:uid="{8444A1B9-07D2-40A9-80E9-6229B3071D67}"/>
    <cellStyle name="40% - Accent3 13 6 3" xfId="21876" xr:uid="{00000000-0005-0000-0000-00000A3A0000}"/>
    <cellStyle name="40% - Accent3 13 6 3 2" xfId="45708" xr:uid="{9ACB47D0-FB66-47D1-B9B3-15F762DAD765}"/>
    <cellStyle name="40% - Accent3 13 6 4" xfId="29830" xr:uid="{22767A29-401A-4319-9F96-8D60BF2B9A5A}"/>
    <cellStyle name="40% - Accent3 13 7" xfId="9497" xr:uid="{00000000-0005-0000-0000-00000B3A0000}"/>
    <cellStyle name="40% - Accent3 13 7 2" xfId="17455" xr:uid="{00000000-0005-0000-0000-00000C3A0000}"/>
    <cellStyle name="40% - Accent3 13 7 2 2" xfId="41295" xr:uid="{BE9CE187-8131-41D1-89A8-6BF785ED95C1}"/>
    <cellStyle name="40% - Accent3 13 7 3" xfId="25399" xr:uid="{00000000-0005-0000-0000-00000D3A0000}"/>
    <cellStyle name="40% - Accent3 13 7 3 2" xfId="49231" xr:uid="{DC3FC18A-91A4-4B52-B3CF-8DAD272ADC80}"/>
    <cellStyle name="40% - Accent3 13 7 4" xfId="33354" xr:uid="{C0920F0A-0976-4F53-970C-DD1E0912E052}"/>
    <cellStyle name="40% - Accent3 13 8" xfId="10393" xr:uid="{00000000-0005-0000-0000-00000E3A0000}"/>
    <cellStyle name="40% - Accent3 13 8 2" xfId="34242" xr:uid="{F928DB4B-6181-4E2B-B5F5-48E36AD3EA90}"/>
    <cellStyle name="40% - Accent3 13 9" xfId="18348" xr:uid="{00000000-0005-0000-0000-00000F3A0000}"/>
    <cellStyle name="40% - Accent3 13 9 2" xfId="42180" xr:uid="{DB69F4A0-CA54-4C96-ACC5-CFC5EB839BBE}"/>
    <cellStyle name="40% - Accent3 13_Exh G" xfId="2957" xr:uid="{00000000-0005-0000-0000-0000103A0000}"/>
    <cellStyle name="40% - Accent3 14" xfId="449" xr:uid="{00000000-0005-0000-0000-0000113A0000}"/>
    <cellStyle name="40% - Accent3 14 2" xfId="450" xr:uid="{00000000-0005-0000-0000-0000123A0000}"/>
    <cellStyle name="40% - Accent3 14 2 2" xfId="1478" xr:uid="{00000000-0005-0000-0000-0000133A0000}"/>
    <cellStyle name="40% - Accent3 14 2 2 2" xfId="5008" xr:uid="{00000000-0005-0000-0000-0000143A0000}"/>
    <cellStyle name="40% - Accent3 14 2 2 2 2" xfId="8599" xr:uid="{00000000-0005-0000-0000-0000153A0000}"/>
    <cellStyle name="40% - Accent3 14 2 2 2 2 2" xfId="16570" xr:uid="{00000000-0005-0000-0000-0000163A0000}"/>
    <cellStyle name="40% - Accent3 14 2 2 2 2 2 2" xfId="40412" xr:uid="{21EF5200-9080-4EE6-9D97-E15DCA6E809B}"/>
    <cellStyle name="40% - Accent3 14 2 2 2 2 3" xfId="24516" xr:uid="{00000000-0005-0000-0000-0000173A0000}"/>
    <cellStyle name="40% - Accent3 14 2 2 2 2 3 2" xfId="48348" xr:uid="{A689177E-BA92-4CB5-8917-F4E92066C5B2}"/>
    <cellStyle name="40% - Accent3 14 2 2 2 2 4" xfId="32471" xr:uid="{E5EB68AF-2B13-4F9A-B6B2-4534559A585B}"/>
    <cellStyle name="40% - Accent3 14 2 2 2 3" xfId="13032" xr:uid="{00000000-0005-0000-0000-0000183A0000}"/>
    <cellStyle name="40% - Accent3 14 2 2 2 3 2" xfId="36881" xr:uid="{15DEC2A2-4CAE-4843-90F2-D79CDA84CDAF}"/>
    <cellStyle name="40% - Accent3 14 2 2 2 4" xfId="20987" xr:uid="{00000000-0005-0000-0000-0000193A0000}"/>
    <cellStyle name="40% - Accent3 14 2 2 2 4 2" xfId="44819" xr:uid="{675B44B3-A1E9-4B62-91A8-73E2733F4F1D}"/>
    <cellStyle name="40% - Accent3 14 2 2 2 5" xfId="28940" xr:uid="{BA645A7D-27A4-445C-B7E6-36B040128D2B}"/>
    <cellStyle name="40% - Accent3 14 2 2 3" xfId="6840" xr:uid="{00000000-0005-0000-0000-00001A3A0000}"/>
    <cellStyle name="40% - Accent3 14 2 2 3 2" xfId="14812" xr:uid="{00000000-0005-0000-0000-00001B3A0000}"/>
    <cellStyle name="40% - Accent3 14 2 2 3 2 2" xfId="38654" xr:uid="{1F1B55A7-6CBF-4080-991C-5708D853361D}"/>
    <cellStyle name="40% - Accent3 14 2 2 3 3" xfId="22759" xr:uid="{00000000-0005-0000-0000-00001C3A0000}"/>
    <cellStyle name="40% - Accent3 14 2 2 3 3 2" xfId="46591" xr:uid="{2FF48617-F8E0-49F1-B12E-7A9DE5ABFDAF}"/>
    <cellStyle name="40% - Accent3 14 2 2 3 4" xfId="30713" xr:uid="{822CDEC6-0793-4B25-9B29-3C49F8EFC09A}"/>
    <cellStyle name="40% - Accent3 14 2 2 4" xfId="11276" xr:uid="{00000000-0005-0000-0000-00001D3A0000}"/>
    <cellStyle name="40% - Accent3 14 2 2 4 2" xfId="35125" xr:uid="{A7F2F857-3C08-4B02-8F24-6F29AE69256A}"/>
    <cellStyle name="40% - Accent3 14 2 2 5" xfId="19231" xr:uid="{00000000-0005-0000-0000-00001E3A0000}"/>
    <cellStyle name="40% - Accent3 14 2 2 5 2" xfId="43063" xr:uid="{00444751-394F-478E-ADB9-0AFB98A300F7}"/>
    <cellStyle name="40% - Accent3 14 2 2 6" xfId="27183" xr:uid="{172C901E-9543-4207-9E27-F3BACACCA96C}"/>
    <cellStyle name="40% - Accent3 14 2 2_Exh G" xfId="2967" xr:uid="{00000000-0005-0000-0000-00001F3A0000}"/>
    <cellStyle name="40% - Accent3 14 2 3" xfId="4129" xr:uid="{00000000-0005-0000-0000-0000203A0000}"/>
    <cellStyle name="40% - Accent3 14 2 3 2" xfId="7721" xr:uid="{00000000-0005-0000-0000-0000213A0000}"/>
    <cellStyle name="40% - Accent3 14 2 3 2 2" xfId="15692" xr:uid="{00000000-0005-0000-0000-0000223A0000}"/>
    <cellStyle name="40% - Accent3 14 2 3 2 2 2" xfId="39534" xr:uid="{B6A0E23C-A935-4695-9D2F-FC5C75AFD790}"/>
    <cellStyle name="40% - Accent3 14 2 3 2 3" xfId="23638" xr:uid="{00000000-0005-0000-0000-0000233A0000}"/>
    <cellStyle name="40% - Accent3 14 2 3 2 3 2" xfId="47470" xr:uid="{16A889FF-70C1-4B3C-951F-2B3BE3B35202}"/>
    <cellStyle name="40% - Accent3 14 2 3 2 4" xfId="31593" xr:uid="{3CA7F7B8-FC80-41C7-80E8-2E7F286B1C0C}"/>
    <cellStyle name="40% - Accent3 14 2 3 3" xfId="12154" xr:uid="{00000000-0005-0000-0000-0000243A0000}"/>
    <cellStyle name="40% - Accent3 14 2 3 3 2" xfId="36003" xr:uid="{D0A9B773-8226-4563-852B-81287FE81522}"/>
    <cellStyle name="40% - Accent3 14 2 3 4" xfId="20109" xr:uid="{00000000-0005-0000-0000-0000253A0000}"/>
    <cellStyle name="40% - Accent3 14 2 3 4 2" xfId="43941" xr:uid="{071894DB-26B4-4952-8A5C-F319E898F554}"/>
    <cellStyle name="40% - Accent3 14 2 3 5" xfId="28062" xr:uid="{EB9675C2-B9BE-4EDB-A687-7EB3F3D37F24}"/>
    <cellStyle name="40% - Accent3 14 2 4" xfId="5949" xr:uid="{00000000-0005-0000-0000-0000263A0000}"/>
    <cellStyle name="40% - Accent3 14 2 4 2" xfId="13933" xr:uid="{00000000-0005-0000-0000-0000273A0000}"/>
    <cellStyle name="40% - Accent3 14 2 4 2 2" xfId="37776" xr:uid="{78CE96DE-E3BB-4DB9-AEEF-12B045B6947D}"/>
    <cellStyle name="40% - Accent3 14 2 4 3" xfId="21881" xr:uid="{00000000-0005-0000-0000-0000283A0000}"/>
    <cellStyle name="40% - Accent3 14 2 4 3 2" xfId="45713" xr:uid="{0608D19E-2CE2-427B-AAE9-A1FC6408BD62}"/>
    <cellStyle name="40% - Accent3 14 2 4 4" xfId="29835" xr:uid="{FA69A4A5-4136-43DB-9EAE-F158936931BD}"/>
    <cellStyle name="40% - Accent3 14 2 5" xfId="9502" xr:uid="{00000000-0005-0000-0000-0000293A0000}"/>
    <cellStyle name="40% - Accent3 14 2 5 2" xfId="17460" xr:uid="{00000000-0005-0000-0000-00002A3A0000}"/>
    <cellStyle name="40% - Accent3 14 2 5 2 2" xfId="41300" xr:uid="{C190524B-F9BF-48A2-8C3B-D4B07EF682EF}"/>
    <cellStyle name="40% - Accent3 14 2 5 3" xfId="25404" xr:uid="{00000000-0005-0000-0000-00002B3A0000}"/>
    <cellStyle name="40% - Accent3 14 2 5 3 2" xfId="49236" xr:uid="{37C21661-1EE5-4CC3-B2CA-08977F1EECBE}"/>
    <cellStyle name="40% - Accent3 14 2 5 4" xfId="33359" xr:uid="{0D4B9B0A-F1D2-4224-9E32-FC12BD8E275F}"/>
    <cellStyle name="40% - Accent3 14 2 6" xfId="10398" xr:uid="{00000000-0005-0000-0000-00002C3A0000}"/>
    <cellStyle name="40% - Accent3 14 2 6 2" xfId="34247" xr:uid="{AAC915C6-DAC5-44F8-8FC5-2602C249FE7D}"/>
    <cellStyle name="40% - Accent3 14 2 7" xfId="18353" xr:uid="{00000000-0005-0000-0000-00002D3A0000}"/>
    <cellStyle name="40% - Accent3 14 2 7 2" xfId="42185" xr:uid="{28CB3C27-75FC-43EF-9600-5FDF4FFA0DFC}"/>
    <cellStyle name="40% - Accent3 14 2 8" xfId="26305" xr:uid="{28D63E3F-9003-42C0-8161-0DC3763C36D1}"/>
    <cellStyle name="40% - Accent3 14 2_Exh G" xfId="2966" xr:uid="{00000000-0005-0000-0000-00002E3A0000}"/>
    <cellStyle name="40% - Accent3 14 3" xfId="1477" xr:uid="{00000000-0005-0000-0000-00002F3A0000}"/>
    <cellStyle name="40% - Accent3 14 3 2" xfId="5007" xr:uid="{00000000-0005-0000-0000-0000303A0000}"/>
    <cellStyle name="40% - Accent3 14 3 2 2" xfId="8598" xr:uid="{00000000-0005-0000-0000-0000313A0000}"/>
    <cellStyle name="40% - Accent3 14 3 2 2 2" xfId="16569" xr:uid="{00000000-0005-0000-0000-0000323A0000}"/>
    <cellStyle name="40% - Accent3 14 3 2 2 2 2" xfId="40411" xr:uid="{5F2AA02B-CC26-4890-A5D6-09B276433BEE}"/>
    <cellStyle name="40% - Accent3 14 3 2 2 3" xfId="24515" xr:uid="{00000000-0005-0000-0000-0000333A0000}"/>
    <cellStyle name="40% - Accent3 14 3 2 2 3 2" xfId="48347" xr:uid="{7FA589DA-796C-4799-B807-BE3406C2A7AB}"/>
    <cellStyle name="40% - Accent3 14 3 2 2 4" xfId="32470" xr:uid="{8957CA48-5826-4DBA-934E-05E7EE1869B2}"/>
    <cellStyle name="40% - Accent3 14 3 2 3" xfId="13031" xr:uid="{00000000-0005-0000-0000-0000343A0000}"/>
    <cellStyle name="40% - Accent3 14 3 2 3 2" xfId="36880" xr:uid="{B7725456-64DD-4F9F-8D53-F0278DE089C2}"/>
    <cellStyle name="40% - Accent3 14 3 2 4" xfId="20986" xr:uid="{00000000-0005-0000-0000-0000353A0000}"/>
    <cellStyle name="40% - Accent3 14 3 2 4 2" xfId="44818" xr:uid="{8CCCC2C5-018F-499E-AC27-ACA3D94DB6EE}"/>
    <cellStyle name="40% - Accent3 14 3 2 5" xfId="28939" xr:uid="{3EE9CFD2-39B0-46F4-B642-0F39C534A890}"/>
    <cellStyle name="40% - Accent3 14 3 3" xfId="6839" xr:uid="{00000000-0005-0000-0000-0000363A0000}"/>
    <cellStyle name="40% - Accent3 14 3 3 2" xfId="14811" xr:uid="{00000000-0005-0000-0000-0000373A0000}"/>
    <cellStyle name="40% - Accent3 14 3 3 2 2" xfId="38653" xr:uid="{0CF72982-F1E4-44EF-BD98-47081902237C}"/>
    <cellStyle name="40% - Accent3 14 3 3 3" xfId="22758" xr:uid="{00000000-0005-0000-0000-0000383A0000}"/>
    <cellStyle name="40% - Accent3 14 3 3 3 2" xfId="46590" xr:uid="{90D05A74-4586-4B34-85D4-7345DDC09542}"/>
    <cellStyle name="40% - Accent3 14 3 3 4" xfId="30712" xr:uid="{17F64991-BF6F-4162-8566-D2315FAD1A52}"/>
    <cellStyle name="40% - Accent3 14 3 4" xfId="11275" xr:uid="{00000000-0005-0000-0000-0000393A0000}"/>
    <cellStyle name="40% - Accent3 14 3 4 2" xfId="35124" xr:uid="{7558A0CE-9881-44E4-801E-B31B0C868789}"/>
    <cellStyle name="40% - Accent3 14 3 5" xfId="19230" xr:uid="{00000000-0005-0000-0000-00003A3A0000}"/>
    <cellStyle name="40% - Accent3 14 3 5 2" xfId="43062" xr:uid="{03F0C95B-6F81-493E-8981-D79B75BAE43A}"/>
    <cellStyle name="40% - Accent3 14 3 6" xfId="27182" xr:uid="{66DF7E40-1EB5-4837-AACC-D3920A120865}"/>
    <cellStyle name="40% - Accent3 14 3_Exh G" xfId="2968" xr:uid="{00000000-0005-0000-0000-00003B3A0000}"/>
    <cellStyle name="40% - Accent3 14 4" xfId="4128" xr:uid="{00000000-0005-0000-0000-00003C3A0000}"/>
    <cellStyle name="40% - Accent3 14 4 2" xfId="7720" xr:uid="{00000000-0005-0000-0000-00003D3A0000}"/>
    <cellStyle name="40% - Accent3 14 4 2 2" xfId="15691" xr:uid="{00000000-0005-0000-0000-00003E3A0000}"/>
    <cellStyle name="40% - Accent3 14 4 2 2 2" xfId="39533" xr:uid="{82A34EAB-6CC6-46CD-9406-801D0487EA34}"/>
    <cellStyle name="40% - Accent3 14 4 2 3" xfId="23637" xr:uid="{00000000-0005-0000-0000-00003F3A0000}"/>
    <cellStyle name="40% - Accent3 14 4 2 3 2" xfId="47469" xr:uid="{668413C1-23A5-459B-B524-4CCE8DF814AC}"/>
    <cellStyle name="40% - Accent3 14 4 2 4" xfId="31592" xr:uid="{B8998B08-94F2-4E34-A522-A54510D2111D}"/>
    <cellStyle name="40% - Accent3 14 4 3" xfId="12153" xr:uid="{00000000-0005-0000-0000-0000403A0000}"/>
    <cellStyle name="40% - Accent3 14 4 3 2" xfId="36002" xr:uid="{2E1551DA-97D4-4017-AB7A-76411D12B415}"/>
    <cellStyle name="40% - Accent3 14 4 4" xfId="20108" xr:uid="{00000000-0005-0000-0000-0000413A0000}"/>
    <cellStyle name="40% - Accent3 14 4 4 2" xfId="43940" xr:uid="{37CD7FFA-D06E-4700-A09F-563D2D441153}"/>
    <cellStyle name="40% - Accent3 14 4 5" xfId="28061" xr:uid="{10673A11-8415-4ABC-BABF-86434214C925}"/>
    <cellStyle name="40% - Accent3 14 5" xfId="5948" xr:uid="{00000000-0005-0000-0000-0000423A0000}"/>
    <cellStyle name="40% - Accent3 14 5 2" xfId="13932" xr:uid="{00000000-0005-0000-0000-0000433A0000}"/>
    <cellStyle name="40% - Accent3 14 5 2 2" xfId="37775" xr:uid="{1AE2E17C-6AB5-4607-9758-2BACBC4F2084}"/>
    <cellStyle name="40% - Accent3 14 5 3" xfId="21880" xr:uid="{00000000-0005-0000-0000-0000443A0000}"/>
    <cellStyle name="40% - Accent3 14 5 3 2" xfId="45712" xr:uid="{BEE57E93-1459-4BE1-8116-762D81693D26}"/>
    <cellStyle name="40% - Accent3 14 5 4" xfId="29834" xr:uid="{80899754-4F0E-4872-BD3F-19618D04DBB7}"/>
    <cellStyle name="40% - Accent3 14 6" xfId="9501" xr:uid="{00000000-0005-0000-0000-0000453A0000}"/>
    <cellStyle name="40% - Accent3 14 6 2" xfId="17459" xr:uid="{00000000-0005-0000-0000-0000463A0000}"/>
    <cellStyle name="40% - Accent3 14 6 2 2" xfId="41299" xr:uid="{F4C33A78-F2A2-4A77-9A81-384148D399BE}"/>
    <cellStyle name="40% - Accent3 14 6 3" xfId="25403" xr:uid="{00000000-0005-0000-0000-0000473A0000}"/>
    <cellStyle name="40% - Accent3 14 6 3 2" xfId="49235" xr:uid="{403188BF-B2F9-483B-9A08-9A9A943B2A04}"/>
    <cellStyle name="40% - Accent3 14 6 4" xfId="33358" xr:uid="{7A17EB1B-6395-4634-A828-1F7C9525027F}"/>
    <cellStyle name="40% - Accent3 14 7" xfId="10397" xr:uid="{00000000-0005-0000-0000-0000483A0000}"/>
    <cellStyle name="40% - Accent3 14 7 2" xfId="34246" xr:uid="{0D65C353-42D5-4E5E-9473-75298B8BB129}"/>
    <cellStyle name="40% - Accent3 14 8" xfId="18352" xr:uid="{00000000-0005-0000-0000-0000493A0000}"/>
    <cellStyle name="40% - Accent3 14 8 2" xfId="42184" xr:uid="{8526F4BB-9806-4844-90F7-0CE1CA3DAFCE}"/>
    <cellStyle name="40% - Accent3 14 9" xfId="26304" xr:uid="{CEBEF26D-23C3-4E51-8877-23C9596A6718}"/>
    <cellStyle name="40% - Accent3 14_Exh G" xfId="2965" xr:uid="{00000000-0005-0000-0000-00004A3A0000}"/>
    <cellStyle name="40% - Accent3 15" xfId="451" xr:uid="{00000000-0005-0000-0000-00004B3A0000}"/>
    <cellStyle name="40% - Accent3 15 2" xfId="1479" xr:uid="{00000000-0005-0000-0000-00004C3A0000}"/>
    <cellStyle name="40% - Accent3 15 2 2" xfId="5009" xr:uid="{00000000-0005-0000-0000-00004D3A0000}"/>
    <cellStyle name="40% - Accent3 15 2 2 2" xfId="8600" xr:uid="{00000000-0005-0000-0000-00004E3A0000}"/>
    <cellStyle name="40% - Accent3 15 2 2 2 2" xfId="16571" xr:uid="{00000000-0005-0000-0000-00004F3A0000}"/>
    <cellStyle name="40% - Accent3 15 2 2 2 2 2" xfId="40413" xr:uid="{4A379F22-C969-485A-94DC-ECC91F9FFB95}"/>
    <cellStyle name="40% - Accent3 15 2 2 2 3" xfId="24517" xr:uid="{00000000-0005-0000-0000-0000503A0000}"/>
    <cellStyle name="40% - Accent3 15 2 2 2 3 2" xfId="48349" xr:uid="{FE79684E-2CE5-43B5-902B-FFD810990671}"/>
    <cellStyle name="40% - Accent3 15 2 2 2 4" xfId="32472" xr:uid="{AEB45EC4-D087-476B-92CF-1DAFDDCCC73C}"/>
    <cellStyle name="40% - Accent3 15 2 2 3" xfId="13033" xr:uid="{00000000-0005-0000-0000-0000513A0000}"/>
    <cellStyle name="40% - Accent3 15 2 2 3 2" xfId="36882" xr:uid="{33916CFC-9BF7-46D9-A646-7FF344A14CCC}"/>
    <cellStyle name="40% - Accent3 15 2 2 4" xfId="20988" xr:uid="{00000000-0005-0000-0000-0000523A0000}"/>
    <cellStyle name="40% - Accent3 15 2 2 4 2" xfId="44820" xr:uid="{65A777F0-8799-4994-93F6-E20D6D682738}"/>
    <cellStyle name="40% - Accent3 15 2 2 5" xfId="28941" xr:uid="{7E300B5B-9123-4B4B-BD42-86D80536454C}"/>
    <cellStyle name="40% - Accent3 15 2 3" xfId="6841" xr:uid="{00000000-0005-0000-0000-0000533A0000}"/>
    <cellStyle name="40% - Accent3 15 2 3 2" xfId="14813" xr:uid="{00000000-0005-0000-0000-0000543A0000}"/>
    <cellStyle name="40% - Accent3 15 2 3 2 2" xfId="38655" xr:uid="{1051C95B-DC07-4E2C-974D-3F9DE32F0B96}"/>
    <cellStyle name="40% - Accent3 15 2 3 3" xfId="22760" xr:uid="{00000000-0005-0000-0000-0000553A0000}"/>
    <cellStyle name="40% - Accent3 15 2 3 3 2" xfId="46592" xr:uid="{EEDB673B-FBCC-45F8-BBDB-5DCA988676B3}"/>
    <cellStyle name="40% - Accent3 15 2 3 4" xfId="30714" xr:uid="{C351BF88-8427-450E-A851-540070D96C57}"/>
    <cellStyle name="40% - Accent3 15 2 4" xfId="11277" xr:uid="{00000000-0005-0000-0000-0000563A0000}"/>
    <cellStyle name="40% - Accent3 15 2 4 2" xfId="35126" xr:uid="{2E1F7FB1-E2FA-497B-B1BF-D392F055FE30}"/>
    <cellStyle name="40% - Accent3 15 2 5" xfId="19232" xr:uid="{00000000-0005-0000-0000-0000573A0000}"/>
    <cellStyle name="40% - Accent3 15 2 5 2" xfId="43064" xr:uid="{7A911C76-DBA6-420E-8DCE-05394107EC83}"/>
    <cellStyle name="40% - Accent3 15 2 6" xfId="27184" xr:uid="{D1D4B29E-A001-4638-AE7D-FCA513E4CC6F}"/>
    <cellStyle name="40% - Accent3 15 2_Exh G" xfId="2970" xr:uid="{00000000-0005-0000-0000-0000583A0000}"/>
    <cellStyle name="40% - Accent3 15 3" xfId="4130" xr:uid="{00000000-0005-0000-0000-0000593A0000}"/>
    <cellStyle name="40% - Accent3 15 3 2" xfId="7722" xr:uid="{00000000-0005-0000-0000-00005A3A0000}"/>
    <cellStyle name="40% - Accent3 15 3 2 2" xfId="15693" xr:uid="{00000000-0005-0000-0000-00005B3A0000}"/>
    <cellStyle name="40% - Accent3 15 3 2 2 2" xfId="39535" xr:uid="{A4D1C3B7-0231-49A7-959F-68999D959F51}"/>
    <cellStyle name="40% - Accent3 15 3 2 3" xfId="23639" xr:uid="{00000000-0005-0000-0000-00005C3A0000}"/>
    <cellStyle name="40% - Accent3 15 3 2 3 2" xfId="47471" xr:uid="{D14CB2B5-4A0B-459A-8E52-D95BD591539E}"/>
    <cellStyle name="40% - Accent3 15 3 2 4" xfId="31594" xr:uid="{3A899E47-32C7-458F-B0CE-CDC7455EEF0B}"/>
    <cellStyle name="40% - Accent3 15 3 3" xfId="12155" xr:uid="{00000000-0005-0000-0000-00005D3A0000}"/>
    <cellStyle name="40% - Accent3 15 3 3 2" xfId="36004" xr:uid="{0A0B8FA5-7940-494D-9FD6-13B6AA097E83}"/>
    <cellStyle name="40% - Accent3 15 3 4" xfId="20110" xr:uid="{00000000-0005-0000-0000-00005E3A0000}"/>
    <cellStyle name="40% - Accent3 15 3 4 2" xfId="43942" xr:uid="{255752D0-6B0D-4EBC-B1EA-266492368E32}"/>
    <cellStyle name="40% - Accent3 15 3 5" xfId="28063" xr:uid="{F75186E6-0675-4706-8AC8-B32E7EB6FD54}"/>
    <cellStyle name="40% - Accent3 15 4" xfId="5950" xr:uid="{00000000-0005-0000-0000-00005F3A0000}"/>
    <cellStyle name="40% - Accent3 15 4 2" xfId="13934" xr:uid="{00000000-0005-0000-0000-0000603A0000}"/>
    <cellStyle name="40% - Accent3 15 4 2 2" xfId="37777" xr:uid="{2B9E15FA-AB63-4303-82E5-CB0EBA97F95B}"/>
    <cellStyle name="40% - Accent3 15 4 3" xfId="21882" xr:uid="{00000000-0005-0000-0000-0000613A0000}"/>
    <cellStyle name="40% - Accent3 15 4 3 2" xfId="45714" xr:uid="{80C59D2D-4073-41CC-B10C-C17D99157B05}"/>
    <cellStyle name="40% - Accent3 15 4 4" xfId="29836" xr:uid="{4260F208-B198-4ED7-B12E-281EBB1742BC}"/>
    <cellStyle name="40% - Accent3 15 5" xfId="9503" xr:uid="{00000000-0005-0000-0000-0000623A0000}"/>
    <cellStyle name="40% - Accent3 15 5 2" xfId="17461" xr:uid="{00000000-0005-0000-0000-0000633A0000}"/>
    <cellStyle name="40% - Accent3 15 5 2 2" xfId="41301" xr:uid="{19FEA6D8-8456-49D3-A869-4DE2C6BE5810}"/>
    <cellStyle name="40% - Accent3 15 5 3" xfId="25405" xr:uid="{00000000-0005-0000-0000-0000643A0000}"/>
    <cellStyle name="40% - Accent3 15 5 3 2" xfId="49237" xr:uid="{5E59979B-5978-494A-8D7E-24228FCE4BC0}"/>
    <cellStyle name="40% - Accent3 15 5 4" xfId="33360" xr:uid="{BA4FB271-FE89-4996-8290-C42C77614978}"/>
    <cellStyle name="40% - Accent3 15 6" xfId="10399" xr:uid="{00000000-0005-0000-0000-0000653A0000}"/>
    <cellStyle name="40% - Accent3 15 6 2" xfId="34248" xr:uid="{6414D527-02AE-46B7-BC65-BC8493D8838D}"/>
    <cellStyle name="40% - Accent3 15 7" xfId="18354" xr:uid="{00000000-0005-0000-0000-0000663A0000}"/>
    <cellStyle name="40% - Accent3 15 7 2" xfId="42186" xr:uid="{C58DF456-73C7-4A58-BB5E-0D3480E80FC8}"/>
    <cellStyle name="40% - Accent3 15 8" xfId="26306" xr:uid="{6A522C98-A31D-4FFD-8923-E45B7734DE20}"/>
    <cellStyle name="40% - Accent3 15_Exh G" xfId="2969" xr:uid="{00000000-0005-0000-0000-0000673A0000}"/>
    <cellStyle name="40% - Accent3 16" xfId="851" xr:uid="{00000000-0005-0000-0000-0000683A0000}"/>
    <cellStyle name="40% - Accent3 16 2" xfId="1790" xr:uid="{00000000-0005-0000-0000-0000693A0000}"/>
    <cellStyle name="40% - Accent3 16 2 2" xfId="5311" xr:uid="{00000000-0005-0000-0000-00006A3A0000}"/>
    <cellStyle name="40% - Accent3 16 2 2 2" xfId="8902" xr:uid="{00000000-0005-0000-0000-00006B3A0000}"/>
    <cellStyle name="40% - Accent3 16 2 2 2 2" xfId="16873" xr:uid="{00000000-0005-0000-0000-00006C3A0000}"/>
    <cellStyle name="40% - Accent3 16 2 2 2 2 2" xfId="40715" xr:uid="{C00246A6-7E8E-4667-B4AF-7BA41B586E7E}"/>
    <cellStyle name="40% - Accent3 16 2 2 2 3" xfId="24819" xr:uid="{00000000-0005-0000-0000-00006D3A0000}"/>
    <cellStyle name="40% - Accent3 16 2 2 2 3 2" xfId="48651" xr:uid="{F6FD2929-E683-401D-87C5-274DD0670086}"/>
    <cellStyle name="40% - Accent3 16 2 2 2 4" xfId="32774" xr:uid="{9A158853-A394-4850-A2F0-251A6D2A32FA}"/>
    <cellStyle name="40% - Accent3 16 2 2 3" xfId="13335" xr:uid="{00000000-0005-0000-0000-00006E3A0000}"/>
    <cellStyle name="40% - Accent3 16 2 2 3 2" xfId="37184" xr:uid="{9BC83367-BC56-4514-BC54-EB3FB15265E5}"/>
    <cellStyle name="40% - Accent3 16 2 2 4" xfId="21290" xr:uid="{00000000-0005-0000-0000-00006F3A0000}"/>
    <cellStyle name="40% - Accent3 16 2 2 4 2" xfId="45122" xr:uid="{A8B68BC7-CE3C-4E69-ADB8-E3ADA3684124}"/>
    <cellStyle name="40% - Accent3 16 2 2 5" xfId="29243" xr:uid="{04D7B683-83D1-424E-8D4B-CCB52FDA61C9}"/>
    <cellStyle name="40% - Accent3 16 2 3" xfId="7143" xr:uid="{00000000-0005-0000-0000-0000703A0000}"/>
    <cellStyle name="40% - Accent3 16 2 3 2" xfId="15115" xr:uid="{00000000-0005-0000-0000-0000713A0000}"/>
    <cellStyle name="40% - Accent3 16 2 3 2 2" xfId="38957" xr:uid="{847680C3-31A1-4D4F-9B1F-FB592CF49D77}"/>
    <cellStyle name="40% - Accent3 16 2 3 3" xfId="23062" xr:uid="{00000000-0005-0000-0000-0000723A0000}"/>
    <cellStyle name="40% - Accent3 16 2 3 3 2" xfId="46894" xr:uid="{A0B5083E-BB28-4D34-BBE1-38FA8E9BF984}"/>
    <cellStyle name="40% - Accent3 16 2 3 4" xfId="31016" xr:uid="{49F85900-9B4E-4DAD-9B70-872E7BCB1456}"/>
    <cellStyle name="40% - Accent3 16 2 4" xfId="11579" xr:uid="{00000000-0005-0000-0000-0000733A0000}"/>
    <cellStyle name="40% - Accent3 16 2 4 2" xfId="35428" xr:uid="{826E88CF-E929-4B78-9ADA-E7B773FFFF99}"/>
    <cellStyle name="40% - Accent3 16 2 5" xfId="19534" xr:uid="{00000000-0005-0000-0000-0000743A0000}"/>
    <cellStyle name="40% - Accent3 16 2 5 2" xfId="43366" xr:uid="{A6F0EB9D-5C11-44CF-AEC4-692DDB7DE294}"/>
    <cellStyle name="40% - Accent3 16 2 6" xfId="27486" xr:uid="{7251BE49-863C-470D-BF9F-86F422A67108}"/>
    <cellStyle name="40% - Accent3 16 2_Exh G" xfId="2972" xr:uid="{00000000-0005-0000-0000-0000753A0000}"/>
    <cellStyle name="40% - Accent3 16 3" xfId="4432" xr:uid="{00000000-0005-0000-0000-0000763A0000}"/>
    <cellStyle name="40% - Accent3 16 3 2" xfId="8024" xr:uid="{00000000-0005-0000-0000-0000773A0000}"/>
    <cellStyle name="40% - Accent3 16 3 2 2" xfId="15995" xr:uid="{00000000-0005-0000-0000-0000783A0000}"/>
    <cellStyle name="40% - Accent3 16 3 2 2 2" xfId="39837" xr:uid="{C46C76FA-653A-41B3-AF33-5025A8EC4985}"/>
    <cellStyle name="40% - Accent3 16 3 2 3" xfId="23941" xr:uid="{00000000-0005-0000-0000-0000793A0000}"/>
    <cellStyle name="40% - Accent3 16 3 2 3 2" xfId="47773" xr:uid="{F2AF127B-CBAE-4960-B70E-BD9193CA6DC2}"/>
    <cellStyle name="40% - Accent3 16 3 2 4" xfId="31896" xr:uid="{82B8B9F9-0A7D-49A7-8D8F-91168BF1AFDC}"/>
    <cellStyle name="40% - Accent3 16 3 3" xfId="12457" xr:uid="{00000000-0005-0000-0000-00007A3A0000}"/>
    <cellStyle name="40% - Accent3 16 3 3 2" xfId="36306" xr:uid="{488FBD45-AB32-4587-884D-7A6D275ABCC4}"/>
    <cellStyle name="40% - Accent3 16 3 4" xfId="20412" xr:uid="{00000000-0005-0000-0000-00007B3A0000}"/>
    <cellStyle name="40% - Accent3 16 3 4 2" xfId="44244" xr:uid="{DCDB982A-F2DB-4657-816B-4922A4E3D031}"/>
    <cellStyle name="40% - Accent3 16 3 5" xfId="28365" xr:uid="{B035E3F1-B1A6-4ABA-891B-4D293A732C68}"/>
    <cellStyle name="40% - Accent3 16 4" xfId="6262" xr:uid="{00000000-0005-0000-0000-00007C3A0000}"/>
    <cellStyle name="40% - Accent3 16 4 2" xfId="14237" xr:uid="{00000000-0005-0000-0000-00007D3A0000}"/>
    <cellStyle name="40% - Accent3 16 4 2 2" xfId="38079" xr:uid="{402802C7-D1D0-442A-9CDC-05D1936008D3}"/>
    <cellStyle name="40% - Accent3 16 4 3" xfId="22184" xr:uid="{00000000-0005-0000-0000-00007E3A0000}"/>
    <cellStyle name="40% - Accent3 16 4 3 2" xfId="46016" xr:uid="{1970E9D0-902C-4BDB-A54F-7B0FD4E4E42F}"/>
    <cellStyle name="40% - Accent3 16 4 4" xfId="30138" xr:uid="{D813B370-7E2B-4F7F-944F-369648BDB02A}"/>
    <cellStyle name="40% - Accent3 16 5" xfId="9805" xr:uid="{00000000-0005-0000-0000-00007F3A0000}"/>
    <cellStyle name="40% - Accent3 16 5 2" xfId="17763" xr:uid="{00000000-0005-0000-0000-0000803A0000}"/>
    <cellStyle name="40% - Accent3 16 5 2 2" xfId="41603" xr:uid="{B7490AAF-851C-4196-9E41-C6082AFAFA27}"/>
    <cellStyle name="40% - Accent3 16 5 3" xfId="25707" xr:uid="{00000000-0005-0000-0000-0000813A0000}"/>
    <cellStyle name="40% - Accent3 16 5 3 2" xfId="49539" xr:uid="{52D35C39-FB9A-4058-AB53-B547A3173399}"/>
    <cellStyle name="40% - Accent3 16 5 4" xfId="33662" xr:uid="{4F385817-30EA-4764-81B1-05965244F0AD}"/>
    <cellStyle name="40% - Accent3 16 6" xfId="10701" xr:uid="{00000000-0005-0000-0000-0000823A0000}"/>
    <cellStyle name="40% - Accent3 16 6 2" xfId="34550" xr:uid="{CBADDE26-0D7F-43FD-B5DF-712CC0E17895}"/>
    <cellStyle name="40% - Accent3 16 7" xfId="18656" xr:uid="{00000000-0005-0000-0000-0000833A0000}"/>
    <cellStyle name="40% - Accent3 16 7 2" xfId="42488" xr:uid="{46193FFC-290F-4849-9341-C07AD8236B91}"/>
    <cellStyle name="40% - Accent3 16 8" xfId="26608" xr:uid="{260C1336-D9C4-4DC7-BF8E-884CA3689D4A}"/>
    <cellStyle name="40% - Accent3 16_Exh G" xfId="2971" xr:uid="{00000000-0005-0000-0000-0000843A0000}"/>
    <cellStyle name="40% - Accent3 17" xfId="49799" xr:uid="{B5A0FDEE-3C92-4941-950E-9F4541255B67}"/>
    <cellStyle name="40% - Accent3 2" xfId="452" xr:uid="{00000000-0005-0000-0000-0000853A0000}"/>
    <cellStyle name="40% - Accent3 2 10" xfId="18355" xr:uid="{00000000-0005-0000-0000-0000863A0000}"/>
    <cellStyle name="40% - Accent3 2 10 2" xfId="42187" xr:uid="{7A2B3FE4-B290-4600-B073-C503C513786D}"/>
    <cellStyle name="40% - Accent3 2 11" xfId="26307" xr:uid="{A7E8C0D5-F0C0-42AF-8378-4D421BAED0FB}"/>
    <cellStyle name="40% - Accent3 2 12" xfId="49784" xr:uid="{4085C49D-FE00-49C5-8B1B-9EE9C3396E0A}"/>
    <cellStyle name="40% - Accent3 2 13" xfId="49812" xr:uid="{7C300A7D-4D9D-4390-B3D5-8A3F5265E0B3}"/>
    <cellStyle name="40% - Accent3 2 2" xfId="453" xr:uid="{00000000-0005-0000-0000-0000873A0000}"/>
    <cellStyle name="40% - Accent3 2 2 10" xfId="26308" xr:uid="{7D48DA43-DD1C-4FC8-A570-9BA14E71EF48}"/>
    <cellStyle name="40% - Accent3 2 2 2" xfId="454" xr:uid="{00000000-0005-0000-0000-0000883A0000}"/>
    <cellStyle name="40% - Accent3 2 2 2 2" xfId="1482" xr:uid="{00000000-0005-0000-0000-0000893A0000}"/>
    <cellStyle name="40% - Accent3 2 2 2 2 2" xfId="5012" xr:uid="{00000000-0005-0000-0000-00008A3A0000}"/>
    <cellStyle name="40% - Accent3 2 2 2 2 2 2" xfId="8603" xr:uid="{00000000-0005-0000-0000-00008B3A0000}"/>
    <cellStyle name="40% - Accent3 2 2 2 2 2 2 2" xfId="16574" xr:uid="{00000000-0005-0000-0000-00008C3A0000}"/>
    <cellStyle name="40% - Accent3 2 2 2 2 2 2 2 2" xfId="40416" xr:uid="{ADCE7281-6F28-46E3-8152-27AB6C0C7409}"/>
    <cellStyle name="40% - Accent3 2 2 2 2 2 2 3" xfId="24520" xr:uid="{00000000-0005-0000-0000-00008D3A0000}"/>
    <cellStyle name="40% - Accent3 2 2 2 2 2 2 3 2" xfId="48352" xr:uid="{859B4CA4-5C8F-4FF6-AB23-7B6C8CA8DBCE}"/>
    <cellStyle name="40% - Accent3 2 2 2 2 2 2 4" xfId="32475" xr:uid="{B71BE78A-787D-4CD5-928C-688974FD787F}"/>
    <cellStyle name="40% - Accent3 2 2 2 2 2 3" xfId="13036" xr:uid="{00000000-0005-0000-0000-00008E3A0000}"/>
    <cellStyle name="40% - Accent3 2 2 2 2 2 3 2" xfId="36885" xr:uid="{AACD2DBF-BC87-4111-96EE-2A1759297FF3}"/>
    <cellStyle name="40% - Accent3 2 2 2 2 2 4" xfId="20991" xr:uid="{00000000-0005-0000-0000-00008F3A0000}"/>
    <cellStyle name="40% - Accent3 2 2 2 2 2 4 2" xfId="44823" xr:uid="{67335228-AF7F-416F-A8CD-1B1C8984E046}"/>
    <cellStyle name="40% - Accent3 2 2 2 2 2 5" xfId="28944" xr:uid="{5552ED23-20BA-4255-8CA8-FE9796663671}"/>
    <cellStyle name="40% - Accent3 2 2 2 2 3" xfId="6844" xr:uid="{00000000-0005-0000-0000-0000903A0000}"/>
    <cellStyle name="40% - Accent3 2 2 2 2 3 2" xfId="14816" xr:uid="{00000000-0005-0000-0000-0000913A0000}"/>
    <cellStyle name="40% - Accent3 2 2 2 2 3 2 2" xfId="38658" xr:uid="{6CC10204-B634-4AFB-8F00-A4B1132BAA93}"/>
    <cellStyle name="40% - Accent3 2 2 2 2 3 3" xfId="22763" xr:uid="{00000000-0005-0000-0000-0000923A0000}"/>
    <cellStyle name="40% - Accent3 2 2 2 2 3 3 2" xfId="46595" xr:uid="{466C78E7-8669-40FE-B533-555250AF4848}"/>
    <cellStyle name="40% - Accent3 2 2 2 2 3 4" xfId="30717" xr:uid="{D0C000A1-1E0F-4A74-921E-F7C8E9CF5E29}"/>
    <cellStyle name="40% - Accent3 2 2 2 2 4" xfId="11280" xr:uid="{00000000-0005-0000-0000-0000933A0000}"/>
    <cellStyle name="40% - Accent3 2 2 2 2 4 2" xfId="35129" xr:uid="{4B1024AC-8AC6-4E94-A5D8-36EDC57A2958}"/>
    <cellStyle name="40% - Accent3 2 2 2 2 5" xfId="19235" xr:uid="{00000000-0005-0000-0000-0000943A0000}"/>
    <cellStyle name="40% - Accent3 2 2 2 2 5 2" xfId="43067" xr:uid="{649AB02B-F385-441C-81C2-27190274CAC3}"/>
    <cellStyle name="40% - Accent3 2 2 2 2 6" xfId="27187" xr:uid="{F3C6840D-4281-4870-BEF5-D4AF9D815C21}"/>
    <cellStyle name="40% - Accent3 2 2 2 2_Exh G" xfId="2976" xr:uid="{00000000-0005-0000-0000-0000953A0000}"/>
    <cellStyle name="40% - Accent3 2 2 2 3" xfId="4133" xr:uid="{00000000-0005-0000-0000-0000963A0000}"/>
    <cellStyle name="40% - Accent3 2 2 2 3 2" xfId="7725" xr:uid="{00000000-0005-0000-0000-0000973A0000}"/>
    <cellStyle name="40% - Accent3 2 2 2 3 2 2" xfId="15696" xr:uid="{00000000-0005-0000-0000-0000983A0000}"/>
    <cellStyle name="40% - Accent3 2 2 2 3 2 2 2" xfId="39538" xr:uid="{C263BD32-78A6-4F1F-9DDC-90847D8F54C6}"/>
    <cellStyle name="40% - Accent3 2 2 2 3 2 3" xfId="23642" xr:uid="{00000000-0005-0000-0000-0000993A0000}"/>
    <cellStyle name="40% - Accent3 2 2 2 3 2 3 2" xfId="47474" xr:uid="{CB5294B1-D976-4726-9AA2-8BCCE5F4DD93}"/>
    <cellStyle name="40% - Accent3 2 2 2 3 2 4" xfId="31597" xr:uid="{3FDFD176-D9E2-4392-9C20-D89BE6FB9381}"/>
    <cellStyle name="40% - Accent3 2 2 2 3 3" xfId="12158" xr:uid="{00000000-0005-0000-0000-00009A3A0000}"/>
    <cellStyle name="40% - Accent3 2 2 2 3 3 2" xfId="36007" xr:uid="{C0B14F54-4382-4F7F-9122-ADBAEB481CFB}"/>
    <cellStyle name="40% - Accent3 2 2 2 3 4" xfId="20113" xr:uid="{00000000-0005-0000-0000-00009B3A0000}"/>
    <cellStyle name="40% - Accent3 2 2 2 3 4 2" xfId="43945" xr:uid="{6C45C45B-3850-4BE3-B49B-28CFD6CB860D}"/>
    <cellStyle name="40% - Accent3 2 2 2 3 5" xfId="28066" xr:uid="{6E1AD0D5-15D5-43BE-A25F-89BAA6669C10}"/>
    <cellStyle name="40% - Accent3 2 2 2 4" xfId="5953" xr:uid="{00000000-0005-0000-0000-00009C3A0000}"/>
    <cellStyle name="40% - Accent3 2 2 2 4 2" xfId="13937" xr:uid="{00000000-0005-0000-0000-00009D3A0000}"/>
    <cellStyle name="40% - Accent3 2 2 2 4 2 2" xfId="37780" xr:uid="{8D73D9B6-EE58-499D-8FC6-6BA6A971F1F2}"/>
    <cellStyle name="40% - Accent3 2 2 2 4 3" xfId="21885" xr:uid="{00000000-0005-0000-0000-00009E3A0000}"/>
    <cellStyle name="40% - Accent3 2 2 2 4 3 2" xfId="45717" xr:uid="{B5F4DE68-21AB-47EC-A5B1-84844899A91B}"/>
    <cellStyle name="40% - Accent3 2 2 2 4 4" xfId="29839" xr:uid="{BEDE1A66-5FFB-43EA-A0D8-1D135CAA0242}"/>
    <cellStyle name="40% - Accent3 2 2 2 5" xfId="9506" xr:uid="{00000000-0005-0000-0000-00009F3A0000}"/>
    <cellStyle name="40% - Accent3 2 2 2 5 2" xfId="17464" xr:uid="{00000000-0005-0000-0000-0000A03A0000}"/>
    <cellStyle name="40% - Accent3 2 2 2 5 2 2" xfId="41304" xr:uid="{816C1C03-B1C8-4248-B416-A563AE37FCCB}"/>
    <cellStyle name="40% - Accent3 2 2 2 5 3" xfId="25408" xr:uid="{00000000-0005-0000-0000-0000A13A0000}"/>
    <cellStyle name="40% - Accent3 2 2 2 5 3 2" xfId="49240" xr:uid="{61B429D2-3A8F-4723-8B0C-1F642B97567A}"/>
    <cellStyle name="40% - Accent3 2 2 2 5 4" xfId="33363" xr:uid="{A149798B-A0C7-4FE3-BD19-888F0F304E92}"/>
    <cellStyle name="40% - Accent3 2 2 2 6" xfId="10402" xr:uid="{00000000-0005-0000-0000-0000A23A0000}"/>
    <cellStyle name="40% - Accent3 2 2 2 6 2" xfId="34251" xr:uid="{5A067A69-98AC-4FEF-9315-6188375B3A9C}"/>
    <cellStyle name="40% - Accent3 2 2 2 7" xfId="18357" xr:uid="{00000000-0005-0000-0000-0000A33A0000}"/>
    <cellStyle name="40% - Accent3 2 2 2 7 2" xfId="42189" xr:uid="{ABBA2932-FF6C-4655-BC77-C3CD5968EB2F}"/>
    <cellStyle name="40% - Accent3 2 2 2 8" xfId="26309" xr:uid="{B779F9D0-A486-45D9-9071-AD33937BA10F}"/>
    <cellStyle name="40% - Accent3 2 2 2_Exh G" xfId="2975" xr:uid="{00000000-0005-0000-0000-0000A43A0000}"/>
    <cellStyle name="40% - Accent3 2 2 3" xfId="960" xr:uid="{00000000-0005-0000-0000-0000A53A0000}"/>
    <cellStyle name="40% - Accent3 2 2 3 2" xfId="1880" xr:uid="{00000000-0005-0000-0000-0000A63A0000}"/>
    <cellStyle name="40% - Accent3 2 2 3 2 2" xfId="5398" xr:uid="{00000000-0005-0000-0000-0000A73A0000}"/>
    <cellStyle name="40% - Accent3 2 2 3 2 2 2" xfId="8989" xr:uid="{00000000-0005-0000-0000-0000A83A0000}"/>
    <cellStyle name="40% - Accent3 2 2 3 2 2 2 2" xfId="16960" xr:uid="{00000000-0005-0000-0000-0000A93A0000}"/>
    <cellStyle name="40% - Accent3 2 2 3 2 2 2 2 2" xfId="40802" xr:uid="{C33510FC-5D48-4FD7-93FE-AD2AA36B697D}"/>
    <cellStyle name="40% - Accent3 2 2 3 2 2 2 3" xfId="24906" xr:uid="{00000000-0005-0000-0000-0000AA3A0000}"/>
    <cellStyle name="40% - Accent3 2 2 3 2 2 2 3 2" xfId="48738" xr:uid="{9AC6BBC4-044E-448C-9B5B-0CCDD2E716D5}"/>
    <cellStyle name="40% - Accent3 2 2 3 2 2 2 4" xfId="32861" xr:uid="{17A2C1BD-A671-437E-9386-2EDA86085986}"/>
    <cellStyle name="40% - Accent3 2 2 3 2 2 3" xfId="13422" xr:uid="{00000000-0005-0000-0000-0000AB3A0000}"/>
    <cellStyle name="40% - Accent3 2 2 3 2 2 3 2" xfId="37271" xr:uid="{3645D12E-561E-4816-B50A-E83B85DAC5F2}"/>
    <cellStyle name="40% - Accent3 2 2 3 2 2 4" xfId="21377" xr:uid="{00000000-0005-0000-0000-0000AC3A0000}"/>
    <cellStyle name="40% - Accent3 2 2 3 2 2 4 2" xfId="45209" xr:uid="{392E8F05-52D8-4ECB-81FE-E0DC2957F684}"/>
    <cellStyle name="40% - Accent3 2 2 3 2 2 5" xfId="29330" xr:uid="{AF2EEAC0-9B35-4F4B-8A9B-58258EEE2F85}"/>
    <cellStyle name="40% - Accent3 2 2 3 2 3" xfId="7230" xr:uid="{00000000-0005-0000-0000-0000AD3A0000}"/>
    <cellStyle name="40% - Accent3 2 2 3 2 3 2" xfId="15202" xr:uid="{00000000-0005-0000-0000-0000AE3A0000}"/>
    <cellStyle name="40% - Accent3 2 2 3 2 3 2 2" xfId="39044" xr:uid="{AB3070BA-7EA1-4D9A-85B8-48FC172B14CD}"/>
    <cellStyle name="40% - Accent3 2 2 3 2 3 3" xfId="23149" xr:uid="{00000000-0005-0000-0000-0000AF3A0000}"/>
    <cellStyle name="40% - Accent3 2 2 3 2 3 3 2" xfId="46981" xr:uid="{BAE6A505-B8DB-4CA8-8CEB-C495C677E298}"/>
    <cellStyle name="40% - Accent3 2 2 3 2 3 4" xfId="31103" xr:uid="{D8DF29FF-BE79-4656-8160-7D8DA79FC4E9}"/>
    <cellStyle name="40% - Accent3 2 2 3 2 4" xfId="11666" xr:uid="{00000000-0005-0000-0000-0000B03A0000}"/>
    <cellStyle name="40% - Accent3 2 2 3 2 4 2" xfId="35515" xr:uid="{22373061-D192-416F-846D-37C4AF9F2337}"/>
    <cellStyle name="40% - Accent3 2 2 3 2 5" xfId="19621" xr:uid="{00000000-0005-0000-0000-0000B13A0000}"/>
    <cellStyle name="40% - Accent3 2 2 3 2 5 2" xfId="43453" xr:uid="{CAA2DEBD-ED19-4D4E-8C40-E4CC65932EB1}"/>
    <cellStyle name="40% - Accent3 2 2 3 2 6" xfId="27573" xr:uid="{FCE4F190-391A-432F-BD72-3D15D92A0375}"/>
    <cellStyle name="40% - Accent3 2 2 3 2_Exh G" xfId="2978" xr:uid="{00000000-0005-0000-0000-0000B23A0000}"/>
    <cellStyle name="40% - Accent3 2 2 3 3" xfId="4519" xr:uid="{00000000-0005-0000-0000-0000B33A0000}"/>
    <cellStyle name="40% - Accent3 2 2 3 3 2" xfId="8111" xr:uid="{00000000-0005-0000-0000-0000B43A0000}"/>
    <cellStyle name="40% - Accent3 2 2 3 3 2 2" xfId="16082" xr:uid="{00000000-0005-0000-0000-0000B53A0000}"/>
    <cellStyle name="40% - Accent3 2 2 3 3 2 2 2" xfId="39924" xr:uid="{C7CFF903-1CE9-4C8C-B757-4D6CF715D5C8}"/>
    <cellStyle name="40% - Accent3 2 2 3 3 2 3" xfId="24028" xr:uid="{00000000-0005-0000-0000-0000B63A0000}"/>
    <cellStyle name="40% - Accent3 2 2 3 3 2 3 2" xfId="47860" xr:uid="{A2220823-7BB6-495A-8277-1A7296654717}"/>
    <cellStyle name="40% - Accent3 2 2 3 3 2 4" xfId="31983" xr:uid="{8EE633D3-C334-457E-AB52-B92C6A94EE61}"/>
    <cellStyle name="40% - Accent3 2 2 3 3 3" xfId="12544" xr:uid="{00000000-0005-0000-0000-0000B73A0000}"/>
    <cellStyle name="40% - Accent3 2 2 3 3 3 2" xfId="36393" xr:uid="{ED5C498B-2466-4B22-AEF1-0EE592328615}"/>
    <cellStyle name="40% - Accent3 2 2 3 3 4" xfId="20499" xr:uid="{00000000-0005-0000-0000-0000B83A0000}"/>
    <cellStyle name="40% - Accent3 2 2 3 3 4 2" xfId="44331" xr:uid="{EB7ABD14-1A09-40B4-8198-0B25949576C6}"/>
    <cellStyle name="40% - Accent3 2 2 3 3 5" xfId="28452" xr:uid="{E3ECE1E7-09F4-498A-873D-1626841BD0C7}"/>
    <cellStyle name="40% - Accent3 2 2 3 4" xfId="6349" xr:uid="{00000000-0005-0000-0000-0000B93A0000}"/>
    <cellStyle name="40% - Accent3 2 2 3 4 2" xfId="14324" xr:uid="{00000000-0005-0000-0000-0000BA3A0000}"/>
    <cellStyle name="40% - Accent3 2 2 3 4 2 2" xfId="38166" xr:uid="{70C5B956-9521-4C9F-9118-ECEAA7BD6755}"/>
    <cellStyle name="40% - Accent3 2 2 3 4 3" xfId="22271" xr:uid="{00000000-0005-0000-0000-0000BB3A0000}"/>
    <cellStyle name="40% - Accent3 2 2 3 4 3 2" xfId="46103" xr:uid="{EAB37710-F226-4626-B820-4A7C18148683}"/>
    <cellStyle name="40% - Accent3 2 2 3 4 4" xfId="30225" xr:uid="{0882152C-E34B-40EC-B252-A6D7D3A2DB87}"/>
    <cellStyle name="40% - Accent3 2 2 3 5" xfId="9892" xr:uid="{00000000-0005-0000-0000-0000BC3A0000}"/>
    <cellStyle name="40% - Accent3 2 2 3 5 2" xfId="17850" xr:uid="{00000000-0005-0000-0000-0000BD3A0000}"/>
    <cellStyle name="40% - Accent3 2 2 3 5 2 2" xfId="41690" xr:uid="{D5F720F7-ED6B-4C91-B4ED-CBFC32B53D90}"/>
    <cellStyle name="40% - Accent3 2 2 3 5 3" xfId="25794" xr:uid="{00000000-0005-0000-0000-0000BE3A0000}"/>
    <cellStyle name="40% - Accent3 2 2 3 5 3 2" xfId="49626" xr:uid="{D261D20F-78B8-4978-950E-67564B837379}"/>
    <cellStyle name="40% - Accent3 2 2 3 5 4" xfId="33749" xr:uid="{8885A18C-2353-4D2D-AB67-01E3EE2D18AB}"/>
    <cellStyle name="40% - Accent3 2 2 3 6" xfId="10788" xr:uid="{00000000-0005-0000-0000-0000BF3A0000}"/>
    <cellStyle name="40% - Accent3 2 2 3 6 2" xfId="34637" xr:uid="{5DDBB17F-B1D6-4124-B6BB-C4C83F4C9E59}"/>
    <cellStyle name="40% - Accent3 2 2 3 7" xfId="18743" xr:uid="{00000000-0005-0000-0000-0000C03A0000}"/>
    <cellStyle name="40% - Accent3 2 2 3 7 2" xfId="42575" xr:uid="{142466A8-B9F5-4948-AB86-149C0513CE8F}"/>
    <cellStyle name="40% - Accent3 2 2 3 8" xfId="26695" xr:uid="{206602D6-6E46-4659-AF2A-777B36E1EE6C}"/>
    <cellStyle name="40% - Accent3 2 2 3_Exh G" xfId="2977" xr:uid="{00000000-0005-0000-0000-0000C13A0000}"/>
    <cellStyle name="40% - Accent3 2 2 4" xfId="1481" xr:uid="{00000000-0005-0000-0000-0000C23A0000}"/>
    <cellStyle name="40% - Accent3 2 2 4 2" xfId="5011" xr:uid="{00000000-0005-0000-0000-0000C33A0000}"/>
    <cellStyle name="40% - Accent3 2 2 4 2 2" xfId="8602" xr:uid="{00000000-0005-0000-0000-0000C43A0000}"/>
    <cellStyle name="40% - Accent3 2 2 4 2 2 2" xfId="16573" xr:uid="{00000000-0005-0000-0000-0000C53A0000}"/>
    <cellStyle name="40% - Accent3 2 2 4 2 2 2 2" xfId="40415" xr:uid="{6BEABD72-4234-4120-A3AD-EFFE10CCF6D8}"/>
    <cellStyle name="40% - Accent3 2 2 4 2 2 3" xfId="24519" xr:uid="{00000000-0005-0000-0000-0000C63A0000}"/>
    <cellStyle name="40% - Accent3 2 2 4 2 2 3 2" xfId="48351" xr:uid="{2B57C6A1-D164-4BA5-9634-7C3DCE075B91}"/>
    <cellStyle name="40% - Accent3 2 2 4 2 2 4" xfId="32474" xr:uid="{A7BBACC3-D0C5-47F6-8143-C4EEC25FBAD8}"/>
    <cellStyle name="40% - Accent3 2 2 4 2 3" xfId="13035" xr:uid="{00000000-0005-0000-0000-0000C73A0000}"/>
    <cellStyle name="40% - Accent3 2 2 4 2 3 2" xfId="36884" xr:uid="{66ADBAD3-4587-44E7-9590-85D0746C37FD}"/>
    <cellStyle name="40% - Accent3 2 2 4 2 4" xfId="20990" xr:uid="{00000000-0005-0000-0000-0000C83A0000}"/>
    <cellStyle name="40% - Accent3 2 2 4 2 4 2" xfId="44822" xr:uid="{EEDEA5CA-5886-400D-BCB3-4857517C83AE}"/>
    <cellStyle name="40% - Accent3 2 2 4 2 5" xfId="28943" xr:uid="{72A4D209-B309-4E01-B74D-8A7978A3F8E5}"/>
    <cellStyle name="40% - Accent3 2 2 4 3" xfId="6843" xr:uid="{00000000-0005-0000-0000-0000C93A0000}"/>
    <cellStyle name="40% - Accent3 2 2 4 3 2" xfId="14815" xr:uid="{00000000-0005-0000-0000-0000CA3A0000}"/>
    <cellStyle name="40% - Accent3 2 2 4 3 2 2" xfId="38657" xr:uid="{858A59F3-500C-4FE6-A0A9-CD16202AF61C}"/>
    <cellStyle name="40% - Accent3 2 2 4 3 3" xfId="22762" xr:uid="{00000000-0005-0000-0000-0000CB3A0000}"/>
    <cellStyle name="40% - Accent3 2 2 4 3 3 2" xfId="46594" xr:uid="{1DB4BD3F-A63D-42DB-8A07-FF1284AF4235}"/>
    <cellStyle name="40% - Accent3 2 2 4 3 4" xfId="30716" xr:uid="{C32CEFC2-DEB1-4611-B722-9C5136FE2052}"/>
    <cellStyle name="40% - Accent3 2 2 4 4" xfId="11279" xr:uid="{00000000-0005-0000-0000-0000CC3A0000}"/>
    <cellStyle name="40% - Accent3 2 2 4 4 2" xfId="35128" xr:uid="{079AE1AC-6991-47AD-9B5C-86698C2BF61A}"/>
    <cellStyle name="40% - Accent3 2 2 4 5" xfId="19234" xr:uid="{00000000-0005-0000-0000-0000CD3A0000}"/>
    <cellStyle name="40% - Accent3 2 2 4 5 2" xfId="43066" xr:uid="{34A286D4-E313-4592-A162-307204CF739D}"/>
    <cellStyle name="40% - Accent3 2 2 4 6" xfId="27186" xr:uid="{08057D1B-E4A7-4E96-A8C1-43D3943D58A5}"/>
    <cellStyle name="40% - Accent3 2 2 4_Exh G" xfId="2979" xr:uid="{00000000-0005-0000-0000-0000CE3A0000}"/>
    <cellStyle name="40% - Accent3 2 2 5" xfId="4132" xr:uid="{00000000-0005-0000-0000-0000CF3A0000}"/>
    <cellStyle name="40% - Accent3 2 2 5 2" xfId="7724" xr:uid="{00000000-0005-0000-0000-0000D03A0000}"/>
    <cellStyle name="40% - Accent3 2 2 5 2 2" xfId="15695" xr:uid="{00000000-0005-0000-0000-0000D13A0000}"/>
    <cellStyle name="40% - Accent3 2 2 5 2 2 2" xfId="39537" xr:uid="{38D54554-84A9-43CE-9EDC-F142F2B9FEF1}"/>
    <cellStyle name="40% - Accent3 2 2 5 2 3" xfId="23641" xr:uid="{00000000-0005-0000-0000-0000D23A0000}"/>
    <cellStyle name="40% - Accent3 2 2 5 2 3 2" xfId="47473" xr:uid="{3B27707F-5478-4F09-9F52-7D556DC312F6}"/>
    <cellStyle name="40% - Accent3 2 2 5 2 4" xfId="31596" xr:uid="{74A376AF-5B03-47DB-8901-08B73FCB6BAC}"/>
    <cellStyle name="40% - Accent3 2 2 5 3" xfId="12157" xr:uid="{00000000-0005-0000-0000-0000D33A0000}"/>
    <cellStyle name="40% - Accent3 2 2 5 3 2" xfId="36006" xr:uid="{6A16E0AF-7D2B-4414-BCE0-F494699305EC}"/>
    <cellStyle name="40% - Accent3 2 2 5 4" xfId="20112" xr:uid="{00000000-0005-0000-0000-0000D43A0000}"/>
    <cellStyle name="40% - Accent3 2 2 5 4 2" xfId="43944" xr:uid="{E3AEB532-A264-4ABA-B55C-1452DC8882CC}"/>
    <cellStyle name="40% - Accent3 2 2 5 5" xfId="28065" xr:uid="{5AECE65E-F272-4CA6-B05A-C8A850D67388}"/>
    <cellStyle name="40% - Accent3 2 2 6" xfId="5952" xr:uid="{00000000-0005-0000-0000-0000D53A0000}"/>
    <cellStyle name="40% - Accent3 2 2 6 2" xfId="13936" xr:uid="{00000000-0005-0000-0000-0000D63A0000}"/>
    <cellStyle name="40% - Accent3 2 2 6 2 2" xfId="37779" xr:uid="{D06C02E9-D11C-4C2B-A0F0-3C9F11C8E9FB}"/>
    <cellStyle name="40% - Accent3 2 2 6 3" xfId="21884" xr:uid="{00000000-0005-0000-0000-0000D73A0000}"/>
    <cellStyle name="40% - Accent3 2 2 6 3 2" xfId="45716" xr:uid="{3049EC53-994A-4EAC-A0CE-AB520FBC36B7}"/>
    <cellStyle name="40% - Accent3 2 2 6 4" xfId="29838" xr:uid="{301BA5BE-CA8B-4922-AFFD-B80F0398A8FD}"/>
    <cellStyle name="40% - Accent3 2 2 7" xfId="9505" xr:uid="{00000000-0005-0000-0000-0000D83A0000}"/>
    <cellStyle name="40% - Accent3 2 2 7 2" xfId="17463" xr:uid="{00000000-0005-0000-0000-0000D93A0000}"/>
    <cellStyle name="40% - Accent3 2 2 7 2 2" xfId="41303" xr:uid="{9BFD0686-B206-4204-B95F-B58DFE2285C6}"/>
    <cellStyle name="40% - Accent3 2 2 7 3" xfId="25407" xr:uid="{00000000-0005-0000-0000-0000DA3A0000}"/>
    <cellStyle name="40% - Accent3 2 2 7 3 2" xfId="49239" xr:uid="{4FC7DAA1-9BE9-469D-9345-D9AF6D3C5B8B}"/>
    <cellStyle name="40% - Accent3 2 2 7 4" xfId="33362" xr:uid="{173BFA41-8510-406B-93C7-50F688BC698A}"/>
    <cellStyle name="40% - Accent3 2 2 8" xfId="10401" xr:uid="{00000000-0005-0000-0000-0000DB3A0000}"/>
    <cellStyle name="40% - Accent3 2 2 8 2" xfId="34250" xr:uid="{5EE09E95-8013-4508-AC58-DA8A380F54BB}"/>
    <cellStyle name="40% - Accent3 2 2 9" xfId="18356" xr:uid="{00000000-0005-0000-0000-0000DC3A0000}"/>
    <cellStyle name="40% - Accent3 2 2 9 2" xfId="42188" xr:uid="{D9E93EEC-9050-4A3E-A7F7-B02CE7E3D0C3}"/>
    <cellStyle name="40% - Accent3 2 2_Exh G" xfId="2974" xr:uid="{00000000-0005-0000-0000-0000DD3A0000}"/>
    <cellStyle name="40% - Accent3 2 3" xfId="455" xr:uid="{00000000-0005-0000-0000-0000DE3A0000}"/>
    <cellStyle name="40% - Accent3 2 3 2" xfId="1483" xr:uid="{00000000-0005-0000-0000-0000DF3A0000}"/>
    <cellStyle name="40% - Accent3 2 3 2 2" xfId="5013" xr:uid="{00000000-0005-0000-0000-0000E03A0000}"/>
    <cellStyle name="40% - Accent3 2 3 2 2 2" xfId="8604" xr:uid="{00000000-0005-0000-0000-0000E13A0000}"/>
    <cellStyle name="40% - Accent3 2 3 2 2 2 2" xfId="16575" xr:uid="{00000000-0005-0000-0000-0000E23A0000}"/>
    <cellStyle name="40% - Accent3 2 3 2 2 2 2 2" xfId="40417" xr:uid="{0294EA6B-31E3-450A-8A4E-B249E986AC3B}"/>
    <cellStyle name="40% - Accent3 2 3 2 2 2 3" xfId="24521" xr:uid="{00000000-0005-0000-0000-0000E33A0000}"/>
    <cellStyle name="40% - Accent3 2 3 2 2 2 3 2" xfId="48353" xr:uid="{BFD53A17-C5F4-426D-8572-BEC81430F098}"/>
    <cellStyle name="40% - Accent3 2 3 2 2 2 4" xfId="32476" xr:uid="{F3B168F8-1023-43F3-BE82-D9388502BED6}"/>
    <cellStyle name="40% - Accent3 2 3 2 2 3" xfId="13037" xr:uid="{00000000-0005-0000-0000-0000E43A0000}"/>
    <cellStyle name="40% - Accent3 2 3 2 2 3 2" xfId="36886" xr:uid="{721FB7C1-12C6-40E8-A7BD-4D4437265747}"/>
    <cellStyle name="40% - Accent3 2 3 2 2 4" xfId="20992" xr:uid="{00000000-0005-0000-0000-0000E53A0000}"/>
    <cellStyle name="40% - Accent3 2 3 2 2 4 2" xfId="44824" xr:uid="{B7DFD727-49CE-462B-AC36-E2799E44FAB6}"/>
    <cellStyle name="40% - Accent3 2 3 2 2 5" xfId="28945" xr:uid="{9D12B387-5FF1-4923-A365-032CFBA4DF4A}"/>
    <cellStyle name="40% - Accent3 2 3 2 3" xfId="6845" xr:uid="{00000000-0005-0000-0000-0000E63A0000}"/>
    <cellStyle name="40% - Accent3 2 3 2 3 2" xfId="14817" xr:uid="{00000000-0005-0000-0000-0000E73A0000}"/>
    <cellStyle name="40% - Accent3 2 3 2 3 2 2" xfId="38659" xr:uid="{3A1F212D-BAC7-4902-AF50-40547F588CD1}"/>
    <cellStyle name="40% - Accent3 2 3 2 3 3" xfId="22764" xr:uid="{00000000-0005-0000-0000-0000E83A0000}"/>
    <cellStyle name="40% - Accent3 2 3 2 3 3 2" xfId="46596" xr:uid="{B4CCFD1C-C33B-4104-9198-1527CDF47F9B}"/>
    <cellStyle name="40% - Accent3 2 3 2 3 4" xfId="30718" xr:uid="{36AB1F0A-9C84-41C8-9B5B-ECEA51FC917A}"/>
    <cellStyle name="40% - Accent3 2 3 2 4" xfId="11281" xr:uid="{00000000-0005-0000-0000-0000E93A0000}"/>
    <cellStyle name="40% - Accent3 2 3 2 4 2" xfId="35130" xr:uid="{8AFA6D9B-371A-41D8-A9F2-34555B3D5D17}"/>
    <cellStyle name="40% - Accent3 2 3 2 5" xfId="19236" xr:uid="{00000000-0005-0000-0000-0000EA3A0000}"/>
    <cellStyle name="40% - Accent3 2 3 2 5 2" xfId="43068" xr:uid="{5A69EDB6-6DCE-4C85-A86D-3F67F254C390}"/>
    <cellStyle name="40% - Accent3 2 3 2 6" xfId="27188" xr:uid="{AFFCBD1A-D52C-458C-ABFE-834AE1756B17}"/>
    <cellStyle name="40% - Accent3 2 3 2_Exh G" xfId="2981" xr:uid="{00000000-0005-0000-0000-0000EB3A0000}"/>
    <cellStyle name="40% - Accent3 2 3 3" xfId="4134" xr:uid="{00000000-0005-0000-0000-0000EC3A0000}"/>
    <cellStyle name="40% - Accent3 2 3 3 2" xfId="7726" xr:uid="{00000000-0005-0000-0000-0000ED3A0000}"/>
    <cellStyle name="40% - Accent3 2 3 3 2 2" xfId="15697" xr:uid="{00000000-0005-0000-0000-0000EE3A0000}"/>
    <cellStyle name="40% - Accent3 2 3 3 2 2 2" xfId="39539" xr:uid="{E4F646F9-D6D0-430D-B471-A8E8C7FF2372}"/>
    <cellStyle name="40% - Accent3 2 3 3 2 3" xfId="23643" xr:uid="{00000000-0005-0000-0000-0000EF3A0000}"/>
    <cellStyle name="40% - Accent3 2 3 3 2 3 2" xfId="47475" xr:uid="{18322633-D754-492E-B125-5C84598D496E}"/>
    <cellStyle name="40% - Accent3 2 3 3 2 4" xfId="31598" xr:uid="{49D14A43-65BC-4411-91B6-4C1B65724134}"/>
    <cellStyle name="40% - Accent3 2 3 3 3" xfId="12159" xr:uid="{00000000-0005-0000-0000-0000F03A0000}"/>
    <cellStyle name="40% - Accent3 2 3 3 3 2" xfId="36008" xr:uid="{A3C217A5-B534-4159-9A6C-6B4D003C4213}"/>
    <cellStyle name="40% - Accent3 2 3 3 4" xfId="20114" xr:uid="{00000000-0005-0000-0000-0000F13A0000}"/>
    <cellStyle name="40% - Accent3 2 3 3 4 2" xfId="43946" xr:uid="{945E9BE4-369B-4B9B-B9E6-0ECE4F482C00}"/>
    <cellStyle name="40% - Accent3 2 3 3 5" xfId="28067" xr:uid="{D2CC25F3-753F-423F-9BF2-3A7C1DF58652}"/>
    <cellStyle name="40% - Accent3 2 3 4" xfId="5954" xr:uid="{00000000-0005-0000-0000-0000F23A0000}"/>
    <cellStyle name="40% - Accent3 2 3 4 2" xfId="13938" xr:uid="{00000000-0005-0000-0000-0000F33A0000}"/>
    <cellStyle name="40% - Accent3 2 3 4 2 2" xfId="37781" xr:uid="{0B6A40C8-2D56-4AF8-B12B-078271406EE2}"/>
    <cellStyle name="40% - Accent3 2 3 4 3" xfId="21886" xr:uid="{00000000-0005-0000-0000-0000F43A0000}"/>
    <cellStyle name="40% - Accent3 2 3 4 3 2" xfId="45718" xr:uid="{08C112D0-0D37-4F94-9D5F-D417DDCB5D75}"/>
    <cellStyle name="40% - Accent3 2 3 4 4" xfId="29840" xr:uid="{53E7F7FF-E53A-4B6C-BCD7-50DEDBF1733B}"/>
    <cellStyle name="40% - Accent3 2 3 5" xfId="9507" xr:uid="{00000000-0005-0000-0000-0000F53A0000}"/>
    <cellStyle name="40% - Accent3 2 3 5 2" xfId="17465" xr:uid="{00000000-0005-0000-0000-0000F63A0000}"/>
    <cellStyle name="40% - Accent3 2 3 5 2 2" xfId="41305" xr:uid="{5CA29F0C-4904-4D1B-8A81-18CDD92FBFF7}"/>
    <cellStyle name="40% - Accent3 2 3 5 3" xfId="25409" xr:uid="{00000000-0005-0000-0000-0000F73A0000}"/>
    <cellStyle name="40% - Accent3 2 3 5 3 2" xfId="49241" xr:uid="{C7F902B5-9795-4900-9FE2-49C917C1798C}"/>
    <cellStyle name="40% - Accent3 2 3 5 4" xfId="33364" xr:uid="{BE193C23-5853-4E05-8712-D407B15DDF00}"/>
    <cellStyle name="40% - Accent3 2 3 6" xfId="10403" xr:uid="{00000000-0005-0000-0000-0000F83A0000}"/>
    <cellStyle name="40% - Accent3 2 3 6 2" xfId="34252" xr:uid="{17B2FB13-96E4-4403-B1A3-C1F05F84B156}"/>
    <cellStyle name="40% - Accent3 2 3 7" xfId="18358" xr:uid="{00000000-0005-0000-0000-0000F93A0000}"/>
    <cellStyle name="40% - Accent3 2 3 7 2" xfId="42190" xr:uid="{9D020610-8E1D-4B8F-A350-73B10A33BF6C}"/>
    <cellStyle name="40% - Accent3 2 3 8" xfId="26310" xr:uid="{8E51D905-D830-4AF0-A09A-B33AE5740BDD}"/>
    <cellStyle name="40% - Accent3 2 3_Exh G" xfId="2980" xr:uid="{00000000-0005-0000-0000-0000FA3A0000}"/>
    <cellStyle name="40% - Accent3 2 4" xfId="959" xr:uid="{00000000-0005-0000-0000-0000FB3A0000}"/>
    <cellStyle name="40% - Accent3 2 4 2" xfId="1879" xr:uid="{00000000-0005-0000-0000-0000FC3A0000}"/>
    <cellStyle name="40% - Accent3 2 4 2 2" xfId="5397" xr:uid="{00000000-0005-0000-0000-0000FD3A0000}"/>
    <cellStyle name="40% - Accent3 2 4 2 2 2" xfId="8988" xr:uid="{00000000-0005-0000-0000-0000FE3A0000}"/>
    <cellStyle name="40% - Accent3 2 4 2 2 2 2" xfId="16959" xr:uid="{00000000-0005-0000-0000-0000FF3A0000}"/>
    <cellStyle name="40% - Accent3 2 4 2 2 2 2 2" xfId="40801" xr:uid="{3F596DF9-9117-484E-991D-CD4A7573423C}"/>
    <cellStyle name="40% - Accent3 2 4 2 2 2 3" xfId="24905" xr:uid="{00000000-0005-0000-0000-0000003B0000}"/>
    <cellStyle name="40% - Accent3 2 4 2 2 2 3 2" xfId="48737" xr:uid="{C8F833CE-3CA8-4509-BD87-7E235147B72F}"/>
    <cellStyle name="40% - Accent3 2 4 2 2 2 4" xfId="32860" xr:uid="{6BAC8680-054C-45B8-941C-F2E8085A6978}"/>
    <cellStyle name="40% - Accent3 2 4 2 2 3" xfId="13421" xr:uid="{00000000-0005-0000-0000-0000013B0000}"/>
    <cellStyle name="40% - Accent3 2 4 2 2 3 2" xfId="37270" xr:uid="{450DDEDA-9AA3-47BB-9650-AC31DEBF5BAE}"/>
    <cellStyle name="40% - Accent3 2 4 2 2 4" xfId="21376" xr:uid="{00000000-0005-0000-0000-0000023B0000}"/>
    <cellStyle name="40% - Accent3 2 4 2 2 4 2" xfId="45208" xr:uid="{A03D2543-B4E3-429A-B50C-B8987B079FA3}"/>
    <cellStyle name="40% - Accent3 2 4 2 2 5" xfId="29329" xr:uid="{E5438105-E04C-4837-B8A3-CA6125FE749A}"/>
    <cellStyle name="40% - Accent3 2 4 2 3" xfId="7229" xr:uid="{00000000-0005-0000-0000-0000033B0000}"/>
    <cellStyle name="40% - Accent3 2 4 2 3 2" xfId="15201" xr:uid="{00000000-0005-0000-0000-0000043B0000}"/>
    <cellStyle name="40% - Accent3 2 4 2 3 2 2" xfId="39043" xr:uid="{BCA5E0B8-2706-41B4-8846-8569F111BDC5}"/>
    <cellStyle name="40% - Accent3 2 4 2 3 3" xfId="23148" xr:uid="{00000000-0005-0000-0000-0000053B0000}"/>
    <cellStyle name="40% - Accent3 2 4 2 3 3 2" xfId="46980" xr:uid="{5B03E917-E20A-46CF-A767-AF34355A2400}"/>
    <cellStyle name="40% - Accent3 2 4 2 3 4" xfId="31102" xr:uid="{B84155AA-A230-45F5-B289-A00D28D82DE5}"/>
    <cellStyle name="40% - Accent3 2 4 2 4" xfId="11665" xr:uid="{00000000-0005-0000-0000-0000063B0000}"/>
    <cellStyle name="40% - Accent3 2 4 2 4 2" xfId="35514" xr:uid="{392C26FF-8008-4B06-B6CC-03F53248AF8B}"/>
    <cellStyle name="40% - Accent3 2 4 2 5" xfId="19620" xr:uid="{00000000-0005-0000-0000-0000073B0000}"/>
    <cellStyle name="40% - Accent3 2 4 2 5 2" xfId="43452" xr:uid="{B4C3FCE1-23E2-4F59-B34A-27FCA4E477A8}"/>
    <cellStyle name="40% - Accent3 2 4 2 6" xfId="27572" xr:uid="{448076D5-964A-4AB6-A56C-29CD880E4B43}"/>
    <cellStyle name="40% - Accent3 2 4 2_Exh G" xfId="2983" xr:uid="{00000000-0005-0000-0000-0000083B0000}"/>
    <cellStyle name="40% - Accent3 2 4 3" xfId="4518" xr:uid="{00000000-0005-0000-0000-0000093B0000}"/>
    <cellStyle name="40% - Accent3 2 4 3 2" xfId="8110" xr:uid="{00000000-0005-0000-0000-00000A3B0000}"/>
    <cellStyle name="40% - Accent3 2 4 3 2 2" xfId="16081" xr:uid="{00000000-0005-0000-0000-00000B3B0000}"/>
    <cellStyle name="40% - Accent3 2 4 3 2 2 2" xfId="39923" xr:uid="{7970BCF9-B73E-46BC-A797-8344FF390488}"/>
    <cellStyle name="40% - Accent3 2 4 3 2 3" xfId="24027" xr:uid="{00000000-0005-0000-0000-00000C3B0000}"/>
    <cellStyle name="40% - Accent3 2 4 3 2 3 2" xfId="47859" xr:uid="{3A06B993-FCC2-433B-892A-08B1DBFFDCF4}"/>
    <cellStyle name="40% - Accent3 2 4 3 2 4" xfId="31982" xr:uid="{71EF2147-B969-48AE-8D9E-296B300121FB}"/>
    <cellStyle name="40% - Accent3 2 4 3 3" xfId="12543" xr:uid="{00000000-0005-0000-0000-00000D3B0000}"/>
    <cellStyle name="40% - Accent3 2 4 3 3 2" xfId="36392" xr:uid="{A8AF6CEC-9CF4-4CE7-9DAF-79E82B1CEE6C}"/>
    <cellStyle name="40% - Accent3 2 4 3 4" xfId="20498" xr:uid="{00000000-0005-0000-0000-00000E3B0000}"/>
    <cellStyle name="40% - Accent3 2 4 3 4 2" xfId="44330" xr:uid="{24504149-B0B6-442A-8633-2C59964BDC47}"/>
    <cellStyle name="40% - Accent3 2 4 3 5" xfId="28451" xr:uid="{9A81BBA9-BC1A-4511-A5CC-CB37DA269750}"/>
    <cellStyle name="40% - Accent3 2 4 4" xfId="6348" xr:uid="{00000000-0005-0000-0000-00000F3B0000}"/>
    <cellStyle name="40% - Accent3 2 4 4 2" xfId="14323" xr:uid="{00000000-0005-0000-0000-0000103B0000}"/>
    <cellStyle name="40% - Accent3 2 4 4 2 2" xfId="38165" xr:uid="{AB636680-BBE1-4A01-B4C3-5D6B0600C7B7}"/>
    <cellStyle name="40% - Accent3 2 4 4 3" xfId="22270" xr:uid="{00000000-0005-0000-0000-0000113B0000}"/>
    <cellStyle name="40% - Accent3 2 4 4 3 2" xfId="46102" xr:uid="{8C4BDD92-7652-4F4B-8BFF-7221BF5B2B77}"/>
    <cellStyle name="40% - Accent3 2 4 4 4" xfId="30224" xr:uid="{CFB1D4CB-741D-4E0F-A144-CC12DE386340}"/>
    <cellStyle name="40% - Accent3 2 4 5" xfId="9891" xr:uid="{00000000-0005-0000-0000-0000123B0000}"/>
    <cellStyle name="40% - Accent3 2 4 5 2" xfId="17849" xr:uid="{00000000-0005-0000-0000-0000133B0000}"/>
    <cellStyle name="40% - Accent3 2 4 5 2 2" xfId="41689" xr:uid="{A51BBF09-92BD-4C6F-9295-101A735F810D}"/>
    <cellStyle name="40% - Accent3 2 4 5 3" xfId="25793" xr:uid="{00000000-0005-0000-0000-0000143B0000}"/>
    <cellStyle name="40% - Accent3 2 4 5 3 2" xfId="49625" xr:uid="{D8A8035C-553B-49EE-99C0-DB2697EFD200}"/>
    <cellStyle name="40% - Accent3 2 4 5 4" xfId="33748" xr:uid="{3C646A9E-FAB2-4AE8-9E7B-14F538B016A8}"/>
    <cellStyle name="40% - Accent3 2 4 6" xfId="10787" xr:uid="{00000000-0005-0000-0000-0000153B0000}"/>
    <cellStyle name="40% - Accent3 2 4 6 2" xfId="34636" xr:uid="{1A6A08F0-D8C7-4980-B663-D1E5DCFB83C6}"/>
    <cellStyle name="40% - Accent3 2 4 7" xfId="18742" xr:uid="{00000000-0005-0000-0000-0000163B0000}"/>
    <cellStyle name="40% - Accent3 2 4 7 2" xfId="42574" xr:uid="{88471D29-611D-419D-9833-1E4515CB78A6}"/>
    <cellStyle name="40% - Accent3 2 4 8" xfId="26694" xr:uid="{36F87092-FBAC-4B45-A510-903CC9B0511D}"/>
    <cellStyle name="40% - Accent3 2 4_Exh G" xfId="2982" xr:uid="{00000000-0005-0000-0000-0000173B0000}"/>
    <cellStyle name="40% - Accent3 2 5" xfId="1480" xr:uid="{00000000-0005-0000-0000-0000183B0000}"/>
    <cellStyle name="40% - Accent3 2 5 2" xfId="5010" xr:uid="{00000000-0005-0000-0000-0000193B0000}"/>
    <cellStyle name="40% - Accent3 2 5 2 2" xfId="8601" xr:uid="{00000000-0005-0000-0000-00001A3B0000}"/>
    <cellStyle name="40% - Accent3 2 5 2 2 2" xfId="16572" xr:uid="{00000000-0005-0000-0000-00001B3B0000}"/>
    <cellStyle name="40% - Accent3 2 5 2 2 2 2" xfId="40414" xr:uid="{CE362DA3-D81F-4194-9624-3089B6E44F16}"/>
    <cellStyle name="40% - Accent3 2 5 2 2 3" xfId="24518" xr:uid="{00000000-0005-0000-0000-00001C3B0000}"/>
    <cellStyle name="40% - Accent3 2 5 2 2 3 2" xfId="48350" xr:uid="{111DC688-0536-4591-A396-08655B873BF5}"/>
    <cellStyle name="40% - Accent3 2 5 2 2 4" xfId="32473" xr:uid="{E6B9578F-911B-431D-BB00-FE426770F777}"/>
    <cellStyle name="40% - Accent3 2 5 2 3" xfId="13034" xr:uid="{00000000-0005-0000-0000-00001D3B0000}"/>
    <cellStyle name="40% - Accent3 2 5 2 3 2" xfId="36883" xr:uid="{A8A70E1D-CF29-4C4B-B9A4-2A0D474828B5}"/>
    <cellStyle name="40% - Accent3 2 5 2 4" xfId="20989" xr:uid="{00000000-0005-0000-0000-00001E3B0000}"/>
    <cellStyle name="40% - Accent3 2 5 2 4 2" xfId="44821" xr:uid="{08040266-AEFD-4A08-90C4-E9EA0A39464A}"/>
    <cellStyle name="40% - Accent3 2 5 2 5" xfId="28942" xr:uid="{F67DE4CE-4D13-4500-8592-9E026FC6EDB2}"/>
    <cellStyle name="40% - Accent3 2 5 3" xfId="6842" xr:uid="{00000000-0005-0000-0000-00001F3B0000}"/>
    <cellStyle name="40% - Accent3 2 5 3 2" xfId="14814" xr:uid="{00000000-0005-0000-0000-0000203B0000}"/>
    <cellStyle name="40% - Accent3 2 5 3 2 2" xfId="38656" xr:uid="{571F654E-E890-459D-B6DC-34C2FBCEB3D0}"/>
    <cellStyle name="40% - Accent3 2 5 3 3" xfId="22761" xr:uid="{00000000-0005-0000-0000-0000213B0000}"/>
    <cellStyle name="40% - Accent3 2 5 3 3 2" xfId="46593" xr:uid="{2FDE20DE-6301-443C-8D54-C13B7C4BD618}"/>
    <cellStyle name="40% - Accent3 2 5 3 4" xfId="30715" xr:uid="{F42DA1AF-2E05-4B06-95A5-84FF7D8B9016}"/>
    <cellStyle name="40% - Accent3 2 5 4" xfId="11278" xr:uid="{00000000-0005-0000-0000-0000223B0000}"/>
    <cellStyle name="40% - Accent3 2 5 4 2" xfId="35127" xr:uid="{548B657B-01D8-4508-9607-27E7C30EECCF}"/>
    <cellStyle name="40% - Accent3 2 5 5" xfId="19233" xr:uid="{00000000-0005-0000-0000-0000233B0000}"/>
    <cellStyle name="40% - Accent3 2 5 5 2" xfId="43065" xr:uid="{191DE97C-60CD-4C3B-A4AF-1F627BEB1E8E}"/>
    <cellStyle name="40% - Accent3 2 5 6" xfId="27185" xr:uid="{F0D550D7-123D-4DC1-8B4E-E09155983FB5}"/>
    <cellStyle name="40% - Accent3 2 5_Exh G" xfId="2984" xr:uid="{00000000-0005-0000-0000-0000243B0000}"/>
    <cellStyle name="40% - Accent3 2 6" xfId="4131" xr:uid="{00000000-0005-0000-0000-0000253B0000}"/>
    <cellStyle name="40% - Accent3 2 6 2" xfId="7723" xr:uid="{00000000-0005-0000-0000-0000263B0000}"/>
    <cellStyle name="40% - Accent3 2 6 2 2" xfId="15694" xr:uid="{00000000-0005-0000-0000-0000273B0000}"/>
    <cellStyle name="40% - Accent3 2 6 2 2 2" xfId="39536" xr:uid="{FB7D4E27-99B4-4496-AA74-065D79996944}"/>
    <cellStyle name="40% - Accent3 2 6 2 3" xfId="23640" xr:uid="{00000000-0005-0000-0000-0000283B0000}"/>
    <cellStyle name="40% - Accent3 2 6 2 3 2" xfId="47472" xr:uid="{8FFA6930-35F8-4EFC-8B40-856A61C4AD52}"/>
    <cellStyle name="40% - Accent3 2 6 2 4" xfId="31595" xr:uid="{2BE48BBD-2E4C-4797-B404-867A841244A0}"/>
    <cellStyle name="40% - Accent3 2 6 3" xfId="12156" xr:uid="{00000000-0005-0000-0000-0000293B0000}"/>
    <cellStyle name="40% - Accent3 2 6 3 2" xfId="36005" xr:uid="{193B230F-9289-41CF-B170-81F872AB74F6}"/>
    <cellStyle name="40% - Accent3 2 6 4" xfId="20111" xr:uid="{00000000-0005-0000-0000-00002A3B0000}"/>
    <cellStyle name="40% - Accent3 2 6 4 2" xfId="43943" xr:uid="{CE74F4B7-BC40-441C-BE79-9015F619E072}"/>
    <cellStyle name="40% - Accent3 2 6 5" xfId="28064" xr:uid="{76DC5860-3E97-44D3-BD40-FF4CFAD8FE09}"/>
    <cellStyle name="40% - Accent3 2 7" xfId="5951" xr:uid="{00000000-0005-0000-0000-00002B3B0000}"/>
    <cellStyle name="40% - Accent3 2 7 2" xfId="13935" xr:uid="{00000000-0005-0000-0000-00002C3B0000}"/>
    <cellStyle name="40% - Accent3 2 7 2 2" xfId="37778" xr:uid="{C6B22499-2982-4124-9912-518D83CF0751}"/>
    <cellStyle name="40% - Accent3 2 7 3" xfId="21883" xr:uid="{00000000-0005-0000-0000-00002D3B0000}"/>
    <cellStyle name="40% - Accent3 2 7 3 2" xfId="45715" xr:uid="{8AB73E0B-81DF-4A5E-9FFB-844E87D697AB}"/>
    <cellStyle name="40% - Accent3 2 7 4" xfId="29837" xr:uid="{018A2D26-A64E-4C75-9232-D14066022254}"/>
    <cellStyle name="40% - Accent3 2 8" xfId="9504" xr:uid="{00000000-0005-0000-0000-00002E3B0000}"/>
    <cellStyle name="40% - Accent3 2 8 2" xfId="17462" xr:uid="{00000000-0005-0000-0000-00002F3B0000}"/>
    <cellStyle name="40% - Accent3 2 8 2 2" xfId="41302" xr:uid="{8FFF155C-0DA3-4EB7-90CD-EE157A95907C}"/>
    <cellStyle name="40% - Accent3 2 8 3" xfId="25406" xr:uid="{00000000-0005-0000-0000-0000303B0000}"/>
    <cellStyle name="40% - Accent3 2 8 3 2" xfId="49238" xr:uid="{01AC0852-4F72-4A1A-93DF-21A2BCC9B57E}"/>
    <cellStyle name="40% - Accent3 2 8 4" xfId="33361" xr:uid="{ADB43071-9C41-44C9-ACF2-4BD8F6500B8E}"/>
    <cellStyle name="40% - Accent3 2 9" xfId="10400" xr:uid="{00000000-0005-0000-0000-0000313B0000}"/>
    <cellStyle name="40% - Accent3 2 9 2" xfId="34249" xr:uid="{B4ECEE46-6D4F-4D1E-9A3A-199C697FF548}"/>
    <cellStyle name="40% - Accent3 2_Exh G" xfId="2973" xr:uid="{00000000-0005-0000-0000-0000323B0000}"/>
    <cellStyle name="40% - Accent3 3" xfId="456" xr:uid="{00000000-0005-0000-0000-0000333B0000}"/>
    <cellStyle name="40% - Accent3 3 10" xfId="18359" xr:uid="{00000000-0005-0000-0000-0000343B0000}"/>
    <cellStyle name="40% - Accent3 3 10 2" xfId="42191" xr:uid="{76782FC0-6D58-400C-A461-77C7EC129723}"/>
    <cellStyle name="40% - Accent3 3 11" xfId="26311" xr:uid="{EB9C26F5-AB3D-48F1-A549-28260D74122A}"/>
    <cellStyle name="40% - Accent3 3 12" xfId="49770" xr:uid="{7446BB79-9E0C-4567-BAFA-59C504C43327}"/>
    <cellStyle name="40% - Accent3 3 13" xfId="49824" xr:uid="{191CA0B3-1FFC-48F8-AFE1-7779E4E20301}"/>
    <cellStyle name="40% - Accent3 3 2" xfId="457" xr:uid="{00000000-0005-0000-0000-0000353B0000}"/>
    <cellStyle name="40% - Accent3 3 2 10" xfId="26312" xr:uid="{06F7914C-B3E8-4A93-A1AB-866D146EA7FD}"/>
    <cellStyle name="40% - Accent3 3 2 2" xfId="458" xr:uid="{00000000-0005-0000-0000-0000363B0000}"/>
    <cellStyle name="40% - Accent3 3 2 2 2" xfId="1486" xr:uid="{00000000-0005-0000-0000-0000373B0000}"/>
    <cellStyle name="40% - Accent3 3 2 2 2 2" xfId="5016" xr:uid="{00000000-0005-0000-0000-0000383B0000}"/>
    <cellStyle name="40% - Accent3 3 2 2 2 2 2" xfId="8607" xr:uid="{00000000-0005-0000-0000-0000393B0000}"/>
    <cellStyle name="40% - Accent3 3 2 2 2 2 2 2" xfId="16578" xr:uid="{00000000-0005-0000-0000-00003A3B0000}"/>
    <cellStyle name="40% - Accent3 3 2 2 2 2 2 2 2" xfId="40420" xr:uid="{D9E7A983-BD3C-4FA1-8B48-5E15B26BC213}"/>
    <cellStyle name="40% - Accent3 3 2 2 2 2 2 3" xfId="24524" xr:uid="{00000000-0005-0000-0000-00003B3B0000}"/>
    <cellStyle name="40% - Accent3 3 2 2 2 2 2 3 2" xfId="48356" xr:uid="{839C345C-0750-4A79-B39F-F7B1C3F11EF5}"/>
    <cellStyle name="40% - Accent3 3 2 2 2 2 2 4" xfId="32479" xr:uid="{073D5A66-EEDF-49F1-9F39-BB355A0B76C1}"/>
    <cellStyle name="40% - Accent3 3 2 2 2 2 3" xfId="13040" xr:uid="{00000000-0005-0000-0000-00003C3B0000}"/>
    <cellStyle name="40% - Accent3 3 2 2 2 2 3 2" xfId="36889" xr:uid="{487C2EF1-172D-4138-8E11-00C612DBE957}"/>
    <cellStyle name="40% - Accent3 3 2 2 2 2 4" xfId="20995" xr:uid="{00000000-0005-0000-0000-00003D3B0000}"/>
    <cellStyle name="40% - Accent3 3 2 2 2 2 4 2" xfId="44827" xr:uid="{1DA06137-6C21-41DB-AF47-3074F6F3AC64}"/>
    <cellStyle name="40% - Accent3 3 2 2 2 2 5" xfId="28948" xr:uid="{004A9B8E-36D2-4993-B8C6-68F2598B73BF}"/>
    <cellStyle name="40% - Accent3 3 2 2 2 3" xfId="6848" xr:uid="{00000000-0005-0000-0000-00003E3B0000}"/>
    <cellStyle name="40% - Accent3 3 2 2 2 3 2" xfId="14820" xr:uid="{00000000-0005-0000-0000-00003F3B0000}"/>
    <cellStyle name="40% - Accent3 3 2 2 2 3 2 2" xfId="38662" xr:uid="{3E978F25-E615-44FF-90C7-06626E55219A}"/>
    <cellStyle name="40% - Accent3 3 2 2 2 3 3" xfId="22767" xr:uid="{00000000-0005-0000-0000-0000403B0000}"/>
    <cellStyle name="40% - Accent3 3 2 2 2 3 3 2" xfId="46599" xr:uid="{7F382D89-21FD-4DA3-83B6-F42A62669F48}"/>
    <cellStyle name="40% - Accent3 3 2 2 2 3 4" xfId="30721" xr:uid="{D631E6D0-33D9-460F-93D3-075CB0E428BA}"/>
    <cellStyle name="40% - Accent3 3 2 2 2 4" xfId="11284" xr:uid="{00000000-0005-0000-0000-0000413B0000}"/>
    <cellStyle name="40% - Accent3 3 2 2 2 4 2" xfId="35133" xr:uid="{AE514DF9-C1D0-44E7-A42D-36D4084793FC}"/>
    <cellStyle name="40% - Accent3 3 2 2 2 5" xfId="19239" xr:uid="{00000000-0005-0000-0000-0000423B0000}"/>
    <cellStyle name="40% - Accent3 3 2 2 2 5 2" xfId="43071" xr:uid="{7C952DF1-2536-479C-9A8A-3DFA15F204ED}"/>
    <cellStyle name="40% - Accent3 3 2 2 2 6" xfId="27191" xr:uid="{626101AF-59D6-42DF-834C-2650427DBE92}"/>
    <cellStyle name="40% - Accent3 3 2 2 2_Exh G" xfId="2988" xr:uid="{00000000-0005-0000-0000-0000433B0000}"/>
    <cellStyle name="40% - Accent3 3 2 2 3" xfId="4137" xr:uid="{00000000-0005-0000-0000-0000443B0000}"/>
    <cellStyle name="40% - Accent3 3 2 2 3 2" xfId="7729" xr:uid="{00000000-0005-0000-0000-0000453B0000}"/>
    <cellStyle name="40% - Accent3 3 2 2 3 2 2" xfId="15700" xr:uid="{00000000-0005-0000-0000-0000463B0000}"/>
    <cellStyle name="40% - Accent3 3 2 2 3 2 2 2" xfId="39542" xr:uid="{84A0D468-160F-4E05-936D-CE551F893D34}"/>
    <cellStyle name="40% - Accent3 3 2 2 3 2 3" xfId="23646" xr:uid="{00000000-0005-0000-0000-0000473B0000}"/>
    <cellStyle name="40% - Accent3 3 2 2 3 2 3 2" xfId="47478" xr:uid="{86ADDA67-CCCD-40AA-B5B8-555C3CFCAB26}"/>
    <cellStyle name="40% - Accent3 3 2 2 3 2 4" xfId="31601" xr:uid="{0C84D277-8FA7-4E16-9FEB-C3F15CC99024}"/>
    <cellStyle name="40% - Accent3 3 2 2 3 3" xfId="12162" xr:uid="{00000000-0005-0000-0000-0000483B0000}"/>
    <cellStyle name="40% - Accent3 3 2 2 3 3 2" xfId="36011" xr:uid="{7628E47E-F40D-457C-9A3A-9124A256EACF}"/>
    <cellStyle name="40% - Accent3 3 2 2 3 4" xfId="20117" xr:uid="{00000000-0005-0000-0000-0000493B0000}"/>
    <cellStyle name="40% - Accent3 3 2 2 3 4 2" xfId="43949" xr:uid="{B4839902-F491-44F2-856E-638DE74EBFB2}"/>
    <cellStyle name="40% - Accent3 3 2 2 3 5" xfId="28070" xr:uid="{B2E8A612-BE09-4090-BC19-5F46DACE5053}"/>
    <cellStyle name="40% - Accent3 3 2 2 4" xfId="5957" xr:uid="{00000000-0005-0000-0000-00004A3B0000}"/>
    <cellStyle name="40% - Accent3 3 2 2 4 2" xfId="13941" xr:uid="{00000000-0005-0000-0000-00004B3B0000}"/>
    <cellStyle name="40% - Accent3 3 2 2 4 2 2" xfId="37784" xr:uid="{6B7E1266-3A75-4916-B130-AEFCCA3882C7}"/>
    <cellStyle name="40% - Accent3 3 2 2 4 3" xfId="21889" xr:uid="{00000000-0005-0000-0000-00004C3B0000}"/>
    <cellStyle name="40% - Accent3 3 2 2 4 3 2" xfId="45721" xr:uid="{5011BA67-89FF-49F0-A3F8-931DC17A7894}"/>
    <cellStyle name="40% - Accent3 3 2 2 4 4" xfId="29843" xr:uid="{B59A09F8-3D27-4064-A6EF-88E25C0103FE}"/>
    <cellStyle name="40% - Accent3 3 2 2 5" xfId="9510" xr:uid="{00000000-0005-0000-0000-00004D3B0000}"/>
    <cellStyle name="40% - Accent3 3 2 2 5 2" xfId="17468" xr:uid="{00000000-0005-0000-0000-00004E3B0000}"/>
    <cellStyle name="40% - Accent3 3 2 2 5 2 2" xfId="41308" xr:uid="{2EAF76A6-46EB-47EF-9DEA-6B68928386F5}"/>
    <cellStyle name="40% - Accent3 3 2 2 5 3" xfId="25412" xr:uid="{00000000-0005-0000-0000-00004F3B0000}"/>
    <cellStyle name="40% - Accent3 3 2 2 5 3 2" xfId="49244" xr:uid="{F487FAE6-1774-4C64-B00D-60A1201FA1C6}"/>
    <cellStyle name="40% - Accent3 3 2 2 5 4" xfId="33367" xr:uid="{839B9AFB-C342-4689-AC96-3DD3187929E7}"/>
    <cellStyle name="40% - Accent3 3 2 2 6" xfId="10406" xr:uid="{00000000-0005-0000-0000-0000503B0000}"/>
    <cellStyle name="40% - Accent3 3 2 2 6 2" xfId="34255" xr:uid="{22F027A1-4A90-488B-8B21-25AD5ABFD1AE}"/>
    <cellStyle name="40% - Accent3 3 2 2 7" xfId="18361" xr:uid="{00000000-0005-0000-0000-0000513B0000}"/>
    <cellStyle name="40% - Accent3 3 2 2 7 2" xfId="42193" xr:uid="{63C9A03B-18A5-4C8B-B0AC-B03A44881A02}"/>
    <cellStyle name="40% - Accent3 3 2 2 8" xfId="26313" xr:uid="{CD41015F-5951-4A35-8B0C-96030AE89261}"/>
    <cellStyle name="40% - Accent3 3 2 2_Exh G" xfId="2987" xr:uid="{00000000-0005-0000-0000-0000523B0000}"/>
    <cellStyle name="40% - Accent3 3 2 3" xfId="962" xr:uid="{00000000-0005-0000-0000-0000533B0000}"/>
    <cellStyle name="40% - Accent3 3 2 3 2" xfId="1882" xr:uid="{00000000-0005-0000-0000-0000543B0000}"/>
    <cellStyle name="40% - Accent3 3 2 3 2 2" xfId="5400" xr:uid="{00000000-0005-0000-0000-0000553B0000}"/>
    <cellStyle name="40% - Accent3 3 2 3 2 2 2" xfId="8991" xr:uid="{00000000-0005-0000-0000-0000563B0000}"/>
    <cellStyle name="40% - Accent3 3 2 3 2 2 2 2" xfId="16962" xr:uid="{00000000-0005-0000-0000-0000573B0000}"/>
    <cellStyle name="40% - Accent3 3 2 3 2 2 2 2 2" xfId="40804" xr:uid="{6F380E3F-E6D8-4284-9611-E3D8FA791256}"/>
    <cellStyle name="40% - Accent3 3 2 3 2 2 2 3" xfId="24908" xr:uid="{00000000-0005-0000-0000-0000583B0000}"/>
    <cellStyle name="40% - Accent3 3 2 3 2 2 2 3 2" xfId="48740" xr:uid="{6B67801E-7D49-426B-B3D2-B854F63BFACB}"/>
    <cellStyle name="40% - Accent3 3 2 3 2 2 2 4" xfId="32863" xr:uid="{F5E4BF59-CD68-4EAA-84CC-1266690DC811}"/>
    <cellStyle name="40% - Accent3 3 2 3 2 2 3" xfId="13424" xr:uid="{00000000-0005-0000-0000-0000593B0000}"/>
    <cellStyle name="40% - Accent3 3 2 3 2 2 3 2" xfId="37273" xr:uid="{63537172-7B3B-419E-B9DD-DFBB5DBFE290}"/>
    <cellStyle name="40% - Accent3 3 2 3 2 2 4" xfId="21379" xr:uid="{00000000-0005-0000-0000-00005A3B0000}"/>
    <cellStyle name="40% - Accent3 3 2 3 2 2 4 2" xfId="45211" xr:uid="{F3A27F72-8B0A-4B96-A44B-9512AA05893A}"/>
    <cellStyle name="40% - Accent3 3 2 3 2 2 5" xfId="29332" xr:uid="{E91D1BB2-9DA8-4101-A361-9EE1B480028B}"/>
    <cellStyle name="40% - Accent3 3 2 3 2 3" xfId="7232" xr:uid="{00000000-0005-0000-0000-00005B3B0000}"/>
    <cellStyle name="40% - Accent3 3 2 3 2 3 2" xfId="15204" xr:uid="{00000000-0005-0000-0000-00005C3B0000}"/>
    <cellStyle name="40% - Accent3 3 2 3 2 3 2 2" xfId="39046" xr:uid="{B31E3339-C23F-4CC7-B26B-2FD18CDE2DD5}"/>
    <cellStyle name="40% - Accent3 3 2 3 2 3 3" xfId="23151" xr:uid="{00000000-0005-0000-0000-00005D3B0000}"/>
    <cellStyle name="40% - Accent3 3 2 3 2 3 3 2" xfId="46983" xr:uid="{6F6E08AF-B743-4655-9DE0-76AE54FB9857}"/>
    <cellStyle name="40% - Accent3 3 2 3 2 3 4" xfId="31105" xr:uid="{DE764B47-A2C7-4863-9547-2B47B6C3A2F3}"/>
    <cellStyle name="40% - Accent3 3 2 3 2 4" xfId="11668" xr:uid="{00000000-0005-0000-0000-00005E3B0000}"/>
    <cellStyle name="40% - Accent3 3 2 3 2 4 2" xfId="35517" xr:uid="{78E539A7-A5BF-4336-A8FA-DEA12BBCBA88}"/>
    <cellStyle name="40% - Accent3 3 2 3 2 5" xfId="19623" xr:uid="{00000000-0005-0000-0000-00005F3B0000}"/>
    <cellStyle name="40% - Accent3 3 2 3 2 5 2" xfId="43455" xr:uid="{F2B62EB8-6CA8-4CB6-B94D-F468505F9659}"/>
    <cellStyle name="40% - Accent3 3 2 3 2 6" xfId="27575" xr:uid="{F320FC5E-D558-40CD-85E2-A45F8517C28D}"/>
    <cellStyle name="40% - Accent3 3 2 3 2_Exh G" xfId="2990" xr:uid="{00000000-0005-0000-0000-0000603B0000}"/>
    <cellStyle name="40% - Accent3 3 2 3 3" xfId="4521" xr:uid="{00000000-0005-0000-0000-0000613B0000}"/>
    <cellStyle name="40% - Accent3 3 2 3 3 2" xfId="8113" xr:uid="{00000000-0005-0000-0000-0000623B0000}"/>
    <cellStyle name="40% - Accent3 3 2 3 3 2 2" xfId="16084" xr:uid="{00000000-0005-0000-0000-0000633B0000}"/>
    <cellStyle name="40% - Accent3 3 2 3 3 2 2 2" xfId="39926" xr:uid="{A0F97006-295B-497B-BEE6-6FCF1AA097CD}"/>
    <cellStyle name="40% - Accent3 3 2 3 3 2 3" xfId="24030" xr:uid="{00000000-0005-0000-0000-0000643B0000}"/>
    <cellStyle name="40% - Accent3 3 2 3 3 2 3 2" xfId="47862" xr:uid="{71F2C21E-209D-458E-9C5A-C9E30AE6384A}"/>
    <cellStyle name="40% - Accent3 3 2 3 3 2 4" xfId="31985" xr:uid="{C62B9EFB-A129-4E42-8642-3D752258CE1A}"/>
    <cellStyle name="40% - Accent3 3 2 3 3 3" xfId="12546" xr:uid="{00000000-0005-0000-0000-0000653B0000}"/>
    <cellStyle name="40% - Accent3 3 2 3 3 3 2" xfId="36395" xr:uid="{5BBD6C02-0A91-4ACA-A428-D09D142082C3}"/>
    <cellStyle name="40% - Accent3 3 2 3 3 4" xfId="20501" xr:uid="{00000000-0005-0000-0000-0000663B0000}"/>
    <cellStyle name="40% - Accent3 3 2 3 3 4 2" xfId="44333" xr:uid="{A4FB1464-46DA-4F10-BB66-C14A7F3B9B46}"/>
    <cellStyle name="40% - Accent3 3 2 3 3 5" xfId="28454" xr:uid="{95BBA315-6EE2-448D-8886-AEE82D05C998}"/>
    <cellStyle name="40% - Accent3 3 2 3 4" xfId="6351" xr:uid="{00000000-0005-0000-0000-0000673B0000}"/>
    <cellStyle name="40% - Accent3 3 2 3 4 2" xfId="14326" xr:uid="{00000000-0005-0000-0000-0000683B0000}"/>
    <cellStyle name="40% - Accent3 3 2 3 4 2 2" xfId="38168" xr:uid="{6AD8B34B-FEBC-47EE-8C09-DA1A34876EE7}"/>
    <cellStyle name="40% - Accent3 3 2 3 4 3" xfId="22273" xr:uid="{00000000-0005-0000-0000-0000693B0000}"/>
    <cellStyle name="40% - Accent3 3 2 3 4 3 2" xfId="46105" xr:uid="{D518E899-EFBC-412A-B3A2-FD32A7374E03}"/>
    <cellStyle name="40% - Accent3 3 2 3 4 4" xfId="30227" xr:uid="{2AB41DE4-06CF-4F35-BA08-B98D46D136E9}"/>
    <cellStyle name="40% - Accent3 3 2 3 5" xfId="9894" xr:uid="{00000000-0005-0000-0000-00006A3B0000}"/>
    <cellStyle name="40% - Accent3 3 2 3 5 2" xfId="17852" xr:uid="{00000000-0005-0000-0000-00006B3B0000}"/>
    <cellStyle name="40% - Accent3 3 2 3 5 2 2" xfId="41692" xr:uid="{CDCAF48D-8961-4FA4-A794-FB52833FB6AA}"/>
    <cellStyle name="40% - Accent3 3 2 3 5 3" xfId="25796" xr:uid="{00000000-0005-0000-0000-00006C3B0000}"/>
    <cellStyle name="40% - Accent3 3 2 3 5 3 2" xfId="49628" xr:uid="{FC8AE2FB-33AB-4B64-A003-5CB230C93D12}"/>
    <cellStyle name="40% - Accent3 3 2 3 5 4" xfId="33751" xr:uid="{76640F3E-DB53-4D01-8071-C9E76D759574}"/>
    <cellStyle name="40% - Accent3 3 2 3 6" xfId="10790" xr:uid="{00000000-0005-0000-0000-00006D3B0000}"/>
    <cellStyle name="40% - Accent3 3 2 3 6 2" xfId="34639" xr:uid="{DF36EB2F-C3E5-4E0C-B264-DDE5120536D2}"/>
    <cellStyle name="40% - Accent3 3 2 3 7" xfId="18745" xr:uid="{00000000-0005-0000-0000-00006E3B0000}"/>
    <cellStyle name="40% - Accent3 3 2 3 7 2" xfId="42577" xr:uid="{F279F749-654C-4431-B07B-CA5A5ACD81EB}"/>
    <cellStyle name="40% - Accent3 3 2 3 8" xfId="26697" xr:uid="{BCB746EB-42B3-4743-9335-F675DFE4727A}"/>
    <cellStyle name="40% - Accent3 3 2 3_Exh G" xfId="2989" xr:uid="{00000000-0005-0000-0000-00006F3B0000}"/>
    <cellStyle name="40% - Accent3 3 2 4" xfId="1485" xr:uid="{00000000-0005-0000-0000-0000703B0000}"/>
    <cellStyle name="40% - Accent3 3 2 4 2" xfId="5015" xr:uid="{00000000-0005-0000-0000-0000713B0000}"/>
    <cellStyle name="40% - Accent3 3 2 4 2 2" xfId="8606" xr:uid="{00000000-0005-0000-0000-0000723B0000}"/>
    <cellStyle name="40% - Accent3 3 2 4 2 2 2" xfId="16577" xr:uid="{00000000-0005-0000-0000-0000733B0000}"/>
    <cellStyle name="40% - Accent3 3 2 4 2 2 2 2" xfId="40419" xr:uid="{0DDE16E6-3346-457E-9B51-8415F50CEA31}"/>
    <cellStyle name="40% - Accent3 3 2 4 2 2 3" xfId="24523" xr:uid="{00000000-0005-0000-0000-0000743B0000}"/>
    <cellStyle name="40% - Accent3 3 2 4 2 2 3 2" xfId="48355" xr:uid="{27055CCD-5787-4F55-885F-39F94AB5F851}"/>
    <cellStyle name="40% - Accent3 3 2 4 2 2 4" xfId="32478" xr:uid="{29D29361-02FA-4ABC-88ED-D00736CE9662}"/>
    <cellStyle name="40% - Accent3 3 2 4 2 3" xfId="13039" xr:uid="{00000000-0005-0000-0000-0000753B0000}"/>
    <cellStyle name="40% - Accent3 3 2 4 2 3 2" xfId="36888" xr:uid="{B86E2F83-DAB0-49C8-805C-2BB112EFE145}"/>
    <cellStyle name="40% - Accent3 3 2 4 2 4" xfId="20994" xr:uid="{00000000-0005-0000-0000-0000763B0000}"/>
    <cellStyle name="40% - Accent3 3 2 4 2 4 2" xfId="44826" xr:uid="{10AB7ED2-046F-4342-BC7B-3A739918AD97}"/>
    <cellStyle name="40% - Accent3 3 2 4 2 5" xfId="28947" xr:uid="{CBF1B3EC-ADA1-4668-A9EF-77282709565B}"/>
    <cellStyle name="40% - Accent3 3 2 4 3" xfId="6847" xr:uid="{00000000-0005-0000-0000-0000773B0000}"/>
    <cellStyle name="40% - Accent3 3 2 4 3 2" xfId="14819" xr:uid="{00000000-0005-0000-0000-0000783B0000}"/>
    <cellStyle name="40% - Accent3 3 2 4 3 2 2" xfId="38661" xr:uid="{A002337F-754F-464C-926A-C3AE494996BB}"/>
    <cellStyle name="40% - Accent3 3 2 4 3 3" xfId="22766" xr:uid="{00000000-0005-0000-0000-0000793B0000}"/>
    <cellStyle name="40% - Accent3 3 2 4 3 3 2" xfId="46598" xr:uid="{6253F0E3-790D-42E4-904D-B091E37674B2}"/>
    <cellStyle name="40% - Accent3 3 2 4 3 4" xfId="30720" xr:uid="{5BFCA7C3-44B1-4DFB-B0F3-0630B8897970}"/>
    <cellStyle name="40% - Accent3 3 2 4 4" xfId="11283" xr:uid="{00000000-0005-0000-0000-00007A3B0000}"/>
    <cellStyle name="40% - Accent3 3 2 4 4 2" xfId="35132" xr:uid="{3B91EBB8-D635-417E-9833-7B7D61D54B7A}"/>
    <cellStyle name="40% - Accent3 3 2 4 5" xfId="19238" xr:uid="{00000000-0005-0000-0000-00007B3B0000}"/>
    <cellStyle name="40% - Accent3 3 2 4 5 2" xfId="43070" xr:uid="{08BD0968-8DD9-4B10-9445-8DC309242A85}"/>
    <cellStyle name="40% - Accent3 3 2 4 6" xfId="27190" xr:uid="{826B32C5-163E-4E4F-BAFD-59C139F0CF73}"/>
    <cellStyle name="40% - Accent3 3 2 4_Exh G" xfId="2991" xr:uid="{00000000-0005-0000-0000-00007C3B0000}"/>
    <cellStyle name="40% - Accent3 3 2 5" xfId="4136" xr:uid="{00000000-0005-0000-0000-00007D3B0000}"/>
    <cellStyle name="40% - Accent3 3 2 5 2" xfId="7728" xr:uid="{00000000-0005-0000-0000-00007E3B0000}"/>
    <cellStyle name="40% - Accent3 3 2 5 2 2" xfId="15699" xr:uid="{00000000-0005-0000-0000-00007F3B0000}"/>
    <cellStyle name="40% - Accent3 3 2 5 2 2 2" xfId="39541" xr:uid="{C6711E10-B90C-4CDC-8E85-8740C6665A74}"/>
    <cellStyle name="40% - Accent3 3 2 5 2 3" xfId="23645" xr:uid="{00000000-0005-0000-0000-0000803B0000}"/>
    <cellStyle name="40% - Accent3 3 2 5 2 3 2" xfId="47477" xr:uid="{A798EFFE-B870-42FC-8AA0-3FB708D35CFA}"/>
    <cellStyle name="40% - Accent3 3 2 5 2 4" xfId="31600" xr:uid="{F3741833-1E1F-4BC5-84C9-0D1224A9590F}"/>
    <cellStyle name="40% - Accent3 3 2 5 3" xfId="12161" xr:uid="{00000000-0005-0000-0000-0000813B0000}"/>
    <cellStyle name="40% - Accent3 3 2 5 3 2" xfId="36010" xr:uid="{A4DA86A3-0616-41D7-B6DC-031AF5CACFEF}"/>
    <cellStyle name="40% - Accent3 3 2 5 4" xfId="20116" xr:uid="{00000000-0005-0000-0000-0000823B0000}"/>
    <cellStyle name="40% - Accent3 3 2 5 4 2" xfId="43948" xr:uid="{068A72F3-F304-45DD-B3DE-D3DDC7EE0198}"/>
    <cellStyle name="40% - Accent3 3 2 5 5" xfId="28069" xr:uid="{88524D3B-5D01-4253-ADC0-111FEE2F89AD}"/>
    <cellStyle name="40% - Accent3 3 2 6" xfId="5956" xr:uid="{00000000-0005-0000-0000-0000833B0000}"/>
    <cellStyle name="40% - Accent3 3 2 6 2" xfId="13940" xr:uid="{00000000-0005-0000-0000-0000843B0000}"/>
    <cellStyle name="40% - Accent3 3 2 6 2 2" xfId="37783" xr:uid="{59D705BF-1E67-4C49-AB27-2A2A215787A0}"/>
    <cellStyle name="40% - Accent3 3 2 6 3" xfId="21888" xr:uid="{00000000-0005-0000-0000-0000853B0000}"/>
    <cellStyle name="40% - Accent3 3 2 6 3 2" xfId="45720" xr:uid="{EADAE8E8-CD8F-4B71-A192-5E71F2CE0458}"/>
    <cellStyle name="40% - Accent3 3 2 6 4" xfId="29842" xr:uid="{68128860-175F-4095-B097-6BBAA7EFCDEE}"/>
    <cellStyle name="40% - Accent3 3 2 7" xfId="9509" xr:uid="{00000000-0005-0000-0000-0000863B0000}"/>
    <cellStyle name="40% - Accent3 3 2 7 2" xfId="17467" xr:uid="{00000000-0005-0000-0000-0000873B0000}"/>
    <cellStyle name="40% - Accent3 3 2 7 2 2" xfId="41307" xr:uid="{BBDAB23D-DF40-4F58-8811-7F471AFABE1A}"/>
    <cellStyle name="40% - Accent3 3 2 7 3" xfId="25411" xr:uid="{00000000-0005-0000-0000-0000883B0000}"/>
    <cellStyle name="40% - Accent3 3 2 7 3 2" xfId="49243" xr:uid="{C2D95293-7060-46A1-9583-CA481986BA04}"/>
    <cellStyle name="40% - Accent3 3 2 7 4" xfId="33366" xr:uid="{7B123CDB-FA9B-4447-94C4-105C939423A6}"/>
    <cellStyle name="40% - Accent3 3 2 8" xfId="10405" xr:uid="{00000000-0005-0000-0000-0000893B0000}"/>
    <cellStyle name="40% - Accent3 3 2 8 2" xfId="34254" xr:uid="{BB6BEF35-ABDE-432B-B294-62B4107EFC97}"/>
    <cellStyle name="40% - Accent3 3 2 9" xfId="18360" xr:uid="{00000000-0005-0000-0000-00008A3B0000}"/>
    <cellStyle name="40% - Accent3 3 2 9 2" xfId="42192" xr:uid="{AE3E50D4-2DE8-4304-AB59-01076EB2C4CF}"/>
    <cellStyle name="40% - Accent3 3 2_Exh G" xfId="2986" xr:uid="{00000000-0005-0000-0000-00008B3B0000}"/>
    <cellStyle name="40% - Accent3 3 3" xfId="459" xr:uid="{00000000-0005-0000-0000-00008C3B0000}"/>
    <cellStyle name="40% - Accent3 3 3 2" xfId="1487" xr:uid="{00000000-0005-0000-0000-00008D3B0000}"/>
    <cellStyle name="40% - Accent3 3 3 2 2" xfId="5017" xr:uid="{00000000-0005-0000-0000-00008E3B0000}"/>
    <cellStyle name="40% - Accent3 3 3 2 2 2" xfId="8608" xr:uid="{00000000-0005-0000-0000-00008F3B0000}"/>
    <cellStyle name="40% - Accent3 3 3 2 2 2 2" xfId="16579" xr:uid="{00000000-0005-0000-0000-0000903B0000}"/>
    <cellStyle name="40% - Accent3 3 3 2 2 2 2 2" xfId="40421" xr:uid="{AA88391D-D730-4242-AAE0-405EE0046EA4}"/>
    <cellStyle name="40% - Accent3 3 3 2 2 2 3" xfId="24525" xr:uid="{00000000-0005-0000-0000-0000913B0000}"/>
    <cellStyle name="40% - Accent3 3 3 2 2 2 3 2" xfId="48357" xr:uid="{FE2D7D60-7F51-4A13-8778-00B979703303}"/>
    <cellStyle name="40% - Accent3 3 3 2 2 2 4" xfId="32480" xr:uid="{0701189F-9DE7-4D2A-B33C-276BF0701466}"/>
    <cellStyle name="40% - Accent3 3 3 2 2 3" xfId="13041" xr:uid="{00000000-0005-0000-0000-0000923B0000}"/>
    <cellStyle name="40% - Accent3 3 3 2 2 3 2" xfId="36890" xr:uid="{D1ABF8BF-4A15-4683-AF92-8B9AB082B25D}"/>
    <cellStyle name="40% - Accent3 3 3 2 2 4" xfId="20996" xr:uid="{00000000-0005-0000-0000-0000933B0000}"/>
    <cellStyle name="40% - Accent3 3 3 2 2 4 2" xfId="44828" xr:uid="{334B0BDA-1722-4831-8912-985B39E63F7F}"/>
    <cellStyle name="40% - Accent3 3 3 2 2 5" xfId="28949" xr:uid="{CABB2B7F-F4A8-46EF-B010-8EF0E2E5F78B}"/>
    <cellStyle name="40% - Accent3 3 3 2 3" xfId="6849" xr:uid="{00000000-0005-0000-0000-0000943B0000}"/>
    <cellStyle name="40% - Accent3 3 3 2 3 2" xfId="14821" xr:uid="{00000000-0005-0000-0000-0000953B0000}"/>
    <cellStyle name="40% - Accent3 3 3 2 3 2 2" xfId="38663" xr:uid="{8F816D79-85AC-4148-B333-4E977D821B89}"/>
    <cellStyle name="40% - Accent3 3 3 2 3 3" xfId="22768" xr:uid="{00000000-0005-0000-0000-0000963B0000}"/>
    <cellStyle name="40% - Accent3 3 3 2 3 3 2" xfId="46600" xr:uid="{74EA3B2F-3160-40D2-A413-A768F85D475E}"/>
    <cellStyle name="40% - Accent3 3 3 2 3 4" xfId="30722" xr:uid="{5E5AF0C4-0406-4D94-9AEF-2B50825F0319}"/>
    <cellStyle name="40% - Accent3 3 3 2 4" xfId="11285" xr:uid="{00000000-0005-0000-0000-0000973B0000}"/>
    <cellStyle name="40% - Accent3 3 3 2 4 2" xfId="35134" xr:uid="{48473CF1-40AE-4EF3-8AA3-8B4D8D2616F2}"/>
    <cellStyle name="40% - Accent3 3 3 2 5" xfId="19240" xr:uid="{00000000-0005-0000-0000-0000983B0000}"/>
    <cellStyle name="40% - Accent3 3 3 2 5 2" xfId="43072" xr:uid="{0F61A014-978E-4447-9707-9F1CA329A420}"/>
    <cellStyle name="40% - Accent3 3 3 2 6" xfId="27192" xr:uid="{FD98292C-1EB6-4C5C-BACD-26D16A3C14FB}"/>
    <cellStyle name="40% - Accent3 3 3 2_Exh G" xfId="2993" xr:uid="{00000000-0005-0000-0000-0000993B0000}"/>
    <cellStyle name="40% - Accent3 3 3 3" xfId="4138" xr:uid="{00000000-0005-0000-0000-00009A3B0000}"/>
    <cellStyle name="40% - Accent3 3 3 3 2" xfId="7730" xr:uid="{00000000-0005-0000-0000-00009B3B0000}"/>
    <cellStyle name="40% - Accent3 3 3 3 2 2" xfId="15701" xr:uid="{00000000-0005-0000-0000-00009C3B0000}"/>
    <cellStyle name="40% - Accent3 3 3 3 2 2 2" xfId="39543" xr:uid="{3BEE2ED9-B625-4302-8BF1-4BC757468619}"/>
    <cellStyle name="40% - Accent3 3 3 3 2 3" xfId="23647" xr:uid="{00000000-0005-0000-0000-00009D3B0000}"/>
    <cellStyle name="40% - Accent3 3 3 3 2 3 2" xfId="47479" xr:uid="{5569FDEB-B5E5-415C-B49E-EDB84DAFD4F6}"/>
    <cellStyle name="40% - Accent3 3 3 3 2 4" xfId="31602" xr:uid="{E8314001-5398-4D05-AC0F-4A243D0BDAD2}"/>
    <cellStyle name="40% - Accent3 3 3 3 3" xfId="12163" xr:uid="{00000000-0005-0000-0000-00009E3B0000}"/>
    <cellStyle name="40% - Accent3 3 3 3 3 2" xfId="36012" xr:uid="{5A40E2A5-E7A4-4BD3-A58D-E14A8DFEF970}"/>
    <cellStyle name="40% - Accent3 3 3 3 4" xfId="20118" xr:uid="{00000000-0005-0000-0000-00009F3B0000}"/>
    <cellStyle name="40% - Accent3 3 3 3 4 2" xfId="43950" xr:uid="{F5589523-F8E2-4482-93D5-1C04B1C4679B}"/>
    <cellStyle name="40% - Accent3 3 3 3 5" xfId="28071" xr:uid="{DEA20FD8-9A1B-4A4E-A9C6-6B9CFAE70F8F}"/>
    <cellStyle name="40% - Accent3 3 3 4" xfId="5958" xr:uid="{00000000-0005-0000-0000-0000A03B0000}"/>
    <cellStyle name="40% - Accent3 3 3 4 2" xfId="13942" xr:uid="{00000000-0005-0000-0000-0000A13B0000}"/>
    <cellStyle name="40% - Accent3 3 3 4 2 2" xfId="37785" xr:uid="{4F0959FD-79EF-40EF-B854-F5B144F38F1D}"/>
    <cellStyle name="40% - Accent3 3 3 4 3" xfId="21890" xr:uid="{00000000-0005-0000-0000-0000A23B0000}"/>
    <cellStyle name="40% - Accent3 3 3 4 3 2" xfId="45722" xr:uid="{21F72C77-3167-4ABE-BB44-C810331A2D5A}"/>
    <cellStyle name="40% - Accent3 3 3 4 4" xfId="29844" xr:uid="{B4A30005-149F-481F-9C4E-CB4E84BFFE66}"/>
    <cellStyle name="40% - Accent3 3 3 5" xfId="9511" xr:uid="{00000000-0005-0000-0000-0000A33B0000}"/>
    <cellStyle name="40% - Accent3 3 3 5 2" xfId="17469" xr:uid="{00000000-0005-0000-0000-0000A43B0000}"/>
    <cellStyle name="40% - Accent3 3 3 5 2 2" xfId="41309" xr:uid="{A4357520-532E-4A41-9287-9D96E39D509C}"/>
    <cellStyle name="40% - Accent3 3 3 5 3" xfId="25413" xr:uid="{00000000-0005-0000-0000-0000A53B0000}"/>
    <cellStyle name="40% - Accent3 3 3 5 3 2" xfId="49245" xr:uid="{D556F0DD-8BE2-4A3C-805B-7D93F73AF0CC}"/>
    <cellStyle name="40% - Accent3 3 3 5 4" xfId="33368" xr:uid="{D238AC66-8903-48F0-9C5B-F890564CFD99}"/>
    <cellStyle name="40% - Accent3 3 3 6" xfId="10407" xr:uid="{00000000-0005-0000-0000-0000A63B0000}"/>
    <cellStyle name="40% - Accent3 3 3 6 2" xfId="34256" xr:uid="{3CCF2A73-F634-460B-9808-688A5F92611D}"/>
    <cellStyle name="40% - Accent3 3 3 7" xfId="18362" xr:uid="{00000000-0005-0000-0000-0000A73B0000}"/>
    <cellStyle name="40% - Accent3 3 3 7 2" xfId="42194" xr:uid="{B11B5BF5-DC36-437A-8866-1DD9786D1C73}"/>
    <cellStyle name="40% - Accent3 3 3 8" xfId="26314" xr:uid="{8F416CBB-4695-4393-B288-9F0F48E6F295}"/>
    <cellStyle name="40% - Accent3 3 3_Exh G" xfId="2992" xr:uid="{00000000-0005-0000-0000-0000A83B0000}"/>
    <cellStyle name="40% - Accent3 3 4" xfId="961" xr:uid="{00000000-0005-0000-0000-0000A93B0000}"/>
    <cellStyle name="40% - Accent3 3 4 2" xfId="1881" xr:uid="{00000000-0005-0000-0000-0000AA3B0000}"/>
    <cellStyle name="40% - Accent3 3 4 2 2" xfId="5399" xr:uid="{00000000-0005-0000-0000-0000AB3B0000}"/>
    <cellStyle name="40% - Accent3 3 4 2 2 2" xfId="8990" xr:uid="{00000000-0005-0000-0000-0000AC3B0000}"/>
    <cellStyle name="40% - Accent3 3 4 2 2 2 2" xfId="16961" xr:uid="{00000000-0005-0000-0000-0000AD3B0000}"/>
    <cellStyle name="40% - Accent3 3 4 2 2 2 2 2" xfId="40803" xr:uid="{C97B1BC9-7C4F-45BA-BD85-C78646AF7E1F}"/>
    <cellStyle name="40% - Accent3 3 4 2 2 2 3" xfId="24907" xr:uid="{00000000-0005-0000-0000-0000AE3B0000}"/>
    <cellStyle name="40% - Accent3 3 4 2 2 2 3 2" xfId="48739" xr:uid="{37183126-DEC1-4905-BD38-B08BA76F5EA9}"/>
    <cellStyle name="40% - Accent3 3 4 2 2 2 4" xfId="32862" xr:uid="{0DA5E6FF-40E2-4048-A602-386E4F91C3C7}"/>
    <cellStyle name="40% - Accent3 3 4 2 2 3" xfId="13423" xr:uid="{00000000-0005-0000-0000-0000AF3B0000}"/>
    <cellStyle name="40% - Accent3 3 4 2 2 3 2" xfId="37272" xr:uid="{320DF4A5-D4A5-48C8-84BA-D630A822A3BF}"/>
    <cellStyle name="40% - Accent3 3 4 2 2 4" xfId="21378" xr:uid="{00000000-0005-0000-0000-0000B03B0000}"/>
    <cellStyle name="40% - Accent3 3 4 2 2 4 2" xfId="45210" xr:uid="{936ABBF7-AAE7-44DC-AAC0-304DB7567AE4}"/>
    <cellStyle name="40% - Accent3 3 4 2 2 5" xfId="29331" xr:uid="{8E1A5E96-FE5C-4416-93CB-0D22BB2FAC81}"/>
    <cellStyle name="40% - Accent3 3 4 2 3" xfId="7231" xr:uid="{00000000-0005-0000-0000-0000B13B0000}"/>
    <cellStyle name="40% - Accent3 3 4 2 3 2" xfId="15203" xr:uid="{00000000-0005-0000-0000-0000B23B0000}"/>
    <cellStyle name="40% - Accent3 3 4 2 3 2 2" xfId="39045" xr:uid="{E9C9CAC5-5787-4C29-B896-F2C0579D147B}"/>
    <cellStyle name="40% - Accent3 3 4 2 3 3" xfId="23150" xr:uid="{00000000-0005-0000-0000-0000B33B0000}"/>
    <cellStyle name="40% - Accent3 3 4 2 3 3 2" xfId="46982" xr:uid="{364A0C4F-EC8F-4AB8-88B9-81E39F73F625}"/>
    <cellStyle name="40% - Accent3 3 4 2 3 4" xfId="31104" xr:uid="{1A270F91-8883-44BB-B015-E69A7282B89B}"/>
    <cellStyle name="40% - Accent3 3 4 2 4" xfId="11667" xr:uid="{00000000-0005-0000-0000-0000B43B0000}"/>
    <cellStyle name="40% - Accent3 3 4 2 4 2" xfId="35516" xr:uid="{BA83CB53-1224-4B65-9624-7253660989C4}"/>
    <cellStyle name="40% - Accent3 3 4 2 5" xfId="19622" xr:uid="{00000000-0005-0000-0000-0000B53B0000}"/>
    <cellStyle name="40% - Accent3 3 4 2 5 2" xfId="43454" xr:uid="{3B10C36B-E8D2-424E-B9D7-A48ECEFA2669}"/>
    <cellStyle name="40% - Accent3 3 4 2 6" xfId="27574" xr:uid="{5729DCFD-8202-40EC-BC60-935AFD76D9CC}"/>
    <cellStyle name="40% - Accent3 3 4 2_Exh G" xfId="2995" xr:uid="{00000000-0005-0000-0000-0000B63B0000}"/>
    <cellStyle name="40% - Accent3 3 4 3" xfId="4520" xr:uid="{00000000-0005-0000-0000-0000B73B0000}"/>
    <cellStyle name="40% - Accent3 3 4 3 2" xfId="8112" xr:uid="{00000000-0005-0000-0000-0000B83B0000}"/>
    <cellStyle name="40% - Accent3 3 4 3 2 2" xfId="16083" xr:uid="{00000000-0005-0000-0000-0000B93B0000}"/>
    <cellStyle name="40% - Accent3 3 4 3 2 2 2" xfId="39925" xr:uid="{5CA0A541-E01C-4A3D-9D0C-439764F75BFF}"/>
    <cellStyle name="40% - Accent3 3 4 3 2 3" xfId="24029" xr:uid="{00000000-0005-0000-0000-0000BA3B0000}"/>
    <cellStyle name="40% - Accent3 3 4 3 2 3 2" xfId="47861" xr:uid="{383143BD-3229-43A8-9B48-C1C3BE57B246}"/>
    <cellStyle name="40% - Accent3 3 4 3 2 4" xfId="31984" xr:uid="{FBBFB8E9-E015-4887-9D70-A2D9FB20FBE3}"/>
    <cellStyle name="40% - Accent3 3 4 3 3" xfId="12545" xr:uid="{00000000-0005-0000-0000-0000BB3B0000}"/>
    <cellStyle name="40% - Accent3 3 4 3 3 2" xfId="36394" xr:uid="{ECDEA087-F81E-4558-B904-AD67936BBD33}"/>
    <cellStyle name="40% - Accent3 3 4 3 4" xfId="20500" xr:uid="{00000000-0005-0000-0000-0000BC3B0000}"/>
    <cellStyle name="40% - Accent3 3 4 3 4 2" xfId="44332" xr:uid="{4E4D5020-D750-4FB0-873D-7FD16127B823}"/>
    <cellStyle name="40% - Accent3 3 4 3 5" xfId="28453" xr:uid="{C4589D11-9327-4291-8861-4D93BBEF1D7B}"/>
    <cellStyle name="40% - Accent3 3 4 4" xfId="6350" xr:uid="{00000000-0005-0000-0000-0000BD3B0000}"/>
    <cellStyle name="40% - Accent3 3 4 4 2" xfId="14325" xr:uid="{00000000-0005-0000-0000-0000BE3B0000}"/>
    <cellStyle name="40% - Accent3 3 4 4 2 2" xfId="38167" xr:uid="{596927FD-A313-4076-B136-D614BFA7B192}"/>
    <cellStyle name="40% - Accent3 3 4 4 3" xfId="22272" xr:uid="{00000000-0005-0000-0000-0000BF3B0000}"/>
    <cellStyle name="40% - Accent3 3 4 4 3 2" xfId="46104" xr:uid="{B54AA4B6-67A2-400D-9390-C8B2A1AFACB5}"/>
    <cellStyle name="40% - Accent3 3 4 4 4" xfId="30226" xr:uid="{56791E52-0637-4D21-9E12-8CEDEBB93A92}"/>
    <cellStyle name="40% - Accent3 3 4 5" xfId="9893" xr:uid="{00000000-0005-0000-0000-0000C03B0000}"/>
    <cellStyle name="40% - Accent3 3 4 5 2" xfId="17851" xr:uid="{00000000-0005-0000-0000-0000C13B0000}"/>
    <cellStyle name="40% - Accent3 3 4 5 2 2" xfId="41691" xr:uid="{A7945FC6-B804-4778-87AF-8457B1480B20}"/>
    <cellStyle name="40% - Accent3 3 4 5 3" xfId="25795" xr:uid="{00000000-0005-0000-0000-0000C23B0000}"/>
    <cellStyle name="40% - Accent3 3 4 5 3 2" xfId="49627" xr:uid="{54C5846E-A482-4700-B43B-5A32B239D247}"/>
    <cellStyle name="40% - Accent3 3 4 5 4" xfId="33750" xr:uid="{CE214B32-CF62-4157-905F-A2AF9DBA15F2}"/>
    <cellStyle name="40% - Accent3 3 4 6" xfId="10789" xr:uid="{00000000-0005-0000-0000-0000C33B0000}"/>
    <cellStyle name="40% - Accent3 3 4 6 2" xfId="34638" xr:uid="{015DE087-06ED-4CCD-847B-63EDAEE1BB90}"/>
    <cellStyle name="40% - Accent3 3 4 7" xfId="18744" xr:uid="{00000000-0005-0000-0000-0000C43B0000}"/>
    <cellStyle name="40% - Accent3 3 4 7 2" xfId="42576" xr:uid="{B9C82A08-10F5-497F-9025-910AB2CE673A}"/>
    <cellStyle name="40% - Accent3 3 4 8" xfId="26696" xr:uid="{600B7CD3-2EEF-4660-8BF4-E77E5ED88F68}"/>
    <cellStyle name="40% - Accent3 3 4_Exh G" xfId="2994" xr:uid="{00000000-0005-0000-0000-0000C53B0000}"/>
    <cellStyle name="40% - Accent3 3 5" xfId="1484" xr:uid="{00000000-0005-0000-0000-0000C63B0000}"/>
    <cellStyle name="40% - Accent3 3 5 2" xfId="5014" xr:uid="{00000000-0005-0000-0000-0000C73B0000}"/>
    <cellStyle name="40% - Accent3 3 5 2 2" xfId="8605" xr:uid="{00000000-0005-0000-0000-0000C83B0000}"/>
    <cellStyle name="40% - Accent3 3 5 2 2 2" xfId="16576" xr:uid="{00000000-0005-0000-0000-0000C93B0000}"/>
    <cellStyle name="40% - Accent3 3 5 2 2 2 2" xfId="40418" xr:uid="{31967456-25F6-4711-9D12-DD657D97F414}"/>
    <cellStyle name="40% - Accent3 3 5 2 2 3" xfId="24522" xr:uid="{00000000-0005-0000-0000-0000CA3B0000}"/>
    <cellStyle name="40% - Accent3 3 5 2 2 3 2" xfId="48354" xr:uid="{93C9A834-BC9B-41A4-9ED8-6C70FECB4125}"/>
    <cellStyle name="40% - Accent3 3 5 2 2 4" xfId="32477" xr:uid="{71378522-8F16-490E-A7BA-D0854746A0F8}"/>
    <cellStyle name="40% - Accent3 3 5 2 3" xfId="13038" xr:uid="{00000000-0005-0000-0000-0000CB3B0000}"/>
    <cellStyle name="40% - Accent3 3 5 2 3 2" xfId="36887" xr:uid="{5A76482F-BAAC-4A69-9DCD-9A7FCDCC5237}"/>
    <cellStyle name="40% - Accent3 3 5 2 4" xfId="20993" xr:uid="{00000000-0005-0000-0000-0000CC3B0000}"/>
    <cellStyle name="40% - Accent3 3 5 2 4 2" xfId="44825" xr:uid="{EA278EC2-8E4E-47C6-88D2-5C81677ED3F6}"/>
    <cellStyle name="40% - Accent3 3 5 2 5" xfId="28946" xr:uid="{C33815E7-05E7-4D6B-BA15-5D1AC28B3A15}"/>
    <cellStyle name="40% - Accent3 3 5 3" xfId="6846" xr:uid="{00000000-0005-0000-0000-0000CD3B0000}"/>
    <cellStyle name="40% - Accent3 3 5 3 2" xfId="14818" xr:uid="{00000000-0005-0000-0000-0000CE3B0000}"/>
    <cellStyle name="40% - Accent3 3 5 3 2 2" xfId="38660" xr:uid="{27AFF68E-519A-44EF-986B-62DA97460323}"/>
    <cellStyle name="40% - Accent3 3 5 3 3" xfId="22765" xr:uid="{00000000-0005-0000-0000-0000CF3B0000}"/>
    <cellStyle name="40% - Accent3 3 5 3 3 2" xfId="46597" xr:uid="{79D9C8AB-4C63-4F34-9096-8DADE750B433}"/>
    <cellStyle name="40% - Accent3 3 5 3 4" xfId="30719" xr:uid="{2A26CC64-FC19-4CD3-9B9B-9BD34E07B9B6}"/>
    <cellStyle name="40% - Accent3 3 5 4" xfId="11282" xr:uid="{00000000-0005-0000-0000-0000D03B0000}"/>
    <cellStyle name="40% - Accent3 3 5 4 2" xfId="35131" xr:uid="{E67CF18F-0B58-49F2-A3A7-D6AD43606C26}"/>
    <cellStyle name="40% - Accent3 3 5 5" xfId="19237" xr:uid="{00000000-0005-0000-0000-0000D13B0000}"/>
    <cellStyle name="40% - Accent3 3 5 5 2" xfId="43069" xr:uid="{3FDF5B71-232B-4B67-A6B2-14F7307768CB}"/>
    <cellStyle name="40% - Accent3 3 5 6" xfId="27189" xr:uid="{054767B9-12FF-4714-A707-E80D10476DA9}"/>
    <cellStyle name="40% - Accent3 3 5_Exh G" xfId="2996" xr:uid="{00000000-0005-0000-0000-0000D23B0000}"/>
    <cellStyle name="40% - Accent3 3 6" xfId="4135" xr:uid="{00000000-0005-0000-0000-0000D33B0000}"/>
    <cellStyle name="40% - Accent3 3 6 2" xfId="7727" xr:uid="{00000000-0005-0000-0000-0000D43B0000}"/>
    <cellStyle name="40% - Accent3 3 6 2 2" xfId="15698" xr:uid="{00000000-0005-0000-0000-0000D53B0000}"/>
    <cellStyle name="40% - Accent3 3 6 2 2 2" xfId="39540" xr:uid="{9D795F71-F8A0-4FB9-901F-51043D0324FA}"/>
    <cellStyle name="40% - Accent3 3 6 2 3" xfId="23644" xr:uid="{00000000-0005-0000-0000-0000D63B0000}"/>
    <cellStyle name="40% - Accent3 3 6 2 3 2" xfId="47476" xr:uid="{14C5437D-470D-4496-ADEB-55DF5B79BDE2}"/>
    <cellStyle name="40% - Accent3 3 6 2 4" xfId="31599" xr:uid="{F4020CBD-AB20-407D-96B3-762C81CA3D75}"/>
    <cellStyle name="40% - Accent3 3 6 3" xfId="12160" xr:uid="{00000000-0005-0000-0000-0000D73B0000}"/>
    <cellStyle name="40% - Accent3 3 6 3 2" xfId="36009" xr:uid="{96DF78E6-39B1-4D9B-BD74-4EE92F658373}"/>
    <cellStyle name="40% - Accent3 3 6 4" xfId="20115" xr:uid="{00000000-0005-0000-0000-0000D83B0000}"/>
    <cellStyle name="40% - Accent3 3 6 4 2" xfId="43947" xr:uid="{7B227922-3A36-4B6A-8735-0FD9543CF4F3}"/>
    <cellStyle name="40% - Accent3 3 6 5" xfId="28068" xr:uid="{D805C4F5-976E-46F8-8048-E0AD78FFF8E3}"/>
    <cellStyle name="40% - Accent3 3 7" xfId="5955" xr:uid="{00000000-0005-0000-0000-0000D93B0000}"/>
    <cellStyle name="40% - Accent3 3 7 2" xfId="13939" xr:uid="{00000000-0005-0000-0000-0000DA3B0000}"/>
    <cellStyle name="40% - Accent3 3 7 2 2" xfId="37782" xr:uid="{5FFA0BBB-E5C1-4DD2-9156-677A3A3AED9F}"/>
    <cellStyle name="40% - Accent3 3 7 3" xfId="21887" xr:uid="{00000000-0005-0000-0000-0000DB3B0000}"/>
    <cellStyle name="40% - Accent3 3 7 3 2" xfId="45719" xr:uid="{5A189860-2430-49CC-A808-C3E2C90F6FB0}"/>
    <cellStyle name="40% - Accent3 3 7 4" xfId="29841" xr:uid="{9937DC3D-1CF7-43C8-B0EE-5C7D2FCA7620}"/>
    <cellStyle name="40% - Accent3 3 8" xfId="9508" xr:uid="{00000000-0005-0000-0000-0000DC3B0000}"/>
    <cellStyle name="40% - Accent3 3 8 2" xfId="17466" xr:uid="{00000000-0005-0000-0000-0000DD3B0000}"/>
    <cellStyle name="40% - Accent3 3 8 2 2" xfId="41306" xr:uid="{61B7526D-0CE1-4EC7-A3F0-E228DD0F0F31}"/>
    <cellStyle name="40% - Accent3 3 8 3" xfId="25410" xr:uid="{00000000-0005-0000-0000-0000DE3B0000}"/>
    <cellStyle name="40% - Accent3 3 8 3 2" xfId="49242" xr:uid="{08CB2811-3B22-4C3A-948C-2BA88B62668A}"/>
    <cellStyle name="40% - Accent3 3 8 4" xfId="33365" xr:uid="{777666A5-5991-4C30-BE17-E73F11756B93}"/>
    <cellStyle name="40% - Accent3 3 9" xfId="10404" xr:uid="{00000000-0005-0000-0000-0000DF3B0000}"/>
    <cellStyle name="40% - Accent3 3 9 2" xfId="34253" xr:uid="{562124D9-B6EE-4B9A-AE68-95E606A83135}"/>
    <cellStyle name="40% - Accent3 3_Exh G" xfId="2985" xr:uid="{00000000-0005-0000-0000-0000E03B0000}"/>
    <cellStyle name="40% - Accent3 4" xfId="460" xr:uid="{00000000-0005-0000-0000-0000E13B0000}"/>
    <cellStyle name="40% - Accent3 4 10" xfId="18363" xr:uid="{00000000-0005-0000-0000-0000E23B0000}"/>
    <cellStyle name="40% - Accent3 4 10 2" xfId="42195" xr:uid="{083EA552-30CB-4081-8E16-C794C52BEEDE}"/>
    <cellStyle name="40% - Accent3 4 11" xfId="26315" xr:uid="{C5A4B964-8213-4E08-9D65-288D40983F98}"/>
    <cellStyle name="40% - Accent3 4 2" xfId="461" xr:uid="{00000000-0005-0000-0000-0000E33B0000}"/>
    <cellStyle name="40% - Accent3 4 2 10" xfId="26316" xr:uid="{BBB1F4A6-4D0D-4B20-8BF6-FFE8602A8A05}"/>
    <cellStyle name="40% - Accent3 4 2 2" xfId="462" xr:uid="{00000000-0005-0000-0000-0000E43B0000}"/>
    <cellStyle name="40% - Accent3 4 2 2 2" xfId="1490" xr:uid="{00000000-0005-0000-0000-0000E53B0000}"/>
    <cellStyle name="40% - Accent3 4 2 2 2 2" xfId="5020" xr:uid="{00000000-0005-0000-0000-0000E63B0000}"/>
    <cellStyle name="40% - Accent3 4 2 2 2 2 2" xfId="8611" xr:uid="{00000000-0005-0000-0000-0000E73B0000}"/>
    <cellStyle name="40% - Accent3 4 2 2 2 2 2 2" xfId="16582" xr:uid="{00000000-0005-0000-0000-0000E83B0000}"/>
    <cellStyle name="40% - Accent3 4 2 2 2 2 2 2 2" xfId="40424" xr:uid="{07145AB8-50D0-4E2C-8C8B-85FBE424318E}"/>
    <cellStyle name="40% - Accent3 4 2 2 2 2 2 3" xfId="24528" xr:uid="{00000000-0005-0000-0000-0000E93B0000}"/>
    <cellStyle name="40% - Accent3 4 2 2 2 2 2 3 2" xfId="48360" xr:uid="{BC8A04CF-5528-4059-8588-0269ADCD412B}"/>
    <cellStyle name="40% - Accent3 4 2 2 2 2 2 4" xfId="32483" xr:uid="{DC75F399-5F6B-46FE-856B-97832C6F2FF2}"/>
    <cellStyle name="40% - Accent3 4 2 2 2 2 3" xfId="13044" xr:uid="{00000000-0005-0000-0000-0000EA3B0000}"/>
    <cellStyle name="40% - Accent3 4 2 2 2 2 3 2" xfId="36893" xr:uid="{1BC1DEFD-820C-4280-81FE-80817082E31B}"/>
    <cellStyle name="40% - Accent3 4 2 2 2 2 4" xfId="20999" xr:uid="{00000000-0005-0000-0000-0000EB3B0000}"/>
    <cellStyle name="40% - Accent3 4 2 2 2 2 4 2" xfId="44831" xr:uid="{72BCCBBF-3901-4A77-9604-D2E81506919D}"/>
    <cellStyle name="40% - Accent3 4 2 2 2 2 5" xfId="28952" xr:uid="{FB980035-0FC0-4120-B758-D9A9954BAA89}"/>
    <cellStyle name="40% - Accent3 4 2 2 2 3" xfId="6852" xr:uid="{00000000-0005-0000-0000-0000EC3B0000}"/>
    <cellStyle name="40% - Accent3 4 2 2 2 3 2" xfId="14824" xr:uid="{00000000-0005-0000-0000-0000ED3B0000}"/>
    <cellStyle name="40% - Accent3 4 2 2 2 3 2 2" xfId="38666" xr:uid="{0280F0D0-2F11-4284-AB56-0403A49DE79A}"/>
    <cellStyle name="40% - Accent3 4 2 2 2 3 3" xfId="22771" xr:uid="{00000000-0005-0000-0000-0000EE3B0000}"/>
    <cellStyle name="40% - Accent3 4 2 2 2 3 3 2" xfId="46603" xr:uid="{275070BC-73AA-414E-9FBA-14D0821BEB2E}"/>
    <cellStyle name="40% - Accent3 4 2 2 2 3 4" xfId="30725" xr:uid="{D53C4FD9-E243-4566-A040-C3E2B46C3D44}"/>
    <cellStyle name="40% - Accent3 4 2 2 2 4" xfId="11288" xr:uid="{00000000-0005-0000-0000-0000EF3B0000}"/>
    <cellStyle name="40% - Accent3 4 2 2 2 4 2" xfId="35137" xr:uid="{F4FD6BEC-9AAD-4383-9D97-F7D8919379CC}"/>
    <cellStyle name="40% - Accent3 4 2 2 2 5" xfId="19243" xr:uid="{00000000-0005-0000-0000-0000F03B0000}"/>
    <cellStyle name="40% - Accent3 4 2 2 2 5 2" xfId="43075" xr:uid="{2CFE3F75-4BAD-40DD-801C-5E9E65BE88D0}"/>
    <cellStyle name="40% - Accent3 4 2 2 2 6" xfId="27195" xr:uid="{9E82563F-310B-479C-89A6-CDF8EB5FD463}"/>
    <cellStyle name="40% - Accent3 4 2 2 2_Exh G" xfId="3000" xr:uid="{00000000-0005-0000-0000-0000F13B0000}"/>
    <cellStyle name="40% - Accent3 4 2 2 3" xfId="4141" xr:uid="{00000000-0005-0000-0000-0000F23B0000}"/>
    <cellStyle name="40% - Accent3 4 2 2 3 2" xfId="7733" xr:uid="{00000000-0005-0000-0000-0000F33B0000}"/>
    <cellStyle name="40% - Accent3 4 2 2 3 2 2" xfId="15704" xr:uid="{00000000-0005-0000-0000-0000F43B0000}"/>
    <cellStyle name="40% - Accent3 4 2 2 3 2 2 2" xfId="39546" xr:uid="{910660F2-7411-4EBB-B2CF-E8C6574ABDB9}"/>
    <cellStyle name="40% - Accent3 4 2 2 3 2 3" xfId="23650" xr:uid="{00000000-0005-0000-0000-0000F53B0000}"/>
    <cellStyle name="40% - Accent3 4 2 2 3 2 3 2" xfId="47482" xr:uid="{12095A46-A782-48DD-A576-E9D50CD09ADA}"/>
    <cellStyle name="40% - Accent3 4 2 2 3 2 4" xfId="31605" xr:uid="{34DC128E-74E3-4E45-B9E2-578798EE45CE}"/>
    <cellStyle name="40% - Accent3 4 2 2 3 3" xfId="12166" xr:uid="{00000000-0005-0000-0000-0000F63B0000}"/>
    <cellStyle name="40% - Accent3 4 2 2 3 3 2" xfId="36015" xr:uid="{2F4303D3-965A-4ED9-8D85-30999B139DE2}"/>
    <cellStyle name="40% - Accent3 4 2 2 3 4" xfId="20121" xr:uid="{00000000-0005-0000-0000-0000F73B0000}"/>
    <cellStyle name="40% - Accent3 4 2 2 3 4 2" xfId="43953" xr:uid="{FF501675-452C-44AC-BFD3-83BC12482D9A}"/>
    <cellStyle name="40% - Accent3 4 2 2 3 5" xfId="28074" xr:uid="{7C78639C-C22B-4C50-B423-EAF7BF8914BC}"/>
    <cellStyle name="40% - Accent3 4 2 2 4" xfId="5961" xr:uid="{00000000-0005-0000-0000-0000F83B0000}"/>
    <cellStyle name="40% - Accent3 4 2 2 4 2" xfId="13945" xr:uid="{00000000-0005-0000-0000-0000F93B0000}"/>
    <cellStyle name="40% - Accent3 4 2 2 4 2 2" xfId="37788" xr:uid="{90A7F065-F2A8-4D60-B4AC-45E88801D25E}"/>
    <cellStyle name="40% - Accent3 4 2 2 4 3" xfId="21893" xr:uid="{00000000-0005-0000-0000-0000FA3B0000}"/>
    <cellStyle name="40% - Accent3 4 2 2 4 3 2" xfId="45725" xr:uid="{4E91EE10-DEA5-4769-8AA5-10BDE200EB35}"/>
    <cellStyle name="40% - Accent3 4 2 2 4 4" xfId="29847" xr:uid="{F6D5D7EB-C190-4778-92D4-71229BFEF1C8}"/>
    <cellStyle name="40% - Accent3 4 2 2 5" xfId="9514" xr:uid="{00000000-0005-0000-0000-0000FB3B0000}"/>
    <cellStyle name="40% - Accent3 4 2 2 5 2" xfId="17472" xr:uid="{00000000-0005-0000-0000-0000FC3B0000}"/>
    <cellStyle name="40% - Accent3 4 2 2 5 2 2" xfId="41312" xr:uid="{CCF3D827-8FE1-41CF-BA63-B6B7A9B60C5A}"/>
    <cellStyle name="40% - Accent3 4 2 2 5 3" xfId="25416" xr:uid="{00000000-0005-0000-0000-0000FD3B0000}"/>
    <cellStyle name="40% - Accent3 4 2 2 5 3 2" xfId="49248" xr:uid="{E974DEF0-3397-4544-9096-453E7B52C656}"/>
    <cellStyle name="40% - Accent3 4 2 2 5 4" xfId="33371" xr:uid="{7FDF6200-4222-41F9-947B-CD86018A4674}"/>
    <cellStyle name="40% - Accent3 4 2 2 6" xfId="10410" xr:uid="{00000000-0005-0000-0000-0000FE3B0000}"/>
    <cellStyle name="40% - Accent3 4 2 2 6 2" xfId="34259" xr:uid="{202AEB9A-E9A5-4349-AB6F-80439CBEC6F1}"/>
    <cellStyle name="40% - Accent3 4 2 2 7" xfId="18365" xr:uid="{00000000-0005-0000-0000-0000FF3B0000}"/>
    <cellStyle name="40% - Accent3 4 2 2 7 2" xfId="42197" xr:uid="{3217A9CF-F82E-4B48-9703-31780921E173}"/>
    <cellStyle name="40% - Accent3 4 2 2 8" xfId="26317" xr:uid="{09287879-65AD-41EC-AB49-CC9413E0DD63}"/>
    <cellStyle name="40% - Accent3 4 2 2_Exh G" xfId="2999" xr:uid="{00000000-0005-0000-0000-0000003C0000}"/>
    <cellStyle name="40% - Accent3 4 2 3" xfId="964" xr:uid="{00000000-0005-0000-0000-0000013C0000}"/>
    <cellStyle name="40% - Accent3 4 2 3 2" xfId="1884" xr:uid="{00000000-0005-0000-0000-0000023C0000}"/>
    <cellStyle name="40% - Accent3 4 2 3 2 2" xfId="5402" xr:uid="{00000000-0005-0000-0000-0000033C0000}"/>
    <cellStyle name="40% - Accent3 4 2 3 2 2 2" xfId="8993" xr:uid="{00000000-0005-0000-0000-0000043C0000}"/>
    <cellStyle name="40% - Accent3 4 2 3 2 2 2 2" xfId="16964" xr:uid="{00000000-0005-0000-0000-0000053C0000}"/>
    <cellStyle name="40% - Accent3 4 2 3 2 2 2 2 2" xfId="40806" xr:uid="{E1147E88-89BF-472E-9325-59099D74D654}"/>
    <cellStyle name="40% - Accent3 4 2 3 2 2 2 3" xfId="24910" xr:uid="{00000000-0005-0000-0000-0000063C0000}"/>
    <cellStyle name="40% - Accent3 4 2 3 2 2 2 3 2" xfId="48742" xr:uid="{C1869313-6DF6-4AB9-95B0-07DF955A234A}"/>
    <cellStyle name="40% - Accent3 4 2 3 2 2 2 4" xfId="32865" xr:uid="{F0EF9015-650D-4E05-8271-78B807DD169A}"/>
    <cellStyle name="40% - Accent3 4 2 3 2 2 3" xfId="13426" xr:uid="{00000000-0005-0000-0000-0000073C0000}"/>
    <cellStyle name="40% - Accent3 4 2 3 2 2 3 2" xfId="37275" xr:uid="{BC5AB502-D01B-416E-9AFA-DCC62BFBE3D7}"/>
    <cellStyle name="40% - Accent3 4 2 3 2 2 4" xfId="21381" xr:uid="{00000000-0005-0000-0000-0000083C0000}"/>
    <cellStyle name="40% - Accent3 4 2 3 2 2 4 2" xfId="45213" xr:uid="{036B9A97-6B2F-49EE-892E-3FD194219837}"/>
    <cellStyle name="40% - Accent3 4 2 3 2 2 5" xfId="29334" xr:uid="{3B4ED4BE-5C89-4FA4-AFD5-7EA1B83F4428}"/>
    <cellStyle name="40% - Accent3 4 2 3 2 3" xfId="7234" xr:uid="{00000000-0005-0000-0000-0000093C0000}"/>
    <cellStyle name="40% - Accent3 4 2 3 2 3 2" xfId="15206" xr:uid="{00000000-0005-0000-0000-00000A3C0000}"/>
    <cellStyle name="40% - Accent3 4 2 3 2 3 2 2" xfId="39048" xr:uid="{3E7618E6-F4DD-445A-8A0A-093D30D57B08}"/>
    <cellStyle name="40% - Accent3 4 2 3 2 3 3" xfId="23153" xr:uid="{00000000-0005-0000-0000-00000B3C0000}"/>
    <cellStyle name="40% - Accent3 4 2 3 2 3 3 2" xfId="46985" xr:uid="{A3E024E8-926C-438E-9F40-977D91138342}"/>
    <cellStyle name="40% - Accent3 4 2 3 2 3 4" xfId="31107" xr:uid="{3D6D8093-9EA3-485C-B47C-19147F0C8751}"/>
    <cellStyle name="40% - Accent3 4 2 3 2 4" xfId="11670" xr:uid="{00000000-0005-0000-0000-00000C3C0000}"/>
    <cellStyle name="40% - Accent3 4 2 3 2 4 2" xfId="35519" xr:uid="{129763D1-75DB-429A-B6DC-BB57960F8D2E}"/>
    <cellStyle name="40% - Accent3 4 2 3 2 5" xfId="19625" xr:uid="{00000000-0005-0000-0000-00000D3C0000}"/>
    <cellStyle name="40% - Accent3 4 2 3 2 5 2" xfId="43457" xr:uid="{71DD4D7D-DEDC-49C7-9D8B-E8EEDA3E8335}"/>
    <cellStyle name="40% - Accent3 4 2 3 2 6" xfId="27577" xr:uid="{0B930F81-068E-4CCB-B92D-D514D45FEF76}"/>
    <cellStyle name="40% - Accent3 4 2 3 2_Exh G" xfId="3002" xr:uid="{00000000-0005-0000-0000-00000E3C0000}"/>
    <cellStyle name="40% - Accent3 4 2 3 3" xfId="4523" xr:uid="{00000000-0005-0000-0000-00000F3C0000}"/>
    <cellStyle name="40% - Accent3 4 2 3 3 2" xfId="8115" xr:uid="{00000000-0005-0000-0000-0000103C0000}"/>
    <cellStyle name="40% - Accent3 4 2 3 3 2 2" xfId="16086" xr:uid="{00000000-0005-0000-0000-0000113C0000}"/>
    <cellStyle name="40% - Accent3 4 2 3 3 2 2 2" xfId="39928" xr:uid="{FFEB20B1-9F0D-4082-9160-E6274992DA42}"/>
    <cellStyle name="40% - Accent3 4 2 3 3 2 3" xfId="24032" xr:uid="{00000000-0005-0000-0000-0000123C0000}"/>
    <cellStyle name="40% - Accent3 4 2 3 3 2 3 2" xfId="47864" xr:uid="{C4E6BDEA-3510-475C-8EC7-425ACF1DDFCF}"/>
    <cellStyle name="40% - Accent3 4 2 3 3 2 4" xfId="31987" xr:uid="{4EED5E82-4B7D-462C-BAAE-2BAE61E9E271}"/>
    <cellStyle name="40% - Accent3 4 2 3 3 3" xfId="12548" xr:uid="{00000000-0005-0000-0000-0000133C0000}"/>
    <cellStyle name="40% - Accent3 4 2 3 3 3 2" xfId="36397" xr:uid="{BCA1BCF2-7AB4-4512-A276-0286479DFDF3}"/>
    <cellStyle name="40% - Accent3 4 2 3 3 4" xfId="20503" xr:uid="{00000000-0005-0000-0000-0000143C0000}"/>
    <cellStyle name="40% - Accent3 4 2 3 3 4 2" xfId="44335" xr:uid="{71CB90B9-402A-43B9-8339-C82FD2B49014}"/>
    <cellStyle name="40% - Accent3 4 2 3 3 5" xfId="28456" xr:uid="{E8787B20-9F10-4FE9-ADC3-9DA70EE7C209}"/>
    <cellStyle name="40% - Accent3 4 2 3 4" xfId="6353" xr:uid="{00000000-0005-0000-0000-0000153C0000}"/>
    <cellStyle name="40% - Accent3 4 2 3 4 2" xfId="14328" xr:uid="{00000000-0005-0000-0000-0000163C0000}"/>
    <cellStyle name="40% - Accent3 4 2 3 4 2 2" xfId="38170" xr:uid="{DC17750B-1777-4741-A6DA-8B13C1A7C029}"/>
    <cellStyle name="40% - Accent3 4 2 3 4 3" xfId="22275" xr:uid="{00000000-0005-0000-0000-0000173C0000}"/>
    <cellStyle name="40% - Accent3 4 2 3 4 3 2" xfId="46107" xr:uid="{2D364280-546E-40BB-8B00-28AFF01DE7A0}"/>
    <cellStyle name="40% - Accent3 4 2 3 4 4" xfId="30229" xr:uid="{8CCD2876-4717-42D8-AFDD-72BEE7E966B4}"/>
    <cellStyle name="40% - Accent3 4 2 3 5" xfId="9896" xr:uid="{00000000-0005-0000-0000-0000183C0000}"/>
    <cellStyle name="40% - Accent3 4 2 3 5 2" xfId="17854" xr:uid="{00000000-0005-0000-0000-0000193C0000}"/>
    <cellStyle name="40% - Accent3 4 2 3 5 2 2" xfId="41694" xr:uid="{BC329F0E-D88F-4F9A-AD05-40B80CC2F9EB}"/>
    <cellStyle name="40% - Accent3 4 2 3 5 3" xfId="25798" xr:uid="{00000000-0005-0000-0000-00001A3C0000}"/>
    <cellStyle name="40% - Accent3 4 2 3 5 3 2" xfId="49630" xr:uid="{98988B97-B5FC-4FC1-9762-15E78B8D5AB8}"/>
    <cellStyle name="40% - Accent3 4 2 3 5 4" xfId="33753" xr:uid="{3093EEA6-621C-4023-B328-6BF86205CEAB}"/>
    <cellStyle name="40% - Accent3 4 2 3 6" xfId="10792" xr:uid="{00000000-0005-0000-0000-00001B3C0000}"/>
    <cellStyle name="40% - Accent3 4 2 3 6 2" xfId="34641" xr:uid="{97586E01-8F15-4C25-B663-533C4E815E9E}"/>
    <cellStyle name="40% - Accent3 4 2 3 7" xfId="18747" xr:uid="{00000000-0005-0000-0000-00001C3C0000}"/>
    <cellStyle name="40% - Accent3 4 2 3 7 2" xfId="42579" xr:uid="{EB31EA63-F847-4AB9-81F0-9B53493FB081}"/>
    <cellStyle name="40% - Accent3 4 2 3 8" xfId="26699" xr:uid="{8B49B5D4-4FBA-421A-86C6-7A144D67792C}"/>
    <cellStyle name="40% - Accent3 4 2 3_Exh G" xfId="3001" xr:uid="{00000000-0005-0000-0000-00001D3C0000}"/>
    <cellStyle name="40% - Accent3 4 2 4" xfId="1489" xr:uid="{00000000-0005-0000-0000-00001E3C0000}"/>
    <cellStyle name="40% - Accent3 4 2 4 2" xfId="5019" xr:uid="{00000000-0005-0000-0000-00001F3C0000}"/>
    <cellStyle name="40% - Accent3 4 2 4 2 2" xfId="8610" xr:uid="{00000000-0005-0000-0000-0000203C0000}"/>
    <cellStyle name="40% - Accent3 4 2 4 2 2 2" xfId="16581" xr:uid="{00000000-0005-0000-0000-0000213C0000}"/>
    <cellStyle name="40% - Accent3 4 2 4 2 2 2 2" xfId="40423" xr:uid="{12DCC574-66BF-422B-BEF8-290A04120922}"/>
    <cellStyle name="40% - Accent3 4 2 4 2 2 3" xfId="24527" xr:uid="{00000000-0005-0000-0000-0000223C0000}"/>
    <cellStyle name="40% - Accent3 4 2 4 2 2 3 2" xfId="48359" xr:uid="{9298AFC0-203B-40E3-83AF-39C2B74E4B77}"/>
    <cellStyle name="40% - Accent3 4 2 4 2 2 4" xfId="32482" xr:uid="{44B79C7D-C68C-45FB-B557-F6EF200BBDA7}"/>
    <cellStyle name="40% - Accent3 4 2 4 2 3" xfId="13043" xr:uid="{00000000-0005-0000-0000-0000233C0000}"/>
    <cellStyle name="40% - Accent3 4 2 4 2 3 2" xfId="36892" xr:uid="{92E86F2B-B2F1-4908-9937-C3187C9DD798}"/>
    <cellStyle name="40% - Accent3 4 2 4 2 4" xfId="20998" xr:uid="{00000000-0005-0000-0000-0000243C0000}"/>
    <cellStyle name="40% - Accent3 4 2 4 2 4 2" xfId="44830" xr:uid="{314B1669-0C86-46A5-A776-34E4B7C493B1}"/>
    <cellStyle name="40% - Accent3 4 2 4 2 5" xfId="28951" xr:uid="{BC45F763-096C-4FB0-8FEA-A2ED1F908332}"/>
    <cellStyle name="40% - Accent3 4 2 4 3" xfId="6851" xr:uid="{00000000-0005-0000-0000-0000253C0000}"/>
    <cellStyle name="40% - Accent3 4 2 4 3 2" xfId="14823" xr:uid="{00000000-0005-0000-0000-0000263C0000}"/>
    <cellStyle name="40% - Accent3 4 2 4 3 2 2" xfId="38665" xr:uid="{5C798A53-0F38-4E64-989B-27F90F4136C2}"/>
    <cellStyle name="40% - Accent3 4 2 4 3 3" xfId="22770" xr:uid="{00000000-0005-0000-0000-0000273C0000}"/>
    <cellStyle name="40% - Accent3 4 2 4 3 3 2" xfId="46602" xr:uid="{6E0DD0FD-01E7-4282-9F8F-7E5C8CF31475}"/>
    <cellStyle name="40% - Accent3 4 2 4 3 4" xfId="30724" xr:uid="{564607FA-8212-4A7A-ACF5-5964973DB079}"/>
    <cellStyle name="40% - Accent3 4 2 4 4" xfId="11287" xr:uid="{00000000-0005-0000-0000-0000283C0000}"/>
    <cellStyle name="40% - Accent3 4 2 4 4 2" xfId="35136" xr:uid="{24D04E11-82EA-4561-972F-7A0B91ED2BA4}"/>
    <cellStyle name="40% - Accent3 4 2 4 5" xfId="19242" xr:uid="{00000000-0005-0000-0000-0000293C0000}"/>
    <cellStyle name="40% - Accent3 4 2 4 5 2" xfId="43074" xr:uid="{5D6A89E2-12C6-4271-9A76-828494171A75}"/>
    <cellStyle name="40% - Accent3 4 2 4 6" xfId="27194" xr:uid="{014C2E80-FBE1-44F4-92E9-CA7B91DA8A64}"/>
    <cellStyle name="40% - Accent3 4 2 4_Exh G" xfId="3003" xr:uid="{00000000-0005-0000-0000-00002A3C0000}"/>
    <cellStyle name="40% - Accent3 4 2 5" xfId="4140" xr:uid="{00000000-0005-0000-0000-00002B3C0000}"/>
    <cellStyle name="40% - Accent3 4 2 5 2" xfId="7732" xr:uid="{00000000-0005-0000-0000-00002C3C0000}"/>
    <cellStyle name="40% - Accent3 4 2 5 2 2" xfId="15703" xr:uid="{00000000-0005-0000-0000-00002D3C0000}"/>
    <cellStyle name="40% - Accent3 4 2 5 2 2 2" xfId="39545" xr:uid="{193D440B-9A0F-4701-9CD4-C5A052D733C4}"/>
    <cellStyle name="40% - Accent3 4 2 5 2 3" xfId="23649" xr:uid="{00000000-0005-0000-0000-00002E3C0000}"/>
    <cellStyle name="40% - Accent3 4 2 5 2 3 2" xfId="47481" xr:uid="{41BDFAFA-FC8B-4318-ABF1-EFDAD74FA7B3}"/>
    <cellStyle name="40% - Accent3 4 2 5 2 4" xfId="31604" xr:uid="{1D4156FC-359E-4AAF-A53C-7486848D2CDD}"/>
    <cellStyle name="40% - Accent3 4 2 5 3" xfId="12165" xr:uid="{00000000-0005-0000-0000-00002F3C0000}"/>
    <cellStyle name="40% - Accent3 4 2 5 3 2" xfId="36014" xr:uid="{EF2DE0F3-3ADE-4B1D-90B1-FC6EA84A60F4}"/>
    <cellStyle name="40% - Accent3 4 2 5 4" xfId="20120" xr:uid="{00000000-0005-0000-0000-0000303C0000}"/>
    <cellStyle name="40% - Accent3 4 2 5 4 2" xfId="43952" xr:uid="{1E8F7F11-A415-46A4-9DA4-F23FFB91009F}"/>
    <cellStyle name="40% - Accent3 4 2 5 5" xfId="28073" xr:uid="{952D0B3B-1073-4D36-8506-883DEC9FA9D5}"/>
    <cellStyle name="40% - Accent3 4 2 6" xfId="5960" xr:uid="{00000000-0005-0000-0000-0000313C0000}"/>
    <cellStyle name="40% - Accent3 4 2 6 2" xfId="13944" xr:uid="{00000000-0005-0000-0000-0000323C0000}"/>
    <cellStyle name="40% - Accent3 4 2 6 2 2" xfId="37787" xr:uid="{5E40EFE8-0688-4E20-9956-3CB939ED4E38}"/>
    <cellStyle name="40% - Accent3 4 2 6 3" xfId="21892" xr:uid="{00000000-0005-0000-0000-0000333C0000}"/>
    <cellStyle name="40% - Accent3 4 2 6 3 2" xfId="45724" xr:uid="{0F77C67B-B520-4086-8314-A15BE7AA8860}"/>
    <cellStyle name="40% - Accent3 4 2 6 4" xfId="29846" xr:uid="{0477ADDB-738D-430C-8408-56F3F69EFDE5}"/>
    <cellStyle name="40% - Accent3 4 2 7" xfId="9513" xr:uid="{00000000-0005-0000-0000-0000343C0000}"/>
    <cellStyle name="40% - Accent3 4 2 7 2" xfId="17471" xr:uid="{00000000-0005-0000-0000-0000353C0000}"/>
    <cellStyle name="40% - Accent3 4 2 7 2 2" xfId="41311" xr:uid="{21B48F5A-449D-46F7-A372-0165B829C10D}"/>
    <cellStyle name="40% - Accent3 4 2 7 3" xfId="25415" xr:uid="{00000000-0005-0000-0000-0000363C0000}"/>
    <cellStyle name="40% - Accent3 4 2 7 3 2" xfId="49247" xr:uid="{E70708E2-4495-45F0-8331-B2FFCEA1893C}"/>
    <cellStyle name="40% - Accent3 4 2 7 4" xfId="33370" xr:uid="{C5AE0180-0B16-45B4-A01A-5A6E8F4C4C1A}"/>
    <cellStyle name="40% - Accent3 4 2 8" xfId="10409" xr:uid="{00000000-0005-0000-0000-0000373C0000}"/>
    <cellStyle name="40% - Accent3 4 2 8 2" xfId="34258" xr:uid="{48A91A74-9827-49E9-B6C3-53B05613E75B}"/>
    <cellStyle name="40% - Accent3 4 2 9" xfId="18364" xr:uid="{00000000-0005-0000-0000-0000383C0000}"/>
    <cellStyle name="40% - Accent3 4 2 9 2" xfId="42196" xr:uid="{1F624EBD-6EA6-4DAB-9897-2BC79A9EB4A8}"/>
    <cellStyle name="40% - Accent3 4 2_Exh G" xfId="2998" xr:uid="{00000000-0005-0000-0000-0000393C0000}"/>
    <cellStyle name="40% - Accent3 4 3" xfId="463" xr:uid="{00000000-0005-0000-0000-00003A3C0000}"/>
    <cellStyle name="40% - Accent3 4 3 2" xfId="1491" xr:uid="{00000000-0005-0000-0000-00003B3C0000}"/>
    <cellStyle name="40% - Accent3 4 3 2 2" xfId="5021" xr:uid="{00000000-0005-0000-0000-00003C3C0000}"/>
    <cellStyle name="40% - Accent3 4 3 2 2 2" xfId="8612" xr:uid="{00000000-0005-0000-0000-00003D3C0000}"/>
    <cellStyle name="40% - Accent3 4 3 2 2 2 2" xfId="16583" xr:uid="{00000000-0005-0000-0000-00003E3C0000}"/>
    <cellStyle name="40% - Accent3 4 3 2 2 2 2 2" xfId="40425" xr:uid="{589BFE74-4C91-460B-AB72-6BE17A3D3459}"/>
    <cellStyle name="40% - Accent3 4 3 2 2 2 3" xfId="24529" xr:uid="{00000000-0005-0000-0000-00003F3C0000}"/>
    <cellStyle name="40% - Accent3 4 3 2 2 2 3 2" xfId="48361" xr:uid="{50DB55D1-F560-47CF-B0B0-609E3743C5BC}"/>
    <cellStyle name="40% - Accent3 4 3 2 2 2 4" xfId="32484" xr:uid="{8D71DD1A-A752-43FA-B7A4-C30A62290EFA}"/>
    <cellStyle name="40% - Accent3 4 3 2 2 3" xfId="13045" xr:uid="{00000000-0005-0000-0000-0000403C0000}"/>
    <cellStyle name="40% - Accent3 4 3 2 2 3 2" xfId="36894" xr:uid="{CC2623B5-4425-4015-85A9-78C9F561B909}"/>
    <cellStyle name="40% - Accent3 4 3 2 2 4" xfId="21000" xr:uid="{00000000-0005-0000-0000-0000413C0000}"/>
    <cellStyle name="40% - Accent3 4 3 2 2 4 2" xfId="44832" xr:uid="{A68FB554-16C6-438E-83F7-430A293F2E82}"/>
    <cellStyle name="40% - Accent3 4 3 2 2 5" xfId="28953" xr:uid="{16751509-1508-49D3-8614-A27345E2AFFF}"/>
    <cellStyle name="40% - Accent3 4 3 2 3" xfId="6853" xr:uid="{00000000-0005-0000-0000-0000423C0000}"/>
    <cellStyle name="40% - Accent3 4 3 2 3 2" xfId="14825" xr:uid="{00000000-0005-0000-0000-0000433C0000}"/>
    <cellStyle name="40% - Accent3 4 3 2 3 2 2" xfId="38667" xr:uid="{C0A460BF-3AC1-42A0-A09A-01D18A6A3BA5}"/>
    <cellStyle name="40% - Accent3 4 3 2 3 3" xfId="22772" xr:uid="{00000000-0005-0000-0000-0000443C0000}"/>
    <cellStyle name="40% - Accent3 4 3 2 3 3 2" xfId="46604" xr:uid="{B8D37BE7-F506-4E2A-A67E-3807169A850F}"/>
    <cellStyle name="40% - Accent3 4 3 2 3 4" xfId="30726" xr:uid="{05D6A72C-9AF2-4729-B59B-01B15A4EF4B8}"/>
    <cellStyle name="40% - Accent3 4 3 2 4" xfId="11289" xr:uid="{00000000-0005-0000-0000-0000453C0000}"/>
    <cellStyle name="40% - Accent3 4 3 2 4 2" xfId="35138" xr:uid="{9122C714-9DD0-417E-9A61-BF8505128C8B}"/>
    <cellStyle name="40% - Accent3 4 3 2 5" xfId="19244" xr:uid="{00000000-0005-0000-0000-0000463C0000}"/>
    <cellStyle name="40% - Accent3 4 3 2 5 2" xfId="43076" xr:uid="{D75048B6-ABBE-4801-AD98-185203AC063C}"/>
    <cellStyle name="40% - Accent3 4 3 2 6" xfId="27196" xr:uid="{01C13532-88CE-4400-880C-8C2FB5F36DAF}"/>
    <cellStyle name="40% - Accent3 4 3 2_Exh G" xfId="3005" xr:uid="{00000000-0005-0000-0000-0000473C0000}"/>
    <cellStyle name="40% - Accent3 4 3 3" xfId="4142" xr:uid="{00000000-0005-0000-0000-0000483C0000}"/>
    <cellStyle name="40% - Accent3 4 3 3 2" xfId="7734" xr:uid="{00000000-0005-0000-0000-0000493C0000}"/>
    <cellStyle name="40% - Accent3 4 3 3 2 2" xfId="15705" xr:uid="{00000000-0005-0000-0000-00004A3C0000}"/>
    <cellStyle name="40% - Accent3 4 3 3 2 2 2" xfId="39547" xr:uid="{5552502C-4431-43B4-A535-8AA78D504FDB}"/>
    <cellStyle name="40% - Accent3 4 3 3 2 3" xfId="23651" xr:uid="{00000000-0005-0000-0000-00004B3C0000}"/>
    <cellStyle name="40% - Accent3 4 3 3 2 3 2" xfId="47483" xr:uid="{76762339-517B-4FB1-B26A-663F085D503F}"/>
    <cellStyle name="40% - Accent3 4 3 3 2 4" xfId="31606" xr:uid="{5C259FF4-FC2C-41FE-A429-E4FD341CC0C2}"/>
    <cellStyle name="40% - Accent3 4 3 3 3" xfId="12167" xr:uid="{00000000-0005-0000-0000-00004C3C0000}"/>
    <cellStyle name="40% - Accent3 4 3 3 3 2" xfId="36016" xr:uid="{9897B066-02BA-429F-B64A-C24C86C37A0F}"/>
    <cellStyle name="40% - Accent3 4 3 3 4" xfId="20122" xr:uid="{00000000-0005-0000-0000-00004D3C0000}"/>
    <cellStyle name="40% - Accent3 4 3 3 4 2" xfId="43954" xr:uid="{5AD43100-8C35-4BFA-8356-03BC3C468594}"/>
    <cellStyle name="40% - Accent3 4 3 3 5" xfId="28075" xr:uid="{6AC7AD36-90AF-4547-9CCA-78D27FD6615B}"/>
    <cellStyle name="40% - Accent3 4 3 4" xfId="5962" xr:uid="{00000000-0005-0000-0000-00004E3C0000}"/>
    <cellStyle name="40% - Accent3 4 3 4 2" xfId="13946" xr:uid="{00000000-0005-0000-0000-00004F3C0000}"/>
    <cellStyle name="40% - Accent3 4 3 4 2 2" xfId="37789" xr:uid="{81F90F61-C0E3-4C83-901B-9B539A0AA444}"/>
    <cellStyle name="40% - Accent3 4 3 4 3" xfId="21894" xr:uid="{00000000-0005-0000-0000-0000503C0000}"/>
    <cellStyle name="40% - Accent3 4 3 4 3 2" xfId="45726" xr:uid="{1DFDE7C9-6FB5-4435-B82E-882B40AE59EA}"/>
    <cellStyle name="40% - Accent3 4 3 4 4" xfId="29848" xr:uid="{102C31AF-9C3D-42D2-B557-8FE4B41CA84E}"/>
    <cellStyle name="40% - Accent3 4 3 5" xfId="9515" xr:uid="{00000000-0005-0000-0000-0000513C0000}"/>
    <cellStyle name="40% - Accent3 4 3 5 2" xfId="17473" xr:uid="{00000000-0005-0000-0000-0000523C0000}"/>
    <cellStyle name="40% - Accent3 4 3 5 2 2" xfId="41313" xr:uid="{400724F2-EA92-4811-B260-91FB389CD415}"/>
    <cellStyle name="40% - Accent3 4 3 5 3" xfId="25417" xr:uid="{00000000-0005-0000-0000-0000533C0000}"/>
    <cellStyle name="40% - Accent3 4 3 5 3 2" xfId="49249" xr:uid="{82141517-C136-4976-835A-F7925FB2567C}"/>
    <cellStyle name="40% - Accent3 4 3 5 4" xfId="33372" xr:uid="{9B4CC504-F648-47B3-8A40-03686BD221DC}"/>
    <cellStyle name="40% - Accent3 4 3 6" xfId="10411" xr:uid="{00000000-0005-0000-0000-0000543C0000}"/>
    <cellStyle name="40% - Accent3 4 3 6 2" xfId="34260" xr:uid="{9675AB7C-FB84-4636-9892-5840E7966A72}"/>
    <cellStyle name="40% - Accent3 4 3 7" xfId="18366" xr:uid="{00000000-0005-0000-0000-0000553C0000}"/>
    <cellStyle name="40% - Accent3 4 3 7 2" xfId="42198" xr:uid="{397A2CD4-D381-476F-A7FA-89CD28034A70}"/>
    <cellStyle name="40% - Accent3 4 3 8" xfId="26318" xr:uid="{5ABE673C-3255-467F-9E69-78D1AE4905B4}"/>
    <cellStyle name="40% - Accent3 4 3_Exh G" xfId="3004" xr:uid="{00000000-0005-0000-0000-0000563C0000}"/>
    <cellStyle name="40% - Accent3 4 4" xfId="963" xr:uid="{00000000-0005-0000-0000-0000573C0000}"/>
    <cellStyle name="40% - Accent3 4 4 2" xfId="1883" xr:uid="{00000000-0005-0000-0000-0000583C0000}"/>
    <cellStyle name="40% - Accent3 4 4 2 2" xfId="5401" xr:uid="{00000000-0005-0000-0000-0000593C0000}"/>
    <cellStyle name="40% - Accent3 4 4 2 2 2" xfId="8992" xr:uid="{00000000-0005-0000-0000-00005A3C0000}"/>
    <cellStyle name="40% - Accent3 4 4 2 2 2 2" xfId="16963" xr:uid="{00000000-0005-0000-0000-00005B3C0000}"/>
    <cellStyle name="40% - Accent3 4 4 2 2 2 2 2" xfId="40805" xr:uid="{08941125-DB05-483A-99CA-5C5B85AB621F}"/>
    <cellStyle name="40% - Accent3 4 4 2 2 2 3" xfId="24909" xr:uid="{00000000-0005-0000-0000-00005C3C0000}"/>
    <cellStyle name="40% - Accent3 4 4 2 2 2 3 2" xfId="48741" xr:uid="{BFF9E59D-1408-4421-A43B-14BEF8539E70}"/>
    <cellStyle name="40% - Accent3 4 4 2 2 2 4" xfId="32864" xr:uid="{69783CED-883E-468A-9D64-3C959C3E7973}"/>
    <cellStyle name="40% - Accent3 4 4 2 2 3" xfId="13425" xr:uid="{00000000-0005-0000-0000-00005D3C0000}"/>
    <cellStyle name="40% - Accent3 4 4 2 2 3 2" xfId="37274" xr:uid="{4469915C-3DC7-47B2-B64A-28B8FC699430}"/>
    <cellStyle name="40% - Accent3 4 4 2 2 4" xfId="21380" xr:uid="{00000000-0005-0000-0000-00005E3C0000}"/>
    <cellStyle name="40% - Accent3 4 4 2 2 4 2" xfId="45212" xr:uid="{1F17C5E4-5111-4A82-BAEB-02D9F9FF1B75}"/>
    <cellStyle name="40% - Accent3 4 4 2 2 5" xfId="29333" xr:uid="{DBAB1348-28FA-4095-8A06-AFC6A2C17E88}"/>
    <cellStyle name="40% - Accent3 4 4 2 3" xfId="7233" xr:uid="{00000000-0005-0000-0000-00005F3C0000}"/>
    <cellStyle name="40% - Accent3 4 4 2 3 2" xfId="15205" xr:uid="{00000000-0005-0000-0000-0000603C0000}"/>
    <cellStyle name="40% - Accent3 4 4 2 3 2 2" xfId="39047" xr:uid="{4B634388-1658-432A-BFEA-CE6C041397EA}"/>
    <cellStyle name="40% - Accent3 4 4 2 3 3" xfId="23152" xr:uid="{00000000-0005-0000-0000-0000613C0000}"/>
    <cellStyle name="40% - Accent3 4 4 2 3 3 2" xfId="46984" xr:uid="{7A5EE7BE-3A29-4EC4-99EF-CA8F0EA3F2B4}"/>
    <cellStyle name="40% - Accent3 4 4 2 3 4" xfId="31106" xr:uid="{9011D163-7F62-496E-AE82-4AB512769F3D}"/>
    <cellStyle name="40% - Accent3 4 4 2 4" xfId="11669" xr:uid="{00000000-0005-0000-0000-0000623C0000}"/>
    <cellStyle name="40% - Accent3 4 4 2 4 2" xfId="35518" xr:uid="{66B109F8-73A3-4434-8235-AC36B02EB529}"/>
    <cellStyle name="40% - Accent3 4 4 2 5" xfId="19624" xr:uid="{00000000-0005-0000-0000-0000633C0000}"/>
    <cellStyle name="40% - Accent3 4 4 2 5 2" xfId="43456" xr:uid="{2D7B9FFE-97D6-41CB-B423-F2922C8FCAC3}"/>
    <cellStyle name="40% - Accent3 4 4 2 6" xfId="27576" xr:uid="{9F71A8AB-8A22-443F-8035-6EF1933FE2E6}"/>
    <cellStyle name="40% - Accent3 4 4 2_Exh G" xfId="3007" xr:uid="{00000000-0005-0000-0000-0000643C0000}"/>
    <cellStyle name="40% - Accent3 4 4 3" xfId="4522" xr:uid="{00000000-0005-0000-0000-0000653C0000}"/>
    <cellStyle name="40% - Accent3 4 4 3 2" xfId="8114" xr:uid="{00000000-0005-0000-0000-0000663C0000}"/>
    <cellStyle name="40% - Accent3 4 4 3 2 2" xfId="16085" xr:uid="{00000000-0005-0000-0000-0000673C0000}"/>
    <cellStyle name="40% - Accent3 4 4 3 2 2 2" xfId="39927" xr:uid="{0C058D46-36EF-4923-ADE5-FC1E72B29CA8}"/>
    <cellStyle name="40% - Accent3 4 4 3 2 3" xfId="24031" xr:uid="{00000000-0005-0000-0000-0000683C0000}"/>
    <cellStyle name="40% - Accent3 4 4 3 2 3 2" xfId="47863" xr:uid="{5257F917-D855-481D-87CA-642DC5723230}"/>
    <cellStyle name="40% - Accent3 4 4 3 2 4" xfId="31986" xr:uid="{C6C4346A-EA9C-45FE-B6FB-20AC9A0C9D29}"/>
    <cellStyle name="40% - Accent3 4 4 3 3" xfId="12547" xr:uid="{00000000-0005-0000-0000-0000693C0000}"/>
    <cellStyle name="40% - Accent3 4 4 3 3 2" xfId="36396" xr:uid="{616829EF-CFC8-45EC-A35B-1382225679B8}"/>
    <cellStyle name="40% - Accent3 4 4 3 4" xfId="20502" xr:uid="{00000000-0005-0000-0000-00006A3C0000}"/>
    <cellStyle name="40% - Accent3 4 4 3 4 2" xfId="44334" xr:uid="{2A587A8E-9300-424F-9E6C-8EBA3A991CE2}"/>
    <cellStyle name="40% - Accent3 4 4 3 5" xfId="28455" xr:uid="{E9306D57-884E-43D3-98AA-7AE3431CD737}"/>
    <cellStyle name="40% - Accent3 4 4 4" xfId="6352" xr:uid="{00000000-0005-0000-0000-00006B3C0000}"/>
    <cellStyle name="40% - Accent3 4 4 4 2" xfId="14327" xr:uid="{00000000-0005-0000-0000-00006C3C0000}"/>
    <cellStyle name="40% - Accent3 4 4 4 2 2" xfId="38169" xr:uid="{309A810B-773D-4084-811E-91B4E3D79F6B}"/>
    <cellStyle name="40% - Accent3 4 4 4 3" xfId="22274" xr:uid="{00000000-0005-0000-0000-00006D3C0000}"/>
    <cellStyle name="40% - Accent3 4 4 4 3 2" xfId="46106" xr:uid="{8669AE2E-F813-4CF3-A29E-A391644AD37C}"/>
    <cellStyle name="40% - Accent3 4 4 4 4" xfId="30228" xr:uid="{AE8A258E-5873-47CB-B262-534B2A57EA99}"/>
    <cellStyle name="40% - Accent3 4 4 5" xfId="9895" xr:uid="{00000000-0005-0000-0000-00006E3C0000}"/>
    <cellStyle name="40% - Accent3 4 4 5 2" xfId="17853" xr:uid="{00000000-0005-0000-0000-00006F3C0000}"/>
    <cellStyle name="40% - Accent3 4 4 5 2 2" xfId="41693" xr:uid="{3B8FB020-B771-45EE-9857-6631309742D5}"/>
    <cellStyle name="40% - Accent3 4 4 5 3" xfId="25797" xr:uid="{00000000-0005-0000-0000-0000703C0000}"/>
    <cellStyle name="40% - Accent3 4 4 5 3 2" xfId="49629" xr:uid="{98C0796D-AC47-42B3-B6E6-308CE1434CBF}"/>
    <cellStyle name="40% - Accent3 4 4 5 4" xfId="33752" xr:uid="{FCEF2567-A3A4-4F0E-B819-3B8E54A49AEA}"/>
    <cellStyle name="40% - Accent3 4 4 6" xfId="10791" xr:uid="{00000000-0005-0000-0000-0000713C0000}"/>
    <cellStyle name="40% - Accent3 4 4 6 2" xfId="34640" xr:uid="{3EFBFA84-80B2-4741-8113-6ADBEDE376DB}"/>
    <cellStyle name="40% - Accent3 4 4 7" xfId="18746" xr:uid="{00000000-0005-0000-0000-0000723C0000}"/>
    <cellStyle name="40% - Accent3 4 4 7 2" xfId="42578" xr:uid="{8AE5E102-8D8F-4EA5-B152-E117BB186A17}"/>
    <cellStyle name="40% - Accent3 4 4 8" xfId="26698" xr:uid="{A962A149-0F1C-4B8B-A5A4-1FAFC4E57269}"/>
    <cellStyle name="40% - Accent3 4 4_Exh G" xfId="3006" xr:uid="{00000000-0005-0000-0000-0000733C0000}"/>
    <cellStyle name="40% - Accent3 4 5" xfId="1488" xr:uid="{00000000-0005-0000-0000-0000743C0000}"/>
    <cellStyle name="40% - Accent3 4 5 2" xfId="5018" xr:uid="{00000000-0005-0000-0000-0000753C0000}"/>
    <cellStyle name="40% - Accent3 4 5 2 2" xfId="8609" xr:uid="{00000000-0005-0000-0000-0000763C0000}"/>
    <cellStyle name="40% - Accent3 4 5 2 2 2" xfId="16580" xr:uid="{00000000-0005-0000-0000-0000773C0000}"/>
    <cellStyle name="40% - Accent3 4 5 2 2 2 2" xfId="40422" xr:uid="{37F5A004-1D9C-45F0-AEB4-6C7D0F6ACAC8}"/>
    <cellStyle name="40% - Accent3 4 5 2 2 3" xfId="24526" xr:uid="{00000000-0005-0000-0000-0000783C0000}"/>
    <cellStyle name="40% - Accent3 4 5 2 2 3 2" xfId="48358" xr:uid="{D752BAAC-8D76-4E3E-A10B-A00EC44E94BB}"/>
    <cellStyle name="40% - Accent3 4 5 2 2 4" xfId="32481" xr:uid="{C936ECD4-E39F-491E-B661-35DA5E796CB2}"/>
    <cellStyle name="40% - Accent3 4 5 2 3" xfId="13042" xr:uid="{00000000-0005-0000-0000-0000793C0000}"/>
    <cellStyle name="40% - Accent3 4 5 2 3 2" xfId="36891" xr:uid="{8DB614B4-7178-4636-BF7A-9FAC4EFC40F5}"/>
    <cellStyle name="40% - Accent3 4 5 2 4" xfId="20997" xr:uid="{00000000-0005-0000-0000-00007A3C0000}"/>
    <cellStyle name="40% - Accent3 4 5 2 4 2" xfId="44829" xr:uid="{B0AE84F1-3F21-4CFD-9BAD-34A8C9AE6081}"/>
    <cellStyle name="40% - Accent3 4 5 2 5" xfId="28950" xr:uid="{35E3D54C-5F9C-46F6-A1ED-7BE639405159}"/>
    <cellStyle name="40% - Accent3 4 5 3" xfId="6850" xr:uid="{00000000-0005-0000-0000-00007B3C0000}"/>
    <cellStyle name="40% - Accent3 4 5 3 2" xfId="14822" xr:uid="{00000000-0005-0000-0000-00007C3C0000}"/>
    <cellStyle name="40% - Accent3 4 5 3 2 2" xfId="38664" xr:uid="{07264E21-EB28-474B-B5E4-AD9A6DAF2CEE}"/>
    <cellStyle name="40% - Accent3 4 5 3 3" xfId="22769" xr:uid="{00000000-0005-0000-0000-00007D3C0000}"/>
    <cellStyle name="40% - Accent3 4 5 3 3 2" xfId="46601" xr:uid="{423906AF-71C4-4000-8AEB-29244AAD67DC}"/>
    <cellStyle name="40% - Accent3 4 5 3 4" xfId="30723" xr:uid="{E50291E9-62DF-4457-93F6-BDAA0A32F887}"/>
    <cellStyle name="40% - Accent3 4 5 4" xfId="11286" xr:uid="{00000000-0005-0000-0000-00007E3C0000}"/>
    <cellStyle name="40% - Accent3 4 5 4 2" xfId="35135" xr:uid="{CF480145-76C5-4C62-A9CA-26C1E8A46A3B}"/>
    <cellStyle name="40% - Accent3 4 5 5" xfId="19241" xr:uid="{00000000-0005-0000-0000-00007F3C0000}"/>
    <cellStyle name="40% - Accent3 4 5 5 2" xfId="43073" xr:uid="{17BA39F1-7F38-4A79-BEB9-71554DCDFE03}"/>
    <cellStyle name="40% - Accent3 4 5 6" xfId="27193" xr:uid="{7BD0C30D-8959-49BA-83E9-52C10B92259E}"/>
    <cellStyle name="40% - Accent3 4 5_Exh G" xfId="3008" xr:uid="{00000000-0005-0000-0000-0000803C0000}"/>
    <cellStyle name="40% - Accent3 4 6" xfId="4139" xr:uid="{00000000-0005-0000-0000-0000813C0000}"/>
    <cellStyle name="40% - Accent3 4 6 2" xfId="7731" xr:uid="{00000000-0005-0000-0000-0000823C0000}"/>
    <cellStyle name="40% - Accent3 4 6 2 2" xfId="15702" xr:uid="{00000000-0005-0000-0000-0000833C0000}"/>
    <cellStyle name="40% - Accent3 4 6 2 2 2" xfId="39544" xr:uid="{69ACF2F0-3467-46C3-A243-E3DA01D76999}"/>
    <cellStyle name="40% - Accent3 4 6 2 3" xfId="23648" xr:uid="{00000000-0005-0000-0000-0000843C0000}"/>
    <cellStyle name="40% - Accent3 4 6 2 3 2" xfId="47480" xr:uid="{B10E03F4-40D1-4B5C-8450-468033FC1B27}"/>
    <cellStyle name="40% - Accent3 4 6 2 4" xfId="31603" xr:uid="{C546CAA8-9A46-47FF-9977-FC0B42D6074D}"/>
    <cellStyle name="40% - Accent3 4 6 3" xfId="12164" xr:uid="{00000000-0005-0000-0000-0000853C0000}"/>
    <cellStyle name="40% - Accent3 4 6 3 2" xfId="36013" xr:uid="{53F57563-9FC3-44CB-B2CD-1C46124A56E3}"/>
    <cellStyle name="40% - Accent3 4 6 4" xfId="20119" xr:uid="{00000000-0005-0000-0000-0000863C0000}"/>
    <cellStyle name="40% - Accent3 4 6 4 2" xfId="43951" xr:uid="{E1A293BF-74D5-42B0-B308-F7E27AF7FED0}"/>
    <cellStyle name="40% - Accent3 4 6 5" xfId="28072" xr:uid="{1380F5EC-3548-4BBB-A005-9C23713ED906}"/>
    <cellStyle name="40% - Accent3 4 7" xfId="5959" xr:uid="{00000000-0005-0000-0000-0000873C0000}"/>
    <cellStyle name="40% - Accent3 4 7 2" xfId="13943" xr:uid="{00000000-0005-0000-0000-0000883C0000}"/>
    <cellStyle name="40% - Accent3 4 7 2 2" xfId="37786" xr:uid="{E1F78F78-E362-4D94-AACE-91525FFDEA85}"/>
    <cellStyle name="40% - Accent3 4 7 3" xfId="21891" xr:uid="{00000000-0005-0000-0000-0000893C0000}"/>
    <cellStyle name="40% - Accent3 4 7 3 2" xfId="45723" xr:uid="{8CA032D2-5520-4F4A-8932-8069D319743F}"/>
    <cellStyle name="40% - Accent3 4 7 4" xfId="29845" xr:uid="{2232F3D0-B3E4-4920-B1AB-4CD8C371D489}"/>
    <cellStyle name="40% - Accent3 4 8" xfId="9512" xr:uid="{00000000-0005-0000-0000-00008A3C0000}"/>
    <cellStyle name="40% - Accent3 4 8 2" xfId="17470" xr:uid="{00000000-0005-0000-0000-00008B3C0000}"/>
    <cellStyle name="40% - Accent3 4 8 2 2" xfId="41310" xr:uid="{FA87A40F-D6FF-427E-AD94-B24A1DC3C28B}"/>
    <cellStyle name="40% - Accent3 4 8 3" xfId="25414" xr:uid="{00000000-0005-0000-0000-00008C3C0000}"/>
    <cellStyle name="40% - Accent3 4 8 3 2" xfId="49246" xr:uid="{13269223-BC40-40A0-81EF-E80659976431}"/>
    <cellStyle name="40% - Accent3 4 8 4" xfId="33369" xr:uid="{A5553F85-5BBC-4B12-966E-9F20A3AE1C56}"/>
    <cellStyle name="40% - Accent3 4 9" xfId="10408" xr:uid="{00000000-0005-0000-0000-00008D3C0000}"/>
    <cellStyle name="40% - Accent3 4 9 2" xfId="34257" xr:uid="{C669A8A7-5D1A-4873-98C4-65927B939C1E}"/>
    <cellStyle name="40% - Accent3 4_Exh G" xfId="2997" xr:uid="{00000000-0005-0000-0000-00008E3C0000}"/>
    <cellStyle name="40% - Accent3 5" xfId="464" xr:uid="{00000000-0005-0000-0000-00008F3C0000}"/>
    <cellStyle name="40% - Accent3 5 10" xfId="18367" xr:uid="{00000000-0005-0000-0000-0000903C0000}"/>
    <cellStyle name="40% - Accent3 5 10 2" xfId="42199" xr:uid="{BE9FA55A-7D8E-41A3-9617-54ED6B19C263}"/>
    <cellStyle name="40% - Accent3 5 11" xfId="26319" xr:uid="{89554308-A293-43EC-BC99-1B97B538217E}"/>
    <cellStyle name="40% - Accent3 5 2" xfId="465" xr:uid="{00000000-0005-0000-0000-0000913C0000}"/>
    <cellStyle name="40% - Accent3 5 2 2" xfId="466" xr:uid="{00000000-0005-0000-0000-0000923C0000}"/>
    <cellStyle name="40% - Accent3 5 2 2 2" xfId="1494" xr:uid="{00000000-0005-0000-0000-0000933C0000}"/>
    <cellStyle name="40% - Accent3 5 2 2 2 2" xfId="5024" xr:uid="{00000000-0005-0000-0000-0000943C0000}"/>
    <cellStyle name="40% - Accent3 5 2 2 2 2 2" xfId="8615" xr:uid="{00000000-0005-0000-0000-0000953C0000}"/>
    <cellStyle name="40% - Accent3 5 2 2 2 2 2 2" xfId="16586" xr:uid="{00000000-0005-0000-0000-0000963C0000}"/>
    <cellStyle name="40% - Accent3 5 2 2 2 2 2 2 2" xfId="40428" xr:uid="{EB6F447F-E59A-4818-B13D-193970D61FC2}"/>
    <cellStyle name="40% - Accent3 5 2 2 2 2 2 3" xfId="24532" xr:uid="{00000000-0005-0000-0000-0000973C0000}"/>
    <cellStyle name="40% - Accent3 5 2 2 2 2 2 3 2" xfId="48364" xr:uid="{3A680A06-B58E-49E1-8B0E-FF8892205CD5}"/>
    <cellStyle name="40% - Accent3 5 2 2 2 2 2 4" xfId="32487" xr:uid="{CAC8B292-CF70-4C9F-AAC3-F4C4CDDD1652}"/>
    <cellStyle name="40% - Accent3 5 2 2 2 2 3" xfId="13048" xr:uid="{00000000-0005-0000-0000-0000983C0000}"/>
    <cellStyle name="40% - Accent3 5 2 2 2 2 3 2" xfId="36897" xr:uid="{CA032536-EFA3-49DD-85E9-BF41D372F765}"/>
    <cellStyle name="40% - Accent3 5 2 2 2 2 4" xfId="21003" xr:uid="{00000000-0005-0000-0000-0000993C0000}"/>
    <cellStyle name="40% - Accent3 5 2 2 2 2 4 2" xfId="44835" xr:uid="{CD5679E0-6760-4128-A489-5F5222DCA5A8}"/>
    <cellStyle name="40% - Accent3 5 2 2 2 2 5" xfId="28956" xr:uid="{D11CF042-D702-470F-8541-5E6266ACBA85}"/>
    <cellStyle name="40% - Accent3 5 2 2 2 3" xfId="6856" xr:uid="{00000000-0005-0000-0000-00009A3C0000}"/>
    <cellStyle name="40% - Accent3 5 2 2 2 3 2" xfId="14828" xr:uid="{00000000-0005-0000-0000-00009B3C0000}"/>
    <cellStyle name="40% - Accent3 5 2 2 2 3 2 2" xfId="38670" xr:uid="{10FF0B1D-ECB0-49D2-AF83-E6D2CCF1FA96}"/>
    <cellStyle name="40% - Accent3 5 2 2 2 3 3" xfId="22775" xr:uid="{00000000-0005-0000-0000-00009C3C0000}"/>
    <cellStyle name="40% - Accent3 5 2 2 2 3 3 2" xfId="46607" xr:uid="{E5F2F9A0-6E6A-473F-87F7-6167A353481F}"/>
    <cellStyle name="40% - Accent3 5 2 2 2 3 4" xfId="30729" xr:uid="{9511846F-25B1-446F-A213-259BB8A5FAAF}"/>
    <cellStyle name="40% - Accent3 5 2 2 2 4" xfId="11292" xr:uid="{00000000-0005-0000-0000-00009D3C0000}"/>
    <cellStyle name="40% - Accent3 5 2 2 2 4 2" xfId="35141" xr:uid="{BAC1FF6B-77AE-4552-BD7F-C800D5C462CE}"/>
    <cellStyle name="40% - Accent3 5 2 2 2 5" xfId="19247" xr:uid="{00000000-0005-0000-0000-00009E3C0000}"/>
    <cellStyle name="40% - Accent3 5 2 2 2 5 2" xfId="43079" xr:uid="{BD498064-1615-4462-AEBE-021556277CB5}"/>
    <cellStyle name="40% - Accent3 5 2 2 2 6" xfId="27199" xr:uid="{EA4F0DEA-B240-4BBE-801A-51E29F1D1424}"/>
    <cellStyle name="40% - Accent3 5 2 2 2_Exh G" xfId="3012" xr:uid="{00000000-0005-0000-0000-00009F3C0000}"/>
    <cellStyle name="40% - Accent3 5 2 2 3" xfId="4145" xr:uid="{00000000-0005-0000-0000-0000A03C0000}"/>
    <cellStyle name="40% - Accent3 5 2 2 3 2" xfId="7737" xr:uid="{00000000-0005-0000-0000-0000A13C0000}"/>
    <cellStyle name="40% - Accent3 5 2 2 3 2 2" xfId="15708" xr:uid="{00000000-0005-0000-0000-0000A23C0000}"/>
    <cellStyle name="40% - Accent3 5 2 2 3 2 2 2" xfId="39550" xr:uid="{8115D03B-C8CC-4832-B412-E78C8D07CDCE}"/>
    <cellStyle name="40% - Accent3 5 2 2 3 2 3" xfId="23654" xr:uid="{00000000-0005-0000-0000-0000A33C0000}"/>
    <cellStyle name="40% - Accent3 5 2 2 3 2 3 2" xfId="47486" xr:uid="{FC0DC9E0-CAC5-42E0-AD95-9D1B5C92D637}"/>
    <cellStyle name="40% - Accent3 5 2 2 3 2 4" xfId="31609" xr:uid="{EF8391C2-F32B-4F74-8390-97BA70D2981D}"/>
    <cellStyle name="40% - Accent3 5 2 2 3 3" xfId="12170" xr:uid="{00000000-0005-0000-0000-0000A43C0000}"/>
    <cellStyle name="40% - Accent3 5 2 2 3 3 2" xfId="36019" xr:uid="{73F47D8B-342D-4CC9-B9D0-72A07BD6BAB7}"/>
    <cellStyle name="40% - Accent3 5 2 2 3 4" xfId="20125" xr:uid="{00000000-0005-0000-0000-0000A53C0000}"/>
    <cellStyle name="40% - Accent3 5 2 2 3 4 2" xfId="43957" xr:uid="{8D867DD1-16A8-485C-AD65-37EEB90F4B94}"/>
    <cellStyle name="40% - Accent3 5 2 2 3 5" xfId="28078" xr:uid="{05EB2D67-639F-4912-9502-BB07B0F55C0F}"/>
    <cellStyle name="40% - Accent3 5 2 2 4" xfId="5965" xr:uid="{00000000-0005-0000-0000-0000A63C0000}"/>
    <cellStyle name="40% - Accent3 5 2 2 4 2" xfId="13949" xr:uid="{00000000-0005-0000-0000-0000A73C0000}"/>
    <cellStyle name="40% - Accent3 5 2 2 4 2 2" xfId="37792" xr:uid="{9FB86A6C-A011-4D5F-A263-EDA094EB4E58}"/>
    <cellStyle name="40% - Accent3 5 2 2 4 3" xfId="21897" xr:uid="{00000000-0005-0000-0000-0000A83C0000}"/>
    <cellStyle name="40% - Accent3 5 2 2 4 3 2" xfId="45729" xr:uid="{41214B0B-B5B4-4691-AC96-C2C0EA569926}"/>
    <cellStyle name="40% - Accent3 5 2 2 4 4" xfId="29851" xr:uid="{6BE15118-6946-4FF6-B833-B527C08F497D}"/>
    <cellStyle name="40% - Accent3 5 2 2 5" xfId="9518" xr:uid="{00000000-0005-0000-0000-0000A93C0000}"/>
    <cellStyle name="40% - Accent3 5 2 2 5 2" xfId="17476" xr:uid="{00000000-0005-0000-0000-0000AA3C0000}"/>
    <cellStyle name="40% - Accent3 5 2 2 5 2 2" xfId="41316" xr:uid="{4660A95B-82B4-405B-A86B-8EAA1A93DA30}"/>
    <cellStyle name="40% - Accent3 5 2 2 5 3" xfId="25420" xr:uid="{00000000-0005-0000-0000-0000AB3C0000}"/>
    <cellStyle name="40% - Accent3 5 2 2 5 3 2" xfId="49252" xr:uid="{8E95AC5E-FED7-4331-B8AE-E37C1060846E}"/>
    <cellStyle name="40% - Accent3 5 2 2 5 4" xfId="33375" xr:uid="{4992F6F2-525E-4121-92A2-55B243FCB7F0}"/>
    <cellStyle name="40% - Accent3 5 2 2 6" xfId="10414" xr:uid="{00000000-0005-0000-0000-0000AC3C0000}"/>
    <cellStyle name="40% - Accent3 5 2 2 6 2" xfId="34263" xr:uid="{666A8662-621A-4E6E-A28F-CED9B768F644}"/>
    <cellStyle name="40% - Accent3 5 2 2 7" xfId="18369" xr:uid="{00000000-0005-0000-0000-0000AD3C0000}"/>
    <cellStyle name="40% - Accent3 5 2 2 7 2" xfId="42201" xr:uid="{08355951-92F3-46B3-A482-E528A0292182}"/>
    <cellStyle name="40% - Accent3 5 2 2 8" xfId="26321" xr:uid="{FD72AE70-642D-4428-A743-B6347E32A7E8}"/>
    <cellStyle name="40% - Accent3 5 2 2_Exh G" xfId="3011" xr:uid="{00000000-0005-0000-0000-0000AE3C0000}"/>
    <cellStyle name="40% - Accent3 5 2 3" xfId="1493" xr:uid="{00000000-0005-0000-0000-0000AF3C0000}"/>
    <cellStyle name="40% - Accent3 5 2 3 2" xfId="5023" xr:uid="{00000000-0005-0000-0000-0000B03C0000}"/>
    <cellStyle name="40% - Accent3 5 2 3 2 2" xfId="8614" xr:uid="{00000000-0005-0000-0000-0000B13C0000}"/>
    <cellStyle name="40% - Accent3 5 2 3 2 2 2" xfId="16585" xr:uid="{00000000-0005-0000-0000-0000B23C0000}"/>
    <cellStyle name="40% - Accent3 5 2 3 2 2 2 2" xfId="40427" xr:uid="{937E2855-56D5-4BBE-BCC6-1C63910F5874}"/>
    <cellStyle name="40% - Accent3 5 2 3 2 2 3" xfId="24531" xr:uid="{00000000-0005-0000-0000-0000B33C0000}"/>
    <cellStyle name="40% - Accent3 5 2 3 2 2 3 2" xfId="48363" xr:uid="{1BAD4C77-B34C-4251-B998-B1D160EFCC99}"/>
    <cellStyle name="40% - Accent3 5 2 3 2 2 4" xfId="32486" xr:uid="{93ACE7D5-D847-4444-BBC1-C61F1F136CED}"/>
    <cellStyle name="40% - Accent3 5 2 3 2 3" xfId="13047" xr:uid="{00000000-0005-0000-0000-0000B43C0000}"/>
    <cellStyle name="40% - Accent3 5 2 3 2 3 2" xfId="36896" xr:uid="{EE4A5C5E-9E24-405A-9292-4E39F2E369BA}"/>
    <cellStyle name="40% - Accent3 5 2 3 2 4" xfId="21002" xr:uid="{00000000-0005-0000-0000-0000B53C0000}"/>
    <cellStyle name="40% - Accent3 5 2 3 2 4 2" xfId="44834" xr:uid="{B7E95E78-68B1-44B1-8EE1-77FA9D82D3E6}"/>
    <cellStyle name="40% - Accent3 5 2 3 2 5" xfId="28955" xr:uid="{367AEF2C-29DD-4A1D-BAEF-73025E7AB603}"/>
    <cellStyle name="40% - Accent3 5 2 3 3" xfId="6855" xr:uid="{00000000-0005-0000-0000-0000B63C0000}"/>
    <cellStyle name="40% - Accent3 5 2 3 3 2" xfId="14827" xr:uid="{00000000-0005-0000-0000-0000B73C0000}"/>
    <cellStyle name="40% - Accent3 5 2 3 3 2 2" xfId="38669" xr:uid="{6CEB8098-9651-4B4E-B5D5-74044F0C35AC}"/>
    <cellStyle name="40% - Accent3 5 2 3 3 3" xfId="22774" xr:uid="{00000000-0005-0000-0000-0000B83C0000}"/>
    <cellStyle name="40% - Accent3 5 2 3 3 3 2" xfId="46606" xr:uid="{9FEEE491-9CD3-4A95-93F2-40375344128B}"/>
    <cellStyle name="40% - Accent3 5 2 3 3 4" xfId="30728" xr:uid="{CC6C84BD-8DA5-4731-8DD9-C75EDCF85A7C}"/>
    <cellStyle name="40% - Accent3 5 2 3 4" xfId="11291" xr:uid="{00000000-0005-0000-0000-0000B93C0000}"/>
    <cellStyle name="40% - Accent3 5 2 3 4 2" xfId="35140" xr:uid="{7B002F1E-F1A8-4764-9B7B-CE62CCC29A49}"/>
    <cellStyle name="40% - Accent3 5 2 3 5" xfId="19246" xr:uid="{00000000-0005-0000-0000-0000BA3C0000}"/>
    <cellStyle name="40% - Accent3 5 2 3 5 2" xfId="43078" xr:uid="{6DB639DF-BBA1-44ED-86C3-D713FC95BD11}"/>
    <cellStyle name="40% - Accent3 5 2 3 6" xfId="27198" xr:uid="{E81B63E1-4DA5-471D-A5B3-3014C055DB1B}"/>
    <cellStyle name="40% - Accent3 5 2 3_Exh G" xfId="3013" xr:uid="{00000000-0005-0000-0000-0000BB3C0000}"/>
    <cellStyle name="40% - Accent3 5 2 4" xfId="4144" xr:uid="{00000000-0005-0000-0000-0000BC3C0000}"/>
    <cellStyle name="40% - Accent3 5 2 4 2" xfId="7736" xr:uid="{00000000-0005-0000-0000-0000BD3C0000}"/>
    <cellStyle name="40% - Accent3 5 2 4 2 2" xfId="15707" xr:uid="{00000000-0005-0000-0000-0000BE3C0000}"/>
    <cellStyle name="40% - Accent3 5 2 4 2 2 2" xfId="39549" xr:uid="{39C2D59D-EF1C-4AF7-9F8E-A5A7C0737C16}"/>
    <cellStyle name="40% - Accent3 5 2 4 2 3" xfId="23653" xr:uid="{00000000-0005-0000-0000-0000BF3C0000}"/>
    <cellStyle name="40% - Accent3 5 2 4 2 3 2" xfId="47485" xr:uid="{F81DF967-DFA5-4E7D-B319-D6DC20807E16}"/>
    <cellStyle name="40% - Accent3 5 2 4 2 4" xfId="31608" xr:uid="{CC60256E-5966-4364-BFB5-3A1E161C9994}"/>
    <cellStyle name="40% - Accent3 5 2 4 3" xfId="12169" xr:uid="{00000000-0005-0000-0000-0000C03C0000}"/>
    <cellStyle name="40% - Accent3 5 2 4 3 2" xfId="36018" xr:uid="{4493AA4F-9A34-453F-999E-ABB920A44ED8}"/>
    <cellStyle name="40% - Accent3 5 2 4 4" xfId="20124" xr:uid="{00000000-0005-0000-0000-0000C13C0000}"/>
    <cellStyle name="40% - Accent3 5 2 4 4 2" xfId="43956" xr:uid="{A62CC37C-3549-4C6E-8BB1-750B5AB2349B}"/>
    <cellStyle name="40% - Accent3 5 2 4 5" xfId="28077" xr:uid="{59B0BA11-3CD0-47CF-B240-A94633E71E59}"/>
    <cellStyle name="40% - Accent3 5 2 5" xfId="5964" xr:uid="{00000000-0005-0000-0000-0000C23C0000}"/>
    <cellStyle name="40% - Accent3 5 2 5 2" xfId="13948" xr:uid="{00000000-0005-0000-0000-0000C33C0000}"/>
    <cellStyle name="40% - Accent3 5 2 5 2 2" xfId="37791" xr:uid="{9142FFE7-B578-4649-A62C-872FFFE3607E}"/>
    <cellStyle name="40% - Accent3 5 2 5 3" xfId="21896" xr:uid="{00000000-0005-0000-0000-0000C43C0000}"/>
    <cellStyle name="40% - Accent3 5 2 5 3 2" xfId="45728" xr:uid="{DFF3431E-7A82-448D-8389-C4227740026E}"/>
    <cellStyle name="40% - Accent3 5 2 5 4" xfId="29850" xr:uid="{59E7C39E-244B-408D-8410-E4DEE24CA496}"/>
    <cellStyle name="40% - Accent3 5 2 6" xfId="9517" xr:uid="{00000000-0005-0000-0000-0000C53C0000}"/>
    <cellStyle name="40% - Accent3 5 2 6 2" xfId="17475" xr:uid="{00000000-0005-0000-0000-0000C63C0000}"/>
    <cellStyle name="40% - Accent3 5 2 6 2 2" xfId="41315" xr:uid="{7D3A1883-6D4A-4132-8C81-4D6A56D9E9AA}"/>
    <cellStyle name="40% - Accent3 5 2 6 3" xfId="25419" xr:uid="{00000000-0005-0000-0000-0000C73C0000}"/>
    <cellStyle name="40% - Accent3 5 2 6 3 2" xfId="49251" xr:uid="{284FEB90-3DDF-4669-9DA1-FC06103ED65A}"/>
    <cellStyle name="40% - Accent3 5 2 6 4" xfId="33374" xr:uid="{2DA76A0E-8096-421A-B1AD-91020D8BB92E}"/>
    <cellStyle name="40% - Accent3 5 2 7" xfId="10413" xr:uid="{00000000-0005-0000-0000-0000C83C0000}"/>
    <cellStyle name="40% - Accent3 5 2 7 2" xfId="34262" xr:uid="{AB598004-4013-4B80-A185-7810D04BAA08}"/>
    <cellStyle name="40% - Accent3 5 2 8" xfId="18368" xr:uid="{00000000-0005-0000-0000-0000C93C0000}"/>
    <cellStyle name="40% - Accent3 5 2 8 2" xfId="42200" xr:uid="{9AC0DB09-08D6-4FF8-AD36-2DC583ADE3F3}"/>
    <cellStyle name="40% - Accent3 5 2 9" xfId="26320" xr:uid="{36DFDCAA-AEF9-48B6-AB5B-249C9CEAAD36}"/>
    <cellStyle name="40% - Accent3 5 2_Exh G" xfId="3010" xr:uid="{00000000-0005-0000-0000-0000CA3C0000}"/>
    <cellStyle name="40% - Accent3 5 3" xfId="467" xr:uid="{00000000-0005-0000-0000-0000CB3C0000}"/>
    <cellStyle name="40% - Accent3 5 3 2" xfId="1495" xr:uid="{00000000-0005-0000-0000-0000CC3C0000}"/>
    <cellStyle name="40% - Accent3 5 3 2 2" xfId="5025" xr:uid="{00000000-0005-0000-0000-0000CD3C0000}"/>
    <cellStyle name="40% - Accent3 5 3 2 2 2" xfId="8616" xr:uid="{00000000-0005-0000-0000-0000CE3C0000}"/>
    <cellStyle name="40% - Accent3 5 3 2 2 2 2" xfId="16587" xr:uid="{00000000-0005-0000-0000-0000CF3C0000}"/>
    <cellStyle name="40% - Accent3 5 3 2 2 2 2 2" xfId="40429" xr:uid="{CF406113-B161-4617-ADB8-88D9E8068FC2}"/>
    <cellStyle name="40% - Accent3 5 3 2 2 2 3" xfId="24533" xr:uid="{00000000-0005-0000-0000-0000D03C0000}"/>
    <cellStyle name="40% - Accent3 5 3 2 2 2 3 2" xfId="48365" xr:uid="{7F14BE9B-9615-4578-8057-ED952470627E}"/>
    <cellStyle name="40% - Accent3 5 3 2 2 2 4" xfId="32488" xr:uid="{011A7B3E-8929-48B2-AFCF-151193CD5474}"/>
    <cellStyle name="40% - Accent3 5 3 2 2 3" xfId="13049" xr:uid="{00000000-0005-0000-0000-0000D13C0000}"/>
    <cellStyle name="40% - Accent3 5 3 2 2 3 2" xfId="36898" xr:uid="{56DB2EF0-7700-4542-860F-E48CB337B6BD}"/>
    <cellStyle name="40% - Accent3 5 3 2 2 4" xfId="21004" xr:uid="{00000000-0005-0000-0000-0000D23C0000}"/>
    <cellStyle name="40% - Accent3 5 3 2 2 4 2" xfId="44836" xr:uid="{F3E747F2-B72A-4A94-9C48-03F8C6A1535C}"/>
    <cellStyle name="40% - Accent3 5 3 2 2 5" xfId="28957" xr:uid="{ECD56A88-7F33-4A32-8A5F-8FD008FBA0F4}"/>
    <cellStyle name="40% - Accent3 5 3 2 3" xfId="6857" xr:uid="{00000000-0005-0000-0000-0000D33C0000}"/>
    <cellStyle name="40% - Accent3 5 3 2 3 2" xfId="14829" xr:uid="{00000000-0005-0000-0000-0000D43C0000}"/>
    <cellStyle name="40% - Accent3 5 3 2 3 2 2" xfId="38671" xr:uid="{0335C941-CD8B-4ADC-9994-DA36143CB1F1}"/>
    <cellStyle name="40% - Accent3 5 3 2 3 3" xfId="22776" xr:uid="{00000000-0005-0000-0000-0000D53C0000}"/>
    <cellStyle name="40% - Accent3 5 3 2 3 3 2" xfId="46608" xr:uid="{467E82E6-1135-4726-B565-F5E8B179A05C}"/>
    <cellStyle name="40% - Accent3 5 3 2 3 4" xfId="30730" xr:uid="{F91FCE04-8E3A-4BB6-9443-A522CF75D58E}"/>
    <cellStyle name="40% - Accent3 5 3 2 4" xfId="11293" xr:uid="{00000000-0005-0000-0000-0000D63C0000}"/>
    <cellStyle name="40% - Accent3 5 3 2 4 2" xfId="35142" xr:uid="{544218EE-42E4-4C7F-85F4-768F78C567FD}"/>
    <cellStyle name="40% - Accent3 5 3 2 5" xfId="19248" xr:uid="{00000000-0005-0000-0000-0000D73C0000}"/>
    <cellStyle name="40% - Accent3 5 3 2 5 2" xfId="43080" xr:uid="{49348345-D912-4985-8482-8CAA47530089}"/>
    <cellStyle name="40% - Accent3 5 3 2 6" xfId="27200" xr:uid="{2B015D54-EB53-4568-AC4A-9814519DE9B0}"/>
    <cellStyle name="40% - Accent3 5 3 2_Exh G" xfId="3015" xr:uid="{00000000-0005-0000-0000-0000D83C0000}"/>
    <cellStyle name="40% - Accent3 5 3 3" xfId="4146" xr:uid="{00000000-0005-0000-0000-0000D93C0000}"/>
    <cellStyle name="40% - Accent3 5 3 3 2" xfId="7738" xr:uid="{00000000-0005-0000-0000-0000DA3C0000}"/>
    <cellStyle name="40% - Accent3 5 3 3 2 2" xfId="15709" xr:uid="{00000000-0005-0000-0000-0000DB3C0000}"/>
    <cellStyle name="40% - Accent3 5 3 3 2 2 2" xfId="39551" xr:uid="{78F68F46-90CE-4272-8862-F987A0751DC6}"/>
    <cellStyle name="40% - Accent3 5 3 3 2 3" xfId="23655" xr:uid="{00000000-0005-0000-0000-0000DC3C0000}"/>
    <cellStyle name="40% - Accent3 5 3 3 2 3 2" xfId="47487" xr:uid="{8EA10B4E-350A-4C1E-8CB2-E54DAC2F97F2}"/>
    <cellStyle name="40% - Accent3 5 3 3 2 4" xfId="31610" xr:uid="{973184E0-A689-4FFE-A77E-D17E8FB03E53}"/>
    <cellStyle name="40% - Accent3 5 3 3 3" xfId="12171" xr:uid="{00000000-0005-0000-0000-0000DD3C0000}"/>
    <cellStyle name="40% - Accent3 5 3 3 3 2" xfId="36020" xr:uid="{65638C12-0F64-41A6-A50A-3B3F30CC544A}"/>
    <cellStyle name="40% - Accent3 5 3 3 4" xfId="20126" xr:uid="{00000000-0005-0000-0000-0000DE3C0000}"/>
    <cellStyle name="40% - Accent3 5 3 3 4 2" xfId="43958" xr:uid="{A8CFE94A-7024-41AF-AEF7-7BF5967B718B}"/>
    <cellStyle name="40% - Accent3 5 3 3 5" xfId="28079" xr:uid="{80C78B21-D334-4686-80EB-31D5363302F0}"/>
    <cellStyle name="40% - Accent3 5 3 4" xfId="5966" xr:uid="{00000000-0005-0000-0000-0000DF3C0000}"/>
    <cellStyle name="40% - Accent3 5 3 4 2" xfId="13950" xr:uid="{00000000-0005-0000-0000-0000E03C0000}"/>
    <cellStyle name="40% - Accent3 5 3 4 2 2" xfId="37793" xr:uid="{BACEDF0D-0E86-4504-9E1C-BFAD37465E35}"/>
    <cellStyle name="40% - Accent3 5 3 4 3" xfId="21898" xr:uid="{00000000-0005-0000-0000-0000E13C0000}"/>
    <cellStyle name="40% - Accent3 5 3 4 3 2" xfId="45730" xr:uid="{33AC0374-1741-4513-AC8F-516D356B5689}"/>
    <cellStyle name="40% - Accent3 5 3 4 4" xfId="29852" xr:uid="{514D2ECE-206D-4C84-9A35-05C93AAA4BF3}"/>
    <cellStyle name="40% - Accent3 5 3 5" xfId="9519" xr:uid="{00000000-0005-0000-0000-0000E23C0000}"/>
    <cellStyle name="40% - Accent3 5 3 5 2" xfId="17477" xr:uid="{00000000-0005-0000-0000-0000E33C0000}"/>
    <cellStyle name="40% - Accent3 5 3 5 2 2" xfId="41317" xr:uid="{BC517358-7A8B-421F-B25A-BD562E765CBC}"/>
    <cellStyle name="40% - Accent3 5 3 5 3" xfId="25421" xr:uid="{00000000-0005-0000-0000-0000E43C0000}"/>
    <cellStyle name="40% - Accent3 5 3 5 3 2" xfId="49253" xr:uid="{ADE0159C-5B29-4CD4-AF5E-D9DCBB46A0A0}"/>
    <cellStyle name="40% - Accent3 5 3 5 4" xfId="33376" xr:uid="{4AA8F6A0-90BF-41BF-8F7C-5A7E7EA11D31}"/>
    <cellStyle name="40% - Accent3 5 3 6" xfId="10415" xr:uid="{00000000-0005-0000-0000-0000E53C0000}"/>
    <cellStyle name="40% - Accent3 5 3 6 2" xfId="34264" xr:uid="{4956579B-CE9B-4446-B3A3-8E59C63FD479}"/>
    <cellStyle name="40% - Accent3 5 3 7" xfId="18370" xr:uid="{00000000-0005-0000-0000-0000E63C0000}"/>
    <cellStyle name="40% - Accent3 5 3 7 2" xfId="42202" xr:uid="{FE8D7184-EF8F-4696-8743-1EC6C2C2CECB}"/>
    <cellStyle name="40% - Accent3 5 3 8" xfId="26322" xr:uid="{B9A97F0E-155F-40EC-8428-65599DBE8156}"/>
    <cellStyle name="40% - Accent3 5 3_Exh G" xfId="3014" xr:uid="{00000000-0005-0000-0000-0000E73C0000}"/>
    <cellStyle name="40% - Accent3 5 4" xfId="965" xr:uid="{00000000-0005-0000-0000-0000E83C0000}"/>
    <cellStyle name="40% - Accent3 5 5" xfId="1492" xr:uid="{00000000-0005-0000-0000-0000E93C0000}"/>
    <cellStyle name="40% - Accent3 5 5 2" xfId="5022" xr:uid="{00000000-0005-0000-0000-0000EA3C0000}"/>
    <cellStyle name="40% - Accent3 5 5 2 2" xfId="8613" xr:uid="{00000000-0005-0000-0000-0000EB3C0000}"/>
    <cellStyle name="40% - Accent3 5 5 2 2 2" xfId="16584" xr:uid="{00000000-0005-0000-0000-0000EC3C0000}"/>
    <cellStyle name="40% - Accent3 5 5 2 2 2 2" xfId="40426" xr:uid="{07CE8FD3-9557-4426-818A-ED7BB6BADC11}"/>
    <cellStyle name="40% - Accent3 5 5 2 2 3" xfId="24530" xr:uid="{00000000-0005-0000-0000-0000ED3C0000}"/>
    <cellStyle name="40% - Accent3 5 5 2 2 3 2" xfId="48362" xr:uid="{4A4F497F-BB0B-4013-B235-383C48739DA8}"/>
    <cellStyle name="40% - Accent3 5 5 2 2 4" xfId="32485" xr:uid="{29084226-2955-44ED-BD0B-6E0AD71297FA}"/>
    <cellStyle name="40% - Accent3 5 5 2 3" xfId="13046" xr:uid="{00000000-0005-0000-0000-0000EE3C0000}"/>
    <cellStyle name="40% - Accent3 5 5 2 3 2" xfId="36895" xr:uid="{B8CD4170-3C59-4378-AABB-3895550B2DB9}"/>
    <cellStyle name="40% - Accent3 5 5 2 4" xfId="21001" xr:uid="{00000000-0005-0000-0000-0000EF3C0000}"/>
    <cellStyle name="40% - Accent3 5 5 2 4 2" xfId="44833" xr:uid="{5F5C6DE9-E2D8-466E-BC50-C284E6966CD0}"/>
    <cellStyle name="40% - Accent3 5 5 2 5" xfId="28954" xr:uid="{F80F348E-C1F5-4162-AE5F-DA9BB0AB6292}"/>
    <cellStyle name="40% - Accent3 5 5 3" xfId="6854" xr:uid="{00000000-0005-0000-0000-0000F03C0000}"/>
    <cellStyle name="40% - Accent3 5 5 3 2" xfId="14826" xr:uid="{00000000-0005-0000-0000-0000F13C0000}"/>
    <cellStyle name="40% - Accent3 5 5 3 2 2" xfId="38668" xr:uid="{E01C5E26-E661-4C82-BCBD-5B6CF6885510}"/>
    <cellStyle name="40% - Accent3 5 5 3 3" xfId="22773" xr:uid="{00000000-0005-0000-0000-0000F23C0000}"/>
    <cellStyle name="40% - Accent3 5 5 3 3 2" xfId="46605" xr:uid="{D6DA661A-ED6B-44C4-9575-F893DBF1CF93}"/>
    <cellStyle name="40% - Accent3 5 5 3 4" xfId="30727" xr:uid="{232B04EC-3FDF-4B42-88CB-2E5BA85E6B25}"/>
    <cellStyle name="40% - Accent3 5 5 4" xfId="11290" xr:uid="{00000000-0005-0000-0000-0000F33C0000}"/>
    <cellStyle name="40% - Accent3 5 5 4 2" xfId="35139" xr:uid="{C2EF1E76-8D58-434C-859A-838F37D9547F}"/>
    <cellStyle name="40% - Accent3 5 5 5" xfId="19245" xr:uid="{00000000-0005-0000-0000-0000F43C0000}"/>
    <cellStyle name="40% - Accent3 5 5 5 2" xfId="43077" xr:uid="{AB9E2696-3D7D-41E7-9757-72E89731F592}"/>
    <cellStyle name="40% - Accent3 5 5 6" xfId="27197" xr:uid="{662C1E2C-100D-4590-8300-06BCB28E3E2F}"/>
    <cellStyle name="40% - Accent3 5 5_Exh G" xfId="3016" xr:uid="{00000000-0005-0000-0000-0000F53C0000}"/>
    <cellStyle name="40% - Accent3 5 6" xfId="4143" xr:uid="{00000000-0005-0000-0000-0000F63C0000}"/>
    <cellStyle name="40% - Accent3 5 6 2" xfId="7735" xr:uid="{00000000-0005-0000-0000-0000F73C0000}"/>
    <cellStyle name="40% - Accent3 5 6 2 2" xfId="15706" xr:uid="{00000000-0005-0000-0000-0000F83C0000}"/>
    <cellStyle name="40% - Accent3 5 6 2 2 2" xfId="39548" xr:uid="{38553734-0394-4806-AD9D-E936C51F6739}"/>
    <cellStyle name="40% - Accent3 5 6 2 3" xfId="23652" xr:uid="{00000000-0005-0000-0000-0000F93C0000}"/>
    <cellStyle name="40% - Accent3 5 6 2 3 2" xfId="47484" xr:uid="{ED396163-B5E5-4560-95DF-37E4915975CF}"/>
    <cellStyle name="40% - Accent3 5 6 2 4" xfId="31607" xr:uid="{B16C2136-2A61-4AE3-8779-F2067444205A}"/>
    <cellStyle name="40% - Accent3 5 6 3" xfId="12168" xr:uid="{00000000-0005-0000-0000-0000FA3C0000}"/>
    <cellStyle name="40% - Accent3 5 6 3 2" xfId="36017" xr:uid="{292A8B01-7E93-48CC-8D67-B11D082077C7}"/>
    <cellStyle name="40% - Accent3 5 6 4" xfId="20123" xr:uid="{00000000-0005-0000-0000-0000FB3C0000}"/>
    <cellStyle name="40% - Accent3 5 6 4 2" xfId="43955" xr:uid="{17A8A62A-E607-49A2-84E8-FF4483835D65}"/>
    <cellStyle name="40% - Accent3 5 6 5" xfId="28076" xr:uid="{FF61AA36-7D46-46BE-955B-2CDDB71E020A}"/>
    <cellStyle name="40% - Accent3 5 7" xfId="5963" xr:uid="{00000000-0005-0000-0000-0000FC3C0000}"/>
    <cellStyle name="40% - Accent3 5 7 2" xfId="13947" xr:uid="{00000000-0005-0000-0000-0000FD3C0000}"/>
    <cellStyle name="40% - Accent3 5 7 2 2" xfId="37790" xr:uid="{04F44D6B-53CB-437E-80C7-B667B765409F}"/>
    <cellStyle name="40% - Accent3 5 7 3" xfId="21895" xr:uid="{00000000-0005-0000-0000-0000FE3C0000}"/>
    <cellStyle name="40% - Accent3 5 7 3 2" xfId="45727" xr:uid="{9A0C430C-9C17-4116-8FEC-C006BB86A163}"/>
    <cellStyle name="40% - Accent3 5 7 4" xfId="29849" xr:uid="{05A99103-46F4-4450-AE35-67299281EAAE}"/>
    <cellStyle name="40% - Accent3 5 8" xfId="9516" xr:uid="{00000000-0005-0000-0000-0000FF3C0000}"/>
    <cellStyle name="40% - Accent3 5 8 2" xfId="17474" xr:uid="{00000000-0005-0000-0000-0000003D0000}"/>
    <cellStyle name="40% - Accent3 5 8 2 2" xfId="41314" xr:uid="{4A07ECC9-7BBF-40C8-8292-2268054EFC79}"/>
    <cellStyle name="40% - Accent3 5 8 3" xfId="25418" xr:uid="{00000000-0005-0000-0000-0000013D0000}"/>
    <cellStyle name="40% - Accent3 5 8 3 2" xfId="49250" xr:uid="{9A8FCC1C-A8D7-46FE-8B84-A05B05C1C839}"/>
    <cellStyle name="40% - Accent3 5 8 4" xfId="33373" xr:uid="{5AD4AB67-E00E-490D-8EF8-989A552AD9CB}"/>
    <cellStyle name="40% - Accent3 5 9" xfId="10412" xr:uid="{00000000-0005-0000-0000-0000023D0000}"/>
    <cellStyle name="40% - Accent3 5 9 2" xfId="34261" xr:uid="{65033F5B-CD03-4848-8FC4-F0F5C12CBC0C}"/>
    <cellStyle name="40% - Accent3 5_Exh G" xfId="3009" xr:uid="{00000000-0005-0000-0000-0000033D0000}"/>
    <cellStyle name="40% - Accent3 6" xfId="468" xr:uid="{00000000-0005-0000-0000-0000043D0000}"/>
    <cellStyle name="40% - Accent3 6 10" xfId="18371" xr:uid="{00000000-0005-0000-0000-0000053D0000}"/>
    <cellStyle name="40% - Accent3 6 10 2" xfId="42203" xr:uid="{2C2ECC1B-F4CD-4571-B04B-E53945526B20}"/>
    <cellStyle name="40% - Accent3 6 11" xfId="26323" xr:uid="{A5E39A5D-2169-4A86-B787-D0BD23ADD179}"/>
    <cellStyle name="40% - Accent3 6 2" xfId="469" xr:uid="{00000000-0005-0000-0000-0000063D0000}"/>
    <cellStyle name="40% - Accent3 6 2 2" xfId="470" xr:uid="{00000000-0005-0000-0000-0000073D0000}"/>
    <cellStyle name="40% - Accent3 6 2 2 2" xfId="1498" xr:uid="{00000000-0005-0000-0000-0000083D0000}"/>
    <cellStyle name="40% - Accent3 6 2 2 2 2" xfId="5028" xr:uid="{00000000-0005-0000-0000-0000093D0000}"/>
    <cellStyle name="40% - Accent3 6 2 2 2 2 2" xfId="8619" xr:uid="{00000000-0005-0000-0000-00000A3D0000}"/>
    <cellStyle name="40% - Accent3 6 2 2 2 2 2 2" xfId="16590" xr:uid="{00000000-0005-0000-0000-00000B3D0000}"/>
    <cellStyle name="40% - Accent3 6 2 2 2 2 2 2 2" xfId="40432" xr:uid="{C22EE272-F954-4B4F-94E8-75F689057C76}"/>
    <cellStyle name="40% - Accent3 6 2 2 2 2 2 3" xfId="24536" xr:uid="{00000000-0005-0000-0000-00000C3D0000}"/>
    <cellStyle name="40% - Accent3 6 2 2 2 2 2 3 2" xfId="48368" xr:uid="{2FDD233A-2F1D-4B23-9B59-06B2679AA552}"/>
    <cellStyle name="40% - Accent3 6 2 2 2 2 2 4" xfId="32491" xr:uid="{55253A9C-00F5-4143-8E15-85581DE1ABFA}"/>
    <cellStyle name="40% - Accent3 6 2 2 2 2 3" xfId="13052" xr:uid="{00000000-0005-0000-0000-00000D3D0000}"/>
    <cellStyle name="40% - Accent3 6 2 2 2 2 3 2" xfId="36901" xr:uid="{E28AE9A3-F044-47A9-AEEB-2477AEA7DA4B}"/>
    <cellStyle name="40% - Accent3 6 2 2 2 2 4" xfId="21007" xr:uid="{00000000-0005-0000-0000-00000E3D0000}"/>
    <cellStyle name="40% - Accent3 6 2 2 2 2 4 2" xfId="44839" xr:uid="{499C8746-2D2C-4DF4-B404-CFC62405D7DF}"/>
    <cellStyle name="40% - Accent3 6 2 2 2 2 5" xfId="28960" xr:uid="{B944932B-50D9-4F89-8A38-C97D7DFC9449}"/>
    <cellStyle name="40% - Accent3 6 2 2 2 3" xfId="6860" xr:uid="{00000000-0005-0000-0000-00000F3D0000}"/>
    <cellStyle name="40% - Accent3 6 2 2 2 3 2" xfId="14832" xr:uid="{00000000-0005-0000-0000-0000103D0000}"/>
    <cellStyle name="40% - Accent3 6 2 2 2 3 2 2" xfId="38674" xr:uid="{63A119D5-7346-45DE-9FDF-03AD84755832}"/>
    <cellStyle name="40% - Accent3 6 2 2 2 3 3" xfId="22779" xr:uid="{00000000-0005-0000-0000-0000113D0000}"/>
    <cellStyle name="40% - Accent3 6 2 2 2 3 3 2" xfId="46611" xr:uid="{2F232F7E-BD13-43CA-8911-E7085EAD2F40}"/>
    <cellStyle name="40% - Accent3 6 2 2 2 3 4" xfId="30733" xr:uid="{2D95219C-C14A-422C-912B-D336AE61CC2F}"/>
    <cellStyle name="40% - Accent3 6 2 2 2 4" xfId="11296" xr:uid="{00000000-0005-0000-0000-0000123D0000}"/>
    <cellStyle name="40% - Accent3 6 2 2 2 4 2" xfId="35145" xr:uid="{99FA36BA-7C00-487F-9B46-A492ED3F3237}"/>
    <cellStyle name="40% - Accent3 6 2 2 2 5" xfId="19251" xr:uid="{00000000-0005-0000-0000-0000133D0000}"/>
    <cellStyle name="40% - Accent3 6 2 2 2 5 2" xfId="43083" xr:uid="{054A49B5-46E5-4C4E-BB4B-449502C53840}"/>
    <cellStyle name="40% - Accent3 6 2 2 2 6" xfId="27203" xr:uid="{A7411BD5-7645-4C66-8C61-C12C26150FEA}"/>
    <cellStyle name="40% - Accent3 6 2 2 2_Exh G" xfId="3020" xr:uid="{00000000-0005-0000-0000-0000143D0000}"/>
    <cellStyle name="40% - Accent3 6 2 2 3" xfId="4149" xr:uid="{00000000-0005-0000-0000-0000153D0000}"/>
    <cellStyle name="40% - Accent3 6 2 2 3 2" xfId="7741" xr:uid="{00000000-0005-0000-0000-0000163D0000}"/>
    <cellStyle name="40% - Accent3 6 2 2 3 2 2" xfId="15712" xr:uid="{00000000-0005-0000-0000-0000173D0000}"/>
    <cellStyle name="40% - Accent3 6 2 2 3 2 2 2" xfId="39554" xr:uid="{B6161E30-E8FB-4CD6-B7E2-1582BE86DBDA}"/>
    <cellStyle name="40% - Accent3 6 2 2 3 2 3" xfId="23658" xr:uid="{00000000-0005-0000-0000-0000183D0000}"/>
    <cellStyle name="40% - Accent3 6 2 2 3 2 3 2" xfId="47490" xr:uid="{926AC158-0D57-46C2-A452-AF8BEA532BD2}"/>
    <cellStyle name="40% - Accent3 6 2 2 3 2 4" xfId="31613" xr:uid="{E9F71281-E58F-4179-80BA-ADE742B1E90B}"/>
    <cellStyle name="40% - Accent3 6 2 2 3 3" xfId="12174" xr:uid="{00000000-0005-0000-0000-0000193D0000}"/>
    <cellStyle name="40% - Accent3 6 2 2 3 3 2" xfId="36023" xr:uid="{F0577C94-6C92-4742-8729-4DCBBC798D46}"/>
    <cellStyle name="40% - Accent3 6 2 2 3 4" xfId="20129" xr:uid="{00000000-0005-0000-0000-00001A3D0000}"/>
    <cellStyle name="40% - Accent3 6 2 2 3 4 2" xfId="43961" xr:uid="{ECB12E09-A716-4570-9C2A-1AC95B97030C}"/>
    <cellStyle name="40% - Accent3 6 2 2 3 5" xfId="28082" xr:uid="{645260B4-0DE3-4ED2-9C8C-547426EE7C9D}"/>
    <cellStyle name="40% - Accent3 6 2 2 4" xfId="5969" xr:uid="{00000000-0005-0000-0000-00001B3D0000}"/>
    <cellStyle name="40% - Accent3 6 2 2 4 2" xfId="13953" xr:uid="{00000000-0005-0000-0000-00001C3D0000}"/>
    <cellStyle name="40% - Accent3 6 2 2 4 2 2" xfId="37796" xr:uid="{FDAA13E7-2275-4B82-8CE5-B6FA7DC684BD}"/>
    <cellStyle name="40% - Accent3 6 2 2 4 3" xfId="21901" xr:uid="{00000000-0005-0000-0000-00001D3D0000}"/>
    <cellStyle name="40% - Accent3 6 2 2 4 3 2" xfId="45733" xr:uid="{700A224A-430B-4541-A06B-A239AB555961}"/>
    <cellStyle name="40% - Accent3 6 2 2 4 4" xfId="29855" xr:uid="{E4426295-40BA-405B-9528-E69DCE81C18D}"/>
    <cellStyle name="40% - Accent3 6 2 2 5" xfId="9522" xr:uid="{00000000-0005-0000-0000-00001E3D0000}"/>
    <cellStyle name="40% - Accent3 6 2 2 5 2" xfId="17480" xr:uid="{00000000-0005-0000-0000-00001F3D0000}"/>
    <cellStyle name="40% - Accent3 6 2 2 5 2 2" xfId="41320" xr:uid="{BD679AA6-392E-41D5-B9D5-21D809BC6510}"/>
    <cellStyle name="40% - Accent3 6 2 2 5 3" xfId="25424" xr:uid="{00000000-0005-0000-0000-0000203D0000}"/>
    <cellStyle name="40% - Accent3 6 2 2 5 3 2" xfId="49256" xr:uid="{E88717F8-1457-4B17-8C80-53F4EE069780}"/>
    <cellStyle name="40% - Accent3 6 2 2 5 4" xfId="33379" xr:uid="{4D7C2D9C-F759-44FF-8250-4D272F21C10B}"/>
    <cellStyle name="40% - Accent3 6 2 2 6" xfId="10418" xr:uid="{00000000-0005-0000-0000-0000213D0000}"/>
    <cellStyle name="40% - Accent3 6 2 2 6 2" xfId="34267" xr:uid="{8EA324BB-F4C8-4598-B761-C656309868C1}"/>
    <cellStyle name="40% - Accent3 6 2 2 7" xfId="18373" xr:uid="{00000000-0005-0000-0000-0000223D0000}"/>
    <cellStyle name="40% - Accent3 6 2 2 7 2" xfId="42205" xr:uid="{99BEA2C7-12BE-4E8B-BFB7-65A377B008B7}"/>
    <cellStyle name="40% - Accent3 6 2 2 8" xfId="26325" xr:uid="{65BC651F-2E1C-42A0-B0D0-4E46128F0548}"/>
    <cellStyle name="40% - Accent3 6 2 2_Exh G" xfId="3019" xr:uid="{00000000-0005-0000-0000-0000233D0000}"/>
    <cellStyle name="40% - Accent3 6 2 3" xfId="1497" xr:uid="{00000000-0005-0000-0000-0000243D0000}"/>
    <cellStyle name="40% - Accent3 6 2 3 2" xfId="5027" xr:uid="{00000000-0005-0000-0000-0000253D0000}"/>
    <cellStyle name="40% - Accent3 6 2 3 2 2" xfId="8618" xr:uid="{00000000-0005-0000-0000-0000263D0000}"/>
    <cellStyle name="40% - Accent3 6 2 3 2 2 2" xfId="16589" xr:uid="{00000000-0005-0000-0000-0000273D0000}"/>
    <cellStyle name="40% - Accent3 6 2 3 2 2 2 2" xfId="40431" xr:uid="{E25705A7-599F-4EE2-8D54-302AA725ED9A}"/>
    <cellStyle name="40% - Accent3 6 2 3 2 2 3" xfId="24535" xr:uid="{00000000-0005-0000-0000-0000283D0000}"/>
    <cellStyle name="40% - Accent3 6 2 3 2 2 3 2" xfId="48367" xr:uid="{FDD5EE51-A55D-4396-8FBE-64EAC710B65B}"/>
    <cellStyle name="40% - Accent3 6 2 3 2 2 4" xfId="32490" xr:uid="{6809D469-88F5-4BF3-B384-C63B88DFD11C}"/>
    <cellStyle name="40% - Accent3 6 2 3 2 3" xfId="13051" xr:uid="{00000000-0005-0000-0000-0000293D0000}"/>
    <cellStyle name="40% - Accent3 6 2 3 2 3 2" xfId="36900" xr:uid="{52E4C576-2379-46CC-8E88-CB933CE042DF}"/>
    <cellStyle name="40% - Accent3 6 2 3 2 4" xfId="21006" xr:uid="{00000000-0005-0000-0000-00002A3D0000}"/>
    <cellStyle name="40% - Accent3 6 2 3 2 4 2" xfId="44838" xr:uid="{DAAD5005-E204-403D-9198-2A0F2E18B38C}"/>
    <cellStyle name="40% - Accent3 6 2 3 2 5" xfId="28959" xr:uid="{D298080A-8F6A-4AEE-B295-E940A8EA22E9}"/>
    <cellStyle name="40% - Accent3 6 2 3 3" xfId="6859" xr:uid="{00000000-0005-0000-0000-00002B3D0000}"/>
    <cellStyle name="40% - Accent3 6 2 3 3 2" xfId="14831" xr:uid="{00000000-0005-0000-0000-00002C3D0000}"/>
    <cellStyle name="40% - Accent3 6 2 3 3 2 2" xfId="38673" xr:uid="{10EBDF70-3A5C-4C09-B14F-911C5326DD4C}"/>
    <cellStyle name="40% - Accent3 6 2 3 3 3" xfId="22778" xr:uid="{00000000-0005-0000-0000-00002D3D0000}"/>
    <cellStyle name="40% - Accent3 6 2 3 3 3 2" xfId="46610" xr:uid="{38ABADF0-91F2-4854-B47C-2297DBFCBDCA}"/>
    <cellStyle name="40% - Accent3 6 2 3 3 4" xfId="30732" xr:uid="{28DA7FEE-DA4D-4A40-A48E-AA115F0F329F}"/>
    <cellStyle name="40% - Accent3 6 2 3 4" xfId="11295" xr:uid="{00000000-0005-0000-0000-00002E3D0000}"/>
    <cellStyle name="40% - Accent3 6 2 3 4 2" xfId="35144" xr:uid="{2C51651D-2340-4199-9342-ABEE914C7225}"/>
    <cellStyle name="40% - Accent3 6 2 3 5" xfId="19250" xr:uid="{00000000-0005-0000-0000-00002F3D0000}"/>
    <cellStyle name="40% - Accent3 6 2 3 5 2" xfId="43082" xr:uid="{46434758-DD77-490A-ADC6-D47C6EA4EE28}"/>
    <cellStyle name="40% - Accent3 6 2 3 6" xfId="27202" xr:uid="{155181D2-D803-46F3-9CD0-A48CA8C29E6B}"/>
    <cellStyle name="40% - Accent3 6 2 3_Exh G" xfId="3021" xr:uid="{00000000-0005-0000-0000-0000303D0000}"/>
    <cellStyle name="40% - Accent3 6 2 4" xfId="4148" xr:uid="{00000000-0005-0000-0000-0000313D0000}"/>
    <cellStyle name="40% - Accent3 6 2 4 2" xfId="7740" xr:uid="{00000000-0005-0000-0000-0000323D0000}"/>
    <cellStyle name="40% - Accent3 6 2 4 2 2" xfId="15711" xr:uid="{00000000-0005-0000-0000-0000333D0000}"/>
    <cellStyle name="40% - Accent3 6 2 4 2 2 2" xfId="39553" xr:uid="{7DEA4153-A6BB-4421-AE14-244EE7748D2F}"/>
    <cellStyle name="40% - Accent3 6 2 4 2 3" xfId="23657" xr:uid="{00000000-0005-0000-0000-0000343D0000}"/>
    <cellStyle name="40% - Accent3 6 2 4 2 3 2" xfId="47489" xr:uid="{D1594209-5CBE-4DD1-B166-BE2A4A7E1C89}"/>
    <cellStyle name="40% - Accent3 6 2 4 2 4" xfId="31612" xr:uid="{7AF55663-B7B3-43C9-9E21-DE205BC02083}"/>
    <cellStyle name="40% - Accent3 6 2 4 3" xfId="12173" xr:uid="{00000000-0005-0000-0000-0000353D0000}"/>
    <cellStyle name="40% - Accent3 6 2 4 3 2" xfId="36022" xr:uid="{5F4A8ACB-3EF8-417E-B5E8-9F2A9CA41BB1}"/>
    <cellStyle name="40% - Accent3 6 2 4 4" xfId="20128" xr:uid="{00000000-0005-0000-0000-0000363D0000}"/>
    <cellStyle name="40% - Accent3 6 2 4 4 2" xfId="43960" xr:uid="{67E04B7E-4FA1-4059-A60E-CD2E61CDA7F7}"/>
    <cellStyle name="40% - Accent3 6 2 4 5" xfId="28081" xr:uid="{C23AD7A3-70B5-4DC9-83E5-B4139E14A11C}"/>
    <cellStyle name="40% - Accent3 6 2 5" xfId="5968" xr:uid="{00000000-0005-0000-0000-0000373D0000}"/>
    <cellStyle name="40% - Accent3 6 2 5 2" xfId="13952" xr:uid="{00000000-0005-0000-0000-0000383D0000}"/>
    <cellStyle name="40% - Accent3 6 2 5 2 2" xfId="37795" xr:uid="{48561BFB-8D80-4A11-984C-CC1821D56E78}"/>
    <cellStyle name="40% - Accent3 6 2 5 3" xfId="21900" xr:uid="{00000000-0005-0000-0000-0000393D0000}"/>
    <cellStyle name="40% - Accent3 6 2 5 3 2" xfId="45732" xr:uid="{00471CAA-8416-4CBE-B54B-BF9710A942F5}"/>
    <cellStyle name="40% - Accent3 6 2 5 4" xfId="29854" xr:uid="{15376615-33AB-4917-8B26-1643704B5A87}"/>
    <cellStyle name="40% - Accent3 6 2 6" xfId="9521" xr:uid="{00000000-0005-0000-0000-00003A3D0000}"/>
    <cellStyle name="40% - Accent3 6 2 6 2" xfId="17479" xr:uid="{00000000-0005-0000-0000-00003B3D0000}"/>
    <cellStyle name="40% - Accent3 6 2 6 2 2" xfId="41319" xr:uid="{A60DEB05-FBF2-4148-ABF0-ED2268DF805E}"/>
    <cellStyle name="40% - Accent3 6 2 6 3" xfId="25423" xr:uid="{00000000-0005-0000-0000-00003C3D0000}"/>
    <cellStyle name="40% - Accent3 6 2 6 3 2" xfId="49255" xr:uid="{0C72DABF-7EF8-464B-9D92-E92AF7E0F262}"/>
    <cellStyle name="40% - Accent3 6 2 6 4" xfId="33378" xr:uid="{948F1C6B-1AA7-4192-BA6E-A6E57CA6DEF4}"/>
    <cellStyle name="40% - Accent3 6 2 7" xfId="10417" xr:uid="{00000000-0005-0000-0000-00003D3D0000}"/>
    <cellStyle name="40% - Accent3 6 2 7 2" xfId="34266" xr:uid="{BE0BF767-1C15-417D-AAB1-D1CE879241CE}"/>
    <cellStyle name="40% - Accent3 6 2 8" xfId="18372" xr:uid="{00000000-0005-0000-0000-00003E3D0000}"/>
    <cellStyle name="40% - Accent3 6 2 8 2" xfId="42204" xr:uid="{B96933A3-C84C-4143-A3B7-0A050A91C62C}"/>
    <cellStyle name="40% - Accent3 6 2 9" xfId="26324" xr:uid="{A3E86D69-5B78-4A32-8AF3-27EC54E13826}"/>
    <cellStyle name="40% - Accent3 6 2_Exh G" xfId="3018" xr:uid="{00000000-0005-0000-0000-00003F3D0000}"/>
    <cellStyle name="40% - Accent3 6 3" xfId="471" xr:uid="{00000000-0005-0000-0000-0000403D0000}"/>
    <cellStyle name="40% - Accent3 6 3 2" xfId="1499" xr:uid="{00000000-0005-0000-0000-0000413D0000}"/>
    <cellStyle name="40% - Accent3 6 3 2 2" xfId="5029" xr:uid="{00000000-0005-0000-0000-0000423D0000}"/>
    <cellStyle name="40% - Accent3 6 3 2 2 2" xfId="8620" xr:uid="{00000000-0005-0000-0000-0000433D0000}"/>
    <cellStyle name="40% - Accent3 6 3 2 2 2 2" xfId="16591" xr:uid="{00000000-0005-0000-0000-0000443D0000}"/>
    <cellStyle name="40% - Accent3 6 3 2 2 2 2 2" xfId="40433" xr:uid="{4DBF41F9-7A65-4593-91D8-F3EB83D62AC0}"/>
    <cellStyle name="40% - Accent3 6 3 2 2 2 3" xfId="24537" xr:uid="{00000000-0005-0000-0000-0000453D0000}"/>
    <cellStyle name="40% - Accent3 6 3 2 2 2 3 2" xfId="48369" xr:uid="{B0D3A823-F4E9-4C8D-8071-E2D96D061E17}"/>
    <cellStyle name="40% - Accent3 6 3 2 2 2 4" xfId="32492" xr:uid="{1ED6A8AD-1444-4679-82C3-56CA7CDF3924}"/>
    <cellStyle name="40% - Accent3 6 3 2 2 3" xfId="13053" xr:uid="{00000000-0005-0000-0000-0000463D0000}"/>
    <cellStyle name="40% - Accent3 6 3 2 2 3 2" xfId="36902" xr:uid="{31FCDAA3-BD19-4A11-A2B2-8F330A0987DA}"/>
    <cellStyle name="40% - Accent3 6 3 2 2 4" xfId="21008" xr:uid="{00000000-0005-0000-0000-0000473D0000}"/>
    <cellStyle name="40% - Accent3 6 3 2 2 4 2" xfId="44840" xr:uid="{1AAEBA4E-A2FA-4390-ABA8-E746136A020D}"/>
    <cellStyle name="40% - Accent3 6 3 2 2 5" xfId="28961" xr:uid="{1667FB2F-EB4D-4A68-A92A-625C56FFFC0D}"/>
    <cellStyle name="40% - Accent3 6 3 2 3" xfId="6861" xr:uid="{00000000-0005-0000-0000-0000483D0000}"/>
    <cellStyle name="40% - Accent3 6 3 2 3 2" xfId="14833" xr:uid="{00000000-0005-0000-0000-0000493D0000}"/>
    <cellStyle name="40% - Accent3 6 3 2 3 2 2" xfId="38675" xr:uid="{0535F4DB-F7EC-4419-A687-3074E23E4873}"/>
    <cellStyle name="40% - Accent3 6 3 2 3 3" xfId="22780" xr:uid="{00000000-0005-0000-0000-00004A3D0000}"/>
    <cellStyle name="40% - Accent3 6 3 2 3 3 2" xfId="46612" xr:uid="{0CDE0599-BB79-4821-BC75-7133E4ED9DE3}"/>
    <cellStyle name="40% - Accent3 6 3 2 3 4" xfId="30734" xr:uid="{E8BF512B-AEDE-49C8-BCFD-DA1F5BA0A62E}"/>
    <cellStyle name="40% - Accent3 6 3 2 4" xfId="11297" xr:uid="{00000000-0005-0000-0000-00004B3D0000}"/>
    <cellStyle name="40% - Accent3 6 3 2 4 2" xfId="35146" xr:uid="{11A155F1-B1EB-4756-9FBF-E80A58BEF514}"/>
    <cellStyle name="40% - Accent3 6 3 2 5" xfId="19252" xr:uid="{00000000-0005-0000-0000-00004C3D0000}"/>
    <cellStyle name="40% - Accent3 6 3 2 5 2" xfId="43084" xr:uid="{85D1CE5A-3DF3-4C8C-91EC-E92BD5FBBD99}"/>
    <cellStyle name="40% - Accent3 6 3 2 6" xfId="27204" xr:uid="{15BC886C-7BD9-4CE6-841B-9533C67ACCC0}"/>
    <cellStyle name="40% - Accent3 6 3 2_Exh G" xfId="3023" xr:uid="{00000000-0005-0000-0000-00004D3D0000}"/>
    <cellStyle name="40% - Accent3 6 3 3" xfId="4150" xr:uid="{00000000-0005-0000-0000-00004E3D0000}"/>
    <cellStyle name="40% - Accent3 6 3 3 2" xfId="7742" xr:uid="{00000000-0005-0000-0000-00004F3D0000}"/>
    <cellStyle name="40% - Accent3 6 3 3 2 2" xfId="15713" xr:uid="{00000000-0005-0000-0000-0000503D0000}"/>
    <cellStyle name="40% - Accent3 6 3 3 2 2 2" xfId="39555" xr:uid="{B280C621-188C-4F55-A55D-486EB47E3E7D}"/>
    <cellStyle name="40% - Accent3 6 3 3 2 3" xfId="23659" xr:uid="{00000000-0005-0000-0000-0000513D0000}"/>
    <cellStyle name="40% - Accent3 6 3 3 2 3 2" xfId="47491" xr:uid="{FD7F69C8-753E-4296-B81D-43EE6C64391D}"/>
    <cellStyle name="40% - Accent3 6 3 3 2 4" xfId="31614" xr:uid="{086F0C24-F3EB-4D5F-A8F3-F8A30CADE232}"/>
    <cellStyle name="40% - Accent3 6 3 3 3" xfId="12175" xr:uid="{00000000-0005-0000-0000-0000523D0000}"/>
    <cellStyle name="40% - Accent3 6 3 3 3 2" xfId="36024" xr:uid="{9F29CD13-1A79-4DAD-8BD7-E9B84C0F0B45}"/>
    <cellStyle name="40% - Accent3 6 3 3 4" xfId="20130" xr:uid="{00000000-0005-0000-0000-0000533D0000}"/>
    <cellStyle name="40% - Accent3 6 3 3 4 2" xfId="43962" xr:uid="{A818F5C5-79B9-4836-99EF-44211CF237A5}"/>
    <cellStyle name="40% - Accent3 6 3 3 5" xfId="28083" xr:uid="{D92FF9A0-8D13-4F3B-9EDE-D0A2B10A697C}"/>
    <cellStyle name="40% - Accent3 6 3 4" xfId="5970" xr:uid="{00000000-0005-0000-0000-0000543D0000}"/>
    <cellStyle name="40% - Accent3 6 3 4 2" xfId="13954" xr:uid="{00000000-0005-0000-0000-0000553D0000}"/>
    <cellStyle name="40% - Accent3 6 3 4 2 2" xfId="37797" xr:uid="{344E0D4D-800F-49CE-BD43-7B7E06647AB4}"/>
    <cellStyle name="40% - Accent3 6 3 4 3" xfId="21902" xr:uid="{00000000-0005-0000-0000-0000563D0000}"/>
    <cellStyle name="40% - Accent3 6 3 4 3 2" xfId="45734" xr:uid="{9CA2863E-4E40-494A-BEEC-FF750C906C71}"/>
    <cellStyle name="40% - Accent3 6 3 4 4" xfId="29856" xr:uid="{254022BA-D61E-4478-AFD9-E610B411738B}"/>
    <cellStyle name="40% - Accent3 6 3 5" xfId="9523" xr:uid="{00000000-0005-0000-0000-0000573D0000}"/>
    <cellStyle name="40% - Accent3 6 3 5 2" xfId="17481" xr:uid="{00000000-0005-0000-0000-0000583D0000}"/>
    <cellStyle name="40% - Accent3 6 3 5 2 2" xfId="41321" xr:uid="{05415A29-C88D-4B07-A778-203C4071AE33}"/>
    <cellStyle name="40% - Accent3 6 3 5 3" xfId="25425" xr:uid="{00000000-0005-0000-0000-0000593D0000}"/>
    <cellStyle name="40% - Accent3 6 3 5 3 2" xfId="49257" xr:uid="{82DB924F-3303-40CA-8D81-6652917808B8}"/>
    <cellStyle name="40% - Accent3 6 3 5 4" xfId="33380" xr:uid="{74B44E46-74B8-4F6C-A7E9-515D3216C1E7}"/>
    <cellStyle name="40% - Accent3 6 3 6" xfId="10419" xr:uid="{00000000-0005-0000-0000-00005A3D0000}"/>
    <cellStyle name="40% - Accent3 6 3 6 2" xfId="34268" xr:uid="{C35E3728-A54A-4E77-A39D-23BD80DE1417}"/>
    <cellStyle name="40% - Accent3 6 3 7" xfId="18374" xr:uid="{00000000-0005-0000-0000-00005B3D0000}"/>
    <cellStyle name="40% - Accent3 6 3 7 2" xfId="42206" xr:uid="{E4564DF0-3059-4328-A7BC-9A791420D2D4}"/>
    <cellStyle name="40% - Accent3 6 3 8" xfId="26326" xr:uid="{691EC888-C0CB-4EDE-937C-EBCFF9ABCD05}"/>
    <cellStyle name="40% - Accent3 6 3_Exh G" xfId="3022" xr:uid="{00000000-0005-0000-0000-00005C3D0000}"/>
    <cellStyle name="40% - Accent3 6 4" xfId="966" xr:uid="{00000000-0005-0000-0000-00005D3D0000}"/>
    <cellStyle name="40% - Accent3 6 4 2" xfId="1885" xr:uid="{00000000-0005-0000-0000-00005E3D0000}"/>
    <cellStyle name="40% - Accent3 6 4 2 2" xfId="5403" xr:uid="{00000000-0005-0000-0000-00005F3D0000}"/>
    <cellStyle name="40% - Accent3 6 4 2 2 2" xfId="8994" xr:uid="{00000000-0005-0000-0000-0000603D0000}"/>
    <cellStyle name="40% - Accent3 6 4 2 2 2 2" xfId="16965" xr:uid="{00000000-0005-0000-0000-0000613D0000}"/>
    <cellStyle name="40% - Accent3 6 4 2 2 2 2 2" xfId="40807" xr:uid="{F0F7F94A-A64E-41B0-AE9A-1237936257A2}"/>
    <cellStyle name="40% - Accent3 6 4 2 2 2 3" xfId="24911" xr:uid="{00000000-0005-0000-0000-0000623D0000}"/>
    <cellStyle name="40% - Accent3 6 4 2 2 2 3 2" xfId="48743" xr:uid="{22CD4EE1-B29C-4219-BC80-8FB54163BC7F}"/>
    <cellStyle name="40% - Accent3 6 4 2 2 2 4" xfId="32866" xr:uid="{2035DD3F-38EE-4728-A3F6-730CC92900C6}"/>
    <cellStyle name="40% - Accent3 6 4 2 2 3" xfId="13427" xr:uid="{00000000-0005-0000-0000-0000633D0000}"/>
    <cellStyle name="40% - Accent3 6 4 2 2 3 2" xfId="37276" xr:uid="{323D4B35-C1CA-4F3A-B826-ED9A4EF3EB3B}"/>
    <cellStyle name="40% - Accent3 6 4 2 2 4" xfId="21382" xr:uid="{00000000-0005-0000-0000-0000643D0000}"/>
    <cellStyle name="40% - Accent3 6 4 2 2 4 2" xfId="45214" xr:uid="{7339787D-EDC5-47C9-A279-B9325F81AAB2}"/>
    <cellStyle name="40% - Accent3 6 4 2 2 5" xfId="29335" xr:uid="{829AC789-0D1B-4624-8F3B-367548D2E497}"/>
    <cellStyle name="40% - Accent3 6 4 2 3" xfId="7235" xr:uid="{00000000-0005-0000-0000-0000653D0000}"/>
    <cellStyle name="40% - Accent3 6 4 2 3 2" xfId="15207" xr:uid="{00000000-0005-0000-0000-0000663D0000}"/>
    <cellStyle name="40% - Accent3 6 4 2 3 2 2" xfId="39049" xr:uid="{249A9963-0B06-4FD2-A58D-915060804FEB}"/>
    <cellStyle name="40% - Accent3 6 4 2 3 3" xfId="23154" xr:uid="{00000000-0005-0000-0000-0000673D0000}"/>
    <cellStyle name="40% - Accent3 6 4 2 3 3 2" xfId="46986" xr:uid="{21A32CC9-D405-4C02-9958-33A8E7439315}"/>
    <cellStyle name="40% - Accent3 6 4 2 3 4" xfId="31108" xr:uid="{D19CDD9D-E9C0-45A2-B0F8-36BD3338702F}"/>
    <cellStyle name="40% - Accent3 6 4 2 4" xfId="11671" xr:uid="{00000000-0005-0000-0000-0000683D0000}"/>
    <cellStyle name="40% - Accent3 6 4 2 4 2" xfId="35520" xr:uid="{045A42BD-C4F1-4E06-92E9-1ACE92FBD37F}"/>
    <cellStyle name="40% - Accent3 6 4 2 5" xfId="19626" xr:uid="{00000000-0005-0000-0000-0000693D0000}"/>
    <cellStyle name="40% - Accent3 6 4 2 5 2" xfId="43458" xr:uid="{3DC8135B-D761-4DA3-A675-8A4206A3F66E}"/>
    <cellStyle name="40% - Accent3 6 4 2 6" xfId="27578" xr:uid="{DFDB6F2F-2A9A-4342-A9A4-DE91439614C1}"/>
    <cellStyle name="40% - Accent3 6 4 2_Exh G" xfId="3025" xr:uid="{00000000-0005-0000-0000-00006A3D0000}"/>
    <cellStyle name="40% - Accent3 6 4 3" xfId="4524" xr:uid="{00000000-0005-0000-0000-00006B3D0000}"/>
    <cellStyle name="40% - Accent3 6 4 3 2" xfId="8116" xr:uid="{00000000-0005-0000-0000-00006C3D0000}"/>
    <cellStyle name="40% - Accent3 6 4 3 2 2" xfId="16087" xr:uid="{00000000-0005-0000-0000-00006D3D0000}"/>
    <cellStyle name="40% - Accent3 6 4 3 2 2 2" xfId="39929" xr:uid="{27F1AB3D-8367-4538-BB9F-1C69BA263DB4}"/>
    <cellStyle name="40% - Accent3 6 4 3 2 3" xfId="24033" xr:uid="{00000000-0005-0000-0000-00006E3D0000}"/>
    <cellStyle name="40% - Accent3 6 4 3 2 3 2" xfId="47865" xr:uid="{654BA144-183E-4B2E-ABE6-53EBC7D0D0DD}"/>
    <cellStyle name="40% - Accent3 6 4 3 2 4" xfId="31988" xr:uid="{0D010307-A8F1-4419-BC16-CE424632A7A0}"/>
    <cellStyle name="40% - Accent3 6 4 3 3" xfId="12549" xr:uid="{00000000-0005-0000-0000-00006F3D0000}"/>
    <cellStyle name="40% - Accent3 6 4 3 3 2" xfId="36398" xr:uid="{47A7C48D-1899-414C-8482-57EB2672A806}"/>
    <cellStyle name="40% - Accent3 6 4 3 4" xfId="20504" xr:uid="{00000000-0005-0000-0000-0000703D0000}"/>
    <cellStyle name="40% - Accent3 6 4 3 4 2" xfId="44336" xr:uid="{E0E7DEE2-42D6-4A14-BAE6-83891B1790E6}"/>
    <cellStyle name="40% - Accent3 6 4 3 5" xfId="28457" xr:uid="{42626888-4430-4847-93FC-16EA392D7AFB}"/>
    <cellStyle name="40% - Accent3 6 4 4" xfId="6354" xr:uid="{00000000-0005-0000-0000-0000713D0000}"/>
    <cellStyle name="40% - Accent3 6 4 4 2" xfId="14329" xr:uid="{00000000-0005-0000-0000-0000723D0000}"/>
    <cellStyle name="40% - Accent3 6 4 4 2 2" xfId="38171" xr:uid="{64F7D51B-0786-4E35-A73A-45A1967835A0}"/>
    <cellStyle name="40% - Accent3 6 4 4 3" xfId="22276" xr:uid="{00000000-0005-0000-0000-0000733D0000}"/>
    <cellStyle name="40% - Accent3 6 4 4 3 2" xfId="46108" xr:uid="{3FB1DCF4-6CF8-4D86-B454-BAA71231EA90}"/>
    <cellStyle name="40% - Accent3 6 4 4 4" xfId="30230" xr:uid="{25C06128-1FAA-4AFC-A2F8-4CEFAD96BD85}"/>
    <cellStyle name="40% - Accent3 6 4 5" xfId="9897" xr:uid="{00000000-0005-0000-0000-0000743D0000}"/>
    <cellStyle name="40% - Accent3 6 4 5 2" xfId="17855" xr:uid="{00000000-0005-0000-0000-0000753D0000}"/>
    <cellStyle name="40% - Accent3 6 4 5 2 2" xfId="41695" xr:uid="{BC61DE62-0468-4404-B170-5069D1321B8B}"/>
    <cellStyle name="40% - Accent3 6 4 5 3" xfId="25799" xr:uid="{00000000-0005-0000-0000-0000763D0000}"/>
    <cellStyle name="40% - Accent3 6 4 5 3 2" xfId="49631" xr:uid="{696EE77F-6889-40B4-8A6A-664B66B3A14D}"/>
    <cellStyle name="40% - Accent3 6 4 5 4" xfId="33754" xr:uid="{67AC06F7-C2EA-4D8B-A004-6EB8CB86828E}"/>
    <cellStyle name="40% - Accent3 6 4 6" xfId="10793" xr:uid="{00000000-0005-0000-0000-0000773D0000}"/>
    <cellStyle name="40% - Accent3 6 4 6 2" xfId="34642" xr:uid="{AD46D1B2-6734-445B-8271-81769ED4C8DF}"/>
    <cellStyle name="40% - Accent3 6 4 7" xfId="18748" xr:uid="{00000000-0005-0000-0000-0000783D0000}"/>
    <cellStyle name="40% - Accent3 6 4 7 2" xfId="42580" xr:uid="{F3DD2C32-335D-46F8-8C72-223657E1587D}"/>
    <cellStyle name="40% - Accent3 6 4 8" xfId="26700" xr:uid="{9467DB7D-1FAC-4399-A432-3C43EB0E0FBD}"/>
    <cellStyle name="40% - Accent3 6 4_Exh G" xfId="3024" xr:uid="{00000000-0005-0000-0000-0000793D0000}"/>
    <cellStyle name="40% - Accent3 6 5" xfId="1496" xr:uid="{00000000-0005-0000-0000-00007A3D0000}"/>
    <cellStyle name="40% - Accent3 6 5 2" xfId="5026" xr:uid="{00000000-0005-0000-0000-00007B3D0000}"/>
    <cellStyle name="40% - Accent3 6 5 2 2" xfId="8617" xr:uid="{00000000-0005-0000-0000-00007C3D0000}"/>
    <cellStyle name="40% - Accent3 6 5 2 2 2" xfId="16588" xr:uid="{00000000-0005-0000-0000-00007D3D0000}"/>
    <cellStyle name="40% - Accent3 6 5 2 2 2 2" xfId="40430" xr:uid="{42028488-E390-4C83-8E8F-4B2AE310708C}"/>
    <cellStyle name="40% - Accent3 6 5 2 2 3" xfId="24534" xr:uid="{00000000-0005-0000-0000-00007E3D0000}"/>
    <cellStyle name="40% - Accent3 6 5 2 2 3 2" xfId="48366" xr:uid="{93ADFCE2-982F-4865-A97A-215783952F62}"/>
    <cellStyle name="40% - Accent3 6 5 2 2 4" xfId="32489" xr:uid="{4B8857C3-7014-410E-BFE8-1907B539381F}"/>
    <cellStyle name="40% - Accent3 6 5 2 3" xfId="13050" xr:uid="{00000000-0005-0000-0000-00007F3D0000}"/>
    <cellStyle name="40% - Accent3 6 5 2 3 2" xfId="36899" xr:uid="{587F4C5C-1901-47B7-81F0-DFBF2D98ED6F}"/>
    <cellStyle name="40% - Accent3 6 5 2 4" xfId="21005" xr:uid="{00000000-0005-0000-0000-0000803D0000}"/>
    <cellStyle name="40% - Accent3 6 5 2 4 2" xfId="44837" xr:uid="{6C84190D-33AC-40AC-9FFB-27956A0C60D3}"/>
    <cellStyle name="40% - Accent3 6 5 2 5" xfId="28958" xr:uid="{04FEED16-84CA-4800-8CAF-13F3B814952D}"/>
    <cellStyle name="40% - Accent3 6 5 3" xfId="6858" xr:uid="{00000000-0005-0000-0000-0000813D0000}"/>
    <cellStyle name="40% - Accent3 6 5 3 2" xfId="14830" xr:uid="{00000000-0005-0000-0000-0000823D0000}"/>
    <cellStyle name="40% - Accent3 6 5 3 2 2" xfId="38672" xr:uid="{A45CF1DA-0947-4494-9816-958426EFA734}"/>
    <cellStyle name="40% - Accent3 6 5 3 3" xfId="22777" xr:uid="{00000000-0005-0000-0000-0000833D0000}"/>
    <cellStyle name="40% - Accent3 6 5 3 3 2" xfId="46609" xr:uid="{7FE2E08A-8B6D-4FB9-9B9B-995A748D3E23}"/>
    <cellStyle name="40% - Accent3 6 5 3 4" xfId="30731" xr:uid="{198DD657-7CFD-410B-84F6-443504E9365C}"/>
    <cellStyle name="40% - Accent3 6 5 4" xfId="11294" xr:uid="{00000000-0005-0000-0000-0000843D0000}"/>
    <cellStyle name="40% - Accent3 6 5 4 2" xfId="35143" xr:uid="{B4193659-3B99-4EBA-865E-F59DB2FBFF32}"/>
    <cellStyle name="40% - Accent3 6 5 5" xfId="19249" xr:uid="{00000000-0005-0000-0000-0000853D0000}"/>
    <cellStyle name="40% - Accent3 6 5 5 2" xfId="43081" xr:uid="{12B8D28C-8D69-4425-8D44-429C3683030C}"/>
    <cellStyle name="40% - Accent3 6 5 6" xfId="27201" xr:uid="{F10BF448-5892-4AE8-9DF4-F80BD8615877}"/>
    <cellStyle name="40% - Accent3 6 5_Exh G" xfId="3026" xr:uid="{00000000-0005-0000-0000-0000863D0000}"/>
    <cellStyle name="40% - Accent3 6 6" xfId="4147" xr:uid="{00000000-0005-0000-0000-0000873D0000}"/>
    <cellStyle name="40% - Accent3 6 6 2" xfId="7739" xr:uid="{00000000-0005-0000-0000-0000883D0000}"/>
    <cellStyle name="40% - Accent3 6 6 2 2" xfId="15710" xr:uid="{00000000-0005-0000-0000-0000893D0000}"/>
    <cellStyle name="40% - Accent3 6 6 2 2 2" xfId="39552" xr:uid="{7A0C5602-E731-4446-9797-F51E038483DF}"/>
    <cellStyle name="40% - Accent3 6 6 2 3" xfId="23656" xr:uid="{00000000-0005-0000-0000-00008A3D0000}"/>
    <cellStyle name="40% - Accent3 6 6 2 3 2" xfId="47488" xr:uid="{7C35295C-159B-4508-859C-D5FE6A21E379}"/>
    <cellStyle name="40% - Accent3 6 6 2 4" xfId="31611" xr:uid="{C102B895-DF8D-4EFF-B037-D9FF4090AEC6}"/>
    <cellStyle name="40% - Accent3 6 6 3" xfId="12172" xr:uid="{00000000-0005-0000-0000-00008B3D0000}"/>
    <cellStyle name="40% - Accent3 6 6 3 2" xfId="36021" xr:uid="{65C7EE4F-06D7-466B-9947-4BCEA4C67534}"/>
    <cellStyle name="40% - Accent3 6 6 4" xfId="20127" xr:uid="{00000000-0005-0000-0000-00008C3D0000}"/>
    <cellStyle name="40% - Accent3 6 6 4 2" xfId="43959" xr:uid="{25166C21-B834-4517-B87C-A4D7BCF0F5DD}"/>
    <cellStyle name="40% - Accent3 6 6 5" xfId="28080" xr:uid="{70794B69-24A2-4DC0-926D-532982AD5303}"/>
    <cellStyle name="40% - Accent3 6 7" xfId="5967" xr:uid="{00000000-0005-0000-0000-00008D3D0000}"/>
    <cellStyle name="40% - Accent3 6 7 2" xfId="13951" xr:uid="{00000000-0005-0000-0000-00008E3D0000}"/>
    <cellStyle name="40% - Accent3 6 7 2 2" xfId="37794" xr:uid="{8358E9CC-60BE-4C6E-8937-5C165CA676CA}"/>
    <cellStyle name="40% - Accent3 6 7 3" xfId="21899" xr:uid="{00000000-0005-0000-0000-00008F3D0000}"/>
    <cellStyle name="40% - Accent3 6 7 3 2" xfId="45731" xr:uid="{40D7D55F-0AC2-4C68-BD82-02A50A8E0722}"/>
    <cellStyle name="40% - Accent3 6 7 4" xfId="29853" xr:uid="{C6968D4A-EF55-4A1B-9B8C-4CF5BF364C38}"/>
    <cellStyle name="40% - Accent3 6 8" xfId="9520" xr:uid="{00000000-0005-0000-0000-0000903D0000}"/>
    <cellStyle name="40% - Accent3 6 8 2" xfId="17478" xr:uid="{00000000-0005-0000-0000-0000913D0000}"/>
    <cellStyle name="40% - Accent3 6 8 2 2" xfId="41318" xr:uid="{C4D8E2FC-8E5A-4DA2-AC00-1F7833A3A099}"/>
    <cellStyle name="40% - Accent3 6 8 3" xfId="25422" xr:uid="{00000000-0005-0000-0000-0000923D0000}"/>
    <cellStyle name="40% - Accent3 6 8 3 2" xfId="49254" xr:uid="{7A74C7DD-C6AF-4ED6-B545-AD8FC29783BF}"/>
    <cellStyle name="40% - Accent3 6 8 4" xfId="33377" xr:uid="{9D6D6657-5F5C-4E71-9C58-E7CA5C5373A0}"/>
    <cellStyle name="40% - Accent3 6 9" xfId="10416" xr:uid="{00000000-0005-0000-0000-0000933D0000}"/>
    <cellStyle name="40% - Accent3 6 9 2" xfId="34265" xr:uid="{9E7CC1D7-8015-4CF5-AEE5-993244AAD871}"/>
    <cellStyle name="40% - Accent3 6_Exh G" xfId="3017" xr:uid="{00000000-0005-0000-0000-0000943D0000}"/>
    <cellStyle name="40% - Accent3 7" xfId="472" xr:uid="{00000000-0005-0000-0000-0000953D0000}"/>
    <cellStyle name="40% - Accent3 7 10" xfId="18375" xr:uid="{00000000-0005-0000-0000-0000963D0000}"/>
    <cellStyle name="40% - Accent3 7 10 2" xfId="42207" xr:uid="{674B1147-4E5E-4F56-BD15-FAB8584D9F04}"/>
    <cellStyle name="40% - Accent3 7 11" xfId="26327" xr:uid="{03799E87-9755-4674-B457-4412808ACC52}"/>
    <cellStyle name="40% - Accent3 7 2" xfId="473" xr:uid="{00000000-0005-0000-0000-0000973D0000}"/>
    <cellStyle name="40% - Accent3 7 2 2" xfId="474" xr:uid="{00000000-0005-0000-0000-0000983D0000}"/>
    <cellStyle name="40% - Accent3 7 2 2 2" xfId="1502" xr:uid="{00000000-0005-0000-0000-0000993D0000}"/>
    <cellStyle name="40% - Accent3 7 2 2 2 2" xfId="5032" xr:uid="{00000000-0005-0000-0000-00009A3D0000}"/>
    <cellStyle name="40% - Accent3 7 2 2 2 2 2" xfId="8623" xr:uid="{00000000-0005-0000-0000-00009B3D0000}"/>
    <cellStyle name="40% - Accent3 7 2 2 2 2 2 2" xfId="16594" xr:uid="{00000000-0005-0000-0000-00009C3D0000}"/>
    <cellStyle name="40% - Accent3 7 2 2 2 2 2 2 2" xfId="40436" xr:uid="{E69FCAD8-281B-4523-9D2C-DBCF78D05FE5}"/>
    <cellStyle name="40% - Accent3 7 2 2 2 2 2 3" xfId="24540" xr:uid="{00000000-0005-0000-0000-00009D3D0000}"/>
    <cellStyle name="40% - Accent3 7 2 2 2 2 2 3 2" xfId="48372" xr:uid="{12ECB9C4-261B-4E89-AECE-21EDB0B7C290}"/>
    <cellStyle name="40% - Accent3 7 2 2 2 2 2 4" xfId="32495" xr:uid="{DB6300B1-0F9D-4F20-B7C9-0ADB7569F935}"/>
    <cellStyle name="40% - Accent3 7 2 2 2 2 3" xfId="13056" xr:uid="{00000000-0005-0000-0000-00009E3D0000}"/>
    <cellStyle name="40% - Accent3 7 2 2 2 2 3 2" xfId="36905" xr:uid="{6704D1F4-D7F8-4BBE-82E4-0805D1FEE0AF}"/>
    <cellStyle name="40% - Accent3 7 2 2 2 2 4" xfId="21011" xr:uid="{00000000-0005-0000-0000-00009F3D0000}"/>
    <cellStyle name="40% - Accent3 7 2 2 2 2 4 2" xfId="44843" xr:uid="{08A7B630-F5D7-425C-955D-EA7DAD486F15}"/>
    <cellStyle name="40% - Accent3 7 2 2 2 2 5" xfId="28964" xr:uid="{88E19AB1-DF5E-4215-B849-C4E980EE1852}"/>
    <cellStyle name="40% - Accent3 7 2 2 2 3" xfId="6864" xr:uid="{00000000-0005-0000-0000-0000A03D0000}"/>
    <cellStyle name="40% - Accent3 7 2 2 2 3 2" xfId="14836" xr:uid="{00000000-0005-0000-0000-0000A13D0000}"/>
    <cellStyle name="40% - Accent3 7 2 2 2 3 2 2" xfId="38678" xr:uid="{395DD813-680F-435D-8609-0887E8B4EAC5}"/>
    <cellStyle name="40% - Accent3 7 2 2 2 3 3" xfId="22783" xr:uid="{00000000-0005-0000-0000-0000A23D0000}"/>
    <cellStyle name="40% - Accent3 7 2 2 2 3 3 2" xfId="46615" xr:uid="{C55D2FEA-33F0-4682-9335-E61DEC4B7937}"/>
    <cellStyle name="40% - Accent3 7 2 2 2 3 4" xfId="30737" xr:uid="{0F2176D2-5B64-4AC3-8DA2-4BAB38F47C05}"/>
    <cellStyle name="40% - Accent3 7 2 2 2 4" xfId="11300" xr:uid="{00000000-0005-0000-0000-0000A33D0000}"/>
    <cellStyle name="40% - Accent3 7 2 2 2 4 2" xfId="35149" xr:uid="{DB86FB56-A818-4760-83F9-F33C0FFB7412}"/>
    <cellStyle name="40% - Accent3 7 2 2 2 5" xfId="19255" xr:uid="{00000000-0005-0000-0000-0000A43D0000}"/>
    <cellStyle name="40% - Accent3 7 2 2 2 5 2" xfId="43087" xr:uid="{925A86CD-3106-44DF-A32E-7C12C2999B72}"/>
    <cellStyle name="40% - Accent3 7 2 2 2 6" xfId="27207" xr:uid="{8C5D9B71-DC3B-4FBA-810A-36659E31E3F0}"/>
    <cellStyle name="40% - Accent3 7 2 2 2_Exh G" xfId="3030" xr:uid="{00000000-0005-0000-0000-0000A53D0000}"/>
    <cellStyle name="40% - Accent3 7 2 2 3" xfId="4153" xr:uid="{00000000-0005-0000-0000-0000A63D0000}"/>
    <cellStyle name="40% - Accent3 7 2 2 3 2" xfId="7745" xr:uid="{00000000-0005-0000-0000-0000A73D0000}"/>
    <cellStyle name="40% - Accent3 7 2 2 3 2 2" xfId="15716" xr:uid="{00000000-0005-0000-0000-0000A83D0000}"/>
    <cellStyle name="40% - Accent3 7 2 2 3 2 2 2" xfId="39558" xr:uid="{78F56B78-7F9F-4312-B237-86E4B43ECC38}"/>
    <cellStyle name="40% - Accent3 7 2 2 3 2 3" xfId="23662" xr:uid="{00000000-0005-0000-0000-0000A93D0000}"/>
    <cellStyle name="40% - Accent3 7 2 2 3 2 3 2" xfId="47494" xr:uid="{395E84C3-AFAB-41DB-A436-8403B72F4062}"/>
    <cellStyle name="40% - Accent3 7 2 2 3 2 4" xfId="31617" xr:uid="{85D86DE1-75D3-4729-B70E-5CEAB5B01F2C}"/>
    <cellStyle name="40% - Accent3 7 2 2 3 3" xfId="12178" xr:uid="{00000000-0005-0000-0000-0000AA3D0000}"/>
    <cellStyle name="40% - Accent3 7 2 2 3 3 2" xfId="36027" xr:uid="{5CD0055A-7034-47B9-8B3E-4F492F631F9D}"/>
    <cellStyle name="40% - Accent3 7 2 2 3 4" xfId="20133" xr:uid="{00000000-0005-0000-0000-0000AB3D0000}"/>
    <cellStyle name="40% - Accent3 7 2 2 3 4 2" xfId="43965" xr:uid="{E8E221AB-02B6-4C12-AFEB-5265AA62C920}"/>
    <cellStyle name="40% - Accent3 7 2 2 3 5" xfId="28086" xr:uid="{E276FBB3-ECD0-41B7-BBAA-A76A497B3B72}"/>
    <cellStyle name="40% - Accent3 7 2 2 4" xfId="5973" xr:uid="{00000000-0005-0000-0000-0000AC3D0000}"/>
    <cellStyle name="40% - Accent3 7 2 2 4 2" xfId="13957" xr:uid="{00000000-0005-0000-0000-0000AD3D0000}"/>
    <cellStyle name="40% - Accent3 7 2 2 4 2 2" xfId="37800" xr:uid="{E494E576-02B4-4AD4-A3D6-1AE9A57DF4A4}"/>
    <cellStyle name="40% - Accent3 7 2 2 4 3" xfId="21905" xr:uid="{00000000-0005-0000-0000-0000AE3D0000}"/>
    <cellStyle name="40% - Accent3 7 2 2 4 3 2" xfId="45737" xr:uid="{58049403-8A4B-4FD2-BABB-0C137C458C72}"/>
    <cellStyle name="40% - Accent3 7 2 2 4 4" xfId="29859" xr:uid="{BAF7943F-BE26-4DEE-9B6D-BC006FBA7AEE}"/>
    <cellStyle name="40% - Accent3 7 2 2 5" xfId="9526" xr:uid="{00000000-0005-0000-0000-0000AF3D0000}"/>
    <cellStyle name="40% - Accent3 7 2 2 5 2" xfId="17484" xr:uid="{00000000-0005-0000-0000-0000B03D0000}"/>
    <cellStyle name="40% - Accent3 7 2 2 5 2 2" xfId="41324" xr:uid="{B54FBAE6-327E-4F33-BECA-D36EA8C817D6}"/>
    <cellStyle name="40% - Accent3 7 2 2 5 3" xfId="25428" xr:uid="{00000000-0005-0000-0000-0000B13D0000}"/>
    <cellStyle name="40% - Accent3 7 2 2 5 3 2" xfId="49260" xr:uid="{266FA86B-E52C-4DE3-9799-404C2347A8F7}"/>
    <cellStyle name="40% - Accent3 7 2 2 5 4" xfId="33383" xr:uid="{100F84EE-9BD0-4BEC-8C80-1F1E03875250}"/>
    <cellStyle name="40% - Accent3 7 2 2 6" xfId="10422" xr:uid="{00000000-0005-0000-0000-0000B23D0000}"/>
    <cellStyle name="40% - Accent3 7 2 2 6 2" xfId="34271" xr:uid="{A799EE88-AA84-46F2-B1F1-119FCEFD3AAE}"/>
    <cellStyle name="40% - Accent3 7 2 2 7" xfId="18377" xr:uid="{00000000-0005-0000-0000-0000B33D0000}"/>
    <cellStyle name="40% - Accent3 7 2 2 7 2" xfId="42209" xr:uid="{D1C3B190-52CB-4834-8065-D089DE56D585}"/>
    <cellStyle name="40% - Accent3 7 2 2 8" xfId="26329" xr:uid="{5B1A8010-7AE2-41C4-8B2C-3AA986E860A3}"/>
    <cellStyle name="40% - Accent3 7 2 2_Exh G" xfId="3029" xr:uid="{00000000-0005-0000-0000-0000B43D0000}"/>
    <cellStyle name="40% - Accent3 7 2 3" xfId="1501" xr:uid="{00000000-0005-0000-0000-0000B53D0000}"/>
    <cellStyle name="40% - Accent3 7 2 3 2" xfId="5031" xr:uid="{00000000-0005-0000-0000-0000B63D0000}"/>
    <cellStyle name="40% - Accent3 7 2 3 2 2" xfId="8622" xr:uid="{00000000-0005-0000-0000-0000B73D0000}"/>
    <cellStyle name="40% - Accent3 7 2 3 2 2 2" xfId="16593" xr:uid="{00000000-0005-0000-0000-0000B83D0000}"/>
    <cellStyle name="40% - Accent3 7 2 3 2 2 2 2" xfId="40435" xr:uid="{11591CFD-018C-4781-A831-7545DD81B3C5}"/>
    <cellStyle name="40% - Accent3 7 2 3 2 2 3" xfId="24539" xr:uid="{00000000-0005-0000-0000-0000B93D0000}"/>
    <cellStyle name="40% - Accent3 7 2 3 2 2 3 2" xfId="48371" xr:uid="{B3EE5C3D-DA21-4C00-92F9-3022AF1CC054}"/>
    <cellStyle name="40% - Accent3 7 2 3 2 2 4" xfId="32494" xr:uid="{45F8DFF4-5933-4F8A-B679-FA805176D12E}"/>
    <cellStyle name="40% - Accent3 7 2 3 2 3" xfId="13055" xr:uid="{00000000-0005-0000-0000-0000BA3D0000}"/>
    <cellStyle name="40% - Accent3 7 2 3 2 3 2" xfId="36904" xr:uid="{7D6CA6FF-4FA6-4922-BF24-C86D12E0A8CF}"/>
    <cellStyle name="40% - Accent3 7 2 3 2 4" xfId="21010" xr:uid="{00000000-0005-0000-0000-0000BB3D0000}"/>
    <cellStyle name="40% - Accent3 7 2 3 2 4 2" xfId="44842" xr:uid="{D94E34D2-8B6E-47A2-B8E4-4999CF71B0CC}"/>
    <cellStyle name="40% - Accent3 7 2 3 2 5" xfId="28963" xr:uid="{38E0BDB2-76AE-40C7-B403-DBBE0848F590}"/>
    <cellStyle name="40% - Accent3 7 2 3 3" xfId="6863" xr:uid="{00000000-0005-0000-0000-0000BC3D0000}"/>
    <cellStyle name="40% - Accent3 7 2 3 3 2" xfId="14835" xr:uid="{00000000-0005-0000-0000-0000BD3D0000}"/>
    <cellStyle name="40% - Accent3 7 2 3 3 2 2" xfId="38677" xr:uid="{D63B4359-DA56-459A-84E2-109781A8CECD}"/>
    <cellStyle name="40% - Accent3 7 2 3 3 3" xfId="22782" xr:uid="{00000000-0005-0000-0000-0000BE3D0000}"/>
    <cellStyle name="40% - Accent3 7 2 3 3 3 2" xfId="46614" xr:uid="{17C7ECB9-C755-400F-B898-C19903D2B334}"/>
    <cellStyle name="40% - Accent3 7 2 3 3 4" xfId="30736" xr:uid="{24BF913E-8AA0-494D-9E2A-87399F828AC8}"/>
    <cellStyle name="40% - Accent3 7 2 3 4" xfId="11299" xr:uid="{00000000-0005-0000-0000-0000BF3D0000}"/>
    <cellStyle name="40% - Accent3 7 2 3 4 2" xfId="35148" xr:uid="{22B6FC52-8287-4836-B5A4-B5F9A3364878}"/>
    <cellStyle name="40% - Accent3 7 2 3 5" xfId="19254" xr:uid="{00000000-0005-0000-0000-0000C03D0000}"/>
    <cellStyle name="40% - Accent3 7 2 3 5 2" xfId="43086" xr:uid="{D0C07590-1084-4E14-9EDA-55B1403F63C7}"/>
    <cellStyle name="40% - Accent3 7 2 3 6" xfId="27206" xr:uid="{B92ACFB6-1C5E-42F9-9405-A7658CCD18A8}"/>
    <cellStyle name="40% - Accent3 7 2 3_Exh G" xfId="3031" xr:uid="{00000000-0005-0000-0000-0000C13D0000}"/>
    <cellStyle name="40% - Accent3 7 2 4" xfId="4152" xr:uid="{00000000-0005-0000-0000-0000C23D0000}"/>
    <cellStyle name="40% - Accent3 7 2 4 2" xfId="7744" xr:uid="{00000000-0005-0000-0000-0000C33D0000}"/>
    <cellStyle name="40% - Accent3 7 2 4 2 2" xfId="15715" xr:uid="{00000000-0005-0000-0000-0000C43D0000}"/>
    <cellStyle name="40% - Accent3 7 2 4 2 2 2" xfId="39557" xr:uid="{38C7CE01-FF25-40E3-BA60-2B60BB37057B}"/>
    <cellStyle name="40% - Accent3 7 2 4 2 3" xfId="23661" xr:uid="{00000000-0005-0000-0000-0000C53D0000}"/>
    <cellStyle name="40% - Accent3 7 2 4 2 3 2" xfId="47493" xr:uid="{779E10C4-7F73-4FA7-A70D-041B6A06424E}"/>
    <cellStyle name="40% - Accent3 7 2 4 2 4" xfId="31616" xr:uid="{D391F4F8-52A2-4056-96DD-FD11D6295175}"/>
    <cellStyle name="40% - Accent3 7 2 4 3" xfId="12177" xr:uid="{00000000-0005-0000-0000-0000C63D0000}"/>
    <cellStyle name="40% - Accent3 7 2 4 3 2" xfId="36026" xr:uid="{1F6D780A-3629-4A18-9DFB-6A9C9A245D56}"/>
    <cellStyle name="40% - Accent3 7 2 4 4" xfId="20132" xr:uid="{00000000-0005-0000-0000-0000C73D0000}"/>
    <cellStyle name="40% - Accent3 7 2 4 4 2" xfId="43964" xr:uid="{EB20622D-59B6-433E-A2EB-60C32137C774}"/>
    <cellStyle name="40% - Accent3 7 2 4 5" xfId="28085" xr:uid="{642BE44E-8639-4AA6-A93C-AF9C3E19203A}"/>
    <cellStyle name="40% - Accent3 7 2 5" xfId="5972" xr:uid="{00000000-0005-0000-0000-0000C83D0000}"/>
    <cellStyle name="40% - Accent3 7 2 5 2" xfId="13956" xr:uid="{00000000-0005-0000-0000-0000C93D0000}"/>
    <cellStyle name="40% - Accent3 7 2 5 2 2" xfId="37799" xr:uid="{A53A9A49-3D13-45D9-966B-D2B4A0904AD2}"/>
    <cellStyle name="40% - Accent3 7 2 5 3" xfId="21904" xr:uid="{00000000-0005-0000-0000-0000CA3D0000}"/>
    <cellStyle name="40% - Accent3 7 2 5 3 2" xfId="45736" xr:uid="{DAEC5B69-6219-494F-B918-43F129E4BB9E}"/>
    <cellStyle name="40% - Accent3 7 2 5 4" xfId="29858" xr:uid="{3B19D33E-086C-45E2-A6D8-1553B506E7FF}"/>
    <cellStyle name="40% - Accent3 7 2 6" xfId="9525" xr:uid="{00000000-0005-0000-0000-0000CB3D0000}"/>
    <cellStyle name="40% - Accent3 7 2 6 2" xfId="17483" xr:uid="{00000000-0005-0000-0000-0000CC3D0000}"/>
    <cellStyle name="40% - Accent3 7 2 6 2 2" xfId="41323" xr:uid="{F36284DA-EEC8-4DEC-AE55-80FC517746D1}"/>
    <cellStyle name="40% - Accent3 7 2 6 3" xfId="25427" xr:uid="{00000000-0005-0000-0000-0000CD3D0000}"/>
    <cellStyle name="40% - Accent3 7 2 6 3 2" xfId="49259" xr:uid="{0A0C004B-1D7A-4383-835F-CF64437F6A36}"/>
    <cellStyle name="40% - Accent3 7 2 6 4" xfId="33382" xr:uid="{67F7180A-BD33-4E18-9D93-6E0656D495A4}"/>
    <cellStyle name="40% - Accent3 7 2 7" xfId="10421" xr:uid="{00000000-0005-0000-0000-0000CE3D0000}"/>
    <cellStyle name="40% - Accent3 7 2 7 2" xfId="34270" xr:uid="{0F2231FA-3B1B-48BD-AF04-CB2BD8435F9B}"/>
    <cellStyle name="40% - Accent3 7 2 8" xfId="18376" xr:uid="{00000000-0005-0000-0000-0000CF3D0000}"/>
    <cellStyle name="40% - Accent3 7 2 8 2" xfId="42208" xr:uid="{A798AAE5-CC41-4A62-89E0-B2126E5B9D68}"/>
    <cellStyle name="40% - Accent3 7 2 9" xfId="26328" xr:uid="{CDDC4634-04C7-4DA6-A53C-770B24F0ECE1}"/>
    <cellStyle name="40% - Accent3 7 2_Exh G" xfId="3028" xr:uid="{00000000-0005-0000-0000-0000D03D0000}"/>
    <cellStyle name="40% - Accent3 7 3" xfId="475" xr:uid="{00000000-0005-0000-0000-0000D13D0000}"/>
    <cellStyle name="40% - Accent3 7 3 2" xfId="1503" xr:uid="{00000000-0005-0000-0000-0000D23D0000}"/>
    <cellStyle name="40% - Accent3 7 3 2 2" xfId="5033" xr:uid="{00000000-0005-0000-0000-0000D33D0000}"/>
    <cellStyle name="40% - Accent3 7 3 2 2 2" xfId="8624" xr:uid="{00000000-0005-0000-0000-0000D43D0000}"/>
    <cellStyle name="40% - Accent3 7 3 2 2 2 2" xfId="16595" xr:uid="{00000000-0005-0000-0000-0000D53D0000}"/>
    <cellStyle name="40% - Accent3 7 3 2 2 2 2 2" xfId="40437" xr:uid="{421A8F3B-4DB6-4A7B-BDE7-0BD60FCD6218}"/>
    <cellStyle name="40% - Accent3 7 3 2 2 2 3" xfId="24541" xr:uid="{00000000-0005-0000-0000-0000D63D0000}"/>
    <cellStyle name="40% - Accent3 7 3 2 2 2 3 2" xfId="48373" xr:uid="{11C1FFC2-5419-407A-88FA-2643F3BB90A6}"/>
    <cellStyle name="40% - Accent3 7 3 2 2 2 4" xfId="32496" xr:uid="{A6A622B6-2AA4-4085-A0A4-A9C884F3815E}"/>
    <cellStyle name="40% - Accent3 7 3 2 2 3" xfId="13057" xr:uid="{00000000-0005-0000-0000-0000D73D0000}"/>
    <cellStyle name="40% - Accent3 7 3 2 2 3 2" xfId="36906" xr:uid="{33496967-42B0-4FDB-9192-3F2CECA5586F}"/>
    <cellStyle name="40% - Accent3 7 3 2 2 4" xfId="21012" xr:uid="{00000000-0005-0000-0000-0000D83D0000}"/>
    <cellStyle name="40% - Accent3 7 3 2 2 4 2" xfId="44844" xr:uid="{B48210A8-E48C-4BFD-BD48-7AA8BF65A954}"/>
    <cellStyle name="40% - Accent3 7 3 2 2 5" xfId="28965" xr:uid="{0492644E-915C-46AB-87E2-699E49700091}"/>
    <cellStyle name="40% - Accent3 7 3 2 3" xfId="6865" xr:uid="{00000000-0005-0000-0000-0000D93D0000}"/>
    <cellStyle name="40% - Accent3 7 3 2 3 2" xfId="14837" xr:uid="{00000000-0005-0000-0000-0000DA3D0000}"/>
    <cellStyle name="40% - Accent3 7 3 2 3 2 2" xfId="38679" xr:uid="{6D48156E-B8AF-44ED-AE34-D94BDE3F9A40}"/>
    <cellStyle name="40% - Accent3 7 3 2 3 3" xfId="22784" xr:uid="{00000000-0005-0000-0000-0000DB3D0000}"/>
    <cellStyle name="40% - Accent3 7 3 2 3 3 2" xfId="46616" xr:uid="{A105D84D-8B55-41E4-A0F1-23F4BB894D21}"/>
    <cellStyle name="40% - Accent3 7 3 2 3 4" xfId="30738" xr:uid="{78420D95-743D-4652-9735-7C51AFF0EE49}"/>
    <cellStyle name="40% - Accent3 7 3 2 4" xfId="11301" xr:uid="{00000000-0005-0000-0000-0000DC3D0000}"/>
    <cellStyle name="40% - Accent3 7 3 2 4 2" xfId="35150" xr:uid="{DD8C6FD2-D4E0-46E2-9069-95C924661061}"/>
    <cellStyle name="40% - Accent3 7 3 2 5" xfId="19256" xr:uid="{00000000-0005-0000-0000-0000DD3D0000}"/>
    <cellStyle name="40% - Accent3 7 3 2 5 2" xfId="43088" xr:uid="{2E533F95-3F0D-4ED4-88E7-B4DF657566A7}"/>
    <cellStyle name="40% - Accent3 7 3 2 6" xfId="27208" xr:uid="{C1A729CE-23B4-4A43-9461-404893E3641E}"/>
    <cellStyle name="40% - Accent3 7 3 2_Exh G" xfId="3033" xr:uid="{00000000-0005-0000-0000-0000DE3D0000}"/>
    <cellStyle name="40% - Accent3 7 3 3" xfId="4154" xr:uid="{00000000-0005-0000-0000-0000DF3D0000}"/>
    <cellStyle name="40% - Accent3 7 3 3 2" xfId="7746" xr:uid="{00000000-0005-0000-0000-0000E03D0000}"/>
    <cellStyle name="40% - Accent3 7 3 3 2 2" xfId="15717" xr:uid="{00000000-0005-0000-0000-0000E13D0000}"/>
    <cellStyle name="40% - Accent3 7 3 3 2 2 2" xfId="39559" xr:uid="{BB830F56-55A6-47A9-9054-7EB876FA9567}"/>
    <cellStyle name="40% - Accent3 7 3 3 2 3" xfId="23663" xr:uid="{00000000-0005-0000-0000-0000E23D0000}"/>
    <cellStyle name="40% - Accent3 7 3 3 2 3 2" xfId="47495" xr:uid="{21D8D9CA-5769-4B3F-AF31-EB488594674E}"/>
    <cellStyle name="40% - Accent3 7 3 3 2 4" xfId="31618" xr:uid="{43D217DD-6BD4-4D02-8B0C-D07B5A4EF387}"/>
    <cellStyle name="40% - Accent3 7 3 3 3" xfId="12179" xr:uid="{00000000-0005-0000-0000-0000E33D0000}"/>
    <cellStyle name="40% - Accent3 7 3 3 3 2" xfId="36028" xr:uid="{5066A4C6-E864-4CF7-8E0D-656AB0107018}"/>
    <cellStyle name="40% - Accent3 7 3 3 4" xfId="20134" xr:uid="{00000000-0005-0000-0000-0000E43D0000}"/>
    <cellStyle name="40% - Accent3 7 3 3 4 2" xfId="43966" xr:uid="{59D5DE01-7F95-4750-A7BF-C60926A4F26E}"/>
    <cellStyle name="40% - Accent3 7 3 3 5" xfId="28087" xr:uid="{4B7485DF-CB1D-4175-894F-F4626034E4D1}"/>
    <cellStyle name="40% - Accent3 7 3 4" xfId="5974" xr:uid="{00000000-0005-0000-0000-0000E53D0000}"/>
    <cellStyle name="40% - Accent3 7 3 4 2" xfId="13958" xr:uid="{00000000-0005-0000-0000-0000E63D0000}"/>
    <cellStyle name="40% - Accent3 7 3 4 2 2" xfId="37801" xr:uid="{792B63AC-2DD2-414E-97B7-A7CA5F337E4A}"/>
    <cellStyle name="40% - Accent3 7 3 4 3" xfId="21906" xr:uid="{00000000-0005-0000-0000-0000E73D0000}"/>
    <cellStyle name="40% - Accent3 7 3 4 3 2" xfId="45738" xr:uid="{7B83C7C2-B641-4E14-B9B3-6422900673A7}"/>
    <cellStyle name="40% - Accent3 7 3 4 4" xfId="29860" xr:uid="{4D427C09-BED1-42C4-9B1B-2E3F639027B6}"/>
    <cellStyle name="40% - Accent3 7 3 5" xfId="9527" xr:uid="{00000000-0005-0000-0000-0000E83D0000}"/>
    <cellStyle name="40% - Accent3 7 3 5 2" xfId="17485" xr:uid="{00000000-0005-0000-0000-0000E93D0000}"/>
    <cellStyle name="40% - Accent3 7 3 5 2 2" xfId="41325" xr:uid="{36B5504A-5319-43D2-98B5-4C34A5AECC3F}"/>
    <cellStyle name="40% - Accent3 7 3 5 3" xfId="25429" xr:uid="{00000000-0005-0000-0000-0000EA3D0000}"/>
    <cellStyle name="40% - Accent3 7 3 5 3 2" xfId="49261" xr:uid="{CC5D8B0B-590A-4AC6-A938-62B67D0D3A1D}"/>
    <cellStyle name="40% - Accent3 7 3 5 4" xfId="33384" xr:uid="{85FC3996-D773-4055-A54A-D3EC056773F3}"/>
    <cellStyle name="40% - Accent3 7 3 6" xfId="10423" xr:uid="{00000000-0005-0000-0000-0000EB3D0000}"/>
    <cellStyle name="40% - Accent3 7 3 6 2" xfId="34272" xr:uid="{3D23349C-3A62-4A20-8600-2F2FF8D8944C}"/>
    <cellStyle name="40% - Accent3 7 3 7" xfId="18378" xr:uid="{00000000-0005-0000-0000-0000EC3D0000}"/>
    <cellStyle name="40% - Accent3 7 3 7 2" xfId="42210" xr:uid="{7F556AEB-1C26-4291-AA4D-30D74C3C35A1}"/>
    <cellStyle name="40% - Accent3 7 3 8" xfId="26330" xr:uid="{F94855F2-CB79-4905-AEF2-E03FFA44A2BF}"/>
    <cellStyle name="40% - Accent3 7 3_Exh G" xfId="3032" xr:uid="{00000000-0005-0000-0000-0000ED3D0000}"/>
    <cellStyle name="40% - Accent3 7 4" xfId="967" xr:uid="{00000000-0005-0000-0000-0000EE3D0000}"/>
    <cellStyle name="40% - Accent3 7 4 2" xfId="1886" xr:uid="{00000000-0005-0000-0000-0000EF3D0000}"/>
    <cellStyle name="40% - Accent3 7 4 2 2" xfId="5404" xr:uid="{00000000-0005-0000-0000-0000F03D0000}"/>
    <cellStyle name="40% - Accent3 7 4 2 2 2" xfId="8995" xr:uid="{00000000-0005-0000-0000-0000F13D0000}"/>
    <cellStyle name="40% - Accent3 7 4 2 2 2 2" xfId="16966" xr:uid="{00000000-0005-0000-0000-0000F23D0000}"/>
    <cellStyle name="40% - Accent3 7 4 2 2 2 2 2" xfId="40808" xr:uid="{39F36E59-DB83-4B87-892E-51518E57AA39}"/>
    <cellStyle name="40% - Accent3 7 4 2 2 2 3" xfId="24912" xr:uid="{00000000-0005-0000-0000-0000F33D0000}"/>
    <cellStyle name="40% - Accent3 7 4 2 2 2 3 2" xfId="48744" xr:uid="{688D9F06-E5A8-45A6-80C8-DED45FF30D20}"/>
    <cellStyle name="40% - Accent3 7 4 2 2 2 4" xfId="32867" xr:uid="{6DFD33C5-CFED-4A2D-936C-4617A4197551}"/>
    <cellStyle name="40% - Accent3 7 4 2 2 3" xfId="13428" xr:uid="{00000000-0005-0000-0000-0000F43D0000}"/>
    <cellStyle name="40% - Accent3 7 4 2 2 3 2" xfId="37277" xr:uid="{9771CCD2-B26A-4575-BA51-0672A9DC3559}"/>
    <cellStyle name="40% - Accent3 7 4 2 2 4" xfId="21383" xr:uid="{00000000-0005-0000-0000-0000F53D0000}"/>
    <cellStyle name="40% - Accent3 7 4 2 2 4 2" xfId="45215" xr:uid="{97593685-D990-4620-BAAA-F21C953E0C22}"/>
    <cellStyle name="40% - Accent3 7 4 2 2 5" xfId="29336" xr:uid="{03C0BD6B-59DD-4132-BE85-964A209D879A}"/>
    <cellStyle name="40% - Accent3 7 4 2 3" xfId="7236" xr:uid="{00000000-0005-0000-0000-0000F63D0000}"/>
    <cellStyle name="40% - Accent3 7 4 2 3 2" xfId="15208" xr:uid="{00000000-0005-0000-0000-0000F73D0000}"/>
    <cellStyle name="40% - Accent3 7 4 2 3 2 2" xfId="39050" xr:uid="{7BF2BCA5-FCDA-423C-961E-BDCFD7D8D135}"/>
    <cellStyle name="40% - Accent3 7 4 2 3 3" xfId="23155" xr:uid="{00000000-0005-0000-0000-0000F83D0000}"/>
    <cellStyle name="40% - Accent3 7 4 2 3 3 2" xfId="46987" xr:uid="{C761753D-F2C5-42EA-80BF-3F1A534C1BF2}"/>
    <cellStyle name="40% - Accent3 7 4 2 3 4" xfId="31109" xr:uid="{598F2FBE-43A4-46D6-8776-F570253613A9}"/>
    <cellStyle name="40% - Accent3 7 4 2 4" xfId="11672" xr:uid="{00000000-0005-0000-0000-0000F93D0000}"/>
    <cellStyle name="40% - Accent3 7 4 2 4 2" xfId="35521" xr:uid="{33572A97-C480-4C54-A803-5AA16AC05BF9}"/>
    <cellStyle name="40% - Accent3 7 4 2 5" xfId="19627" xr:uid="{00000000-0005-0000-0000-0000FA3D0000}"/>
    <cellStyle name="40% - Accent3 7 4 2 5 2" xfId="43459" xr:uid="{FCBC7CFA-5AF8-4D15-A02D-5A3BAD1FC82D}"/>
    <cellStyle name="40% - Accent3 7 4 2 6" xfId="27579" xr:uid="{F8CAB066-1DE3-445F-8301-D08A5BBEB113}"/>
    <cellStyle name="40% - Accent3 7 4 2_Exh G" xfId="3035" xr:uid="{00000000-0005-0000-0000-0000FB3D0000}"/>
    <cellStyle name="40% - Accent3 7 4 3" xfId="4525" xr:uid="{00000000-0005-0000-0000-0000FC3D0000}"/>
    <cellStyle name="40% - Accent3 7 4 3 2" xfId="8117" xr:uid="{00000000-0005-0000-0000-0000FD3D0000}"/>
    <cellStyle name="40% - Accent3 7 4 3 2 2" xfId="16088" xr:uid="{00000000-0005-0000-0000-0000FE3D0000}"/>
    <cellStyle name="40% - Accent3 7 4 3 2 2 2" xfId="39930" xr:uid="{734A9941-29FD-4B8C-A748-6E0D059594CB}"/>
    <cellStyle name="40% - Accent3 7 4 3 2 3" xfId="24034" xr:uid="{00000000-0005-0000-0000-0000FF3D0000}"/>
    <cellStyle name="40% - Accent3 7 4 3 2 3 2" xfId="47866" xr:uid="{E41C626B-9EF9-416B-BB94-37601761AE38}"/>
    <cellStyle name="40% - Accent3 7 4 3 2 4" xfId="31989" xr:uid="{00C4F042-B81D-4D1D-83A9-DD9F7DF441BA}"/>
    <cellStyle name="40% - Accent3 7 4 3 3" xfId="12550" xr:uid="{00000000-0005-0000-0000-0000003E0000}"/>
    <cellStyle name="40% - Accent3 7 4 3 3 2" xfId="36399" xr:uid="{CE2B7CB4-500E-4CC7-AE5B-DC2D08C1A2A0}"/>
    <cellStyle name="40% - Accent3 7 4 3 4" xfId="20505" xr:uid="{00000000-0005-0000-0000-0000013E0000}"/>
    <cellStyle name="40% - Accent3 7 4 3 4 2" xfId="44337" xr:uid="{37C8680C-3150-4694-9E43-C1CDC6B905DC}"/>
    <cellStyle name="40% - Accent3 7 4 3 5" xfId="28458" xr:uid="{1E64C37D-D488-4826-B9EC-3717039E60F4}"/>
    <cellStyle name="40% - Accent3 7 4 4" xfId="6355" xr:uid="{00000000-0005-0000-0000-0000023E0000}"/>
    <cellStyle name="40% - Accent3 7 4 4 2" xfId="14330" xr:uid="{00000000-0005-0000-0000-0000033E0000}"/>
    <cellStyle name="40% - Accent3 7 4 4 2 2" xfId="38172" xr:uid="{60491793-1BBF-4DE0-91B7-B7A830AFDAE4}"/>
    <cellStyle name="40% - Accent3 7 4 4 3" xfId="22277" xr:uid="{00000000-0005-0000-0000-0000043E0000}"/>
    <cellStyle name="40% - Accent3 7 4 4 3 2" xfId="46109" xr:uid="{32F484DA-FF9A-4410-9465-2F26620D47F6}"/>
    <cellStyle name="40% - Accent3 7 4 4 4" xfId="30231" xr:uid="{FA18C2CD-191A-4EFB-BC51-890476714AFF}"/>
    <cellStyle name="40% - Accent3 7 4 5" xfId="9898" xr:uid="{00000000-0005-0000-0000-0000053E0000}"/>
    <cellStyle name="40% - Accent3 7 4 5 2" xfId="17856" xr:uid="{00000000-0005-0000-0000-0000063E0000}"/>
    <cellStyle name="40% - Accent3 7 4 5 2 2" xfId="41696" xr:uid="{BB53554F-3B64-40FF-8D7C-7DA116A5D511}"/>
    <cellStyle name="40% - Accent3 7 4 5 3" xfId="25800" xr:uid="{00000000-0005-0000-0000-0000073E0000}"/>
    <cellStyle name="40% - Accent3 7 4 5 3 2" xfId="49632" xr:uid="{A380A9AE-084D-4681-8942-8CAB108291A2}"/>
    <cellStyle name="40% - Accent3 7 4 5 4" xfId="33755" xr:uid="{DE51E185-D2BB-406B-8629-C75E1E2DC309}"/>
    <cellStyle name="40% - Accent3 7 4 6" xfId="10794" xr:uid="{00000000-0005-0000-0000-0000083E0000}"/>
    <cellStyle name="40% - Accent3 7 4 6 2" xfId="34643" xr:uid="{D3199CC9-2C72-4AD0-9DB3-C58B4ADAE116}"/>
    <cellStyle name="40% - Accent3 7 4 7" xfId="18749" xr:uid="{00000000-0005-0000-0000-0000093E0000}"/>
    <cellStyle name="40% - Accent3 7 4 7 2" xfId="42581" xr:uid="{FF4DC7F0-D67C-4015-8154-DE992883AFB4}"/>
    <cellStyle name="40% - Accent3 7 4 8" xfId="26701" xr:uid="{AF19C031-0127-4722-85F0-3743BB0ABA16}"/>
    <cellStyle name="40% - Accent3 7 4_Exh G" xfId="3034" xr:uid="{00000000-0005-0000-0000-00000A3E0000}"/>
    <cellStyle name="40% - Accent3 7 5" xfId="1500" xr:uid="{00000000-0005-0000-0000-00000B3E0000}"/>
    <cellStyle name="40% - Accent3 7 5 2" xfId="5030" xr:uid="{00000000-0005-0000-0000-00000C3E0000}"/>
    <cellStyle name="40% - Accent3 7 5 2 2" xfId="8621" xr:uid="{00000000-0005-0000-0000-00000D3E0000}"/>
    <cellStyle name="40% - Accent3 7 5 2 2 2" xfId="16592" xr:uid="{00000000-0005-0000-0000-00000E3E0000}"/>
    <cellStyle name="40% - Accent3 7 5 2 2 2 2" xfId="40434" xr:uid="{C05048C6-DC88-463C-8432-CD22BEED50A3}"/>
    <cellStyle name="40% - Accent3 7 5 2 2 3" xfId="24538" xr:uid="{00000000-0005-0000-0000-00000F3E0000}"/>
    <cellStyle name="40% - Accent3 7 5 2 2 3 2" xfId="48370" xr:uid="{E054A8D9-EA57-45B7-BDAA-72D464E9DD99}"/>
    <cellStyle name="40% - Accent3 7 5 2 2 4" xfId="32493" xr:uid="{53DC18C7-BF55-45DC-B4DF-9B0A3FC32ED6}"/>
    <cellStyle name="40% - Accent3 7 5 2 3" xfId="13054" xr:uid="{00000000-0005-0000-0000-0000103E0000}"/>
    <cellStyle name="40% - Accent3 7 5 2 3 2" xfId="36903" xr:uid="{ED1D86A2-4F10-4363-9F80-0A11AC43B593}"/>
    <cellStyle name="40% - Accent3 7 5 2 4" xfId="21009" xr:uid="{00000000-0005-0000-0000-0000113E0000}"/>
    <cellStyle name="40% - Accent3 7 5 2 4 2" xfId="44841" xr:uid="{FC0339B1-34F5-46BF-8251-A58905450774}"/>
    <cellStyle name="40% - Accent3 7 5 2 5" xfId="28962" xr:uid="{39AB7F94-7999-45D8-961F-FD16A495FB88}"/>
    <cellStyle name="40% - Accent3 7 5 3" xfId="6862" xr:uid="{00000000-0005-0000-0000-0000123E0000}"/>
    <cellStyle name="40% - Accent3 7 5 3 2" xfId="14834" xr:uid="{00000000-0005-0000-0000-0000133E0000}"/>
    <cellStyle name="40% - Accent3 7 5 3 2 2" xfId="38676" xr:uid="{7BEC67DB-04A5-4E07-BC01-2763433418A9}"/>
    <cellStyle name="40% - Accent3 7 5 3 3" xfId="22781" xr:uid="{00000000-0005-0000-0000-0000143E0000}"/>
    <cellStyle name="40% - Accent3 7 5 3 3 2" xfId="46613" xr:uid="{E27A8AA5-39D9-4DE6-B870-BD9CBF0443EF}"/>
    <cellStyle name="40% - Accent3 7 5 3 4" xfId="30735" xr:uid="{4F0E8A29-CD21-4DCA-ACCF-A7CE7D0C1036}"/>
    <cellStyle name="40% - Accent3 7 5 4" xfId="11298" xr:uid="{00000000-0005-0000-0000-0000153E0000}"/>
    <cellStyle name="40% - Accent3 7 5 4 2" xfId="35147" xr:uid="{B4D47B8B-B693-41C1-AAE5-A9B7F9C2E0E5}"/>
    <cellStyle name="40% - Accent3 7 5 5" xfId="19253" xr:uid="{00000000-0005-0000-0000-0000163E0000}"/>
    <cellStyle name="40% - Accent3 7 5 5 2" xfId="43085" xr:uid="{4A517BAE-06BE-4850-A037-7E50A819FC90}"/>
    <cellStyle name="40% - Accent3 7 5 6" xfId="27205" xr:uid="{62273F4E-3B3A-4EBE-B256-5969171E886C}"/>
    <cellStyle name="40% - Accent3 7 5_Exh G" xfId="3036" xr:uid="{00000000-0005-0000-0000-0000173E0000}"/>
    <cellStyle name="40% - Accent3 7 6" xfId="4151" xr:uid="{00000000-0005-0000-0000-0000183E0000}"/>
    <cellStyle name="40% - Accent3 7 6 2" xfId="7743" xr:uid="{00000000-0005-0000-0000-0000193E0000}"/>
    <cellStyle name="40% - Accent3 7 6 2 2" xfId="15714" xr:uid="{00000000-0005-0000-0000-00001A3E0000}"/>
    <cellStyle name="40% - Accent3 7 6 2 2 2" xfId="39556" xr:uid="{18EB16DC-8139-4CB1-8B83-E8CF6F96080D}"/>
    <cellStyle name="40% - Accent3 7 6 2 3" xfId="23660" xr:uid="{00000000-0005-0000-0000-00001B3E0000}"/>
    <cellStyle name="40% - Accent3 7 6 2 3 2" xfId="47492" xr:uid="{B6918FE3-F500-4177-A800-3110B92585F7}"/>
    <cellStyle name="40% - Accent3 7 6 2 4" xfId="31615" xr:uid="{D06E8ACA-9B21-4D28-89BC-2D24F14383A6}"/>
    <cellStyle name="40% - Accent3 7 6 3" xfId="12176" xr:uid="{00000000-0005-0000-0000-00001C3E0000}"/>
    <cellStyle name="40% - Accent3 7 6 3 2" xfId="36025" xr:uid="{59FED3F0-33CC-474B-8552-3A50B0BBBB06}"/>
    <cellStyle name="40% - Accent3 7 6 4" xfId="20131" xr:uid="{00000000-0005-0000-0000-00001D3E0000}"/>
    <cellStyle name="40% - Accent3 7 6 4 2" xfId="43963" xr:uid="{D108D840-2112-4C51-8E20-CCBBC27E231D}"/>
    <cellStyle name="40% - Accent3 7 6 5" xfId="28084" xr:uid="{A92F7A41-75BF-4894-80CA-733999C07E61}"/>
    <cellStyle name="40% - Accent3 7 7" xfId="5971" xr:uid="{00000000-0005-0000-0000-00001E3E0000}"/>
    <cellStyle name="40% - Accent3 7 7 2" xfId="13955" xr:uid="{00000000-0005-0000-0000-00001F3E0000}"/>
    <cellStyle name="40% - Accent3 7 7 2 2" xfId="37798" xr:uid="{D1EB8A15-1A02-49B4-B17B-ACE160FB502E}"/>
    <cellStyle name="40% - Accent3 7 7 3" xfId="21903" xr:uid="{00000000-0005-0000-0000-0000203E0000}"/>
    <cellStyle name="40% - Accent3 7 7 3 2" xfId="45735" xr:uid="{2A58D28F-1519-4B4C-A507-9B19BD534DF5}"/>
    <cellStyle name="40% - Accent3 7 7 4" xfId="29857" xr:uid="{E3B12850-902A-4A3A-904C-331172B033DA}"/>
    <cellStyle name="40% - Accent3 7 8" xfId="9524" xr:uid="{00000000-0005-0000-0000-0000213E0000}"/>
    <cellStyle name="40% - Accent3 7 8 2" xfId="17482" xr:uid="{00000000-0005-0000-0000-0000223E0000}"/>
    <cellStyle name="40% - Accent3 7 8 2 2" xfId="41322" xr:uid="{72BA3012-4B34-427A-8B3A-0AC09549934B}"/>
    <cellStyle name="40% - Accent3 7 8 3" xfId="25426" xr:uid="{00000000-0005-0000-0000-0000233E0000}"/>
    <cellStyle name="40% - Accent3 7 8 3 2" xfId="49258" xr:uid="{8132B088-F7F9-499D-95B3-C4CAAF0A75E1}"/>
    <cellStyle name="40% - Accent3 7 8 4" xfId="33381" xr:uid="{753A20B3-DC4F-467A-8B44-C3D8E73471A2}"/>
    <cellStyle name="40% - Accent3 7 9" xfId="10420" xr:uid="{00000000-0005-0000-0000-0000243E0000}"/>
    <cellStyle name="40% - Accent3 7 9 2" xfId="34269" xr:uid="{FEA37011-AB6E-49DF-A42C-A96E832EEDDF}"/>
    <cellStyle name="40% - Accent3 7_Exh G" xfId="3027" xr:uid="{00000000-0005-0000-0000-0000253E0000}"/>
    <cellStyle name="40% - Accent3 8" xfId="476" xr:uid="{00000000-0005-0000-0000-0000263E0000}"/>
    <cellStyle name="40% - Accent3 8 10" xfId="18379" xr:uid="{00000000-0005-0000-0000-0000273E0000}"/>
    <cellStyle name="40% - Accent3 8 10 2" xfId="42211" xr:uid="{5B64E2FB-F7AC-42C1-BC35-003CB3430EA7}"/>
    <cellStyle name="40% - Accent3 8 11" xfId="26331" xr:uid="{D6B1E9D4-DB04-4A2E-9A92-EEA1FD02322C}"/>
    <cellStyle name="40% - Accent3 8 2" xfId="477" xr:uid="{00000000-0005-0000-0000-0000283E0000}"/>
    <cellStyle name="40% - Accent3 8 2 2" xfId="478" xr:uid="{00000000-0005-0000-0000-0000293E0000}"/>
    <cellStyle name="40% - Accent3 8 2 2 2" xfId="1506" xr:uid="{00000000-0005-0000-0000-00002A3E0000}"/>
    <cellStyle name="40% - Accent3 8 2 2 2 2" xfId="5036" xr:uid="{00000000-0005-0000-0000-00002B3E0000}"/>
    <cellStyle name="40% - Accent3 8 2 2 2 2 2" xfId="8627" xr:uid="{00000000-0005-0000-0000-00002C3E0000}"/>
    <cellStyle name="40% - Accent3 8 2 2 2 2 2 2" xfId="16598" xr:uid="{00000000-0005-0000-0000-00002D3E0000}"/>
    <cellStyle name="40% - Accent3 8 2 2 2 2 2 2 2" xfId="40440" xr:uid="{7470117D-71B9-4073-8068-6A0C93BF89CB}"/>
    <cellStyle name="40% - Accent3 8 2 2 2 2 2 3" xfId="24544" xr:uid="{00000000-0005-0000-0000-00002E3E0000}"/>
    <cellStyle name="40% - Accent3 8 2 2 2 2 2 3 2" xfId="48376" xr:uid="{02DE8E49-D250-44A0-9C46-9E879DE30330}"/>
    <cellStyle name="40% - Accent3 8 2 2 2 2 2 4" xfId="32499" xr:uid="{A25716F4-6020-4D27-BF3C-D0A6AC87826F}"/>
    <cellStyle name="40% - Accent3 8 2 2 2 2 3" xfId="13060" xr:uid="{00000000-0005-0000-0000-00002F3E0000}"/>
    <cellStyle name="40% - Accent3 8 2 2 2 2 3 2" xfId="36909" xr:uid="{1C4E42E6-949E-413B-88D6-B4CAE3288346}"/>
    <cellStyle name="40% - Accent3 8 2 2 2 2 4" xfId="21015" xr:uid="{00000000-0005-0000-0000-0000303E0000}"/>
    <cellStyle name="40% - Accent3 8 2 2 2 2 4 2" xfId="44847" xr:uid="{0BD61480-0BD0-4C4A-8E80-8F66E7EFA4E1}"/>
    <cellStyle name="40% - Accent3 8 2 2 2 2 5" xfId="28968" xr:uid="{33261F92-0566-4D7A-A16B-63F1D2471A6B}"/>
    <cellStyle name="40% - Accent3 8 2 2 2 3" xfId="6868" xr:uid="{00000000-0005-0000-0000-0000313E0000}"/>
    <cellStyle name="40% - Accent3 8 2 2 2 3 2" xfId="14840" xr:uid="{00000000-0005-0000-0000-0000323E0000}"/>
    <cellStyle name="40% - Accent3 8 2 2 2 3 2 2" xfId="38682" xr:uid="{C091F114-C4FC-4152-99F9-6A548D577F56}"/>
    <cellStyle name="40% - Accent3 8 2 2 2 3 3" xfId="22787" xr:uid="{00000000-0005-0000-0000-0000333E0000}"/>
    <cellStyle name="40% - Accent3 8 2 2 2 3 3 2" xfId="46619" xr:uid="{5941385C-6FD7-471B-AE6A-E97D1877D336}"/>
    <cellStyle name="40% - Accent3 8 2 2 2 3 4" xfId="30741" xr:uid="{FBB3D76E-D3E0-4EC4-BBA5-4CF7BBF2DB9E}"/>
    <cellStyle name="40% - Accent3 8 2 2 2 4" xfId="11304" xr:uid="{00000000-0005-0000-0000-0000343E0000}"/>
    <cellStyle name="40% - Accent3 8 2 2 2 4 2" xfId="35153" xr:uid="{D474D150-1566-487F-AFEA-41A032E5A4C3}"/>
    <cellStyle name="40% - Accent3 8 2 2 2 5" xfId="19259" xr:uid="{00000000-0005-0000-0000-0000353E0000}"/>
    <cellStyle name="40% - Accent3 8 2 2 2 5 2" xfId="43091" xr:uid="{5DFC3874-F1DF-4D6A-8E04-618E737D552C}"/>
    <cellStyle name="40% - Accent3 8 2 2 2 6" xfId="27211" xr:uid="{3D43B038-DDE5-4067-8CE3-444769689960}"/>
    <cellStyle name="40% - Accent3 8 2 2 2_Exh G" xfId="3040" xr:uid="{00000000-0005-0000-0000-0000363E0000}"/>
    <cellStyle name="40% - Accent3 8 2 2 3" xfId="4157" xr:uid="{00000000-0005-0000-0000-0000373E0000}"/>
    <cellStyle name="40% - Accent3 8 2 2 3 2" xfId="7749" xr:uid="{00000000-0005-0000-0000-0000383E0000}"/>
    <cellStyle name="40% - Accent3 8 2 2 3 2 2" xfId="15720" xr:uid="{00000000-0005-0000-0000-0000393E0000}"/>
    <cellStyle name="40% - Accent3 8 2 2 3 2 2 2" xfId="39562" xr:uid="{B46CB84E-35CD-4E41-AA26-9D25F107FA64}"/>
    <cellStyle name="40% - Accent3 8 2 2 3 2 3" xfId="23666" xr:uid="{00000000-0005-0000-0000-00003A3E0000}"/>
    <cellStyle name="40% - Accent3 8 2 2 3 2 3 2" xfId="47498" xr:uid="{EC52277A-CF3A-4DCA-89B1-F56AC790477E}"/>
    <cellStyle name="40% - Accent3 8 2 2 3 2 4" xfId="31621" xr:uid="{B0FFE802-2458-4EA9-AE4C-E95FA1AF8C4B}"/>
    <cellStyle name="40% - Accent3 8 2 2 3 3" xfId="12182" xr:uid="{00000000-0005-0000-0000-00003B3E0000}"/>
    <cellStyle name="40% - Accent3 8 2 2 3 3 2" xfId="36031" xr:uid="{F1A425AE-1034-49CA-9E19-47AD707DE137}"/>
    <cellStyle name="40% - Accent3 8 2 2 3 4" xfId="20137" xr:uid="{00000000-0005-0000-0000-00003C3E0000}"/>
    <cellStyle name="40% - Accent3 8 2 2 3 4 2" xfId="43969" xr:uid="{88788602-C465-431E-B9A4-F9137212DA33}"/>
    <cellStyle name="40% - Accent3 8 2 2 3 5" xfId="28090" xr:uid="{870F7EF6-9B6A-4FA8-B05A-228B945E1CBB}"/>
    <cellStyle name="40% - Accent3 8 2 2 4" xfId="5977" xr:uid="{00000000-0005-0000-0000-00003D3E0000}"/>
    <cellStyle name="40% - Accent3 8 2 2 4 2" xfId="13961" xr:uid="{00000000-0005-0000-0000-00003E3E0000}"/>
    <cellStyle name="40% - Accent3 8 2 2 4 2 2" xfId="37804" xr:uid="{CA622E95-CD5D-4202-ADD5-0DF677790CD0}"/>
    <cellStyle name="40% - Accent3 8 2 2 4 3" xfId="21909" xr:uid="{00000000-0005-0000-0000-00003F3E0000}"/>
    <cellStyle name="40% - Accent3 8 2 2 4 3 2" xfId="45741" xr:uid="{DFD2FAA7-31A7-4179-B5D2-099A797F825F}"/>
    <cellStyle name="40% - Accent3 8 2 2 4 4" xfId="29863" xr:uid="{DD5BE5F4-2C65-467A-93E9-8CF1A89F7D5A}"/>
    <cellStyle name="40% - Accent3 8 2 2 5" xfId="9530" xr:uid="{00000000-0005-0000-0000-0000403E0000}"/>
    <cellStyle name="40% - Accent3 8 2 2 5 2" xfId="17488" xr:uid="{00000000-0005-0000-0000-0000413E0000}"/>
    <cellStyle name="40% - Accent3 8 2 2 5 2 2" xfId="41328" xr:uid="{338DF3EC-9E04-4FE1-8798-3FD1C8150E48}"/>
    <cellStyle name="40% - Accent3 8 2 2 5 3" xfId="25432" xr:uid="{00000000-0005-0000-0000-0000423E0000}"/>
    <cellStyle name="40% - Accent3 8 2 2 5 3 2" xfId="49264" xr:uid="{05085536-64E8-4E80-8327-A840694628BD}"/>
    <cellStyle name="40% - Accent3 8 2 2 5 4" xfId="33387" xr:uid="{0C8BFD81-0F98-4166-B8B4-4B2ABE8D5140}"/>
    <cellStyle name="40% - Accent3 8 2 2 6" xfId="10426" xr:uid="{00000000-0005-0000-0000-0000433E0000}"/>
    <cellStyle name="40% - Accent3 8 2 2 6 2" xfId="34275" xr:uid="{B3238DEC-EF77-4405-A814-4DF0109E97DE}"/>
    <cellStyle name="40% - Accent3 8 2 2 7" xfId="18381" xr:uid="{00000000-0005-0000-0000-0000443E0000}"/>
    <cellStyle name="40% - Accent3 8 2 2 7 2" xfId="42213" xr:uid="{FFF6D934-70B6-40C4-817D-AB880100C7C9}"/>
    <cellStyle name="40% - Accent3 8 2 2 8" xfId="26333" xr:uid="{4D5614E5-1AE2-412D-8211-BB1A9EE06C04}"/>
    <cellStyle name="40% - Accent3 8 2 2_Exh G" xfId="3039" xr:uid="{00000000-0005-0000-0000-0000453E0000}"/>
    <cellStyle name="40% - Accent3 8 2 3" xfId="1505" xr:uid="{00000000-0005-0000-0000-0000463E0000}"/>
    <cellStyle name="40% - Accent3 8 2 3 2" xfId="5035" xr:uid="{00000000-0005-0000-0000-0000473E0000}"/>
    <cellStyle name="40% - Accent3 8 2 3 2 2" xfId="8626" xr:uid="{00000000-0005-0000-0000-0000483E0000}"/>
    <cellStyle name="40% - Accent3 8 2 3 2 2 2" xfId="16597" xr:uid="{00000000-0005-0000-0000-0000493E0000}"/>
    <cellStyle name="40% - Accent3 8 2 3 2 2 2 2" xfId="40439" xr:uid="{5D28C8B4-E388-4AED-8A60-8E98373E1510}"/>
    <cellStyle name="40% - Accent3 8 2 3 2 2 3" xfId="24543" xr:uid="{00000000-0005-0000-0000-00004A3E0000}"/>
    <cellStyle name="40% - Accent3 8 2 3 2 2 3 2" xfId="48375" xr:uid="{DAB8C555-F5DA-47BB-AD2E-9547F2403B83}"/>
    <cellStyle name="40% - Accent3 8 2 3 2 2 4" xfId="32498" xr:uid="{04AFF4B8-850D-4259-A33D-7B2328741BE1}"/>
    <cellStyle name="40% - Accent3 8 2 3 2 3" xfId="13059" xr:uid="{00000000-0005-0000-0000-00004B3E0000}"/>
    <cellStyle name="40% - Accent3 8 2 3 2 3 2" xfId="36908" xr:uid="{10229259-6CE8-4BBE-AD65-ADE11F36ABA3}"/>
    <cellStyle name="40% - Accent3 8 2 3 2 4" xfId="21014" xr:uid="{00000000-0005-0000-0000-00004C3E0000}"/>
    <cellStyle name="40% - Accent3 8 2 3 2 4 2" xfId="44846" xr:uid="{B7CF5A53-800B-48FD-BF08-8DEDAA56195C}"/>
    <cellStyle name="40% - Accent3 8 2 3 2 5" xfId="28967" xr:uid="{D199DCEE-271A-491B-9D3C-3AB2EBB1D667}"/>
    <cellStyle name="40% - Accent3 8 2 3 3" xfId="6867" xr:uid="{00000000-0005-0000-0000-00004D3E0000}"/>
    <cellStyle name="40% - Accent3 8 2 3 3 2" xfId="14839" xr:uid="{00000000-0005-0000-0000-00004E3E0000}"/>
    <cellStyle name="40% - Accent3 8 2 3 3 2 2" xfId="38681" xr:uid="{FAF66A19-3DC7-4608-B547-DDE13BC91C94}"/>
    <cellStyle name="40% - Accent3 8 2 3 3 3" xfId="22786" xr:uid="{00000000-0005-0000-0000-00004F3E0000}"/>
    <cellStyle name="40% - Accent3 8 2 3 3 3 2" xfId="46618" xr:uid="{CDE4ECEE-51E9-4EFA-8B46-93717B2B8091}"/>
    <cellStyle name="40% - Accent3 8 2 3 3 4" xfId="30740" xr:uid="{260D822B-3590-4D2B-AB05-9B7B44DC463E}"/>
    <cellStyle name="40% - Accent3 8 2 3 4" xfId="11303" xr:uid="{00000000-0005-0000-0000-0000503E0000}"/>
    <cellStyle name="40% - Accent3 8 2 3 4 2" xfId="35152" xr:uid="{1B526941-5649-4091-B5C9-B82F036B8538}"/>
    <cellStyle name="40% - Accent3 8 2 3 5" xfId="19258" xr:uid="{00000000-0005-0000-0000-0000513E0000}"/>
    <cellStyle name="40% - Accent3 8 2 3 5 2" xfId="43090" xr:uid="{1E1DE65C-0F87-490A-A927-A3E97CA248A8}"/>
    <cellStyle name="40% - Accent3 8 2 3 6" xfId="27210" xr:uid="{4F10911E-547C-41B6-89E9-6DD1B453A645}"/>
    <cellStyle name="40% - Accent3 8 2 3_Exh G" xfId="3041" xr:uid="{00000000-0005-0000-0000-0000523E0000}"/>
    <cellStyle name="40% - Accent3 8 2 4" xfId="4156" xr:uid="{00000000-0005-0000-0000-0000533E0000}"/>
    <cellStyle name="40% - Accent3 8 2 4 2" xfId="7748" xr:uid="{00000000-0005-0000-0000-0000543E0000}"/>
    <cellStyle name="40% - Accent3 8 2 4 2 2" xfId="15719" xr:uid="{00000000-0005-0000-0000-0000553E0000}"/>
    <cellStyle name="40% - Accent3 8 2 4 2 2 2" xfId="39561" xr:uid="{19919E7C-205F-4C18-81A7-AB030FDED8B4}"/>
    <cellStyle name="40% - Accent3 8 2 4 2 3" xfId="23665" xr:uid="{00000000-0005-0000-0000-0000563E0000}"/>
    <cellStyle name="40% - Accent3 8 2 4 2 3 2" xfId="47497" xr:uid="{FD64AD58-F81D-45FF-BA7A-2815B037CBE9}"/>
    <cellStyle name="40% - Accent3 8 2 4 2 4" xfId="31620" xr:uid="{610F2985-39FA-4F7B-8EDD-F998D629E5E7}"/>
    <cellStyle name="40% - Accent3 8 2 4 3" xfId="12181" xr:uid="{00000000-0005-0000-0000-0000573E0000}"/>
    <cellStyle name="40% - Accent3 8 2 4 3 2" xfId="36030" xr:uid="{1B89E6B8-6569-4A10-BB85-195F68FD01E2}"/>
    <cellStyle name="40% - Accent3 8 2 4 4" xfId="20136" xr:uid="{00000000-0005-0000-0000-0000583E0000}"/>
    <cellStyle name="40% - Accent3 8 2 4 4 2" xfId="43968" xr:uid="{8EC5942D-37E5-412C-90BD-82C78B8F3310}"/>
    <cellStyle name="40% - Accent3 8 2 4 5" xfId="28089" xr:uid="{839CF5EC-9565-4AD7-90CB-418493125764}"/>
    <cellStyle name="40% - Accent3 8 2 5" xfId="5976" xr:uid="{00000000-0005-0000-0000-0000593E0000}"/>
    <cellStyle name="40% - Accent3 8 2 5 2" xfId="13960" xr:uid="{00000000-0005-0000-0000-00005A3E0000}"/>
    <cellStyle name="40% - Accent3 8 2 5 2 2" xfId="37803" xr:uid="{44BE86CF-DA36-4814-8A6E-CC936385F455}"/>
    <cellStyle name="40% - Accent3 8 2 5 3" xfId="21908" xr:uid="{00000000-0005-0000-0000-00005B3E0000}"/>
    <cellStyle name="40% - Accent3 8 2 5 3 2" xfId="45740" xr:uid="{9D9E3B59-14B2-4821-9BEA-31D481365406}"/>
    <cellStyle name="40% - Accent3 8 2 5 4" xfId="29862" xr:uid="{4ACAF81F-497A-4F11-B5C8-B92FD2EEA745}"/>
    <cellStyle name="40% - Accent3 8 2 6" xfId="9529" xr:uid="{00000000-0005-0000-0000-00005C3E0000}"/>
    <cellStyle name="40% - Accent3 8 2 6 2" xfId="17487" xr:uid="{00000000-0005-0000-0000-00005D3E0000}"/>
    <cellStyle name="40% - Accent3 8 2 6 2 2" xfId="41327" xr:uid="{EDE01863-377B-4C95-AA38-5826CD2671B7}"/>
    <cellStyle name="40% - Accent3 8 2 6 3" xfId="25431" xr:uid="{00000000-0005-0000-0000-00005E3E0000}"/>
    <cellStyle name="40% - Accent3 8 2 6 3 2" xfId="49263" xr:uid="{8EA3A214-B7E7-432F-B156-1945F1252BAE}"/>
    <cellStyle name="40% - Accent3 8 2 6 4" xfId="33386" xr:uid="{A98E1212-0D29-4B88-A641-53B6686490A4}"/>
    <cellStyle name="40% - Accent3 8 2 7" xfId="10425" xr:uid="{00000000-0005-0000-0000-00005F3E0000}"/>
    <cellStyle name="40% - Accent3 8 2 7 2" xfId="34274" xr:uid="{FA55CFA8-E8AA-4500-8456-630417517CA9}"/>
    <cellStyle name="40% - Accent3 8 2 8" xfId="18380" xr:uid="{00000000-0005-0000-0000-0000603E0000}"/>
    <cellStyle name="40% - Accent3 8 2 8 2" xfId="42212" xr:uid="{CA43D517-8EC8-4820-9F95-F802838A4A91}"/>
    <cellStyle name="40% - Accent3 8 2 9" xfId="26332" xr:uid="{6A9420A6-0EAE-4BCB-9CA5-22BCD82EAD4A}"/>
    <cellStyle name="40% - Accent3 8 2_Exh G" xfId="3038" xr:uid="{00000000-0005-0000-0000-0000613E0000}"/>
    <cellStyle name="40% - Accent3 8 3" xfId="479" xr:uid="{00000000-0005-0000-0000-0000623E0000}"/>
    <cellStyle name="40% - Accent3 8 3 2" xfId="1507" xr:uid="{00000000-0005-0000-0000-0000633E0000}"/>
    <cellStyle name="40% - Accent3 8 3 2 2" xfId="5037" xr:uid="{00000000-0005-0000-0000-0000643E0000}"/>
    <cellStyle name="40% - Accent3 8 3 2 2 2" xfId="8628" xr:uid="{00000000-0005-0000-0000-0000653E0000}"/>
    <cellStyle name="40% - Accent3 8 3 2 2 2 2" xfId="16599" xr:uid="{00000000-0005-0000-0000-0000663E0000}"/>
    <cellStyle name="40% - Accent3 8 3 2 2 2 2 2" xfId="40441" xr:uid="{648A8F35-8BF7-4A22-B84B-0CD00F12A585}"/>
    <cellStyle name="40% - Accent3 8 3 2 2 2 3" xfId="24545" xr:uid="{00000000-0005-0000-0000-0000673E0000}"/>
    <cellStyle name="40% - Accent3 8 3 2 2 2 3 2" xfId="48377" xr:uid="{6CA23722-5351-4F48-A38B-DBCBE69F13C2}"/>
    <cellStyle name="40% - Accent3 8 3 2 2 2 4" xfId="32500" xr:uid="{BF2A9DE3-2E1E-40D6-92BB-9F4ACD8DE104}"/>
    <cellStyle name="40% - Accent3 8 3 2 2 3" xfId="13061" xr:uid="{00000000-0005-0000-0000-0000683E0000}"/>
    <cellStyle name="40% - Accent3 8 3 2 2 3 2" xfId="36910" xr:uid="{BD01818C-30FA-4102-95CA-A5338C46C56E}"/>
    <cellStyle name="40% - Accent3 8 3 2 2 4" xfId="21016" xr:uid="{00000000-0005-0000-0000-0000693E0000}"/>
    <cellStyle name="40% - Accent3 8 3 2 2 4 2" xfId="44848" xr:uid="{61A9A670-1111-4777-B3E2-348E1D8C81FF}"/>
    <cellStyle name="40% - Accent3 8 3 2 2 5" xfId="28969" xr:uid="{E68952FE-1AAA-4F85-B739-6B245C16FB28}"/>
    <cellStyle name="40% - Accent3 8 3 2 3" xfId="6869" xr:uid="{00000000-0005-0000-0000-00006A3E0000}"/>
    <cellStyle name="40% - Accent3 8 3 2 3 2" xfId="14841" xr:uid="{00000000-0005-0000-0000-00006B3E0000}"/>
    <cellStyle name="40% - Accent3 8 3 2 3 2 2" xfId="38683" xr:uid="{9A57CC02-DCCD-4645-BB97-4504C2D697F6}"/>
    <cellStyle name="40% - Accent3 8 3 2 3 3" xfId="22788" xr:uid="{00000000-0005-0000-0000-00006C3E0000}"/>
    <cellStyle name="40% - Accent3 8 3 2 3 3 2" xfId="46620" xr:uid="{A4DF6129-4021-4611-BB91-EDE6BA95D4CF}"/>
    <cellStyle name="40% - Accent3 8 3 2 3 4" xfId="30742" xr:uid="{284CE7BD-E093-4D3F-A502-2139AFD507EF}"/>
    <cellStyle name="40% - Accent3 8 3 2 4" xfId="11305" xr:uid="{00000000-0005-0000-0000-00006D3E0000}"/>
    <cellStyle name="40% - Accent3 8 3 2 4 2" xfId="35154" xr:uid="{C88F5323-7BAE-4EB4-8AC3-0B1AC5A4FDED}"/>
    <cellStyle name="40% - Accent3 8 3 2 5" xfId="19260" xr:uid="{00000000-0005-0000-0000-00006E3E0000}"/>
    <cellStyle name="40% - Accent3 8 3 2 5 2" xfId="43092" xr:uid="{B180E1E6-6B90-4C71-8C6B-64033DE7969B}"/>
    <cellStyle name="40% - Accent3 8 3 2 6" xfId="27212" xr:uid="{5ABBA20D-25C6-4D5B-8F68-BCEB193B3D1B}"/>
    <cellStyle name="40% - Accent3 8 3 2_Exh G" xfId="3043" xr:uid="{00000000-0005-0000-0000-00006F3E0000}"/>
    <cellStyle name="40% - Accent3 8 3 3" xfId="4158" xr:uid="{00000000-0005-0000-0000-0000703E0000}"/>
    <cellStyle name="40% - Accent3 8 3 3 2" xfId="7750" xr:uid="{00000000-0005-0000-0000-0000713E0000}"/>
    <cellStyle name="40% - Accent3 8 3 3 2 2" xfId="15721" xr:uid="{00000000-0005-0000-0000-0000723E0000}"/>
    <cellStyle name="40% - Accent3 8 3 3 2 2 2" xfId="39563" xr:uid="{7DCAFE4B-2C82-4248-9F5B-90BB3C4EE4B8}"/>
    <cellStyle name="40% - Accent3 8 3 3 2 3" xfId="23667" xr:uid="{00000000-0005-0000-0000-0000733E0000}"/>
    <cellStyle name="40% - Accent3 8 3 3 2 3 2" xfId="47499" xr:uid="{F61E2A67-7233-4CBC-80B9-715AC8692C06}"/>
    <cellStyle name="40% - Accent3 8 3 3 2 4" xfId="31622" xr:uid="{D4011CC0-5B1D-4E34-9A99-DC0DD3B4E9A3}"/>
    <cellStyle name="40% - Accent3 8 3 3 3" xfId="12183" xr:uid="{00000000-0005-0000-0000-0000743E0000}"/>
    <cellStyle name="40% - Accent3 8 3 3 3 2" xfId="36032" xr:uid="{CC2295A7-0CA1-4C45-B260-042186DECC10}"/>
    <cellStyle name="40% - Accent3 8 3 3 4" xfId="20138" xr:uid="{00000000-0005-0000-0000-0000753E0000}"/>
    <cellStyle name="40% - Accent3 8 3 3 4 2" xfId="43970" xr:uid="{C20FADD5-4762-4323-AC8B-FE59A4BD7023}"/>
    <cellStyle name="40% - Accent3 8 3 3 5" xfId="28091" xr:uid="{825ECAAC-7561-473F-99DE-86390A5C6AF6}"/>
    <cellStyle name="40% - Accent3 8 3 4" xfId="5978" xr:uid="{00000000-0005-0000-0000-0000763E0000}"/>
    <cellStyle name="40% - Accent3 8 3 4 2" xfId="13962" xr:uid="{00000000-0005-0000-0000-0000773E0000}"/>
    <cellStyle name="40% - Accent3 8 3 4 2 2" xfId="37805" xr:uid="{EA8B1BC0-CC60-4D67-8D1C-FC57C7F88695}"/>
    <cellStyle name="40% - Accent3 8 3 4 3" xfId="21910" xr:uid="{00000000-0005-0000-0000-0000783E0000}"/>
    <cellStyle name="40% - Accent3 8 3 4 3 2" xfId="45742" xr:uid="{FCF67114-6616-4E8C-B2DC-7FE2EBA7317A}"/>
    <cellStyle name="40% - Accent3 8 3 4 4" xfId="29864" xr:uid="{3A1A0C6C-05BC-4FCE-8CBA-D921498E2041}"/>
    <cellStyle name="40% - Accent3 8 3 5" xfId="9531" xr:uid="{00000000-0005-0000-0000-0000793E0000}"/>
    <cellStyle name="40% - Accent3 8 3 5 2" xfId="17489" xr:uid="{00000000-0005-0000-0000-00007A3E0000}"/>
    <cellStyle name="40% - Accent3 8 3 5 2 2" xfId="41329" xr:uid="{FAD66C5A-DDBB-43CE-820B-BFDF9E08E4C5}"/>
    <cellStyle name="40% - Accent3 8 3 5 3" xfId="25433" xr:uid="{00000000-0005-0000-0000-00007B3E0000}"/>
    <cellStyle name="40% - Accent3 8 3 5 3 2" xfId="49265" xr:uid="{22ECE826-3424-4459-8E12-E06508E31985}"/>
    <cellStyle name="40% - Accent3 8 3 5 4" xfId="33388" xr:uid="{B79167A0-B863-45F5-B964-F6A704392F13}"/>
    <cellStyle name="40% - Accent3 8 3 6" xfId="10427" xr:uid="{00000000-0005-0000-0000-00007C3E0000}"/>
    <cellStyle name="40% - Accent3 8 3 6 2" xfId="34276" xr:uid="{4EB3F0BB-B4B7-489E-9236-07263F144C43}"/>
    <cellStyle name="40% - Accent3 8 3 7" xfId="18382" xr:uid="{00000000-0005-0000-0000-00007D3E0000}"/>
    <cellStyle name="40% - Accent3 8 3 7 2" xfId="42214" xr:uid="{7DAF81AA-9C20-4FAC-9F3C-05FBAA07DCB7}"/>
    <cellStyle name="40% - Accent3 8 3 8" xfId="26334" xr:uid="{FA681796-3315-4A06-A609-51F78F51C9A9}"/>
    <cellStyle name="40% - Accent3 8 3_Exh G" xfId="3042" xr:uid="{00000000-0005-0000-0000-00007E3E0000}"/>
    <cellStyle name="40% - Accent3 8 4" xfId="968" xr:uid="{00000000-0005-0000-0000-00007F3E0000}"/>
    <cellStyle name="40% - Accent3 8 4 2" xfId="1887" xr:uid="{00000000-0005-0000-0000-0000803E0000}"/>
    <cellStyle name="40% - Accent3 8 4 2 2" xfId="5405" xr:uid="{00000000-0005-0000-0000-0000813E0000}"/>
    <cellStyle name="40% - Accent3 8 4 2 2 2" xfId="8996" xr:uid="{00000000-0005-0000-0000-0000823E0000}"/>
    <cellStyle name="40% - Accent3 8 4 2 2 2 2" xfId="16967" xr:uid="{00000000-0005-0000-0000-0000833E0000}"/>
    <cellStyle name="40% - Accent3 8 4 2 2 2 2 2" xfId="40809" xr:uid="{9B82FEE7-CD37-4EDB-9C33-DED134F7F9AD}"/>
    <cellStyle name="40% - Accent3 8 4 2 2 2 3" xfId="24913" xr:uid="{00000000-0005-0000-0000-0000843E0000}"/>
    <cellStyle name="40% - Accent3 8 4 2 2 2 3 2" xfId="48745" xr:uid="{DCC9842F-0CE5-44F6-8B36-2670FE23DA6D}"/>
    <cellStyle name="40% - Accent3 8 4 2 2 2 4" xfId="32868" xr:uid="{98E3E78B-2185-41A9-ADE5-7F3B3087E844}"/>
    <cellStyle name="40% - Accent3 8 4 2 2 3" xfId="13429" xr:uid="{00000000-0005-0000-0000-0000853E0000}"/>
    <cellStyle name="40% - Accent3 8 4 2 2 3 2" xfId="37278" xr:uid="{36D57C9C-B4FE-4542-9F77-79462CED70D3}"/>
    <cellStyle name="40% - Accent3 8 4 2 2 4" xfId="21384" xr:uid="{00000000-0005-0000-0000-0000863E0000}"/>
    <cellStyle name="40% - Accent3 8 4 2 2 4 2" xfId="45216" xr:uid="{9E4C8C07-2070-4CE9-880A-5D69E662B29B}"/>
    <cellStyle name="40% - Accent3 8 4 2 2 5" xfId="29337" xr:uid="{B85D1026-8C10-4A67-A945-07A152CBCCB1}"/>
    <cellStyle name="40% - Accent3 8 4 2 3" xfId="7237" xr:uid="{00000000-0005-0000-0000-0000873E0000}"/>
    <cellStyle name="40% - Accent3 8 4 2 3 2" xfId="15209" xr:uid="{00000000-0005-0000-0000-0000883E0000}"/>
    <cellStyle name="40% - Accent3 8 4 2 3 2 2" xfId="39051" xr:uid="{AF20C22C-0845-474C-AD10-88EF416548F9}"/>
    <cellStyle name="40% - Accent3 8 4 2 3 3" xfId="23156" xr:uid="{00000000-0005-0000-0000-0000893E0000}"/>
    <cellStyle name="40% - Accent3 8 4 2 3 3 2" xfId="46988" xr:uid="{127346EF-B97E-4195-9A11-71ADC27A83A9}"/>
    <cellStyle name="40% - Accent3 8 4 2 3 4" xfId="31110" xr:uid="{82A499F9-9539-4CD6-A38E-1204ABAC4119}"/>
    <cellStyle name="40% - Accent3 8 4 2 4" xfId="11673" xr:uid="{00000000-0005-0000-0000-00008A3E0000}"/>
    <cellStyle name="40% - Accent3 8 4 2 4 2" xfId="35522" xr:uid="{1AA55B8D-597D-4A38-A842-CE3D3B6A4089}"/>
    <cellStyle name="40% - Accent3 8 4 2 5" xfId="19628" xr:uid="{00000000-0005-0000-0000-00008B3E0000}"/>
    <cellStyle name="40% - Accent3 8 4 2 5 2" xfId="43460" xr:uid="{A65A60E6-387A-4C44-AC5E-346CF37C3235}"/>
    <cellStyle name="40% - Accent3 8 4 2 6" xfId="27580" xr:uid="{D3969D8E-C4EF-408A-A880-84393F1214D1}"/>
    <cellStyle name="40% - Accent3 8 4 2_Exh G" xfId="3045" xr:uid="{00000000-0005-0000-0000-00008C3E0000}"/>
    <cellStyle name="40% - Accent3 8 4 3" xfId="4526" xr:uid="{00000000-0005-0000-0000-00008D3E0000}"/>
    <cellStyle name="40% - Accent3 8 4 3 2" xfId="8118" xr:uid="{00000000-0005-0000-0000-00008E3E0000}"/>
    <cellStyle name="40% - Accent3 8 4 3 2 2" xfId="16089" xr:uid="{00000000-0005-0000-0000-00008F3E0000}"/>
    <cellStyle name="40% - Accent3 8 4 3 2 2 2" xfId="39931" xr:uid="{3C0039A4-C761-4375-99CE-20897690FB76}"/>
    <cellStyle name="40% - Accent3 8 4 3 2 3" xfId="24035" xr:uid="{00000000-0005-0000-0000-0000903E0000}"/>
    <cellStyle name="40% - Accent3 8 4 3 2 3 2" xfId="47867" xr:uid="{AE0E05D3-E9ED-4524-A769-F0CF7C1956DA}"/>
    <cellStyle name="40% - Accent3 8 4 3 2 4" xfId="31990" xr:uid="{5DD4AFB2-06C0-4DDE-8521-995AEFD89A9F}"/>
    <cellStyle name="40% - Accent3 8 4 3 3" xfId="12551" xr:uid="{00000000-0005-0000-0000-0000913E0000}"/>
    <cellStyle name="40% - Accent3 8 4 3 3 2" xfId="36400" xr:uid="{0B0DDD3C-FB12-4EAF-86A7-6D6D7492CEF4}"/>
    <cellStyle name="40% - Accent3 8 4 3 4" xfId="20506" xr:uid="{00000000-0005-0000-0000-0000923E0000}"/>
    <cellStyle name="40% - Accent3 8 4 3 4 2" xfId="44338" xr:uid="{C976DE12-AA71-4849-A8C6-71EC4DF3AD21}"/>
    <cellStyle name="40% - Accent3 8 4 3 5" xfId="28459" xr:uid="{800B92CE-97C0-493A-A455-7D0E9CD3A7F4}"/>
    <cellStyle name="40% - Accent3 8 4 4" xfId="6356" xr:uid="{00000000-0005-0000-0000-0000933E0000}"/>
    <cellStyle name="40% - Accent3 8 4 4 2" xfId="14331" xr:uid="{00000000-0005-0000-0000-0000943E0000}"/>
    <cellStyle name="40% - Accent3 8 4 4 2 2" xfId="38173" xr:uid="{7610F26C-6751-4063-8DCC-6D816C7B1E8A}"/>
    <cellStyle name="40% - Accent3 8 4 4 3" xfId="22278" xr:uid="{00000000-0005-0000-0000-0000953E0000}"/>
    <cellStyle name="40% - Accent3 8 4 4 3 2" xfId="46110" xr:uid="{E2B374AF-CEF0-4EE4-B6AE-8943C4B0AC70}"/>
    <cellStyle name="40% - Accent3 8 4 4 4" xfId="30232" xr:uid="{BC2B4F7D-4E2B-4796-8F6D-98B27EC6B25A}"/>
    <cellStyle name="40% - Accent3 8 4 5" xfId="9899" xr:uid="{00000000-0005-0000-0000-0000963E0000}"/>
    <cellStyle name="40% - Accent3 8 4 5 2" xfId="17857" xr:uid="{00000000-0005-0000-0000-0000973E0000}"/>
    <cellStyle name="40% - Accent3 8 4 5 2 2" xfId="41697" xr:uid="{C8DEBA9A-388E-415F-B914-3FE7B603D152}"/>
    <cellStyle name="40% - Accent3 8 4 5 3" xfId="25801" xr:uid="{00000000-0005-0000-0000-0000983E0000}"/>
    <cellStyle name="40% - Accent3 8 4 5 3 2" xfId="49633" xr:uid="{4B3A247B-CF2D-4548-AC55-A949698E5217}"/>
    <cellStyle name="40% - Accent3 8 4 5 4" xfId="33756" xr:uid="{E2557B11-4D2F-48DF-A8FD-E91425130D09}"/>
    <cellStyle name="40% - Accent3 8 4 6" xfId="10795" xr:uid="{00000000-0005-0000-0000-0000993E0000}"/>
    <cellStyle name="40% - Accent3 8 4 6 2" xfId="34644" xr:uid="{F1CC4EA3-B162-4882-BAC3-F7C9F5320571}"/>
    <cellStyle name="40% - Accent3 8 4 7" xfId="18750" xr:uid="{00000000-0005-0000-0000-00009A3E0000}"/>
    <cellStyle name="40% - Accent3 8 4 7 2" xfId="42582" xr:uid="{88D0F0D5-F9C5-4CD3-858A-C9C32E10CEDD}"/>
    <cellStyle name="40% - Accent3 8 4 8" xfId="26702" xr:uid="{DECEFDDD-DB2B-47D9-81AD-ABC5F6B997BC}"/>
    <cellStyle name="40% - Accent3 8 4_Exh G" xfId="3044" xr:uid="{00000000-0005-0000-0000-00009B3E0000}"/>
    <cellStyle name="40% - Accent3 8 5" xfId="1504" xr:uid="{00000000-0005-0000-0000-00009C3E0000}"/>
    <cellStyle name="40% - Accent3 8 5 2" xfId="5034" xr:uid="{00000000-0005-0000-0000-00009D3E0000}"/>
    <cellStyle name="40% - Accent3 8 5 2 2" xfId="8625" xr:uid="{00000000-0005-0000-0000-00009E3E0000}"/>
    <cellStyle name="40% - Accent3 8 5 2 2 2" xfId="16596" xr:uid="{00000000-0005-0000-0000-00009F3E0000}"/>
    <cellStyle name="40% - Accent3 8 5 2 2 2 2" xfId="40438" xr:uid="{B78BD6B2-9F67-49CE-A17D-04C9127EEF43}"/>
    <cellStyle name="40% - Accent3 8 5 2 2 3" xfId="24542" xr:uid="{00000000-0005-0000-0000-0000A03E0000}"/>
    <cellStyle name="40% - Accent3 8 5 2 2 3 2" xfId="48374" xr:uid="{1A0A3F68-897E-4355-8E7E-0A76855E9718}"/>
    <cellStyle name="40% - Accent3 8 5 2 2 4" xfId="32497" xr:uid="{20981C12-AD31-473D-A369-7DC575626EA5}"/>
    <cellStyle name="40% - Accent3 8 5 2 3" xfId="13058" xr:uid="{00000000-0005-0000-0000-0000A13E0000}"/>
    <cellStyle name="40% - Accent3 8 5 2 3 2" xfId="36907" xr:uid="{F31EEC94-BFDA-4820-83F7-49383DDBAD69}"/>
    <cellStyle name="40% - Accent3 8 5 2 4" xfId="21013" xr:uid="{00000000-0005-0000-0000-0000A23E0000}"/>
    <cellStyle name="40% - Accent3 8 5 2 4 2" xfId="44845" xr:uid="{FDC3BCDD-402D-4676-914A-4AAF638578BF}"/>
    <cellStyle name="40% - Accent3 8 5 2 5" xfId="28966" xr:uid="{FC90A51C-72B9-4E45-A910-7A5F65D5B7CB}"/>
    <cellStyle name="40% - Accent3 8 5 3" xfId="6866" xr:uid="{00000000-0005-0000-0000-0000A33E0000}"/>
    <cellStyle name="40% - Accent3 8 5 3 2" xfId="14838" xr:uid="{00000000-0005-0000-0000-0000A43E0000}"/>
    <cellStyle name="40% - Accent3 8 5 3 2 2" xfId="38680" xr:uid="{B29E5F78-38F6-4D9D-8C74-10096A064ABA}"/>
    <cellStyle name="40% - Accent3 8 5 3 3" xfId="22785" xr:uid="{00000000-0005-0000-0000-0000A53E0000}"/>
    <cellStyle name="40% - Accent3 8 5 3 3 2" xfId="46617" xr:uid="{77855213-51A5-4845-9444-7F778168337B}"/>
    <cellStyle name="40% - Accent3 8 5 3 4" xfId="30739" xr:uid="{EBE22B33-3C18-4F50-83DE-B5D578D92351}"/>
    <cellStyle name="40% - Accent3 8 5 4" xfId="11302" xr:uid="{00000000-0005-0000-0000-0000A63E0000}"/>
    <cellStyle name="40% - Accent3 8 5 4 2" xfId="35151" xr:uid="{B1485A70-E141-4FD6-BBAC-267AA7D89149}"/>
    <cellStyle name="40% - Accent3 8 5 5" xfId="19257" xr:uid="{00000000-0005-0000-0000-0000A73E0000}"/>
    <cellStyle name="40% - Accent3 8 5 5 2" xfId="43089" xr:uid="{474B57EE-72C3-43F5-B903-FDE123DC008D}"/>
    <cellStyle name="40% - Accent3 8 5 6" xfId="27209" xr:uid="{6C14D7DA-6A29-4B28-9F2E-6BE6EE78D523}"/>
    <cellStyle name="40% - Accent3 8 5_Exh G" xfId="3046" xr:uid="{00000000-0005-0000-0000-0000A83E0000}"/>
    <cellStyle name="40% - Accent3 8 6" xfId="4155" xr:uid="{00000000-0005-0000-0000-0000A93E0000}"/>
    <cellStyle name="40% - Accent3 8 6 2" xfId="7747" xr:uid="{00000000-0005-0000-0000-0000AA3E0000}"/>
    <cellStyle name="40% - Accent3 8 6 2 2" xfId="15718" xr:uid="{00000000-0005-0000-0000-0000AB3E0000}"/>
    <cellStyle name="40% - Accent3 8 6 2 2 2" xfId="39560" xr:uid="{524B59F5-3F9A-44E1-910E-4F505ACC997A}"/>
    <cellStyle name="40% - Accent3 8 6 2 3" xfId="23664" xr:uid="{00000000-0005-0000-0000-0000AC3E0000}"/>
    <cellStyle name="40% - Accent3 8 6 2 3 2" xfId="47496" xr:uid="{82C503CB-6C5D-4A38-B9CE-0B53791BDEC8}"/>
    <cellStyle name="40% - Accent3 8 6 2 4" xfId="31619" xr:uid="{381D0185-353F-4EA0-9A76-591029AD507C}"/>
    <cellStyle name="40% - Accent3 8 6 3" xfId="12180" xr:uid="{00000000-0005-0000-0000-0000AD3E0000}"/>
    <cellStyle name="40% - Accent3 8 6 3 2" xfId="36029" xr:uid="{533194A1-2C95-4432-8B84-EF81C6F62D8A}"/>
    <cellStyle name="40% - Accent3 8 6 4" xfId="20135" xr:uid="{00000000-0005-0000-0000-0000AE3E0000}"/>
    <cellStyle name="40% - Accent3 8 6 4 2" xfId="43967" xr:uid="{99320A04-DFA1-4144-A68D-CEC10E56F067}"/>
    <cellStyle name="40% - Accent3 8 6 5" xfId="28088" xr:uid="{B985458C-D0C4-47A2-B2D5-6B44A33BA7ED}"/>
    <cellStyle name="40% - Accent3 8 7" xfId="5975" xr:uid="{00000000-0005-0000-0000-0000AF3E0000}"/>
    <cellStyle name="40% - Accent3 8 7 2" xfId="13959" xr:uid="{00000000-0005-0000-0000-0000B03E0000}"/>
    <cellStyle name="40% - Accent3 8 7 2 2" xfId="37802" xr:uid="{D21C4155-C4CA-4179-9CC4-50BBB0AD9196}"/>
    <cellStyle name="40% - Accent3 8 7 3" xfId="21907" xr:uid="{00000000-0005-0000-0000-0000B13E0000}"/>
    <cellStyle name="40% - Accent3 8 7 3 2" xfId="45739" xr:uid="{B92C0A13-5E62-4BEC-9D6A-F93FBAE176C7}"/>
    <cellStyle name="40% - Accent3 8 7 4" xfId="29861" xr:uid="{8254892E-C7A4-4649-B020-A4C926FA5674}"/>
    <cellStyle name="40% - Accent3 8 8" xfId="9528" xr:uid="{00000000-0005-0000-0000-0000B23E0000}"/>
    <cellStyle name="40% - Accent3 8 8 2" xfId="17486" xr:uid="{00000000-0005-0000-0000-0000B33E0000}"/>
    <cellStyle name="40% - Accent3 8 8 2 2" xfId="41326" xr:uid="{EFE1850A-ACE9-4F1C-946C-64BCC386C6FD}"/>
    <cellStyle name="40% - Accent3 8 8 3" xfId="25430" xr:uid="{00000000-0005-0000-0000-0000B43E0000}"/>
    <cellStyle name="40% - Accent3 8 8 3 2" xfId="49262" xr:uid="{3833D40C-8712-4629-B29D-2F551CDE16FC}"/>
    <cellStyle name="40% - Accent3 8 8 4" xfId="33385" xr:uid="{BD2F6DAB-3169-4575-88F9-E103F7F5D6ED}"/>
    <cellStyle name="40% - Accent3 8 9" xfId="10424" xr:uid="{00000000-0005-0000-0000-0000B53E0000}"/>
    <cellStyle name="40% - Accent3 8 9 2" xfId="34273" xr:uid="{718C6195-DD83-4D92-8202-FCE8EC39ED37}"/>
    <cellStyle name="40% - Accent3 8_Exh G" xfId="3037" xr:uid="{00000000-0005-0000-0000-0000B63E0000}"/>
    <cellStyle name="40% - Accent3 9" xfId="480" xr:uid="{00000000-0005-0000-0000-0000B73E0000}"/>
    <cellStyle name="40% - Accent3 9 10" xfId="18383" xr:uid="{00000000-0005-0000-0000-0000B83E0000}"/>
    <cellStyle name="40% - Accent3 9 10 2" xfId="42215" xr:uid="{4B9DBB61-E253-47FC-B57B-0492D42E3C81}"/>
    <cellStyle name="40% - Accent3 9 11" xfId="26335" xr:uid="{1EF0F16A-3E46-47C0-B43A-2ED7FB8ABF9A}"/>
    <cellStyle name="40% - Accent3 9 2" xfId="481" xr:uid="{00000000-0005-0000-0000-0000B93E0000}"/>
    <cellStyle name="40% - Accent3 9 2 2" xfId="482" xr:uid="{00000000-0005-0000-0000-0000BA3E0000}"/>
    <cellStyle name="40% - Accent3 9 2 2 2" xfId="1510" xr:uid="{00000000-0005-0000-0000-0000BB3E0000}"/>
    <cellStyle name="40% - Accent3 9 2 2 2 2" xfId="5040" xr:uid="{00000000-0005-0000-0000-0000BC3E0000}"/>
    <cellStyle name="40% - Accent3 9 2 2 2 2 2" xfId="8631" xr:uid="{00000000-0005-0000-0000-0000BD3E0000}"/>
    <cellStyle name="40% - Accent3 9 2 2 2 2 2 2" xfId="16602" xr:uid="{00000000-0005-0000-0000-0000BE3E0000}"/>
    <cellStyle name="40% - Accent3 9 2 2 2 2 2 2 2" xfId="40444" xr:uid="{97C7C9B5-380F-4FF2-82A4-591AC4F396B8}"/>
    <cellStyle name="40% - Accent3 9 2 2 2 2 2 3" xfId="24548" xr:uid="{00000000-0005-0000-0000-0000BF3E0000}"/>
    <cellStyle name="40% - Accent3 9 2 2 2 2 2 3 2" xfId="48380" xr:uid="{01171843-29E3-41F5-A5D1-CA9AC822DACD}"/>
    <cellStyle name="40% - Accent3 9 2 2 2 2 2 4" xfId="32503" xr:uid="{B3179F49-50DD-4049-BA0B-5B665EF5A5B0}"/>
    <cellStyle name="40% - Accent3 9 2 2 2 2 3" xfId="13064" xr:uid="{00000000-0005-0000-0000-0000C03E0000}"/>
    <cellStyle name="40% - Accent3 9 2 2 2 2 3 2" xfId="36913" xr:uid="{67FFE14B-A718-4883-A7FD-FB029C9A9D09}"/>
    <cellStyle name="40% - Accent3 9 2 2 2 2 4" xfId="21019" xr:uid="{00000000-0005-0000-0000-0000C13E0000}"/>
    <cellStyle name="40% - Accent3 9 2 2 2 2 4 2" xfId="44851" xr:uid="{8780D6F3-2BE5-40FB-8032-DBBAF9228124}"/>
    <cellStyle name="40% - Accent3 9 2 2 2 2 5" xfId="28972" xr:uid="{2BC0E880-1A79-4A32-879B-63617DF56806}"/>
    <cellStyle name="40% - Accent3 9 2 2 2 3" xfId="6872" xr:uid="{00000000-0005-0000-0000-0000C23E0000}"/>
    <cellStyle name="40% - Accent3 9 2 2 2 3 2" xfId="14844" xr:uid="{00000000-0005-0000-0000-0000C33E0000}"/>
    <cellStyle name="40% - Accent3 9 2 2 2 3 2 2" xfId="38686" xr:uid="{2DB453AE-B034-4FCB-8E1E-7DC948B410F0}"/>
    <cellStyle name="40% - Accent3 9 2 2 2 3 3" xfId="22791" xr:uid="{00000000-0005-0000-0000-0000C43E0000}"/>
    <cellStyle name="40% - Accent3 9 2 2 2 3 3 2" xfId="46623" xr:uid="{6BFEF70C-5739-437C-96D0-9B80464699C6}"/>
    <cellStyle name="40% - Accent3 9 2 2 2 3 4" xfId="30745" xr:uid="{C8B13795-83ED-4C3C-84BF-615C7C2BE5FF}"/>
    <cellStyle name="40% - Accent3 9 2 2 2 4" xfId="11308" xr:uid="{00000000-0005-0000-0000-0000C53E0000}"/>
    <cellStyle name="40% - Accent3 9 2 2 2 4 2" xfId="35157" xr:uid="{1C199B3D-ACDD-49B5-BE1C-E2A34F21C1C1}"/>
    <cellStyle name="40% - Accent3 9 2 2 2 5" xfId="19263" xr:uid="{00000000-0005-0000-0000-0000C63E0000}"/>
    <cellStyle name="40% - Accent3 9 2 2 2 5 2" xfId="43095" xr:uid="{2DC9790E-E10F-40BF-9E6F-3D235A166DA7}"/>
    <cellStyle name="40% - Accent3 9 2 2 2 6" xfId="27215" xr:uid="{1D5FDABC-9AFC-410C-B3EF-D583E3D642B3}"/>
    <cellStyle name="40% - Accent3 9 2 2 2_Exh G" xfId="3050" xr:uid="{00000000-0005-0000-0000-0000C73E0000}"/>
    <cellStyle name="40% - Accent3 9 2 2 3" xfId="4161" xr:uid="{00000000-0005-0000-0000-0000C83E0000}"/>
    <cellStyle name="40% - Accent3 9 2 2 3 2" xfId="7753" xr:uid="{00000000-0005-0000-0000-0000C93E0000}"/>
    <cellStyle name="40% - Accent3 9 2 2 3 2 2" xfId="15724" xr:uid="{00000000-0005-0000-0000-0000CA3E0000}"/>
    <cellStyle name="40% - Accent3 9 2 2 3 2 2 2" xfId="39566" xr:uid="{498F0221-770A-4A84-9513-26D519F46198}"/>
    <cellStyle name="40% - Accent3 9 2 2 3 2 3" xfId="23670" xr:uid="{00000000-0005-0000-0000-0000CB3E0000}"/>
    <cellStyle name="40% - Accent3 9 2 2 3 2 3 2" xfId="47502" xr:uid="{485E5C8B-C19B-40BF-AEE3-5A4692B268EB}"/>
    <cellStyle name="40% - Accent3 9 2 2 3 2 4" xfId="31625" xr:uid="{4FE8D46F-8150-41B4-9D5E-72DE34506816}"/>
    <cellStyle name="40% - Accent3 9 2 2 3 3" xfId="12186" xr:uid="{00000000-0005-0000-0000-0000CC3E0000}"/>
    <cellStyle name="40% - Accent3 9 2 2 3 3 2" xfId="36035" xr:uid="{F27DD972-0D41-402B-8CCB-0BFB1D62FDA0}"/>
    <cellStyle name="40% - Accent3 9 2 2 3 4" xfId="20141" xr:uid="{00000000-0005-0000-0000-0000CD3E0000}"/>
    <cellStyle name="40% - Accent3 9 2 2 3 4 2" xfId="43973" xr:uid="{7E6599CB-69B2-460A-863E-BE05C935E34A}"/>
    <cellStyle name="40% - Accent3 9 2 2 3 5" xfId="28094" xr:uid="{CA32D27A-0DB7-43B7-A52C-DBC126327C43}"/>
    <cellStyle name="40% - Accent3 9 2 2 4" xfId="5981" xr:uid="{00000000-0005-0000-0000-0000CE3E0000}"/>
    <cellStyle name="40% - Accent3 9 2 2 4 2" xfId="13965" xr:uid="{00000000-0005-0000-0000-0000CF3E0000}"/>
    <cellStyle name="40% - Accent3 9 2 2 4 2 2" xfId="37808" xr:uid="{961D5EDA-0D33-4B6D-96AA-BD024022C934}"/>
    <cellStyle name="40% - Accent3 9 2 2 4 3" xfId="21913" xr:uid="{00000000-0005-0000-0000-0000D03E0000}"/>
    <cellStyle name="40% - Accent3 9 2 2 4 3 2" xfId="45745" xr:uid="{561845A5-75AE-47D2-A604-8EAB53DF4EA1}"/>
    <cellStyle name="40% - Accent3 9 2 2 4 4" xfId="29867" xr:uid="{93E64832-CB80-4AB3-A90F-16FA5880B031}"/>
    <cellStyle name="40% - Accent3 9 2 2 5" xfId="9534" xr:uid="{00000000-0005-0000-0000-0000D13E0000}"/>
    <cellStyle name="40% - Accent3 9 2 2 5 2" xfId="17492" xr:uid="{00000000-0005-0000-0000-0000D23E0000}"/>
    <cellStyle name="40% - Accent3 9 2 2 5 2 2" xfId="41332" xr:uid="{AE3A7942-CC17-409B-98FB-FD7AC9A7D873}"/>
    <cellStyle name="40% - Accent3 9 2 2 5 3" xfId="25436" xr:uid="{00000000-0005-0000-0000-0000D33E0000}"/>
    <cellStyle name="40% - Accent3 9 2 2 5 3 2" xfId="49268" xr:uid="{D4B5B9EA-626F-41D0-B177-2FB18FDC4AFB}"/>
    <cellStyle name="40% - Accent3 9 2 2 5 4" xfId="33391" xr:uid="{B9301CCA-DC1E-4938-B4D7-871A2A33CFD3}"/>
    <cellStyle name="40% - Accent3 9 2 2 6" xfId="10430" xr:uid="{00000000-0005-0000-0000-0000D43E0000}"/>
    <cellStyle name="40% - Accent3 9 2 2 6 2" xfId="34279" xr:uid="{30EEC70E-3127-4823-B668-ADE9280FB760}"/>
    <cellStyle name="40% - Accent3 9 2 2 7" xfId="18385" xr:uid="{00000000-0005-0000-0000-0000D53E0000}"/>
    <cellStyle name="40% - Accent3 9 2 2 7 2" xfId="42217" xr:uid="{D48E21D8-EA00-44F7-9BA0-2A7A09938358}"/>
    <cellStyle name="40% - Accent3 9 2 2 8" xfId="26337" xr:uid="{B787E379-5615-4912-9671-83C61EB8C7F3}"/>
    <cellStyle name="40% - Accent3 9 2 2_Exh G" xfId="3049" xr:uid="{00000000-0005-0000-0000-0000D63E0000}"/>
    <cellStyle name="40% - Accent3 9 2 3" xfId="1509" xr:uid="{00000000-0005-0000-0000-0000D73E0000}"/>
    <cellStyle name="40% - Accent3 9 2 3 2" xfId="5039" xr:uid="{00000000-0005-0000-0000-0000D83E0000}"/>
    <cellStyle name="40% - Accent3 9 2 3 2 2" xfId="8630" xr:uid="{00000000-0005-0000-0000-0000D93E0000}"/>
    <cellStyle name="40% - Accent3 9 2 3 2 2 2" xfId="16601" xr:uid="{00000000-0005-0000-0000-0000DA3E0000}"/>
    <cellStyle name="40% - Accent3 9 2 3 2 2 2 2" xfId="40443" xr:uid="{BEA55AAD-C880-493F-9ADB-622C71E76FE5}"/>
    <cellStyle name="40% - Accent3 9 2 3 2 2 3" xfId="24547" xr:uid="{00000000-0005-0000-0000-0000DB3E0000}"/>
    <cellStyle name="40% - Accent3 9 2 3 2 2 3 2" xfId="48379" xr:uid="{784A69F5-D618-46A4-94FC-0FF1628FABA7}"/>
    <cellStyle name="40% - Accent3 9 2 3 2 2 4" xfId="32502" xr:uid="{4A518127-06F4-4FEF-87E2-1D695F09D0CD}"/>
    <cellStyle name="40% - Accent3 9 2 3 2 3" xfId="13063" xr:uid="{00000000-0005-0000-0000-0000DC3E0000}"/>
    <cellStyle name="40% - Accent3 9 2 3 2 3 2" xfId="36912" xr:uid="{D4C4937F-93C7-4B4A-AA70-3081012CFB20}"/>
    <cellStyle name="40% - Accent3 9 2 3 2 4" xfId="21018" xr:uid="{00000000-0005-0000-0000-0000DD3E0000}"/>
    <cellStyle name="40% - Accent3 9 2 3 2 4 2" xfId="44850" xr:uid="{E6C8811D-A75B-4560-9903-8FFDEFA1DBA1}"/>
    <cellStyle name="40% - Accent3 9 2 3 2 5" xfId="28971" xr:uid="{958EBFA7-19A6-4613-B378-8DF241852F62}"/>
    <cellStyle name="40% - Accent3 9 2 3 3" xfId="6871" xr:uid="{00000000-0005-0000-0000-0000DE3E0000}"/>
    <cellStyle name="40% - Accent3 9 2 3 3 2" xfId="14843" xr:uid="{00000000-0005-0000-0000-0000DF3E0000}"/>
    <cellStyle name="40% - Accent3 9 2 3 3 2 2" xfId="38685" xr:uid="{2FD594F7-82F7-43B3-B42F-82A7DBB0F929}"/>
    <cellStyle name="40% - Accent3 9 2 3 3 3" xfId="22790" xr:uid="{00000000-0005-0000-0000-0000E03E0000}"/>
    <cellStyle name="40% - Accent3 9 2 3 3 3 2" xfId="46622" xr:uid="{8E47E541-F338-48F6-A28B-21795575008C}"/>
    <cellStyle name="40% - Accent3 9 2 3 3 4" xfId="30744" xr:uid="{AF4B4D17-7253-49CB-A216-D0E5FBC25717}"/>
    <cellStyle name="40% - Accent3 9 2 3 4" xfId="11307" xr:uid="{00000000-0005-0000-0000-0000E13E0000}"/>
    <cellStyle name="40% - Accent3 9 2 3 4 2" xfId="35156" xr:uid="{A18E448B-7D08-45A1-A3F9-1C4788C378A7}"/>
    <cellStyle name="40% - Accent3 9 2 3 5" xfId="19262" xr:uid="{00000000-0005-0000-0000-0000E23E0000}"/>
    <cellStyle name="40% - Accent3 9 2 3 5 2" xfId="43094" xr:uid="{5892818E-1476-41F8-B143-443115548E42}"/>
    <cellStyle name="40% - Accent3 9 2 3 6" xfId="27214" xr:uid="{CD7E06CC-9AD0-4132-B059-891D84CCA614}"/>
    <cellStyle name="40% - Accent3 9 2 3_Exh G" xfId="3051" xr:uid="{00000000-0005-0000-0000-0000E33E0000}"/>
    <cellStyle name="40% - Accent3 9 2 4" xfId="4160" xr:uid="{00000000-0005-0000-0000-0000E43E0000}"/>
    <cellStyle name="40% - Accent3 9 2 4 2" xfId="7752" xr:uid="{00000000-0005-0000-0000-0000E53E0000}"/>
    <cellStyle name="40% - Accent3 9 2 4 2 2" xfId="15723" xr:uid="{00000000-0005-0000-0000-0000E63E0000}"/>
    <cellStyle name="40% - Accent3 9 2 4 2 2 2" xfId="39565" xr:uid="{B92F0061-6F47-43D7-8F09-A3FA3036771A}"/>
    <cellStyle name="40% - Accent3 9 2 4 2 3" xfId="23669" xr:uid="{00000000-0005-0000-0000-0000E73E0000}"/>
    <cellStyle name="40% - Accent3 9 2 4 2 3 2" xfId="47501" xr:uid="{30C91BA4-DAF2-4B40-B32D-C7F19A7E22F3}"/>
    <cellStyle name="40% - Accent3 9 2 4 2 4" xfId="31624" xr:uid="{827A1D2A-3847-4026-8D87-902EBF6BB461}"/>
    <cellStyle name="40% - Accent3 9 2 4 3" xfId="12185" xr:uid="{00000000-0005-0000-0000-0000E83E0000}"/>
    <cellStyle name="40% - Accent3 9 2 4 3 2" xfId="36034" xr:uid="{5EEEBCF8-BF3E-48E2-9148-A0F1FDAB5809}"/>
    <cellStyle name="40% - Accent3 9 2 4 4" xfId="20140" xr:uid="{00000000-0005-0000-0000-0000E93E0000}"/>
    <cellStyle name="40% - Accent3 9 2 4 4 2" xfId="43972" xr:uid="{342843CB-061B-4597-B533-811C70F6401D}"/>
    <cellStyle name="40% - Accent3 9 2 4 5" xfId="28093" xr:uid="{BA87942D-A668-4BAC-8C2E-9F48F296EA7C}"/>
    <cellStyle name="40% - Accent3 9 2 5" xfId="5980" xr:uid="{00000000-0005-0000-0000-0000EA3E0000}"/>
    <cellStyle name="40% - Accent3 9 2 5 2" xfId="13964" xr:uid="{00000000-0005-0000-0000-0000EB3E0000}"/>
    <cellStyle name="40% - Accent3 9 2 5 2 2" xfId="37807" xr:uid="{8B7E3229-935F-4F1D-A147-035F349DC941}"/>
    <cellStyle name="40% - Accent3 9 2 5 3" xfId="21912" xr:uid="{00000000-0005-0000-0000-0000EC3E0000}"/>
    <cellStyle name="40% - Accent3 9 2 5 3 2" xfId="45744" xr:uid="{5136513A-3C54-4EA7-A285-B9CFFCE22515}"/>
    <cellStyle name="40% - Accent3 9 2 5 4" xfId="29866" xr:uid="{89A36179-89DB-4775-981C-3CCBA0626731}"/>
    <cellStyle name="40% - Accent3 9 2 6" xfId="9533" xr:uid="{00000000-0005-0000-0000-0000ED3E0000}"/>
    <cellStyle name="40% - Accent3 9 2 6 2" xfId="17491" xr:uid="{00000000-0005-0000-0000-0000EE3E0000}"/>
    <cellStyle name="40% - Accent3 9 2 6 2 2" xfId="41331" xr:uid="{FDB8D916-0EE0-4C7E-B467-13AF63E22FDB}"/>
    <cellStyle name="40% - Accent3 9 2 6 3" xfId="25435" xr:uid="{00000000-0005-0000-0000-0000EF3E0000}"/>
    <cellStyle name="40% - Accent3 9 2 6 3 2" xfId="49267" xr:uid="{7FD67ECD-1818-4130-AA87-A3E131CE5941}"/>
    <cellStyle name="40% - Accent3 9 2 6 4" xfId="33390" xr:uid="{EDFB0AD6-7D19-4A39-B9D9-2DE9D49FC695}"/>
    <cellStyle name="40% - Accent3 9 2 7" xfId="10429" xr:uid="{00000000-0005-0000-0000-0000F03E0000}"/>
    <cellStyle name="40% - Accent3 9 2 7 2" xfId="34278" xr:uid="{37FC4934-1D88-4A5A-943E-2A1460B6DAB4}"/>
    <cellStyle name="40% - Accent3 9 2 8" xfId="18384" xr:uid="{00000000-0005-0000-0000-0000F13E0000}"/>
    <cellStyle name="40% - Accent3 9 2 8 2" xfId="42216" xr:uid="{FEF082CA-11A5-412F-8A2B-C152466075E1}"/>
    <cellStyle name="40% - Accent3 9 2 9" xfId="26336" xr:uid="{6381BBD7-ECCD-4D15-B8BF-C2DF7B2F2158}"/>
    <cellStyle name="40% - Accent3 9 2_Exh G" xfId="3048" xr:uid="{00000000-0005-0000-0000-0000F23E0000}"/>
    <cellStyle name="40% - Accent3 9 3" xfId="483" xr:uid="{00000000-0005-0000-0000-0000F33E0000}"/>
    <cellStyle name="40% - Accent3 9 3 2" xfId="1511" xr:uid="{00000000-0005-0000-0000-0000F43E0000}"/>
    <cellStyle name="40% - Accent3 9 3 2 2" xfId="5041" xr:uid="{00000000-0005-0000-0000-0000F53E0000}"/>
    <cellStyle name="40% - Accent3 9 3 2 2 2" xfId="8632" xr:uid="{00000000-0005-0000-0000-0000F63E0000}"/>
    <cellStyle name="40% - Accent3 9 3 2 2 2 2" xfId="16603" xr:uid="{00000000-0005-0000-0000-0000F73E0000}"/>
    <cellStyle name="40% - Accent3 9 3 2 2 2 2 2" xfId="40445" xr:uid="{E4B80362-445E-4A8D-BA81-FA4BE06EC516}"/>
    <cellStyle name="40% - Accent3 9 3 2 2 2 3" xfId="24549" xr:uid="{00000000-0005-0000-0000-0000F83E0000}"/>
    <cellStyle name="40% - Accent3 9 3 2 2 2 3 2" xfId="48381" xr:uid="{C532914D-5588-4761-AAE1-B79849946A49}"/>
    <cellStyle name="40% - Accent3 9 3 2 2 2 4" xfId="32504" xr:uid="{F2B5833E-508F-438B-8D7A-AD7C08BB9A71}"/>
    <cellStyle name="40% - Accent3 9 3 2 2 3" xfId="13065" xr:uid="{00000000-0005-0000-0000-0000F93E0000}"/>
    <cellStyle name="40% - Accent3 9 3 2 2 3 2" xfId="36914" xr:uid="{00BFF935-D124-45B3-AA33-A4002DD7F802}"/>
    <cellStyle name="40% - Accent3 9 3 2 2 4" xfId="21020" xr:uid="{00000000-0005-0000-0000-0000FA3E0000}"/>
    <cellStyle name="40% - Accent3 9 3 2 2 4 2" xfId="44852" xr:uid="{B300E81D-39CD-435C-BFB7-94CE80D0FF29}"/>
    <cellStyle name="40% - Accent3 9 3 2 2 5" xfId="28973" xr:uid="{8D509D69-8C6B-4876-B5FB-3A3C129E30CC}"/>
    <cellStyle name="40% - Accent3 9 3 2 3" xfId="6873" xr:uid="{00000000-0005-0000-0000-0000FB3E0000}"/>
    <cellStyle name="40% - Accent3 9 3 2 3 2" xfId="14845" xr:uid="{00000000-0005-0000-0000-0000FC3E0000}"/>
    <cellStyle name="40% - Accent3 9 3 2 3 2 2" xfId="38687" xr:uid="{B14D2FAA-BC1F-4E7E-BF7C-F787577A98A1}"/>
    <cellStyle name="40% - Accent3 9 3 2 3 3" xfId="22792" xr:uid="{00000000-0005-0000-0000-0000FD3E0000}"/>
    <cellStyle name="40% - Accent3 9 3 2 3 3 2" xfId="46624" xr:uid="{F4F06542-2D2B-42B1-9F55-B38F78BD4AAF}"/>
    <cellStyle name="40% - Accent3 9 3 2 3 4" xfId="30746" xr:uid="{8982A829-A245-415E-AFAC-F00816D28299}"/>
    <cellStyle name="40% - Accent3 9 3 2 4" xfId="11309" xr:uid="{00000000-0005-0000-0000-0000FE3E0000}"/>
    <cellStyle name="40% - Accent3 9 3 2 4 2" xfId="35158" xr:uid="{BF9DEFB7-764A-4965-9C4A-D706BA9D7C37}"/>
    <cellStyle name="40% - Accent3 9 3 2 5" xfId="19264" xr:uid="{00000000-0005-0000-0000-0000FF3E0000}"/>
    <cellStyle name="40% - Accent3 9 3 2 5 2" xfId="43096" xr:uid="{9539FFCD-5051-44C8-898A-D3AA87879CE1}"/>
    <cellStyle name="40% - Accent3 9 3 2 6" xfId="27216" xr:uid="{393F9C05-2344-44F7-B2DF-FF5F57B07391}"/>
    <cellStyle name="40% - Accent3 9 3 2_Exh G" xfId="3053" xr:uid="{00000000-0005-0000-0000-0000003F0000}"/>
    <cellStyle name="40% - Accent3 9 3 3" xfId="4162" xr:uid="{00000000-0005-0000-0000-0000013F0000}"/>
    <cellStyle name="40% - Accent3 9 3 3 2" xfId="7754" xr:uid="{00000000-0005-0000-0000-0000023F0000}"/>
    <cellStyle name="40% - Accent3 9 3 3 2 2" xfId="15725" xr:uid="{00000000-0005-0000-0000-0000033F0000}"/>
    <cellStyle name="40% - Accent3 9 3 3 2 2 2" xfId="39567" xr:uid="{7069184A-F279-48C5-A5B0-63DE970F6529}"/>
    <cellStyle name="40% - Accent3 9 3 3 2 3" xfId="23671" xr:uid="{00000000-0005-0000-0000-0000043F0000}"/>
    <cellStyle name="40% - Accent3 9 3 3 2 3 2" xfId="47503" xr:uid="{1002E2F5-B24C-4653-91A5-46A2CA31525E}"/>
    <cellStyle name="40% - Accent3 9 3 3 2 4" xfId="31626" xr:uid="{45F9DEEC-A3BA-4289-B710-9798F95820FD}"/>
    <cellStyle name="40% - Accent3 9 3 3 3" xfId="12187" xr:uid="{00000000-0005-0000-0000-0000053F0000}"/>
    <cellStyle name="40% - Accent3 9 3 3 3 2" xfId="36036" xr:uid="{AD5C9C65-6537-4376-AA17-0E29CFF33760}"/>
    <cellStyle name="40% - Accent3 9 3 3 4" xfId="20142" xr:uid="{00000000-0005-0000-0000-0000063F0000}"/>
    <cellStyle name="40% - Accent3 9 3 3 4 2" xfId="43974" xr:uid="{5C82AD71-4B3E-4734-9740-345D2C346B61}"/>
    <cellStyle name="40% - Accent3 9 3 3 5" xfId="28095" xr:uid="{5E6B1D1C-F7FF-44C7-AC22-5CAF8FE62E02}"/>
    <cellStyle name="40% - Accent3 9 3 4" xfId="5982" xr:uid="{00000000-0005-0000-0000-0000073F0000}"/>
    <cellStyle name="40% - Accent3 9 3 4 2" xfId="13966" xr:uid="{00000000-0005-0000-0000-0000083F0000}"/>
    <cellStyle name="40% - Accent3 9 3 4 2 2" xfId="37809" xr:uid="{C97C435C-DD8D-42D7-826D-6ABAD8816599}"/>
    <cellStyle name="40% - Accent3 9 3 4 3" xfId="21914" xr:uid="{00000000-0005-0000-0000-0000093F0000}"/>
    <cellStyle name="40% - Accent3 9 3 4 3 2" xfId="45746" xr:uid="{4F48507E-6E35-4241-B76B-2DF13E733A4F}"/>
    <cellStyle name="40% - Accent3 9 3 4 4" xfId="29868" xr:uid="{8DCAB1AD-669C-4F72-8B82-7A79D622498F}"/>
    <cellStyle name="40% - Accent3 9 3 5" xfId="9535" xr:uid="{00000000-0005-0000-0000-00000A3F0000}"/>
    <cellStyle name="40% - Accent3 9 3 5 2" xfId="17493" xr:uid="{00000000-0005-0000-0000-00000B3F0000}"/>
    <cellStyle name="40% - Accent3 9 3 5 2 2" xfId="41333" xr:uid="{753686F9-F741-4CF4-B4C2-7507A6BC7E01}"/>
    <cellStyle name="40% - Accent3 9 3 5 3" xfId="25437" xr:uid="{00000000-0005-0000-0000-00000C3F0000}"/>
    <cellStyle name="40% - Accent3 9 3 5 3 2" xfId="49269" xr:uid="{05B2A289-D9F5-44EA-9A2E-4E7246F4EF7F}"/>
    <cellStyle name="40% - Accent3 9 3 5 4" xfId="33392" xr:uid="{08D15B93-3F00-4029-8630-D1F0E175324E}"/>
    <cellStyle name="40% - Accent3 9 3 6" xfId="10431" xr:uid="{00000000-0005-0000-0000-00000D3F0000}"/>
    <cellStyle name="40% - Accent3 9 3 6 2" xfId="34280" xr:uid="{BADF1AC5-A422-43E0-8D36-A180485B28B6}"/>
    <cellStyle name="40% - Accent3 9 3 7" xfId="18386" xr:uid="{00000000-0005-0000-0000-00000E3F0000}"/>
    <cellStyle name="40% - Accent3 9 3 7 2" xfId="42218" xr:uid="{9D17CA5D-C1B1-4D54-AB14-0AAEA336F9E9}"/>
    <cellStyle name="40% - Accent3 9 3 8" xfId="26338" xr:uid="{B4B9AF0B-3BCE-4033-994B-642658EBC7AA}"/>
    <cellStyle name="40% - Accent3 9 3_Exh G" xfId="3052" xr:uid="{00000000-0005-0000-0000-00000F3F0000}"/>
    <cellStyle name="40% - Accent3 9 4" xfId="969" xr:uid="{00000000-0005-0000-0000-0000103F0000}"/>
    <cellStyle name="40% - Accent3 9 4 2" xfId="1888" xr:uid="{00000000-0005-0000-0000-0000113F0000}"/>
    <cellStyle name="40% - Accent3 9 4 2 2" xfId="5406" xr:uid="{00000000-0005-0000-0000-0000123F0000}"/>
    <cellStyle name="40% - Accent3 9 4 2 2 2" xfId="8997" xr:uid="{00000000-0005-0000-0000-0000133F0000}"/>
    <cellStyle name="40% - Accent3 9 4 2 2 2 2" xfId="16968" xr:uid="{00000000-0005-0000-0000-0000143F0000}"/>
    <cellStyle name="40% - Accent3 9 4 2 2 2 2 2" xfId="40810" xr:uid="{C4D38B31-5527-456B-989C-76F41B43E504}"/>
    <cellStyle name="40% - Accent3 9 4 2 2 2 3" xfId="24914" xr:uid="{00000000-0005-0000-0000-0000153F0000}"/>
    <cellStyle name="40% - Accent3 9 4 2 2 2 3 2" xfId="48746" xr:uid="{4DCF9C7B-474D-4C31-B478-9882E1E6FF79}"/>
    <cellStyle name="40% - Accent3 9 4 2 2 2 4" xfId="32869" xr:uid="{FE7D5D3B-EAB5-4384-9FBB-FBEE1FB02674}"/>
    <cellStyle name="40% - Accent3 9 4 2 2 3" xfId="13430" xr:uid="{00000000-0005-0000-0000-0000163F0000}"/>
    <cellStyle name="40% - Accent3 9 4 2 2 3 2" xfId="37279" xr:uid="{CA05AB22-0A4E-4BAA-BF51-4018252B66D0}"/>
    <cellStyle name="40% - Accent3 9 4 2 2 4" xfId="21385" xr:uid="{00000000-0005-0000-0000-0000173F0000}"/>
    <cellStyle name="40% - Accent3 9 4 2 2 4 2" xfId="45217" xr:uid="{CF3AB557-E31A-43AD-AE56-23D1A350796E}"/>
    <cellStyle name="40% - Accent3 9 4 2 2 5" xfId="29338" xr:uid="{8A98B573-24A1-41B3-979C-3F25ACD02F7F}"/>
    <cellStyle name="40% - Accent3 9 4 2 3" xfId="7238" xr:uid="{00000000-0005-0000-0000-0000183F0000}"/>
    <cellStyle name="40% - Accent3 9 4 2 3 2" xfId="15210" xr:uid="{00000000-0005-0000-0000-0000193F0000}"/>
    <cellStyle name="40% - Accent3 9 4 2 3 2 2" xfId="39052" xr:uid="{CE3CAC67-637C-4B9C-8BFE-CC4A54A54355}"/>
    <cellStyle name="40% - Accent3 9 4 2 3 3" xfId="23157" xr:uid="{00000000-0005-0000-0000-00001A3F0000}"/>
    <cellStyle name="40% - Accent3 9 4 2 3 3 2" xfId="46989" xr:uid="{5091A7E1-80CD-467A-A82A-68432B63F630}"/>
    <cellStyle name="40% - Accent3 9 4 2 3 4" xfId="31111" xr:uid="{95C68670-93AE-42DB-AA3F-772646321185}"/>
    <cellStyle name="40% - Accent3 9 4 2 4" xfId="11674" xr:uid="{00000000-0005-0000-0000-00001B3F0000}"/>
    <cellStyle name="40% - Accent3 9 4 2 4 2" xfId="35523" xr:uid="{471B0260-BD5E-42E2-80E1-EDAB75808204}"/>
    <cellStyle name="40% - Accent3 9 4 2 5" xfId="19629" xr:uid="{00000000-0005-0000-0000-00001C3F0000}"/>
    <cellStyle name="40% - Accent3 9 4 2 5 2" xfId="43461" xr:uid="{3C863C01-7F17-45DF-A1F2-4C6CB937D8BC}"/>
    <cellStyle name="40% - Accent3 9 4 2 6" xfId="27581" xr:uid="{2AB8C3F8-B00A-4A3B-B14A-561808146C19}"/>
    <cellStyle name="40% - Accent3 9 4 2_Exh G" xfId="3055" xr:uid="{00000000-0005-0000-0000-00001D3F0000}"/>
    <cellStyle name="40% - Accent3 9 4 3" xfId="4527" xr:uid="{00000000-0005-0000-0000-00001E3F0000}"/>
    <cellStyle name="40% - Accent3 9 4 3 2" xfId="8119" xr:uid="{00000000-0005-0000-0000-00001F3F0000}"/>
    <cellStyle name="40% - Accent3 9 4 3 2 2" xfId="16090" xr:uid="{00000000-0005-0000-0000-0000203F0000}"/>
    <cellStyle name="40% - Accent3 9 4 3 2 2 2" xfId="39932" xr:uid="{9D17A194-D388-4143-9F8A-F4EFF016222B}"/>
    <cellStyle name="40% - Accent3 9 4 3 2 3" xfId="24036" xr:uid="{00000000-0005-0000-0000-0000213F0000}"/>
    <cellStyle name="40% - Accent3 9 4 3 2 3 2" xfId="47868" xr:uid="{779BA14E-1158-4B43-8EE0-4D2085FF5B23}"/>
    <cellStyle name="40% - Accent3 9 4 3 2 4" xfId="31991" xr:uid="{0F884423-30CE-48DF-8E71-8AC56751A71D}"/>
    <cellStyle name="40% - Accent3 9 4 3 3" xfId="12552" xr:uid="{00000000-0005-0000-0000-0000223F0000}"/>
    <cellStyle name="40% - Accent3 9 4 3 3 2" xfId="36401" xr:uid="{ADAB6C08-5C0D-415A-9A92-EECB5D9DC2B6}"/>
    <cellStyle name="40% - Accent3 9 4 3 4" xfId="20507" xr:uid="{00000000-0005-0000-0000-0000233F0000}"/>
    <cellStyle name="40% - Accent3 9 4 3 4 2" xfId="44339" xr:uid="{8289E08E-524F-4E6E-90A5-30EEC79D6DF0}"/>
    <cellStyle name="40% - Accent3 9 4 3 5" xfId="28460" xr:uid="{DFE0D642-39D3-44CC-8660-83BFDCFBB48D}"/>
    <cellStyle name="40% - Accent3 9 4 4" xfId="6357" xr:uid="{00000000-0005-0000-0000-0000243F0000}"/>
    <cellStyle name="40% - Accent3 9 4 4 2" xfId="14332" xr:uid="{00000000-0005-0000-0000-0000253F0000}"/>
    <cellStyle name="40% - Accent3 9 4 4 2 2" xfId="38174" xr:uid="{1C925458-B65A-48F9-8869-91A39ACA10FA}"/>
    <cellStyle name="40% - Accent3 9 4 4 3" xfId="22279" xr:uid="{00000000-0005-0000-0000-0000263F0000}"/>
    <cellStyle name="40% - Accent3 9 4 4 3 2" xfId="46111" xr:uid="{88A447FD-5C21-4C00-8036-AF83778B42E7}"/>
    <cellStyle name="40% - Accent3 9 4 4 4" xfId="30233" xr:uid="{F5C673CF-B245-461C-BF5F-768E78421684}"/>
    <cellStyle name="40% - Accent3 9 4 5" xfId="9900" xr:uid="{00000000-0005-0000-0000-0000273F0000}"/>
    <cellStyle name="40% - Accent3 9 4 5 2" xfId="17858" xr:uid="{00000000-0005-0000-0000-0000283F0000}"/>
    <cellStyle name="40% - Accent3 9 4 5 2 2" xfId="41698" xr:uid="{6078E7F6-73C7-46E5-AE6E-924FA813B1F6}"/>
    <cellStyle name="40% - Accent3 9 4 5 3" xfId="25802" xr:uid="{00000000-0005-0000-0000-0000293F0000}"/>
    <cellStyle name="40% - Accent3 9 4 5 3 2" xfId="49634" xr:uid="{24DBC9F6-F778-4F84-9FEF-2656C997DEA5}"/>
    <cellStyle name="40% - Accent3 9 4 5 4" xfId="33757" xr:uid="{BB0D034F-C196-44D8-A458-35A590315AC6}"/>
    <cellStyle name="40% - Accent3 9 4 6" xfId="10796" xr:uid="{00000000-0005-0000-0000-00002A3F0000}"/>
    <cellStyle name="40% - Accent3 9 4 6 2" xfId="34645" xr:uid="{69D0D322-6E55-443C-8572-029CEEF5C79C}"/>
    <cellStyle name="40% - Accent3 9 4 7" xfId="18751" xr:uid="{00000000-0005-0000-0000-00002B3F0000}"/>
    <cellStyle name="40% - Accent3 9 4 7 2" xfId="42583" xr:uid="{E9908CE3-0C81-4279-87EB-25192B41D157}"/>
    <cellStyle name="40% - Accent3 9 4 8" xfId="26703" xr:uid="{57DFC820-28B2-413D-A581-5C0D34379CED}"/>
    <cellStyle name="40% - Accent3 9 4_Exh G" xfId="3054" xr:uid="{00000000-0005-0000-0000-00002C3F0000}"/>
    <cellStyle name="40% - Accent3 9 5" xfId="1508" xr:uid="{00000000-0005-0000-0000-00002D3F0000}"/>
    <cellStyle name="40% - Accent3 9 5 2" xfId="5038" xr:uid="{00000000-0005-0000-0000-00002E3F0000}"/>
    <cellStyle name="40% - Accent3 9 5 2 2" xfId="8629" xr:uid="{00000000-0005-0000-0000-00002F3F0000}"/>
    <cellStyle name="40% - Accent3 9 5 2 2 2" xfId="16600" xr:uid="{00000000-0005-0000-0000-0000303F0000}"/>
    <cellStyle name="40% - Accent3 9 5 2 2 2 2" xfId="40442" xr:uid="{9D8EFAFF-D0FD-4D2C-A5A7-A0CF4AFC64E2}"/>
    <cellStyle name="40% - Accent3 9 5 2 2 3" xfId="24546" xr:uid="{00000000-0005-0000-0000-0000313F0000}"/>
    <cellStyle name="40% - Accent3 9 5 2 2 3 2" xfId="48378" xr:uid="{387CD210-F44A-4E04-931D-332E42C63C7C}"/>
    <cellStyle name="40% - Accent3 9 5 2 2 4" xfId="32501" xr:uid="{2D5FA433-ABAF-4F12-8D89-8DE580B4A791}"/>
    <cellStyle name="40% - Accent3 9 5 2 3" xfId="13062" xr:uid="{00000000-0005-0000-0000-0000323F0000}"/>
    <cellStyle name="40% - Accent3 9 5 2 3 2" xfId="36911" xr:uid="{426F6562-C1C5-4A4C-B637-7BF68946A363}"/>
    <cellStyle name="40% - Accent3 9 5 2 4" xfId="21017" xr:uid="{00000000-0005-0000-0000-0000333F0000}"/>
    <cellStyle name="40% - Accent3 9 5 2 4 2" xfId="44849" xr:uid="{0C2E9806-921A-48FA-827B-DAD72E181486}"/>
    <cellStyle name="40% - Accent3 9 5 2 5" xfId="28970" xr:uid="{D0C2EC84-0C5C-4C1A-8DF9-DE3FC6D40D2C}"/>
    <cellStyle name="40% - Accent3 9 5 3" xfId="6870" xr:uid="{00000000-0005-0000-0000-0000343F0000}"/>
    <cellStyle name="40% - Accent3 9 5 3 2" xfId="14842" xr:uid="{00000000-0005-0000-0000-0000353F0000}"/>
    <cellStyle name="40% - Accent3 9 5 3 2 2" xfId="38684" xr:uid="{3BDB3C9A-607A-48C9-89D4-C14977EA6223}"/>
    <cellStyle name="40% - Accent3 9 5 3 3" xfId="22789" xr:uid="{00000000-0005-0000-0000-0000363F0000}"/>
    <cellStyle name="40% - Accent3 9 5 3 3 2" xfId="46621" xr:uid="{C9CD27E2-0761-44D7-8191-0A14ACD8F381}"/>
    <cellStyle name="40% - Accent3 9 5 3 4" xfId="30743" xr:uid="{0AE82B79-AA81-4313-882A-386D869B0E9C}"/>
    <cellStyle name="40% - Accent3 9 5 4" xfId="11306" xr:uid="{00000000-0005-0000-0000-0000373F0000}"/>
    <cellStyle name="40% - Accent3 9 5 4 2" xfId="35155" xr:uid="{85A2CD5D-C207-4AD2-A148-9DF88503B4EB}"/>
    <cellStyle name="40% - Accent3 9 5 5" xfId="19261" xr:uid="{00000000-0005-0000-0000-0000383F0000}"/>
    <cellStyle name="40% - Accent3 9 5 5 2" xfId="43093" xr:uid="{D5CF0042-B43E-4D90-9F36-B3C8C7072CF4}"/>
    <cellStyle name="40% - Accent3 9 5 6" xfId="27213" xr:uid="{1D5E3A3D-C246-4883-9850-80FDAAA4FF58}"/>
    <cellStyle name="40% - Accent3 9 5_Exh G" xfId="3056" xr:uid="{00000000-0005-0000-0000-0000393F0000}"/>
    <cellStyle name="40% - Accent3 9 6" xfId="4159" xr:uid="{00000000-0005-0000-0000-00003A3F0000}"/>
    <cellStyle name="40% - Accent3 9 6 2" xfId="7751" xr:uid="{00000000-0005-0000-0000-00003B3F0000}"/>
    <cellStyle name="40% - Accent3 9 6 2 2" xfId="15722" xr:uid="{00000000-0005-0000-0000-00003C3F0000}"/>
    <cellStyle name="40% - Accent3 9 6 2 2 2" xfId="39564" xr:uid="{3D166FC4-9608-4AB4-A377-C7ED5322DA4E}"/>
    <cellStyle name="40% - Accent3 9 6 2 3" xfId="23668" xr:uid="{00000000-0005-0000-0000-00003D3F0000}"/>
    <cellStyle name="40% - Accent3 9 6 2 3 2" xfId="47500" xr:uid="{B4EB9154-AA2B-4DF3-A698-C006F0FAA09D}"/>
    <cellStyle name="40% - Accent3 9 6 2 4" xfId="31623" xr:uid="{443B5AC0-D68C-4699-9B79-F78AB8F3573A}"/>
    <cellStyle name="40% - Accent3 9 6 3" xfId="12184" xr:uid="{00000000-0005-0000-0000-00003E3F0000}"/>
    <cellStyle name="40% - Accent3 9 6 3 2" xfId="36033" xr:uid="{2B314AF5-51AA-4086-8994-8FFA7AE3CDCE}"/>
    <cellStyle name="40% - Accent3 9 6 4" xfId="20139" xr:uid="{00000000-0005-0000-0000-00003F3F0000}"/>
    <cellStyle name="40% - Accent3 9 6 4 2" xfId="43971" xr:uid="{38083A4D-70B2-415A-97A1-77A019FD5D94}"/>
    <cellStyle name="40% - Accent3 9 6 5" xfId="28092" xr:uid="{EE333707-F57C-4B80-8357-9F9C573CB049}"/>
    <cellStyle name="40% - Accent3 9 7" xfId="5979" xr:uid="{00000000-0005-0000-0000-0000403F0000}"/>
    <cellStyle name="40% - Accent3 9 7 2" xfId="13963" xr:uid="{00000000-0005-0000-0000-0000413F0000}"/>
    <cellStyle name="40% - Accent3 9 7 2 2" xfId="37806" xr:uid="{632EBD0E-D6F0-4AD6-9FA1-ADCAE4ADC8FB}"/>
    <cellStyle name="40% - Accent3 9 7 3" xfId="21911" xr:uid="{00000000-0005-0000-0000-0000423F0000}"/>
    <cellStyle name="40% - Accent3 9 7 3 2" xfId="45743" xr:uid="{BA371634-4E86-48E6-910D-6D2182CB0612}"/>
    <cellStyle name="40% - Accent3 9 7 4" xfId="29865" xr:uid="{336BD4A9-936C-4F9A-BAB7-35B8AD6DD784}"/>
    <cellStyle name="40% - Accent3 9 8" xfId="9532" xr:uid="{00000000-0005-0000-0000-0000433F0000}"/>
    <cellStyle name="40% - Accent3 9 8 2" xfId="17490" xr:uid="{00000000-0005-0000-0000-0000443F0000}"/>
    <cellStyle name="40% - Accent3 9 8 2 2" xfId="41330" xr:uid="{29563217-1F70-4077-88A6-3C159FE3228A}"/>
    <cellStyle name="40% - Accent3 9 8 3" xfId="25434" xr:uid="{00000000-0005-0000-0000-0000453F0000}"/>
    <cellStyle name="40% - Accent3 9 8 3 2" xfId="49266" xr:uid="{668313BE-84C2-4B87-9AC4-90A3024FC06C}"/>
    <cellStyle name="40% - Accent3 9 8 4" xfId="33389" xr:uid="{4C24B845-1B47-49CD-8C4C-29A3A91BA155}"/>
    <cellStyle name="40% - Accent3 9 9" xfId="10428" xr:uid="{00000000-0005-0000-0000-0000463F0000}"/>
    <cellStyle name="40% - Accent3 9 9 2" xfId="34277" xr:uid="{AE06541B-FD0D-42CF-B63B-E68E66545072}"/>
    <cellStyle name="40% - Accent3 9_Exh G" xfId="3047" xr:uid="{00000000-0005-0000-0000-0000473F0000}"/>
    <cellStyle name="40% - Accent4" xfId="49703" builtinId="43" customBuiltin="1"/>
    <cellStyle name="40% - Accent4 10" xfId="484" xr:uid="{00000000-0005-0000-0000-0000483F0000}"/>
    <cellStyle name="40% - Accent4 10 10" xfId="18387" xr:uid="{00000000-0005-0000-0000-0000493F0000}"/>
    <cellStyle name="40% - Accent4 10 10 2" xfId="42219" xr:uid="{091AF3E9-2751-4C75-969F-CBE4AA973A4D}"/>
    <cellStyle name="40% - Accent4 10 11" xfId="26339" xr:uid="{45ADF27B-9A15-49D4-8DA4-462F830628BC}"/>
    <cellStyle name="40% - Accent4 10 2" xfId="485" xr:uid="{00000000-0005-0000-0000-00004A3F0000}"/>
    <cellStyle name="40% - Accent4 10 2 2" xfId="486" xr:uid="{00000000-0005-0000-0000-00004B3F0000}"/>
    <cellStyle name="40% - Accent4 10 2 2 2" xfId="1514" xr:uid="{00000000-0005-0000-0000-00004C3F0000}"/>
    <cellStyle name="40% - Accent4 10 2 2 2 2" xfId="5044" xr:uid="{00000000-0005-0000-0000-00004D3F0000}"/>
    <cellStyle name="40% - Accent4 10 2 2 2 2 2" xfId="8635" xr:uid="{00000000-0005-0000-0000-00004E3F0000}"/>
    <cellStyle name="40% - Accent4 10 2 2 2 2 2 2" xfId="16606" xr:uid="{00000000-0005-0000-0000-00004F3F0000}"/>
    <cellStyle name="40% - Accent4 10 2 2 2 2 2 2 2" xfId="40448" xr:uid="{8C682465-A437-437F-99BA-79C0B31F0B4B}"/>
    <cellStyle name="40% - Accent4 10 2 2 2 2 2 3" xfId="24552" xr:uid="{00000000-0005-0000-0000-0000503F0000}"/>
    <cellStyle name="40% - Accent4 10 2 2 2 2 2 3 2" xfId="48384" xr:uid="{64832D25-C9A6-47A3-AFDC-947458C89595}"/>
    <cellStyle name="40% - Accent4 10 2 2 2 2 2 4" xfId="32507" xr:uid="{E0550A67-074F-4739-87F1-332AFCC0484D}"/>
    <cellStyle name="40% - Accent4 10 2 2 2 2 3" xfId="13068" xr:uid="{00000000-0005-0000-0000-0000513F0000}"/>
    <cellStyle name="40% - Accent4 10 2 2 2 2 3 2" xfId="36917" xr:uid="{4258AB54-0AC2-4D35-8A2B-B720CDCCFFD0}"/>
    <cellStyle name="40% - Accent4 10 2 2 2 2 4" xfId="21023" xr:uid="{00000000-0005-0000-0000-0000523F0000}"/>
    <cellStyle name="40% - Accent4 10 2 2 2 2 4 2" xfId="44855" xr:uid="{C9981C32-8646-4495-932E-AECDB74546DF}"/>
    <cellStyle name="40% - Accent4 10 2 2 2 2 5" xfId="28976" xr:uid="{61FF112A-4FD5-4222-A7BE-6483AF68133B}"/>
    <cellStyle name="40% - Accent4 10 2 2 2 3" xfId="6876" xr:uid="{00000000-0005-0000-0000-0000533F0000}"/>
    <cellStyle name="40% - Accent4 10 2 2 2 3 2" xfId="14848" xr:uid="{00000000-0005-0000-0000-0000543F0000}"/>
    <cellStyle name="40% - Accent4 10 2 2 2 3 2 2" xfId="38690" xr:uid="{00C077E2-2709-47F3-939F-18593EF8E693}"/>
    <cellStyle name="40% - Accent4 10 2 2 2 3 3" xfId="22795" xr:uid="{00000000-0005-0000-0000-0000553F0000}"/>
    <cellStyle name="40% - Accent4 10 2 2 2 3 3 2" xfId="46627" xr:uid="{EFBF9856-5562-4FFC-BA05-D06C11004954}"/>
    <cellStyle name="40% - Accent4 10 2 2 2 3 4" xfId="30749" xr:uid="{8F430DBF-37A1-46A8-8C7A-EAAD4B874D6A}"/>
    <cellStyle name="40% - Accent4 10 2 2 2 4" xfId="11312" xr:uid="{00000000-0005-0000-0000-0000563F0000}"/>
    <cellStyle name="40% - Accent4 10 2 2 2 4 2" xfId="35161" xr:uid="{0E8F1C96-C24A-4143-93E2-4CD8F89D775E}"/>
    <cellStyle name="40% - Accent4 10 2 2 2 5" xfId="19267" xr:uid="{00000000-0005-0000-0000-0000573F0000}"/>
    <cellStyle name="40% - Accent4 10 2 2 2 5 2" xfId="43099" xr:uid="{6ECFEF22-69ED-4CFD-8F67-29C8D54196D0}"/>
    <cellStyle name="40% - Accent4 10 2 2 2 6" xfId="27219" xr:uid="{88417019-81A4-46EA-9F9B-B617139E1524}"/>
    <cellStyle name="40% - Accent4 10 2 2 2_Exh G" xfId="3060" xr:uid="{00000000-0005-0000-0000-0000583F0000}"/>
    <cellStyle name="40% - Accent4 10 2 2 3" xfId="4165" xr:uid="{00000000-0005-0000-0000-0000593F0000}"/>
    <cellStyle name="40% - Accent4 10 2 2 3 2" xfId="7757" xr:uid="{00000000-0005-0000-0000-00005A3F0000}"/>
    <cellStyle name="40% - Accent4 10 2 2 3 2 2" xfId="15728" xr:uid="{00000000-0005-0000-0000-00005B3F0000}"/>
    <cellStyle name="40% - Accent4 10 2 2 3 2 2 2" xfId="39570" xr:uid="{453E65E1-003F-431C-86FB-6FEA88C93C7D}"/>
    <cellStyle name="40% - Accent4 10 2 2 3 2 3" xfId="23674" xr:uid="{00000000-0005-0000-0000-00005C3F0000}"/>
    <cellStyle name="40% - Accent4 10 2 2 3 2 3 2" xfId="47506" xr:uid="{15084898-E966-4B34-8947-6B36EEF4D861}"/>
    <cellStyle name="40% - Accent4 10 2 2 3 2 4" xfId="31629" xr:uid="{34DF396B-EA10-4738-A85A-C1C6447C354A}"/>
    <cellStyle name="40% - Accent4 10 2 2 3 3" xfId="12190" xr:uid="{00000000-0005-0000-0000-00005D3F0000}"/>
    <cellStyle name="40% - Accent4 10 2 2 3 3 2" xfId="36039" xr:uid="{C615A59D-A419-4F63-A3AF-626B0354EE6B}"/>
    <cellStyle name="40% - Accent4 10 2 2 3 4" xfId="20145" xr:uid="{00000000-0005-0000-0000-00005E3F0000}"/>
    <cellStyle name="40% - Accent4 10 2 2 3 4 2" xfId="43977" xr:uid="{E01BA667-A446-4C20-81DC-063045B73C02}"/>
    <cellStyle name="40% - Accent4 10 2 2 3 5" xfId="28098" xr:uid="{77E366EE-D156-4554-8AB4-2FAC61E13251}"/>
    <cellStyle name="40% - Accent4 10 2 2 4" xfId="5985" xr:uid="{00000000-0005-0000-0000-00005F3F0000}"/>
    <cellStyle name="40% - Accent4 10 2 2 4 2" xfId="13969" xr:uid="{00000000-0005-0000-0000-0000603F0000}"/>
    <cellStyle name="40% - Accent4 10 2 2 4 2 2" xfId="37812" xr:uid="{65C12646-FB1F-49A9-A6F6-82A639369E66}"/>
    <cellStyle name="40% - Accent4 10 2 2 4 3" xfId="21917" xr:uid="{00000000-0005-0000-0000-0000613F0000}"/>
    <cellStyle name="40% - Accent4 10 2 2 4 3 2" xfId="45749" xr:uid="{4A68C09C-185C-40B9-88D5-7726218D8F26}"/>
    <cellStyle name="40% - Accent4 10 2 2 4 4" xfId="29871" xr:uid="{72383244-3826-4A28-9CF0-DF713B4C8A3E}"/>
    <cellStyle name="40% - Accent4 10 2 2 5" xfId="9538" xr:uid="{00000000-0005-0000-0000-0000623F0000}"/>
    <cellStyle name="40% - Accent4 10 2 2 5 2" xfId="17496" xr:uid="{00000000-0005-0000-0000-0000633F0000}"/>
    <cellStyle name="40% - Accent4 10 2 2 5 2 2" xfId="41336" xr:uid="{69FAB2B0-82CA-4FE0-8170-970FC5B9E58E}"/>
    <cellStyle name="40% - Accent4 10 2 2 5 3" xfId="25440" xr:uid="{00000000-0005-0000-0000-0000643F0000}"/>
    <cellStyle name="40% - Accent4 10 2 2 5 3 2" xfId="49272" xr:uid="{9C2D84CF-7B2F-458B-B198-8FF3BEB98002}"/>
    <cellStyle name="40% - Accent4 10 2 2 5 4" xfId="33395" xr:uid="{80C488BF-03E0-4626-9B42-D36CDB582D80}"/>
    <cellStyle name="40% - Accent4 10 2 2 6" xfId="10434" xr:uid="{00000000-0005-0000-0000-0000653F0000}"/>
    <cellStyle name="40% - Accent4 10 2 2 6 2" xfId="34283" xr:uid="{7D767769-9F3A-4C59-8B09-B7E80B39B453}"/>
    <cellStyle name="40% - Accent4 10 2 2 7" xfId="18389" xr:uid="{00000000-0005-0000-0000-0000663F0000}"/>
    <cellStyle name="40% - Accent4 10 2 2 7 2" xfId="42221" xr:uid="{25DCAE80-A9CF-45D8-A81E-2E0D7D4D25B7}"/>
    <cellStyle name="40% - Accent4 10 2 2 8" xfId="26341" xr:uid="{D12589B8-ABBD-43B2-BF56-9DAE68BBE742}"/>
    <cellStyle name="40% - Accent4 10 2 2_Exh G" xfId="3059" xr:uid="{00000000-0005-0000-0000-0000673F0000}"/>
    <cellStyle name="40% - Accent4 10 2 3" xfId="1513" xr:uid="{00000000-0005-0000-0000-0000683F0000}"/>
    <cellStyle name="40% - Accent4 10 2 3 2" xfId="5043" xr:uid="{00000000-0005-0000-0000-0000693F0000}"/>
    <cellStyle name="40% - Accent4 10 2 3 2 2" xfId="8634" xr:uid="{00000000-0005-0000-0000-00006A3F0000}"/>
    <cellStyle name="40% - Accent4 10 2 3 2 2 2" xfId="16605" xr:uid="{00000000-0005-0000-0000-00006B3F0000}"/>
    <cellStyle name="40% - Accent4 10 2 3 2 2 2 2" xfId="40447" xr:uid="{4157AA3B-BF9D-4254-9CFE-B41C86B55ADE}"/>
    <cellStyle name="40% - Accent4 10 2 3 2 2 3" xfId="24551" xr:uid="{00000000-0005-0000-0000-00006C3F0000}"/>
    <cellStyle name="40% - Accent4 10 2 3 2 2 3 2" xfId="48383" xr:uid="{1D746980-F59C-4DDE-9E30-86BAC17B6A74}"/>
    <cellStyle name="40% - Accent4 10 2 3 2 2 4" xfId="32506" xr:uid="{7FC58574-41EC-4A38-8DBE-F7D7AD94F621}"/>
    <cellStyle name="40% - Accent4 10 2 3 2 3" xfId="13067" xr:uid="{00000000-0005-0000-0000-00006D3F0000}"/>
    <cellStyle name="40% - Accent4 10 2 3 2 3 2" xfId="36916" xr:uid="{4A1A0899-16CE-4E4D-962B-DCB42683DB41}"/>
    <cellStyle name="40% - Accent4 10 2 3 2 4" xfId="21022" xr:uid="{00000000-0005-0000-0000-00006E3F0000}"/>
    <cellStyle name="40% - Accent4 10 2 3 2 4 2" xfId="44854" xr:uid="{CBE8B3E9-2E8F-42A8-943B-AC76D8450C79}"/>
    <cellStyle name="40% - Accent4 10 2 3 2 5" xfId="28975" xr:uid="{10F25A74-4BBB-4104-A0E2-47FA78E37F46}"/>
    <cellStyle name="40% - Accent4 10 2 3 3" xfId="6875" xr:uid="{00000000-0005-0000-0000-00006F3F0000}"/>
    <cellStyle name="40% - Accent4 10 2 3 3 2" xfId="14847" xr:uid="{00000000-0005-0000-0000-0000703F0000}"/>
    <cellStyle name="40% - Accent4 10 2 3 3 2 2" xfId="38689" xr:uid="{F8E56ADD-EBFA-4136-9F67-C847B7BD1161}"/>
    <cellStyle name="40% - Accent4 10 2 3 3 3" xfId="22794" xr:uid="{00000000-0005-0000-0000-0000713F0000}"/>
    <cellStyle name="40% - Accent4 10 2 3 3 3 2" xfId="46626" xr:uid="{9C606826-5572-4FD7-B020-8775EA8A17C5}"/>
    <cellStyle name="40% - Accent4 10 2 3 3 4" xfId="30748" xr:uid="{B9A3D840-C825-4AA8-AB2B-5FA847117E05}"/>
    <cellStyle name="40% - Accent4 10 2 3 4" xfId="11311" xr:uid="{00000000-0005-0000-0000-0000723F0000}"/>
    <cellStyle name="40% - Accent4 10 2 3 4 2" xfId="35160" xr:uid="{92AC5531-E7C1-428A-874F-484A135AD729}"/>
    <cellStyle name="40% - Accent4 10 2 3 5" xfId="19266" xr:uid="{00000000-0005-0000-0000-0000733F0000}"/>
    <cellStyle name="40% - Accent4 10 2 3 5 2" xfId="43098" xr:uid="{D46817A8-4171-4ECA-9263-EA89C5ED98FF}"/>
    <cellStyle name="40% - Accent4 10 2 3 6" xfId="27218" xr:uid="{B682CD95-0B27-491D-8CFF-1CF3FA7363AF}"/>
    <cellStyle name="40% - Accent4 10 2 3_Exh G" xfId="3061" xr:uid="{00000000-0005-0000-0000-0000743F0000}"/>
    <cellStyle name="40% - Accent4 10 2 4" xfId="4164" xr:uid="{00000000-0005-0000-0000-0000753F0000}"/>
    <cellStyle name="40% - Accent4 10 2 4 2" xfId="7756" xr:uid="{00000000-0005-0000-0000-0000763F0000}"/>
    <cellStyle name="40% - Accent4 10 2 4 2 2" xfId="15727" xr:uid="{00000000-0005-0000-0000-0000773F0000}"/>
    <cellStyle name="40% - Accent4 10 2 4 2 2 2" xfId="39569" xr:uid="{99CD3950-59B3-4ADC-B4DD-03008737194E}"/>
    <cellStyle name="40% - Accent4 10 2 4 2 3" xfId="23673" xr:uid="{00000000-0005-0000-0000-0000783F0000}"/>
    <cellStyle name="40% - Accent4 10 2 4 2 3 2" xfId="47505" xr:uid="{B71D6046-015F-4575-9FBE-1D1255955C62}"/>
    <cellStyle name="40% - Accent4 10 2 4 2 4" xfId="31628" xr:uid="{910F9C39-B2FC-44C4-A04F-25D727352E52}"/>
    <cellStyle name="40% - Accent4 10 2 4 3" xfId="12189" xr:uid="{00000000-0005-0000-0000-0000793F0000}"/>
    <cellStyle name="40% - Accent4 10 2 4 3 2" xfId="36038" xr:uid="{A157C05D-340D-4133-B485-6AC84D0907A2}"/>
    <cellStyle name="40% - Accent4 10 2 4 4" xfId="20144" xr:uid="{00000000-0005-0000-0000-00007A3F0000}"/>
    <cellStyle name="40% - Accent4 10 2 4 4 2" xfId="43976" xr:uid="{66DC7FDC-6180-4014-8DF7-4680EC47B1E7}"/>
    <cellStyle name="40% - Accent4 10 2 4 5" xfId="28097" xr:uid="{612EE604-ADB8-4E42-A9F1-C4AC5B3FE2F0}"/>
    <cellStyle name="40% - Accent4 10 2 5" xfId="5984" xr:uid="{00000000-0005-0000-0000-00007B3F0000}"/>
    <cellStyle name="40% - Accent4 10 2 5 2" xfId="13968" xr:uid="{00000000-0005-0000-0000-00007C3F0000}"/>
    <cellStyle name="40% - Accent4 10 2 5 2 2" xfId="37811" xr:uid="{3DAD2F56-4FB4-4CD0-96AB-85EB6951B498}"/>
    <cellStyle name="40% - Accent4 10 2 5 3" xfId="21916" xr:uid="{00000000-0005-0000-0000-00007D3F0000}"/>
    <cellStyle name="40% - Accent4 10 2 5 3 2" xfId="45748" xr:uid="{351F7395-566F-40CD-95D0-FB4A24887CEA}"/>
    <cellStyle name="40% - Accent4 10 2 5 4" xfId="29870" xr:uid="{1AABEE38-D3D8-4BF8-B72B-E4607060C1D1}"/>
    <cellStyle name="40% - Accent4 10 2 6" xfId="9537" xr:uid="{00000000-0005-0000-0000-00007E3F0000}"/>
    <cellStyle name="40% - Accent4 10 2 6 2" xfId="17495" xr:uid="{00000000-0005-0000-0000-00007F3F0000}"/>
    <cellStyle name="40% - Accent4 10 2 6 2 2" xfId="41335" xr:uid="{58E4FFC7-FA0E-49EB-B9CD-DE2CA43ADE8E}"/>
    <cellStyle name="40% - Accent4 10 2 6 3" xfId="25439" xr:uid="{00000000-0005-0000-0000-0000803F0000}"/>
    <cellStyle name="40% - Accent4 10 2 6 3 2" xfId="49271" xr:uid="{D071ECEE-7551-4B94-9D86-491570364AEA}"/>
    <cellStyle name="40% - Accent4 10 2 6 4" xfId="33394" xr:uid="{872CCE30-66CA-4BD2-BBA8-3FE132A74B20}"/>
    <cellStyle name="40% - Accent4 10 2 7" xfId="10433" xr:uid="{00000000-0005-0000-0000-0000813F0000}"/>
    <cellStyle name="40% - Accent4 10 2 7 2" xfId="34282" xr:uid="{4845CE4F-D191-4449-B77C-3F9EA575136B}"/>
    <cellStyle name="40% - Accent4 10 2 8" xfId="18388" xr:uid="{00000000-0005-0000-0000-0000823F0000}"/>
    <cellStyle name="40% - Accent4 10 2 8 2" xfId="42220" xr:uid="{42A0AB49-1BB1-4E04-8935-235D4A6B8697}"/>
    <cellStyle name="40% - Accent4 10 2 9" xfId="26340" xr:uid="{FB4E80A9-8140-4041-AE6E-2E643E21703D}"/>
    <cellStyle name="40% - Accent4 10 2_Exh G" xfId="3058" xr:uid="{00000000-0005-0000-0000-0000833F0000}"/>
    <cellStyle name="40% - Accent4 10 3" xfId="487" xr:uid="{00000000-0005-0000-0000-0000843F0000}"/>
    <cellStyle name="40% - Accent4 10 3 2" xfId="1515" xr:uid="{00000000-0005-0000-0000-0000853F0000}"/>
    <cellStyle name="40% - Accent4 10 3 2 2" xfId="5045" xr:uid="{00000000-0005-0000-0000-0000863F0000}"/>
    <cellStyle name="40% - Accent4 10 3 2 2 2" xfId="8636" xr:uid="{00000000-0005-0000-0000-0000873F0000}"/>
    <cellStyle name="40% - Accent4 10 3 2 2 2 2" xfId="16607" xr:uid="{00000000-0005-0000-0000-0000883F0000}"/>
    <cellStyle name="40% - Accent4 10 3 2 2 2 2 2" xfId="40449" xr:uid="{8C8709FD-2993-478E-A3F1-1A8BCB5291A0}"/>
    <cellStyle name="40% - Accent4 10 3 2 2 2 3" xfId="24553" xr:uid="{00000000-0005-0000-0000-0000893F0000}"/>
    <cellStyle name="40% - Accent4 10 3 2 2 2 3 2" xfId="48385" xr:uid="{C89D3C23-81B6-4B0E-81CF-A0856D7A2975}"/>
    <cellStyle name="40% - Accent4 10 3 2 2 2 4" xfId="32508" xr:uid="{3730B667-8DFC-466B-B2AB-3888A896510F}"/>
    <cellStyle name="40% - Accent4 10 3 2 2 3" xfId="13069" xr:uid="{00000000-0005-0000-0000-00008A3F0000}"/>
    <cellStyle name="40% - Accent4 10 3 2 2 3 2" xfId="36918" xr:uid="{FA29BB14-BC91-453B-8B70-1AB1E532A214}"/>
    <cellStyle name="40% - Accent4 10 3 2 2 4" xfId="21024" xr:uid="{00000000-0005-0000-0000-00008B3F0000}"/>
    <cellStyle name="40% - Accent4 10 3 2 2 4 2" xfId="44856" xr:uid="{2D732ECA-D5CF-4535-A26A-5073D30F2876}"/>
    <cellStyle name="40% - Accent4 10 3 2 2 5" xfId="28977" xr:uid="{A4F6A0B3-A19C-4653-A693-8470187E5CBC}"/>
    <cellStyle name="40% - Accent4 10 3 2 3" xfId="6877" xr:uid="{00000000-0005-0000-0000-00008C3F0000}"/>
    <cellStyle name="40% - Accent4 10 3 2 3 2" xfId="14849" xr:uid="{00000000-0005-0000-0000-00008D3F0000}"/>
    <cellStyle name="40% - Accent4 10 3 2 3 2 2" xfId="38691" xr:uid="{DE3876F0-FDF6-471E-BC26-EAE7ACBEF6C6}"/>
    <cellStyle name="40% - Accent4 10 3 2 3 3" xfId="22796" xr:uid="{00000000-0005-0000-0000-00008E3F0000}"/>
    <cellStyle name="40% - Accent4 10 3 2 3 3 2" xfId="46628" xr:uid="{A1200CA6-7129-4461-9319-D358B097CE5B}"/>
    <cellStyle name="40% - Accent4 10 3 2 3 4" xfId="30750" xr:uid="{09DE587C-4EFE-4E32-BBC2-CAB6688EDB00}"/>
    <cellStyle name="40% - Accent4 10 3 2 4" xfId="11313" xr:uid="{00000000-0005-0000-0000-00008F3F0000}"/>
    <cellStyle name="40% - Accent4 10 3 2 4 2" xfId="35162" xr:uid="{63E307D3-F3FD-46D5-A88D-F1FDC4121EDD}"/>
    <cellStyle name="40% - Accent4 10 3 2 5" xfId="19268" xr:uid="{00000000-0005-0000-0000-0000903F0000}"/>
    <cellStyle name="40% - Accent4 10 3 2 5 2" xfId="43100" xr:uid="{3B87E635-DA79-4C78-81BE-8E75FCF9614B}"/>
    <cellStyle name="40% - Accent4 10 3 2 6" xfId="27220" xr:uid="{19AEBAF7-E40A-4239-BAD4-3421956B399A}"/>
    <cellStyle name="40% - Accent4 10 3 2_Exh G" xfId="3063" xr:uid="{00000000-0005-0000-0000-0000913F0000}"/>
    <cellStyle name="40% - Accent4 10 3 3" xfId="4166" xr:uid="{00000000-0005-0000-0000-0000923F0000}"/>
    <cellStyle name="40% - Accent4 10 3 3 2" xfId="7758" xr:uid="{00000000-0005-0000-0000-0000933F0000}"/>
    <cellStyle name="40% - Accent4 10 3 3 2 2" xfId="15729" xr:uid="{00000000-0005-0000-0000-0000943F0000}"/>
    <cellStyle name="40% - Accent4 10 3 3 2 2 2" xfId="39571" xr:uid="{D7721753-E733-4843-B012-797DF4A138F4}"/>
    <cellStyle name="40% - Accent4 10 3 3 2 3" xfId="23675" xr:uid="{00000000-0005-0000-0000-0000953F0000}"/>
    <cellStyle name="40% - Accent4 10 3 3 2 3 2" xfId="47507" xr:uid="{CEBC92F1-F8C1-41B1-8E44-7A1FDB78A3C5}"/>
    <cellStyle name="40% - Accent4 10 3 3 2 4" xfId="31630" xr:uid="{9A057D98-76F1-4C23-9155-11FDDD224B68}"/>
    <cellStyle name="40% - Accent4 10 3 3 3" xfId="12191" xr:uid="{00000000-0005-0000-0000-0000963F0000}"/>
    <cellStyle name="40% - Accent4 10 3 3 3 2" xfId="36040" xr:uid="{063471F6-42E2-438C-8861-9211E5B2F96A}"/>
    <cellStyle name="40% - Accent4 10 3 3 4" xfId="20146" xr:uid="{00000000-0005-0000-0000-0000973F0000}"/>
    <cellStyle name="40% - Accent4 10 3 3 4 2" xfId="43978" xr:uid="{5939D674-9398-4F95-908C-A90C71CA4FF7}"/>
    <cellStyle name="40% - Accent4 10 3 3 5" xfId="28099" xr:uid="{6A4AC5CD-0869-4128-971B-B02A9C53BF3F}"/>
    <cellStyle name="40% - Accent4 10 3 4" xfId="5986" xr:uid="{00000000-0005-0000-0000-0000983F0000}"/>
    <cellStyle name="40% - Accent4 10 3 4 2" xfId="13970" xr:uid="{00000000-0005-0000-0000-0000993F0000}"/>
    <cellStyle name="40% - Accent4 10 3 4 2 2" xfId="37813" xr:uid="{35566DF7-B886-4E35-9A42-8EEFB1023389}"/>
    <cellStyle name="40% - Accent4 10 3 4 3" xfId="21918" xr:uid="{00000000-0005-0000-0000-00009A3F0000}"/>
    <cellStyle name="40% - Accent4 10 3 4 3 2" xfId="45750" xr:uid="{EB335724-88A4-45B6-86EA-530AB2012F07}"/>
    <cellStyle name="40% - Accent4 10 3 4 4" xfId="29872" xr:uid="{C86DB39F-EA49-483F-97AB-76C4C77A5CA3}"/>
    <cellStyle name="40% - Accent4 10 3 5" xfId="9539" xr:uid="{00000000-0005-0000-0000-00009B3F0000}"/>
    <cellStyle name="40% - Accent4 10 3 5 2" xfId="17497" xr:uid="{00000000-0005-0000-0000-00009C3F0000}"/>
    <cellStyle name="40% - Accent4 10 3 5 2 2" xfId="41337" xr:uid="{389133C1-303F-4596-97D7-0B9E50A835CD}"/>
    <cellStyle name="40% - Accent4 10 3 5 3" xfId="25441" xr:uid="{00000000-0005-0000-0000-00009D3F0000}"/>
    <cellStyle name="40% - Accent4 10 3 5 3 2" xfId="49273" xr:uid="{9CE6FD5D-5C71-43D3-BFF6-D199A28980A0}"/>
    <cellStyle name="40% - Accent4 10 3 5 4" xfId="33396" xr:uid="{46DC02CB-6A52-473D-B651-90DAC576C00B}"/>
    <cellStyle name="40% - Accent4 10 3 6" xfId="10435" xr:uid="{00000000-0005-0000-0000-00009E3F0000}"/>
    <cellStyle name="40% - Accent4 10 3 6 2" xfId="34284" xr:uid="{51731DFC-2A30-4D7A-8F28-D2871AE839F1}"/>
    <cellStyle name="40% - Accent4 10 3 7" xfId="18390" xr:uid="{00000000-0005-0000-0000-00009F3F0000}"/>
    <cellStyle name="40% - Accent4 10 3 7 2" xfId="42222" xr:uid="{54383AD5-F94D-4527-8DE4-5BF7BCE63752}"/>
    <cellStyle name="40% - Accent4 10 3 8" xfId="26342" xr:uid="{6ADA854F-F48D-4C55-A93F-84DB8C917733}"/>
    <cellStyle name="40% - Accent4 10 3_Exh G" xfId="3062" xr:uid="{00000000-0005-0000-0000-0000A03F0000}"/>
    <cellStyle name="40% - Accent4 10 4" xfId="970" xr:uid="{00000000-0005-0000-0000-0000A13F0000}"/>
    <cellStyle name="40% - Accent4 10 5" xfId="1512" xr:uid="{00000000-0005-0000-0000-0000A23F0000}"/>
    <cellStyle name="40% - Accent4 10 5 2" xfId="5042" xr:uid="{00000000-0005-0000-0000-0000A33F0000}"/>
    <cellStyle name="40% - Accent4 10 5 2 2" xfId="8633" xr:uid="{00000000-0005-0000-0000-0000A43F0000}"/>
    <cellStyle name="40% - Accent4 10 5 2 2 2" xfId="16604" xr:uid="{00000000-0005-0000-0000-0000A53F0000}"/>
    <cellStyle name="40% - Accent4 10 5 2 2 2 2" xfId="40446" xr:uid="{8E68B8E7-387B-4831-9372-15636661548D}"/>
    <cellStyle name="40% - Accent4 10 5 2 2 3" xfId="24550" xr:uid="{00000000-0005-0000-0000-0000A63F0000}"/>
    <cellStyle name="40% - Accent4 10 5 2 2 3 2" xfId="48382" xr:uid="{8DB2776A-0D33-4094-9442-7C6D8A858D39}"/>
    <cellStyle name="40% - Accent4 10 5 2 2 4" xfId="32505" xr:uid="{9293DB11-EB33-407C-A8D7-2438CF45786E}"/>
    <cellStyle name="40% - Accent4 10 5 2 3" xfId="13066" xr:uid="{00000000-0005-0000-0000-0000A73F0000}"/>
    <cellStyle name="40% - Accent4 10 5 2 3 2" xfId="36915" xr:uid="{47262D86-2197-4006-8A6A-D35830526C95}"/>
    <cellStyle name="40% - Accent4 10 5 2 4" xfId="21021" xr:uid="{00000000-0005-0000-0000-0000A83F0000}"/>
    <cellStyle name="40% - Accent4 10 5 2 4 2" xfId="44853" xr:uid="{B9E67798-3EC8-4D22-9F30-453A93FBA0CC}"/>
    <cellStyle name="40% - Accent4 10 5 2 5" xfId="28974" xr:uid="{88C23397-CB46-482F-9568-33B2172A8F44}"/>
    <cellStyle name="40% - Accent4 10 5 3" xfId="6874" xr:uid="{00000000-0005-0000-0000-0000A93F0000}"/>
    <cellStyle name="40% - Accent4 10 5 3 2" xfId="14846" xr:uid="{00000000-0005-0000-0000-0000AA3F0000}"/>
    <cellStyle name="40% - Accent4 10 5 3 2 2" xfId="38688" xr:uid="{4FD62411-F332-49DC-AA5F-210E69BC1846}"/>
    <cellStyle name="40% - Accent4 10 5 3 3" xfId="22793" xr:uid="{00000000-0005-0000-0000-0000AB3F0000}"/>
    <cellStyle name="40% - Accent4 10 5 3 3 2" xfId="46625" xr:uid="{DE1519DD-FBB4-42DD-AC16-2438BF539E92}"/>
    <cellStyle name="40% - Accent4 10 5 3 4" xfId="30747" xr:uid="{FBD9B411-E498-488A-9E37-71CBF09D3B2B}"/>
    <cellStyle name="40% - Accent4 10 5 4" xfId="11310" xr:uid="{00000000-0005-0000-0000-0000AC3F0000}"/>
    <cellStyle name="40% - Accent4 10 5 4 2" xfId="35159" xr:uid="{6924D7A0-C7F1-4387-885C-B2A578C26DD9}"/>
    <cellStyle name="40% - Accent4 10 5 5" xfId="19265" xr:uid="{00000000-0005-0000-0000-0000AD3F0000}"/>
    <cellStyle name="40% - Accent4 10 5 5 2" xfId="43097" xr:uid="{EF03AEA7-F49D-4885-ACB4-DD805667718C}"/>
    <cellStyle name="40% - Accent4 10 5 6" xfId="27217" xr:uid="{F6784F84-CDB8-4EAB-818C-3574F2FC7C62}"/>
    <cellStyle name="40% - Accent4 10 5_Exh G" xfId="3064" xr:uid="{00000000-0005-0000-0000-0000AE3F0000}"/>
    <cellStyle name="40% - Accent4 10 6" xfId="4163" xr:uid="{00000000-0005-0000-0000-0000AF3F0000}"/>
    <cellStyle name="40% - Accent4 10 6 2" xfId="7755" xr:uid="{00000000-0005-0000-0000-0000B03F0000}"/>
    <cellStyle name="40% - Accent4 10 6 2 2" xfId="15726" xr:uid="{00000000-0005-0000-0000-0000B13F0000}"/>
    <cellStyle name="40% - Accent4 10 6 2 2 2" xfId="39568" xr:uid="{014EB1EC-ACFB-45C2-A9AF-3DFBB320D940}"/>
    <cellStyle name="40% - Accent4 10 6 2 3" xfId="23672" xr:uid="{00000000-0005-0000-0000-0000B23F0000}"/>
    <cellStyle name="40% - Accent4 10 6 2 3 2" xfId="47504" xr:uid="{812C7D29-0AE1-49DF-B141-695803212639}"/>
    <cellStyle name="40% - Accent4 10 6 2 4" xfId="31627" xr:uid="{D9F3A1FD-95E9-482B-9668-F8EECDECF07D}"/>
    <cellStyle name="40% - Accent4 10 6 3" xfId="12188" xr:uid="{00000000-0005-0000-0000-0000B33F0000}"/>
    <cellStyle name="40% - Accent4 10 6 3 2" xfId="36037" xr:uid="{3F9240B6-7D40-4BCA-B100-65BBA3F7B656}"/>
    <cellStyle name="40% - Accent4 10 6 4" xfId="20143" xr:uid="{00000000-0005-0000-0000-0000B43F0000}"/>
    <cellStyle name="40% - Accent4 10 6 4 2" xfId="43975" xr:uid="{C0631599-3005-4A44-B60C-885E06622B7F}"/>
    <cellStyle name="40% - Accent4 10 6 5" xfId="28096" xr:uid="{96085A80-2AB9-4185-8E4C-EB97A53A0393}"/>
    <cellStyle name="40% - Accent4 10 7" xfId="5983" xr:uid="{00000000-0005-0000-0000-0000B53F0000}"/>
    <cellStyle name="40% - Accent4 10 7 2" xfId="13967" xr:uid="{00000000-0005-0000-0000-0000B63F0000}"/>
    <cellStyle name="40% - Accent4 10 7 2 2" xfId="37810" xr:uid="{B5B17DEC-B977-4021-BB2A-B1FD8815DC74}"/>
    <cellStyle name="40% - Accent4 10 7 3" xfId="21915" xr:uid="{00000000-0005-0000-0000-0000B73F0000}"/>
    <cellStyle name="40% - Accent4 10 7 3 2" xfId="45747" xr:uid="{6C20138A-5954-4FB0-81B8-D77C5BA55D1B}"/>
    <cellStyle name="40% - Accent4 10 7 4" xfId="29869" xr:uid="{80BA40A9-E3EA-4455-BB09-EDCACA7B82FA}"/>
    <cellStyle name="40% - Accent4 10 8" xfId="9536" xr:uid="{00000000-0005-0000-0000-0000B83F0000}"/>
    <cellStyle name="40% - Accent4 10 8 2" xfId="17494" xr:uid="{00000000-0005-0000-0000-0000B93F0000}"/>
    <cellStyle name="40% - Accent4 10 8 2 2" xfId="41334" xr:uid="{41C634CA-AD96-4CBA-8A47-BEE24F5C195C}"/>
    <cellStyle name="40% - Accent4 10 8 3" xfId="25438" xr:uid="{00000000-0005-0000-0000-0000BA3F0000}"/>
    <cellStyle name="40% - Accent4 10 8 3 2" xfId="49270" xr:uid="{308B50B9-8348-4F5C-8964-0F80E152D808}"/>
    <cellStyle name="40% - Accent4 10 8 4" xfId="33393" xr:uid="{35BC35C8-4AF1-4A16-A37F-D3000FEEB4D8}"/>
    <cellStyle name="40% - Accent4 10 9" xfId="10432" xr:uid="{00000000-0005-0000-0000-0000BB3F0000}"/>
    <cellStyle name="40% - Accent4 10 9 2" xfId="34281" xr:uid="{10E6AEEA-3B56-4D70-BE72-406B5FCB18C0}"/>
    <cellStyle name="40% - Accent4 10_Exh G" xfId="3057" xr:uid="{00000000-0005-0000-0000-0000BC3F0000}"/>
    <cellStyle name="40% - Accent4 11" xfId="488" xr:uid="{00000000-0005-0000-0000-0000BD3F0000}"/>
    <cellStyle name="40% - Accent4 11 10" xfId="26343" xr:uid="{0286C9FC-A348-4DED-BD35-168ED4F9D025}"/>
    <cellStyle name="40% - Accent4 11 2" xfId="489" xr:uid="{00000000-0005-0000-0000-0000BE3F0000}"/>
    <cellStyle name="40% - Accent4 11 2 2" xfId="490" xr:uid="{00000000-0005-0000-0000-0000BF3F0000}"/>
    <cellStyle name="40% - Accent4 11 2 2 2" xfId="1518" xr:uid="{00000000-0005-0000-0000-0000C03F0000}"/>
    <cellStyle name="40% - Accent4 11 2 2 2 2" xfId="5048" xr:uid="{00000000-0005-0000-0000-0000C13F0000}"/>
    <cellStyle name="40% - Accent4 11 2 2 2 2 2" xfId="8639" xr:uid="{00000000-0005-0000-0000-0000C23F0000}"/>
    <cellStyle name="40% - Accent4 11 2 2 2 2 2 2" xfId="16610" xr:uid="{00000000-0005-0000-0000-0000C33F0000}"/>
    <cellStyle name="40% - Accent4 11 2 2 2 2 2 2 2" xfId="40452" xr:uid="{3D79B0EC-B979-45FE-B252-C944B4232CF6}"/>
    <cellStyle name="40% - Accent4 11 2 2 2 2 2 3" xfId="24556" xr:uid="{00000000-0005-0000-0000-0000C43F0000}"/>
    <cellStyle name="40% - Accent4 11 2 2 2 2 2 3 2" xfId="48388" xr:uid="{FACF887C-BD47-497B-AAFC-39FD38028BB7}"/>
    <cellStyle name="40% - Accent4 11 2 2 2 2 2 4" xfId="32511" xr:uid="{586AEC8F-6A98-444F-91C4-8D333ED059E3}"/>
    <cellStyle name="40% - Accent4 11 2 2 2 2 3" xfId="13072" xr:uid="{00000000-0005-0000-0000-0000C53F0000}"/>
    <cellStyle name="40% - Accent4 11 2 2 2 2 3 2" xfId="36921" xr:uid="{FCFA509A-E0C1-4EA8-B8E0-693637CEEA99}"/>
    <cellStyle name="40% - Accent4 11 2 2 2 2 4" xfId="21027" xr:uid="{00000000-0005-0000-0000-0000C63F0000}"/>
    <cellStyle name="40% - Accent4 11 2 2 2 2 4 2" xfId="44859" xr:uid="{1DF9A590-C49D-4EC3-BE16-B858377976C6}"/>
    <cellStyle name="40% - Accent4 11 2 2 2 2 5" xfId="28980" xr:uid="{C65631E8-189D-407F-9DD1-741EE4DF1A5F}"/>
    <cellStyle name="40% - Accent4 11 2 2 2 3" xfId="6880" xr:uid="{00000000-0005-0000-0000-0000C73F0000}"/>
    <cellStyle name="40% - Accent4 11 2 2 2 3 2" xfId="14852" xr:uid="{00000000-0005-0000-0000-0000C83F0000}"/>
    <cellStyle name="40% - Accent4 11 2 2 2 3 2 2" xfId="38694" xr:uid="{BF628C00-8F7C-4D14-AD20-FF2731B31013}"/>
    <cellStyle name="40% - Accent4 11 2 2 2 3 3" xfId="22799" xr:uid="{00000000-0005-0000-0000-0000C93F0000}"/>
    <cellStyle name="40% - Accent4 11 2 2 2 3 3 2" xfId="46631" xr:uid="{0147855E-8495-416B-BB5F-499D7FE6B662}"/>
    <cellStyle name="40% - Accent4 11 2 2 2 3 4" xfId="30753" xr:uid="{73C01720-1885-4EF7-B23A-BD5149ADE873}"/>
    <cellStyle name="40% - Accent4 11 2 2 2 4" xfId="11316" xr:uid="{00000000-0005-0000-0000-0000CA3F0000}"/>
    <cellStyle name="40% - Accent4 11 2 2 2 4 2" xfId="35165" xr:uid="{02D688FD-7E53-4B5F-A29C-BEA41C1EAC71}"/>
    <cellStyle name="40% - Accent4 11 2 2 2 5" xfId="19271" xr:uid="{00000000-0005-0000-0000-0000CB3F0000}"/>
    <cellStyle name="40% - Accent4 11 2 2 2 5 2" xfId="43103" xr:uid="{E51C5479-B22D-419A-8B4E-E40A322E4C01}"/>
    <cellStyle name="40% - Accent4 11 2 2 2 6" xfId="27223" xr:uid="{351364DE-0922-4343-A6E0-5252D4939A79}"/>
    <cellStyle name="40% - Accent4 11 2 2 2_Exh G" xfId="3068" xr:uid="{00000000-0005-0000-0000-0000CC3F0000}"/>
    <cellStyle name="40% - Accent4 11 2 2 3" xfId="4169" xr:uid="{00000000-0005-0000-0000-0000CD3F0000}"/>
    <cellStyle name="40% - Accent4 11 2 2 3 2" xfId="7761" xr:uid="{00000000-0005-0000-0000-0000CE3F0000}"/>
    <cellStyle name="40% - Accent4 11 2 2 3 2 2" xfId="15732" xr:uid="{00000000-0005-0000-0000-0000CF3F0000}"/>
    <cellStyle name="40% - Accent4 11 2 2 3 2 2 2" xfId="39574" xr:uid="{BE187A27-158C-45FA-9AE3-7ACA162558C2}"/>
    <cellStyle name="40% - Accent4 11 2 2 3 2 3" xfId="23678" xr:uid="{00000000-0005-0000-0000-0000D03F0000}"/>
    <cellStyle name="40% - Accent4 11 2 2 3 2 3 2" xfId="47510" xr:uid="{2B55AA6B-A887-45CE-9BDD-BB1848311CE5}"/>
    <cellStyle name="40% - Accent4 11 2 2 3 2 4" xfId="31633" xr:uid="{287892E5-5492-4351-BBE8-708B4BD98E51}"/>
    <cellStyle name="40% - Accent4 11 2 2 3 3" xfId="12194" xr:uid="{00000000-0005-0000-0000-0000D13F0000}"/>
    <cellStyle name="40% - Accent4 11 2 2 3 3 2" xfId="36043" xr:uid="{E9457C53-1CAE-4460-BD33-B80B09895E7F}"/>
    <cellStyle name="40% - Accent4 11 2 2 3 4" xfId="20149" xr:uid="{00000000-0005-0000-0000-0000D23F0000}"/>
    <cellStyle name="40% - Accent4 11 2 2 3 4 2" xfId="43981" xr:uid="{9ECECE0A-FE78-41A7-8DDC-B947CDB408BF}"/>
    <cellStyle name="40% - Accent4 11 2 2 3 5" xfId="28102" xr:uid="{E6290EC5-12FC-4278-A58C-885972DBCE65}"/>
    <cellStyle name="40% - Accent4 11 2 2 4" xfId="5989" xr:uid="{00000000-0005-0000-0000-0000D33F0000}"/>
    <cellStyle name="40% - Accent4 11 2 2 4 2" xfId="13973" xr:uid="{00000000-0005-0000-0000-0000D43F0000}"/>
    <cellStyle name="40% - Accent4 11 2 2 4 2 2" xfId="37816" xr:uid="{5E00FFE1-8A5A-4C36-B67C-43B4C7AEE6EC}"/>
    <cellStyle name="40% - Accent4 11 2 2 4 3" xfId="21921" xr:uid="{00000000-0005-0000-0000-0000D53F0000}"/>
    <cellStyle name="40% - Accent4 11 2 2 4 3 2" xfId="45753" xr:uid="{ED5264D9-D3F4-46E4-8883-639EC0E7B3C0}"/>
    <cellStyle name="40% - Accent4 11 2 2 4 4" xfId="29875" xr:uid="{D4AC5BBF-D879-4D87-9B14-7276BF9203FD}"/>
    <cellStyle name="40% - Accent4 11 2 2 5" xfId="9542" xr:uid="{00000000-0005-0000-0000-0000D63F0000}"/>
    <cellStyle name="40% - Accent4 11 2 2 5 2" xfId="17500" xr:uid="{00000000-0005-0000-0000-0000D73F0000}"/>
    <cellStyle name="40% - Accent4 11 2 2 5 2 2" xfId="41340" xr:uid="{DC65B2B6-CB20-4EE1-A271-A0AC6854D683}"/>
    <cellStyle name="40% - Accent4 11 2 2 5 3" xfId="25444" xr:uid="{00000000-0005-0000-0000-0000D83F0000}"/>
    <cellStyle name="40% - Accent4 11 2 2 5 3 2" xfId="49276" xr:uid="{4EA14811-D31E-4A6A-862E-6C05E6A1872D}"/>
    <cellStyle name="40% - Accent4 11 2 2 5 4" xfId="33399" xr:uid="{497362D6-13F8-4C8B-8B2E-36C569761C2D}"/>
    <cellStyle name="40% - Accent4 11 2 2 6" xfId="10438" xr:uid="{00000000-0005-0000-0000-0000D93F0000}"/>
    <cellStyle name="40% - Accent4 11 2 2 6 2" xfId="34287" xr:uid="{0FB2A468-41CB-4FE2-9099-3437BDCD82AD}"/>
    <cellStyle name="40% - Accent4 11 2 2 7" xfId="18393" xr:uid="{00000000-0005-0000-0000-0000DA3F0000}"/>
    <cellStyle name="40% - Accent4 11 2 2 7 2" xfId="42225" xr:uid="{977318FC-11CD-4DB7-9E9D-2E293D12993F}"/>
    <cellStyle name="40% - Accent4 11 2 2 8" xfId="26345" xr:uid="{021F94A6-0320-4EA6-B582-0F671C7714E4}"/>
    <cellStyle name="40% - Accent4 11 2 2_Exh G" xfId="3067" xr:uid="{00000000-0005-0000-0000-0000DB3F0000}"/>
    <cellStyle name="40% - Accent4 11 2 3" xfId="1517" xr:uid="{00000000-0005-0000-0000-0000DC3F0000}"/>
    <cellStyle name="40% - Accent4 11 2 3 2" xfId="5047" xr:uid="{00000000-0005-0000-0000-0000DD3F0000}"/>
    <cellStyle name="40% - Accent4 11 2 3 2 2" xfId="8638" xr:uid="{00000000-0005-0000-0000-0000DE3F0000}"/>
    <cellStyle name="40% - Accent4 11 2 3 2 2 2" xfId="16609" xr:uid="{00000000-0005-0000-0000-0000DF3F0000}"/>
    <cellStyle name="40% - Accent4 11 2 3 2 2 2 2" xfId="40451" xr:uid="{B9632810-1CD7-4E0F-9BBD-98DD0AB4E5DE}"/>
    <cellStyle name="40% - Accent4 11 2 3 2 2 3" xfId="24555" xr:uid="{00000000-0005-0000-0000-0000E03F0000}"/>
    <cellStyle name="40% - Accent4 11 2 3 2 2 3 2" xfId="48387" xr:uid="{F8A24BEF-2BB9-4FA8-BCF5-DD3A6A36E75E}"/>
    <cellStyle name="40% - Accent4 11 2 3 2 2 4" xfId="32510" xr:uid="{9E36612E-4A8A-4D98-84B1-71340D35A037}"/>
    <cellStyle name="40% - Accent4 11 2 3 2 3" xfId="13071" xr:uid="{00000000-0005-0000-0000-0000E13F0000}"/>
    <cellStyle name="40% - Accent4 11 2 3 2 3 2" xfId="36920" xr:uid="{CE45D98A-B594-47BB-8671-A50443A94E3B}"/>
    <cellStyle name="40% - Accent4 11 2 3 2 4" xfId="21026" xr:uid="{00000000-0005-0000-0000-0000E23F0000}"/>
    <cellStyle name="40% - Accent4 11 2 3 2 4 2" xfId="44858" xr:uid="{8EDF2164-4B0A-4AA5-B11E-870A9029631C}"/>
    <cellStyle name="40% - Accent4 11 2 3 2 5" xfId="28979" xr:uid="{C7D09500-AEFE-4A06-B1CB-97B14395E2E4}"/>
    <cellStyle name="40% - Accent4 11 2 3 3" xfId="6879" xr:uid="{00000000-0005-0000-0000-0000E33F0000}"/>
    <cellStyle name="40% - Accent4 11 2 3 3 2" xfId="14851" xr:uid="{00000000-0005-0000-0000-0000E43F0000}"/>
    <cellStyle name="40% - Accent4 11 2 3 3 2 2" xfId="38693" xr:uid="{C839CDC2-2391-47E5-8A18-304E5322A870}"/>
    <cellStyle name="40% - Accent4 11 2 3 3 3" xfId="22798" xr:uid="{00000000-0005-0000-0000-0000E53F0000}"/>
    <cellStyle name="40% - Accent4 11 2 3 3 3 2" xfId="46630" xr:uid="{5332BAB9-1047-4AA8-9FB4-19305EA168D0}"/>
    <cellStyle name="40% - Accent4 11 2 3 3 4" xfId="30752" xr:uid="{0BE6663A-5737-4B82-9903-E514C3156587}"/>
    <cellStyle name="40% - Accent4 11 2 3 4" xfId="11315" xr:uid="{00000000-0005-0000-0000-0000E63F0000}"/>
    <cellStyle name="40% - Accent4 11 2 3 4 2" xfId="35164" xr:uid="{01C344DC-9926-413D-82DB-4DEAFBC99CF7}"/>
    <cellStyle name="40% - Accent4 11 2 3 5" xfId="19270" xr:uid="{00000000-0005-0000-0000-0000E73F0000}"/>
    <cellStyle name="40% - Accent4 11 2 3 5 2" xfId="43102" xr:uid="{40BBF65D-FCD2-4597-9226-238DC0B81A5D}"/>
    <cellStyle name="40% - Accent4 11 2 3 6" xfId="27222" xr:uid="{0FD422C7-766A-46E4-8615-28889F260C3F}"/>
    <cellStyle name="40% - Accent4 11 2 3_Exh G" xfId="3069" xr:uid="{00000000-0005-0000-0000-0000E83F0000}"/>
    <cellStyle name="40% - Accent4 11 2 4" xfId="4168" xr:uid="{00000000-0005-0000-0000-0000E93F0000}"/>
    <cellStyle name="40% - Accent4 11 2 4 2" xfId="7760" xr:uid="{00000000-0005-0000-0000-0000EA3F0000}"/>
    <cellStyle name="40% - Accent4 11 2 4 2 2" xfId="15731" xr:uid="{00000000-0005-0000-0000-0000EB3F0000}"/>
    <cellStyle name="40% - Accent4 11 2 4 2 2 2" xfId="39573" xr:uid="{EACAE2A8-A8BC-432C-A1AA-0CA379ECCAAD}"/>
    <cellStyle name="40% - Accent4 11 2 4 2 3" xfId="23677" xr:uid="{00000000-0005-0000-0000-0000EC3F0000}"/>
    <cellStyle name="40% - Accent4 11 2 4 2 3 2" xfId="47509" xr:uid="{6B13DC09-8B7E-4F6A-9C6C-A3D1E0988E56}"/>
    <cellStyle name="40% - Accent4 11 2 4 2 4" xfId="31632" xr:uid="{5AF479C0-D395-4828-B50E-927AA68A9D2A}"/>
    <cellStyle name="40% - Accent4 11 2 4 3" xfId="12193" xr:uid="{00000000-0005-0000-0000-0000ED3F0000}"/>
    <cellStyle name="40% - Accent4 11 2 4 3 2" xfId="36042" xr:uid="{7D6B6FBE-A06E-473D-809B-F8770C8E7277}"/>
    <cellStyle name="40% - Accent4 11 2 4 4" xfId="20148" xr:uid="{00000000-0005-0000-0000-0000EE3F0000}"/>
    <cellStyle name="40% - Accent4 11 2 4 4 2" xfId="43980" xr:uid="{A2D3B30E-E3F7-4B09-BED6-6544AD9351CF}"/>
    <cellStyle name="40% - Accent4 11 2 4 5" xfId="28101" xr:uid="{E3962A42-73F6-4C0A-8EDB-EAB44E0F895C}"/>
    <cellStyle name="40% - Accent4 11 2 5" xfId="5988" xr:uid="{00000000-0005-0000-0000-0000EF3F0000}"/>
    <cellStyle name="40% - Accent4 11 2 5 2" xfId="13972" xr:uid="{00000000-0005-0000-0000-0000F03F0000}"/>
    <cellStyle name="40% - Accent4 11 2 5 2 2" xfId="37815" xr:uid="{08240CA3-2E32-42FA-B6F9-CD3D25978522}"/>
    <cellStyle name="40% - Accent4 11 2 5 3" xfId="21920" xr:uid="{00000000-0005-0000-0000-0000F13F0000}"/>
    <cellStyle name="40% - Accent4 11 2 5 3 2" xfId="45752" xr:uid="{FE895800-D819-4934-9DFE-F076BAA8EE05}"/>
    <cellStyle name="40% - Accent4 11 2 5 4" xfId="29874" xr:uid="{4BD5EBDD-9DDE-40B2-A5E3-C59D2FE44FE9}"/>
    <cellStyle name="40% - Accent4 11 2 6" xfId="9541" xr:uid="{00000000-0005-0000-0000-0000F23F0000}"/>
    <cellStyle name="40% - Accent4 11 2 6 2" xfId="17499" xr:uid="{00000000-0005-0000-0000-0000F33F0000}"/>
    <cellStyle name="40% - Accent4 11 2 6 2 2" xfId="41339" xr:uid="{A4BA58E8-1C2E-4690-91DF-ECB1D12522F7}"/>
    <cellStyle name="40% - Accent4 11 2 6 3" xfId="25443" xr:uid="{00000000-0005-0000-0000-0000F43F0000}"/>
    <cellStyle name="40% - Accent4 11 2 6 3 2" xfId="49275" xr:uid="{0729038B-74B6-4204-A7B6-DDCD1F68E35B}"/>
    <cellStyle name="40% - Accent4 11 2 6 4" xfId="33398" xr:uid="{38AA1799-0780-4058-B15F-2B8594C9A9FD}"/>
    <cellStyle name="40% - Accent4 11 2 7" xfId="10437" xr:uid="{00000000-0005-0000-0000-0000F53F0000}"/>
    <cellStyle name="40% - Accent4 11 2 7 2" xfId="34286" xr:uid="{3F643D3D-A68E-476F-ACB5-D2AEA39F48BF}"/>
    <cellStyle name="40% - Accent4 11 2 8" xfId="18392" xr:uid="{00000000-0005-0000-0000-0000F63F0000}"/>
    <cellStyle name="40% - Accent4 11 2 8 2" xfId="42224" xr:uid="{221305C9-1874-421C-A322-436AD6E2064D}"/>
    <cellStyle name="40% - Accent4 11 2 9" xfId="26344" xr:uid="{918A3D8A-7D30-4C7D-ABEF-49DA6E324648}"/>
    <cellStyle name="40% - Accent4 11 2_Exh G" xfId="3066" xr:uid="{00000000-0005-0000-0000-0000F73F0000}"/>
    <cellStyle name="40% - Accent4 11 3" xfId="491" xr:uid="{00000000-0005-0000-0000-0000F83F0000}"/>
    <cellStyle name="40% - Accent4 11 3 2" xfId="1519" xr:uid="{00000000-0005-0000-0000-0000F93F0000}"/>
    <cellStyle name="40% - Accent4 11 3 2 2" xfId="5049" xr:uid="{00000000-0005-0000-0000-0000FA3F0000}"/>
    <cellStyle name="40% - Accent4 11 3 2 2 2" xfId="8640" xr:uid="{00000000-0005-0000-0000-0000FB3F0000}"/>
    <cellStyle name="40% - Accent4 11 3 2 2 2 2" xfId="16611" xr:uid="{00000000-0005-0000-0000-0000FC3F0000}"/>
    <cellStyle name="40% - Accent4 11 3 2 2 2 2 2" xfId="40453" xr:uid="{91444C0F-996E-4910-A907-6DF0FB013977}"/>
    <cellStyle name="40% - Accent4 11 3 2 2 2 3" xfId="24557" xr:uid="{00000000-0005-0000-0000-0000FD3F0000}"/>
    <cellStyle name="40% - Accent4 11 3 2 2 2 3 2" xfId="48389" xr:uid="{83971264-9CA3-4406-901E-E9D57E2B98BA}"/>
    <cellStyle name="40% - Accent4 11 3 2 2 2 4" xfId="32512" xr:uid="{14191647-8680-4340-83E1-497C4BA52509}"/>
    <cellStyle name="40% - Accent4 11 3 2 2 3" xfId="13073" xr:uid="{00000000-0005-0000-0000-0000FE3F0000}"/>
    <cellStyle name="40% - Accent4 11 3 2 2 3 2" xfId="36922" xr:uid="{E4025B7F-53FC-4876-ACD6-A8B8F45F3E86}"/>
    <cellStyle name="40% - Accent4 11 3 2 2 4" xfId="21028" xr:uid="{00000000-0005-0000-0000-0000FF3F0000}"/>
    <cellStyle name="40% - Accent4 11 3 2 2 4 2" xfId="44860" xr:uid="{6848569F-3190-4F9B-A018-5B3E8F85C10F}"/>
    <cellStyle name="40% - Accent4 11 3 2 2 5" xfId="28981" xr:uid="{BBB96641-12A4-4F5F-99EC-E42AAD797863}"/>
    <cellStyle name="40% - Accent4 11 3 2 3" xfId="6881" xr:uid="{00000000-0005-0000-0000-000000400000}"/>
    <cellStyle name="40% - Accent4 11 3 2 3 2" xfId="14853" xr:uid="{00000000-0005-0000-0000-000001400000}"/>
    <cellStyle name="40% - Accent4 11 3 2 3 2 2" xfId="38695" xr:uid="{140D9D98-DDB1-4D95-BF46-1CF78F3D881D}"/>
    <cellStyle name="40% - Accent4 11 3 2 3 3" xfId="22800" xr:uid="{00000000-0005-0000-0000-000002400000}"/>
    <cellStyle name="40% - Accent4 11 3 2 3 3 2" xfId="46632" xr:uid="{6C0A0369-5FAC-423E-A074-45A2A1744282}"/>
    <cellStyle name="40% - Accent4 11 3 2 3 4" xfId="30754" xr:uid="{9AD0B369-590E-41E1-BA84-7C5BBBB4109B}"/>
    <cellStyle name="40% - Accent4 11 3 2 4" xfId="11317" xr:uid="{00000000-0005-0000-0000-000003400000}"/>
    <cellStyle name="40% - Accent4 11 3 2 4 2" xfId="35166" xr:uid="{1E749B1C-B2B9-4E9D-BB7A-19146E2CF9D9}"/>
    <cellStyle name="40% - Accent4 11 3 2 5" xfId="19272" xr:uid="{00000000-0005-0000-0000-000004400000}"/>
    <cellStyle name="40% - Accent4 11 3 2 5 2" xfId="43104" xr:uid="{389DAAA6-C526-438D-80AE-99EFD706F494}"/>
    <cellStyle name="40% - Accent4 11 3 2 6" xfId="27224" xr:uid="{8DBA957B-453B-460C-BE99-6D8F3B9E64FF}"/>
    <cellStyle name="40% - Accent4 11 3 2_Exh G" xfId="3071" xr:uid="{00000000-0005-0000-0000-000005400000}"/>
    <cellStyle name="40% - Accent4 11 3 3" xfId="4170" xr:uid="{00000000-0005-0000-0000-000006400000}"/>
    <cellStyle name="40% - Accent4 11 3 3 2" xfId="7762" xr:uid="{00000000-0005-0000-0000-000007400000}"/>
    <cellStyle name="40% - Accent4 11 3 3 2 2" xfId="15733" xr:uid="{00000000-0005-0000-0000-000008400000}"/>
    <cellStyle name="40% - Accent4 11 3 3 2 2 2" xfId="39575" xr:uid="{DAB3FC39-D169-4DDC-B2ED-136C50A39754}"/>
    <cellStyle name="40% - Accent4 11 3 3 2 3" xfId="23679" xr:uid="{00000000-0005-0000-0000-000009400000}"/>
    <cellStyle name="40% - Accent4 11 3 3 2 3 2" xfId="47511" xr:uid="{590D8A6B-DC3D-47A0-80BD-04B453C55D9D}"/>
    <cellStyle name="40% - Accent4 11 3 3 2 4" xfId="31634" xr:uid="{C96FC957-50A6-44EE-8CF1-4A56AF5699F0}"/>
    <cellStyle name="40% - Accent4 11 3 3 3" xfId="12195" xr:uid="{00000000-0005-0000-0000-00000A400000}"/>
    <cellStyle name="40% - Accent4 11 3 3 3 2" xfId="36044" xr:uid="{9372C229-F191-4D2B-ACAC-FDDD336C2C38}"/>
    <cellStyle name="40% - Accent4 11 3 3 4" xfId="20150" xr:uid="{00000000-0005-0000-0000-00000B400000}"/>
    <cellStyle name="40% - Accent4 11 3 3 4 2" xfId="43982" xr:uid="{5A353C31-4F05-4FD2-9318-80674F58A7CB}"/>
    <cellStyle name="40% - Accent4 11 3 3 5" xfId="28103" xr:uid="{D5104189-CFEA-45BD-8FBD-AF6C2DB37F93}"/>
    <cellStyle name="40% - Accent4 11 3 4" xfId="5990" xr:uid="{00000000-0005-0000-0000-00000C400000}"/>
    <cellStyle name="40% - Accent4 11 3 4 2" xfId="13974" xr:uid="{00000000-0005-0000-0000-00000D400000}"/>
    <cellStyle name="40% - Accent4 11 3 4 2 2" xfId="37817" xr:uid="{16EE97EF-66F2-4472-8138-8AA75321C809}"/>
    <cellStyle name="40% - Accent4 11 3 4 3" xfId="21922" xr:uid="{00000000-0005-0000-0000-00000E400000}"/>
    <cellStyle name="40% - Accent4 11 3 4 3 2" xfId="45754" xr:uid="{4904B9CE-F534-43F9-942A-687328679B79}"/>
    <cellStyle name="40% - Accent4 11 3 4 4" xfId="29876" xr:uid="{462A0127-2DAC-4538-A146-808E56B09E23}"/>
    <cellStyle name="40% - Accent4 11 3 5" xfId="9543" xr:uid="{00000000-0005-0000-0000-00000F400000}"/>
    <cellStyle name="40% - Accent4 11 3 5 2" xfId="17501" xr:uid="{00000000-0005-0000-0000-000010400000}"/>
    <cellStyle name="40% - Accent4 11 3 5 2 2" xfId="41341" xr:uid="{050BA098-5C51-42A9-9A67-DA86D9B5798D}"/>
    <cellStyle name="40% - Accent4 11 3 5 3" xfId="25445" xr:uid="{00000000-0005-0000-0000-000011400000}"/>
    <cellStyle name="40% - Accent4 11 3 5 3 2" xfId="49277" xr:uid="{97CE6771-781C-44B2-B9CC-36400067BC08}"/>
    <cellStyle name="40% - Accent4 11 3 5 4" xfId="33400" xr:uid="{268C679A-0168-4580-AB7F-C279C5717451}"/>
    <cellStyle name="40% - Accent4 11 3 6" xfId="10439" xr:uid="{00000000-0005-0000-0000-000012400000}"/>
    <cellStyle name="40% - Accent4 11 3 6 2" xfId="34288" xr:uid="{6EC5141D-A970-48E3-8DE0-C04BA9FD595C}"/>
    <cellStyle name="40% - Accent4 11 3 7" xfId="18394" xr:uid="{00000000-0005-0000-0000-000013400000}"/>
    <cellStyle name="40% - Accent4 11 3 7 2" xfId="42226" xr:uid="{2A367B9B-4D3A-4D55-859C-43261B12A646}"/>
    <cellStyle name="40% - Accent4 11 3 8" xfId="26346" xr:uid="{8B619FBC-1EC9-4F61-9A1F-12EFEED05FAE}"/>
    <cellStyle name="40% - Accent4 11 3_Exh G" xfId="3070" xr:uid="{00000000-0005-0000-0000-000014400000}"/>
    <cellStyle name="40% - Accent4 11 4" xfId="1516" xr:uid="{00000000-0005-0000-0000-000015400000}"/>
    <cellStyle name="40% - Accent4 11 4 2" xfId="5046" xr:uid="{00000000-0005-0000-0000-000016400000}"/>
    <cellStyle name="40% - Accent4 11 4 2 2" xfId="8637" xr:uid="{00000000-0005-0000-0000-000017400000}"/>
    <cellStyle name="40% - Accent4 11 4 2 2 2" xfId="16608" xr:uid="{00000000-0005-0000-0000-000018400000}"/>
    <cellStyle name="40% - Accent4 11 4 2 2 2 2" xfId="40450" xr:uid="{50C41173-E2CD-4DD4-8A7F-3855553779E8}"/>
    <cellStyle name="40% - Accent4 11 4 2 2 3" xfId="24554" xr:uid="{00000000-0005-0000-0000-000019400000}"/>
    <cellStyle name="40% - Accent4 11 4 2 2 3 2" xfId="48386" xr:uid="{51E6511F-BBCD-4347-B8BE-09B132774AC6}"/>
    <cellStyle name="40% - Accent4 11 4 2 2 4" xfId="32509" xr:uid="{6518BF76-95B9-42E7-AD12-65BE14A3594F}"/>
    <cellStyle name="40% - Accent4 11 4 2 3" xfId="13070" xr:uid="{00000000-0005-0000-0000-00001A400000}"/>
    <cellStyle name="40% - Accent4 11 4 2 3 2" xfId="36919" xr:uid="{BB9E8AF8-6484-466E-BDB0-8179B71BDAF5}"/>
    <cellStyle name="40% - Accent4 11 4 2 4" xfId="21025" xr:uid="{00000000-0005-0000-0000-00001B400000}"/>
    <cellStyle name="40% - Accent4 11 4 2 4 2" xfId="44857" xr:uid="{44837C38-717F-4A2B-9F3E-02C8C9D4293B}"/>
    <cellStyle name="40% - Accent4 11 4 2 5" xfId="28978" xr:uid="{8A7A36E7-8E49-4DA7-BE36-67C5023DE696}"/>
    <cellStyle name="40% - Accent4 11 4 3" xfId="6878" xr:uid="{00000000-0005-0000-0000-00001C400000}"/>
    <cellStyle name="40% - Accent4 11 4 3 2" xfId="14850" xr:uid="{00000000-0005-0000-0000-00001D400000}"/>
    <cellStyle name="40% - Accent4 11 4 3 2 2" xfId="38692" xr:uid="{8F0C1674-EC63-4C9A-B9FF-FAC7E03D0ED4}"/>
    <cellStyle name="40% - Accent4 11 4 3 3" xfId="22797" xr:uid="{00000000-0005-0000-0000-00001E400000}"/>
    <cellStyle name="40% - Accent4 11 4 3 3 2" xfId="46629" xr:uid="{05406EAE-DFD4-480C-AE07-15F7CF002F91}"/>
    <cellStyle name="40% - Accent4 11 4 3 4" xfId="30751" xr:uid="{018FDE6A-0BEB-409A-93C9-4DC7B3F8EA57}"/>
    <cellStyle name="40% - Accent4 11 4 4" xfId="11314" xr:uid="{00000000-0005-0000-0000-00001F400000}"/>
    <cellStyle name="40% - Accent4 11 4 4 2" xfId="35163" xr:uid="{D920E4DD-8BEF-4703-A9C8-5FBFBCCF9DF3}"/>
    <cellStyle name="40% - Accent4 11 4 5" xfId="19269" xr:uid="{00000000-0005-0000-0000-000020400000}"/>
    <cellStyle name="40% - Accent4 11 4 5 2" xfId="43101" xr:uid="{11A16259-BB29-4E64-8493-650D4AA51738}"/>
    <cellStyle name="40% - Accent4 11 4 6" xfId="27221" xr:uid="{AC6D32FC-177F-4130-BB03-A316D90A6258}"/>
    <cellStyle name="40% - Accent4 11 4_Exh G" xfId="3072" xr:uid="{00000000-0005-0000-0000-000021400000}"/>
    <cellStyle name="40% - Accent4 11 5" xfId="4167" xr:uid="{00000000-0005-0000-0000-000022400000}"/>
    <cellStyle name="40% - Accent4 11 5 2" xfId="7759" xr:uid="{00000000-0005-0000-0000-000023400000}"/>
    <cellStyle name="40% - Accent4 11 5 2 2" xfId="15730" xr:uid="{00000000-0005-0000-0000-000024400000}"/>
    <cellStyle name="40% - Accent4 11 5 2 2 2" xfId="39572" xr:uid="{80C38B93-B368-4336-8307-D3782F2B2320}"/>
    <cellStyle name="40% - Accent4 11 5 2 3" xfId="23676" xr:uid="{00000000-0005-0000-0000-000025400000}"/>
    <cellStyle name="40% - Accent4 11 5 2 3 2" xfId="47508" xr:uid="{04391034-4A42-40C2-9109-6632E092C4CF}"/>
    <cellStyle name="40% - Accent4 11 5 2 4" xfId="31631" xr:uid="{7741383F-CC3D-4AD6-B227-BD82F5F01E6B}"/>
    <cellStyle name="40% - Accent4 11 5 3" xfId="12192" xr:uid="{00000000-0005-0000-0000-000026400000}"/>
    <cellStyle name="40% - Accent4 11 5 3 2" xfId="36041" xr:uid="{449382DB-2264-4B4D-8057-196194D68CF9}"/>
    <cellStyle name="40% - Accent4 11 5 4" xfId="20147" xr:uid="{00000000-0005-0000-0000-000027400000}"/>
    <cellStyle name="40% - Accent4 11 5 4 2" xfId="43979" xr:uid="{893645AE-7D3C-4B10-AD0F-F7EE27D62C4B}"/>
    <cellStyle name="40% - Accent4 11 5 5" xfId="28100" xr:uid="{8C5FFA87-7485-41C8-A7AC-DD8BC32E73B0}"/>
    <cellStyle name="40% - Accent4 11 6" xfId="5987" xr:uid="{00000000-0005-0000-0000-000028400000}"/>
    <cellStyle name="40% - Accent4 11 6 2" xfId="13971" xr:uid="{00000000-0005-0000-0000-000029400000}"/>
    <cellStyle name="40% - Accent4 11 6 2 2" xfId="37814" xr:uid="{98CF3C51-A864-448F-AB3B-31DA48C45E24}"/>
    <cellStyle name="40% - Accent4 11 6 3" xfId="21919" xr:uid="{00000000-0005-0000-0000-00002A400000}"/>
    <cellStyle name="40% - Accent4 11 6 3 2" xfId="45751" xr:uid="{6D832CDF-55A1-40B7-A50B-B61036C63911}"/>
    <cellStyle name="40% - Accent4 11 6 4" xfId="29873" xr:uid="{6E1046C7-7630-4944-AF16-8E62CA9931FA}"/>
    <cellStyle name="40% - Accent4 11 7" xfId="9540" xr:uid="{00000000-0005-0000-0000-00002B400000}"/>
    <cellStyle name="40% - Accent4 11 7 2" xfId="17498" xr:uid="{00000000-0005-0000-0000-00002C400000}"/>
    <cellStyle name="40% - Accent4 11 7 2 2" xfId="41338" xr:uid="{391E8F74-62E6-4785-90CD-AF6020F4027A}"/>
    <cellStyle name="40% - Accent4 11 7 3" xfId="25442" xr:uid="{00000000-0005-0000-0000-00002D400000}"/>
    <cellStyle name="40% - Accent4 11 7 3 2" xfId="49274" xr:uid="{2AE4BFCE-2740-444D-AB9B-A0630EA8AAD9}"/>
    <cellStyle name="40% - Accent4 11 7 4" xfId="33397" xr:uid="{BCFFE88B-A343-407F-B2FF-DCFC7FFB228C}"/>
    <cellStyle name="40% - Accent4 11 8" xfId="10436" xr:uid="{00000000-0005-0000-0000-00002E400000}"/>
    <cellStyle name="40% - Accent4 11 8 2" xfId="34285" xr:uid="{7F8A4EF4-5776-4F52-B187-4A054F193228}"/>
    <cellStyle name="40% - Accent4 11 9" xfId="18391" xr:uid="{00000000-0005-0000-0000-00002F400000}"/>
    <cellStyle name="40% - Accent4 11 9 2" xfId="42223" xr:uid="{F17EA48B-A385-474E-9260-73E95839E161}"/>
    <cellStyle name="40% - Accent4 11_Exh G" xfId="3065" xr:uid="{00000000-0005-0000-0000-000030400000}"/>
    <cellStyle name="40% - Accent4 12" xfId="492" xr:uid="{00000000-0005-0000-0000-000031400000}"/>
    <cellStyle name="40% - Accent4 12 10" xfId="26347" xr:uid="{80D4225A-8ADE-4D7F-A9AF-C69435B279A7}"/>
    <cellStyle name="40% - Accent4 12 2" xfId="493" xr:uid="{00000000-0005-0000-0000-000032400000}"/>
    <cellStyle name="40% - Accent4 12 2 2" xfId="494" xr:uid="{00000000-0005-0000-0000-000033400000}"/>
    <cellStyle name="40% - Accent4 12 2 2 2" xfId="1522" xr:uid="{00000000-0005-0000-0000-000034400000}"/>
    <cellStyle name="40% - Accent4 12 2 2 2 2" xfId="5052" xr:uid="{00000000-0005-0000-0000-000035400000}"/>
    <cellStyle name="40% - Accent4 12 2 2 2 2 2" xfId="8643" xr:uid="{00000000-0005-0000-0000-000036400000}"/>
    <cellStyle name="40% - Accent4 12 2 2 2 2 2 2" xfId="16614" xr:uid="{00000000-0005-0000-0000-000037400000}"/>
    <cellStyle name="40% - Accent4 12 2 2 2 2 2 2 2" xfId="40456" xr:uid="{86809E0D-CB21-4BC8-87AD-95048A11FE02}"/>
    <cellStyle name="40% - Accent4 12 2 2 2 2 2 3" xfId="24560" xr:uid="{00000000-0005-0000-0000-000038400000}"/>
    <cellStyle name="40% - Accent4 12 2 2 2 2 2 3 2" xfId="48392" xr:uid="{A54757EC-8867-4912-B870-A8FE73C8FD9E}"/>
    <cellStyle name="40% - Accent4 12 2 2 2 2 2 4" xfId="32515" xr:uid="{A2A08A6F-6EAC-47DE-9AD2-2A64A025CC93}"/>
    <cellStyle name="40% - Accent4 12 2 2 2 2 3" xfId="13076" xr:uid="{00000000-0005-0000-0000-000039400000}"/>
    <cellStyle name="40% - Accent4 12 2 2 2 2 3 2" xfId="36925" xr:uid="{E04C7B1A-68A0-40D5-855B-C226C7835360}"/>
    <cellStyle name="40% - Accent4 12 2 2 2 2 4" xfId="21031" xr:uid="{00000000-0005-0000-0000-00003A400000}"/>
    <cellStyle name="40% - Accent4 12 2 2 2 2 4 2" xfId="44863" xr:uid="{5CACB679-7AB4-4155-BDD9-E11D734B742D}"/>
    <cellStyle name="40% - Accent4 12 2 2 2 2 5" xfId="28984" xr:uid="{155C97F6-6344-4387-853A-2C37C0CD1773}"/>
    <cellStyle name="40% - Accent4 12 2 2 2 3" xfId="6884" xr:uid="{00000000-0005-0000-0000-00003B400000}"/>
    <cellStyle name="40% - Accent4 12 2 2 2 3 2" xfId="14856" xr:uid="{00000000-0005-0000-0000-00003C400000}"/>
    <cellStyle name="40% - Accent4 12 2 2 2 3 2 2" xfId="38698" xr:uid="{ACDB26F2-47F9-4331-8A53-D2043C98B482}"/>
    <cellStyle name="40% - Accent4 12 2 2 2 3 3" xfId="22803" xr:uid="{00000000-0005-0000-0000-00003D400000}"/>
    <cellStyle name="40% - Accent4 12 2 2 2 3 3 2" xfId="46635" xr:uid="{9E23BF26-E700-4868-97E8-47CFDCBD75A9}"/>
    <cellStyle name="40% - Accent4 12 2 2 2 3 4" xfId="30757" xr:uid="{BAD62AED-2694-4B45-B09D-166CE650CE42}"/>
    <cellStyle name="40% - Accent4 12 2 2 2 4" xfId="11320" xr:uid="{00000000-0005-0000-0000-00003E400000}"/>
    <cellStyle name="40% - Accent4 12 2 2 2 4 2" xfId="35169" xr:uid="{C2B4C320-872C-469F-8927-5F4E13F35458}"/>
    <cellStyle name="40% - Accent4 12 2 2 2 5" xfId="19275" xr:uid="{00000000-0005-0000-0000-00003F400000}"/>
    <cellStyle name="40% - Accent4 12 2 2 2 5 2" xfId="43107" xr:uid="{E030B505-01F1-4E83-B3F7-C10E407485E2}"/>
    <cellStyle name="40% - Accent4 12 2 2 2 6" xfId="27227" xr:uid="{0590889B-9756-4DF0-B6D4-16755695DC08}"/>
    <cellStyle name="40% - Accent4 12 2 2 2_Exh G" xfId="3076" xr:uid="{00000000-0005-0000-0000-000040400000}"/>
    <cellStyle name="40% - Accent4 12 2 2 3" xfId="4173" xr:uid="{00000000-0005-0000-0000-000041400000}"/>
    <cellStyle name="40% - Accent4 12 2 2 3 2" xfId="7765" xr:uid="{00000000-0005-0000-0000-000042400000}"/>
    <cellStyle name="40% - Accent4 12 2 2 3 2 2" xfId="15736" xr:uid="{00000000-0005-0000-0000-000043400000}"/>
    <cellStyle name="40% - Accent4 12 2 2 3 2 2 2" xfId="39578" xr:uid="{776C48B6-03C4-4A82-8D9D-8D3DF04851AF}"/>
    <cellStyle name="40% - Accent4 12 2 2 3 2 3" xfId="23682" xr:uid="{00000000-0005-0000-0000-000044400000}"/>
    <cellStyle name="40% - Accent4 12 2 2 3 2 3 2" xfId="47514" xr:uid="{34CA7A9A-0900-434D-B10D-974687E2FD5D}"/>
    <cellStyle name="40% - Accent4 12 2 2 3 2 4" xfId="31637" xr:uid="{3386099E-5A30-40A8-8A6F-14FD85332B83}"/>
    <cellStyle name="40% - Accent4 12 2 2 3 3" xfId="12198" xr:uid="{00000000-0005-0000-0000-000045400000}"/>
    <cellStyle name="40% - Accent4 12 2 2 3 3 2" xfId="36047" xr:uid="{87BD1D91-D3A4-4453-A159-9D5E8CD0EB61}"/>
    <cellStyle name="40% - Accent4 12 2 2 3 4" xfId="20153" xr:uid="{00000000-0005-0000-0000-000046400000}"/>
    <cellStyle name="40% - Accent4 12 2 2 3 4 2" xfId="43985" xr:uid="{C66A52B9-76E4-40C4-B052-95F2BA18167C}"/>
    <cellStyle name="40% - Accent4 12 2 2 3 5" xfId="28106" xr:uid="{B1E5E0AA-D67C-4C9F-A01A-1A3E2ECE10E8}"/>
    <cellStyle name="40% - Accent4 12 2 2 4" xfId="5993" xr:uid="{00000000-0005-0000-0000-000047400000}"/>
    <cellStyle name="40% - Accent4 12 2 2 4 2" xfId="13977" xr:uid="{00000000-0005-0000-0000-000048400000}"/>
    <cellStyle name="40% - Accent4 12 2 2 4 2 2" xfId="37820" xr:uid="{AABF351D-33FC-43E2-B69F-690A39A5D162}"/>
    <cellStyle name="40% - Accent4 12 2 2 4 3" xfId="21925" xr:uid="{00000000-0005-0000-0000-000049400000}"/>
    <cellStyle name="40% - Accent4 12 2 2 4 3 2" xfId="45757" xr:uid="{2980AA5D-2548-4E7C-89DE-4103297AE5F4}"/>
    <cellStyle name="40% - Accent4 12 2 2 4 4" xfId="29879" xr:uid="{96F53058-7FDD-45CD-8941-B7099B467536}"/>
    <cellStyle name="40% - Accent4 12 2 2 5" xfId="9546" xr:uid="{00000000-0005-0000-0000-00004A400000}"/>
    <cellStyle name="40% - Accent4 12 2 2 5 2" xfId="17504" xr:uid="{00000000-0005-0000-0000-00004B400000}"/>
    <cellStyle name="40% - Accent4 12 2 2 5 2 2" xfId="41344" xr:uid="{76A8CDE3-A46D-4BDA-B67E-EE75A3167CE5}"/>
    <cellStyle name="40% - Accent4 12 2 2 5 3" xfId="25448" xr:uid="{00000000-0005-0000-0000-00004C400000}"/>
    <cellStyle name="40% - Accent4 12 2 2 5 3 2" xfId="49280" xr:uid="{EE73085C-3996-4D62-9614-4BC44FAC9A26}"/>
    <cellStyle name="40% - Accent4 12 2 2 5 4" xfId="33403" xr:uid="{CB0F5781-EBA4-44B6-9F1D-A9EFAF5C506F}"/>
    <cellStyle name="40% - Accent4 12 2 2 6" xfId="10442" xr:uid="{00000000-0005-0000-0000-00004D400000}"/>
    <cellStyle name="40% - Accent4 12 2 2 6 2" xfId="34291" xr:uid="{F9EC0A44-1EB4-4F99-9EAE-D3C229DB3A65}"/>
    <cellStyle name="40% - Accent4 12 2 2 7" xfId="18397" xr:uid="{00000000-0005-0000-0000-00004E400000}"/>
    <cellStyle name="40% - Accent4 12 2 2 7 2" xfId="42229" xr:uid="{71255634-F0DC-4F94-8884-15394E060E1F}"/>
    <cellStyle name="40% - Accent4 12 2 2 8" xfId="26349" xr:uid="{B88F9CBC-565B-44F5-8F60-B49AF7B5D7CC}"/>
    <cellStyle name="40% - Accent4 12 2 2_Exh G" xfId="3075" xr:uid="{00000000-0005-0000-0000-00004F400000}"/>
    <cellStyle name="40% - Accent4 12 2 3" xfId="1521" xr:uid="{00000000-0005-0000-0000-000050400000}"/>
    <cellStyle name="40% - Accent4 12 2 3 2" xfId="5051" xr:uid="{00000000-0005-0000-0000-000051400000}"/>
    <cellStyle name="40% - Accent4 12 2 3 2 2" xfId="8642" xr:uid="{00000000-0005-0000-0000-000052400000}"/>
    <cellStyle name="40% - Accent4 12 2 3 2 2 2" xfId="16613" xr:uid="{00000000-0005-0000-0000-000053400000}"/>
    <cellStyle name="40% - Accent4 12 2 3 2 2 2 2" xfId="40455" xr:uid="{886CBEC4-8F0C-490D-890E-0B9CD4AD74A8}"/>
    <cellStyle name="40% - Accent4 12 2 3 2 2 3" xfId="24559" xr:uid="{00000000-0005-0000-0000-000054400000}"/>
    <cellStyle name="40% - Accent4 12 2 3 2 2 3 2" xfId="48391" xr:uid="{3904D2B0-FD85-4255-8975-F1578895E2A3}"/>
    <cellStyle name="40% - Accent4 12 2 3 2 2 4" xfId="32514" xr:uid="{36B072D3-5C61-4197-B5E2-3171915076A4}"/>
    <cellStyle name="40% - Accent4 12 2 3 2 3" xfId="13075" xr:uid="{00000000-0005-0000-0000-000055400000}"/>
    <cellStyle name="40% - Accent4 12 2 3 2 3 2" xfId="36924" xr:uid="{FDED0D39-EC37-4A44-8875-A8C144040F19}"/>
    <cellStyle name="40% - Accent4 12 2 3 2 4" xfId="21030" xr:uid="{00000000-0005-0000-0000-000056400000}"/>
    <cellStyle name="40% - Accent4 12 2 3 2 4 2" xfId="44862" xr:uid="{989A3E1D-66F9-4772-86A1-471BEA96EEF5}"/>
    <cellStyle name="40% - Accent4 12 2 3 2 5" xfId="28983" xr:uid="{8004D7C4-8B99-45C3-AD37-EB86B7C689A3}"/>
    <cellStyle name="40% - Accent4 12 2 3 3" xfId="6883" xr:uid="{00000000-0005-0000-0000-000057400000}"/>
    <cellStyle name="40% - Accent4 12 2 3 3 2" xfId="14855" xr:uid="{00000000-0005-0000-0000-000058400000}"/>
    <cellStyle name="40% - Accent4 12 2 3 3 2 2" xfId="38697" xr:uid="{1E0F66AE-FD55-4852-90D6-A2793574B5DA}"/>
    <cellStyle name="40% - Accent4 12 2 3 3 3" xfId="22802" xr:uid="{00000000-0005-0000-0000-000059400000}"/>
    <cellStyle name="40% - Accent4 12 2 3 3 3 2" xfId="46634" xr:uid="{F4E3A4A9-B2D3-4567-810B-219558CC3776}"/>
    <cellStyle name="40% - Accent4 12 2 3 3 4" xfId="30756" xr:uid="{4EF1A80B-209C-40DA-8A5E-3D3E1839639B}"/>
    <cellStyle name="40% - Accent4 12 2 3 4" xfId="11319" xr:uid="{00000000-0005-0000-0000-00005A400000}"/>
    <cellStyle name="40% - Accent4 12 2 3 4 2" xfId="35168" xr:uid="{A66D02BD-786D-413B-985E-E81B50A0E81D}"/>
    <cellStyle name="40% - Accent4 12 2 3 5" xfId="19274" xr:uid="{00000000-0005-0000-0000-00005B400000}"/>
    <cellStyle name="40% - Accent4 12 2 3 5 2" xfId="43106" xr:uid="{13A4A293-A93D-40D1-AA19-B71700D55E32}"/>
    <cellStyle name="40% - Accent4 12 2 3 6" xfId="27226" xr:uid="{C6175AB5-5630-4F4D-86BA-EBE7F6E326B8}"/>
    <cellStyle name="40% - Accent4 12 2 3_Exh G" xfId="3077" xr:uid="{00000000-0005-0000-0000-00005C400000}"/>
    <cellStyle name="40% - Accent4 12 2 4" xfId="4172" xr:uid="{00000000-0005-0000-0000-00005D400000}"/>
    <cellStyle name="40% - Accent4 12 2 4 2" xfId="7764" xr:uid="{00000000-0005-0000-0000-00005E400000}"/>
    <cellStyle name="40% - Accent4 12 2 4 2 2" xfId="15735" xr:uid="{00000000-0005-0000-0000-00005F400000}"/>
    <cellStyle name="40% - Accent4 12 2 4 2 2 2" xfId="39577" xr:uid="{F275DCE7-1870-4C02-8F85-92698134888C}"/>
    <cellStyle name="40% - Accent4 12 2 4 2 3" xfId="23681" xr:uid="{00000000-0005-0000-0000-000060400000}"/>
    <cellStyle name="40% - Accent4 12 2 4 2 3 2" xfId="47513" xr:uid="{BC08F7F9-47F9-432F-892F-EDDA863BC42A}"/>
    <cellStyle name="40% - Accent4 12 2 4 2 4" xfId="31636" xr:uid="{9EC0B7FB-0664-4802-AC0A-4CFA6500C27C}"/>
    <cellStyle name="40% - Accent4 12 2 4 3" xfId="12197" xr:uid="{00000000-0005-0000-0000-000061400000}"/>
    <cellStyle name="40% - Accent4 12 2 4 3 2" xfId="36046" xr:uid="{56E0BD27-3D7A-4410-B502-3BD9A36E3ADA}"/>
    <cellStyle name="40% - Accent4 12 2 4 4" xfId="20152" xr:uid="{00000000-0005-0000-0000-000062400000}"/>
    <cellStyle name="40% - Accent4 12 2 4 4 2" xfId="43984" xr:uid="{B037EAD1-45BA-48D2-8B27-256A2C49B046}"/>
    <cellStyle name="40% - Accent4 12 2 4 5" xfId="28105" xr:uid="{2F8BC214-119B-45D5-962D-26171403527D}"/>
    <cellStyle name="40% - Accent4 12 2 5" xfId="5992" xr:uid="{00000000-0005-0000-0000-000063400000}"/>
    <cellStyle name="40% - Accent4 12 2 5 2" xfId="13976" xr:uid="{00000000-0005-0000-0000-000064400000}"/>
    <cellStyle name="40% - Accent4 12 2 5 2 2" xfId="37819" xr:uid="{CCB26F60-45D3-4695-8C43-3B6FF5554044}"/>
    <cellStyle name="40% - Accent4 12 2 5 3" xfId="21924" xr:uid="{00000000-0005-0000-0000-000065400000}"/>
    <cellStyle name="40% - Accent4 12 2 5 3 2" xfId="45756" xr:uid="{D757C051-7912-4FEB-98F8-FFBFFAC105B9}"/>
    <cellStyle name="40% - Accent4 12 2 5 4" xfId="29878" xr:uid="{D23B5797-F8E3-4384-809A-DC996374AEA8}"/>
    <cellStyle name="40% - Accent4 12 2 6" xfId="9545" xr:uid="{00000000-0005-0000-0000-000066400000}"/>
    <cellStyle name="40% - Accent4 12 2 6 2" xfId="17503" xr:uid="{00000000-0005-0000-0000-000067400000}"/>
    <cellStyle name="40% - Accent4 12 2 6 2 2" xfId="41343" xr:uid="{EC67BDF2-A3E0-4EC0-B270-AB0238459F2E}"/>
    <cellStyle name="40% - Accent4 12 2 6 3" xfId="25447" xr:uid="{00000000-0005-0000-0000-000068400000}"/>
    <cellStyle name="40% - Accent4 12 2 6 3 2" xfId="49279" xr:uid="{AB1885BF-015F-40A3-A608-31225B93C8C1}"/>
    <cellStyle name="40% - Accent4 12 2 6 4" xfId="33402" xr:uid="{0138365D-D6B5-4101-890E-2F8BF8376053}"/>
    <cellStyle name="40% - Accent4 12 2 7" xfId="10441" xr:uid="{00000000-0005-0000-0000-000069400000}"/>
    <cellStyle name="40% - Accent4 12 2 7 2" xfId="34290" xr:uid="{4782415B-22A7-4739-8BA2-5CAF2B199935}"/>
    <cellStyle name="40% - Accent4 12 2 8" xfId="18396" xr:uid="{00000000-0005-0000-0000-00006A400000}"/>
    <cellStyle name="40% - Accent4 12 2 8 2" xfId="42228" xr:uid="{3E7D1199-5C04-40D3-8864-E31979503BD0}"/>
    <cellStyle name="40% - Accent4 12 2 9" xfId="26348" xr:uid="{0D525391-1370-49ED-B341-0C9EA6E4B882}"/>
    <cellStyle name="40% - Accent4 12 2_Exh G" xfId="3074" xr:uid="{00000000-0005-0000-0000-00006B400000}"/>
    <cellStyle name="40% - Accent4 12 3" xfId="495" xr:uid="{00000000-0005-0000-0000-00006C400000}"/>
    <cellStyle name="40% - Accent4 12 3 2" xfId="1523" xr:uid="{00000000-0005-0000-0000-00006D400000}"/>
    <cellStyle name="40% - Accent4 12 3 2 2" xfId="5053" xr:uid="{00000000-0005-0000-0000-00006E400000}"/>
    <cellStyle name="40% - Accent4 12 3 2 2 2" xfId="8644" xr:uid="{00000000-0005-0000-0000-00006F400000}"/>
    <cellStyle name="40% - Accent4 12 3 2 2 2 2" xfId="16615" xr:uid="{00000000-0005-0000-0000-000070400000}"/>
    <cellStyle name="40% - Accent4 12 3 2 2 2 2 2" xfId="40457" xr:uid="{D1B28C61-08CC-4BC5-9CFC-FAD9328E758D}"/>
    <cellStyle name="40% - Accent4 12 3 2 2 2 3" xfId="24561" xr:uid="{00000000-0005-0000-0000-000071400000}"/>
    <cellStyle name="40% - Accent4 12 3 2 2 2 3 2" xfId="48393" xr:uid="{D5E0E965-8CB5-458B-9A54-063A02107B53}"/>
    <cellStyle name="40% - Accent4 12 3 2 2 2 4" xfId="32516" xr:uid="{B0FEC80A-680E-44D5-A360-B638E726C5D0}"/>
    <cellStyle name="40% - Accent4 12 3 2 2 3" xfId="13077" xr:uid="{00000000-0005-0000-0000-000072400000}"/>
    <cellStyle name="40% - Accent4 12 3 2 2 3 2" xfId="36926" xr:uid="{AB9760F5-9C44-46BC-ADA7-5FB114E02D9B}"/>
    <cellStyle name="40% - Accent4 12 3 2 2 4" xfId="21032" xr:uid="{00000000-0005-0000-0000-000073400000}"/>
    <cellStyle name="40% - Accent4 12 3 2 2 4 2" xfId="44864" xr:uid="{EFF5905F-2A0D-42F9-8186-F1077551F7D4}"/>
    <cellStyle name="40% - Accent4 12 3 2 2 5" xfId="28985" xr:uid="{A6B43848-79F5-4053-B1F6-3747A49EB877}"/>
    <cellStyle name="40% - Accent4 12 3 2 3" xfId="6885" xr:uid="{00000000-0005-0000-0000-000074400000}"/>
    <cellStyle name="40% - Accent4 12 3 2 3 2" xfId="14857" xr:uid="{00000000-0005-0000-0000-000075400000}"/>
    <cellStyle name="40% - Accent4 12 3 2 3 2 2" xfId="38699" xr:uid="{B4FDFB09-F229-4202-AE32-C203648CA3D3}"/>
    <cellStyle name="40% - Accent4 12 3 2 3 3" xfId="22804" xr:uid="{00000000-0005-0000-0000-000076400000}"/>
    <cellStyle name="40% - Accent4 12 3 2 3 3 2" xfId="46636" xr:uid="{AD32146A-EFF7-44E8-9B7E-80AF63B33C5B}"/>
    <cellStyle name="40% - Accent4 12 3 2 3 4" xfId="30758" xr:uid="{BF68811C-E409-4A73-B9ED-1B2EC4C511DD}"/>
    <cellStyle name="40% - Accent4 12 3 2 4" xfId="11321" xr:uid="{00000000-0005-0000-0000-000077400000}"/>
    <cellStyle name="40% - Accent4 12 3 2 4 2" xfId="35170" xr:uid="{50E93C53-0BD9-4BE3-A235-2235FB8A57EF}"/>
    <cellStyle name="40% - Accent4 12 3 2 5" xfId="19276" xr:uid="{00000000-0005-0000-0000-000078400000}"/>
    <cellStyle name="40% - Accent4 12 3 2 5 2" xfId="43108" xr:uid="{CC9E4917-EC99-4F7B-B14A-CCD1FDBA5254}"/>
    <cellStyle name="40% - Accent4 12 3 2 6" xfId="27228" xr:uid="{A86F78B1-F423-4250-886F-1D77C57ABD6F}"/>
    <cellStyle name="40% - Accent4 12 3 2_Exh G" xfId="3079" xr:uid="{00000000-0005-0000-0000-000079400000}"/>
    <cellStyle name="40% - Accent4 12 3 3" xfId="4174" xr:uid="{00000000-0005-0000-0000-00007A400000}"/>
    <cellStyle name="40% - Accent4 12 3 3 2" xfId="7766" xr:uid="{00000000-0005-0000-0000-00007B400000}"/>
    <cellStyle name="40% - Accent4 12 3 3 2 2" xfId="15737" xr:uid="{00000000-0005-0000-0000-00007C400000}"/>
    <cellStyle name="40% - Accent4 12 3 3 2 2 2" xfId="39579" xr:uid="{5173B856-F2C3-44A0-9483-3BEB69E0B095}"/>
    <cellStyle name="40% - Accent4 12 3 3 2 3" xfId="23683" xr:uid="{00000000-0005-0000-0000-00007D400000}"/>
    <cellStyle name="40% - Accent4 12 3 3 2 3 2" xfId="47515" xr:uid="{835A5FDA-7D94-43F2-9842-A63F173BD1BF}"/>
    <cellStyle name="40% - Accent4 12 3 3 2 4" xfId="31638" xr:uid="{D333BCCB-4F33-4D97-9BAE-2B9265C704FA}"/>
    <cellStyle name="40% - Accent4 12 3 3 3" xfId="12199" xr:uid="{00000000-0005-0000-0000-00007E400000}"/>
    <cellStyle name="40% - Accent4 12 3 3 3 2" xfId="36048" xr:uid="{7C77F689-F2BA-4EC6-A943-0A6815C41693}"/>
    <cellStyle name="40% - Accent4 12 3 3 4" xfId="20154" xr:uid="{00000000-0005-0000-0000-00007F400000}"/>
    <cellStyle name="40% - Accent4 12 3 3 4 2" xfId="43986" xr:uid="{10C25E88-AB38-450A-99D0-B7D6ABBE07FB}"/>
    <cellStyle name="40% - Accent4 12 3 3 5" xfId="28107" xr:uid="{68D85CED-3330-4048-8F75-B85C2FA8BE51}"/>
    <cellStyle name="40% - Accent4 12 3 4" xfId="5994" xr:uid="{00000000-0005-0000-0000-000080400000}"/>
    <cellStyle name="40% - Accent4 12 3 4 2" xfId="13978" xr:uid="{00000000-0005-0000-0000-000081400000}"/>
    <cellStyle name="40% - Accent4 12 3 4 2 2" xfId="37821" xr:uid="{B7FC95FC-2206-4D4B-A066-1D86AD202448}"/>
    <cellStyle name="40% - Accent4 12 3 4 3" xfId="21926" xr:uid="{00000000-0005-0000-0000-000082400000}"/>
    <cellStyle name="40% - Accent4 12 3 4 3 2" xfId="45758" xr:uid="{51280762-53C7-4DF9-AC14-CECA80AE52C1}"/>
    <cellStyle name="40% - Accent4 12 3 4 4" xfId="29880" xr:uid="{E476D846-E6A0-4B02-979D-D25D617E1395}"/>
    <cellStyle name="40% - Accent4 12 3 5" xfId="9547" xr:uid="{00000000-0005-0000-0000-000083400000}"/>
    <cellStyle name="40% - Accent4 12 3 5 2" xfId="17505" xr:uid="{00000000-0005-0000-0000-000084400000}"/>
    <cellStyle name="40% - Accent4 12 3 5 2 2" xfId="41345" xr:uid="{1086D9D0-5B62-4555-8886-ACB3B0B07AF7}"/>
    <cellStyle name="40% - Accent4 12 3 5 3" xfId="25449" xr:uid="{00000000-0005-0000-0000-000085400000}"/>
    <cellStyle name="40% - Accent4 12 3 5 3 2" xfId="49281" xr:uid="{1BABEB2A-950E-4A52-80B5-7D476F24F683}"/>
    <cellStyle name="40% - Accent4 12 3 5 4" xfId="33404" xr:uid="{46DE0169-9537-40F6-9AAF-9386D057283F}"/>
    <cellStyle name="40% - Accent4 12 3 6" xfId="10443" xr:uid="{00000000-0005-0000-0000-000086400000}"/>
    <cellStyle name="40% - Accent4 12 3 6 2" xfId="34292" xr:uid="{00F7F4BB-819C-4B7D-A471-65A958D9DB5B}"/>
    <cellStyle name="40% - Accent4 12 3 7" xfId="18398" xr:uid="{00000000-0005-0000-0000-000087400000}"/>
    <cellStyle name="40% - Accent4 12 3 7 2" xfId="42230" xr:uid="{9BE14422-9507-4FC7-97A4-371247DE2F9E}"/>
    <cellStyle name="40% - Accent4 12 3 8" xfId="26350" xr:uid="{14C2A170-5A11-47B6-A871-F1D049297B94}"/>
    <cellStyle name="40% - Accent4 12 3_Exh G" xfId="3078" xr:uid="{00000000-0005-0000-0000-000088400000}"/>
    <cellStyle name="40% - Accent4 12 4" xfId="1520" xr:uid="{00000000-0005-0000-0000-000089400000}"/>
    <cellStyle name="40% - Accent4 12 4 2" xfId="5050" xr:uid="{00000000-0005-0000-0000-00008A400000}"/>
    <cellStyle name="40% - Accent4 12 4 2 2" xfId="8641" xr:uid="{00000000-0005-0000-0000-00008B400000}"/>
    <cellStyle name="40% - Accent4 12 4 2 2 2" xfId="16612" xr:uid="{00000000-0005-0000-0000-00008C400000}"/>
    <cellStyle name="40% - Accent4 12 4 2 2 2 2" xfId="40454" xr:uid="{9CDF4268-6D85-43B9-9622-9863B196AE2F}"/>
    <cellStyle name="40% - Accent4 12 4 2 2 3" xfId="24558" xr:uid="{00000000-0005-0000-0000-00008D400000}"/>
    <cellStyle name="40% - Accent4 12 4 2 2 3 2" xfId="48390" xr:uid="{80D0BC1D-8212-43E0-ACF1-81E9FB2B0B9E}"/>
    <cellStyle name="40% - Accent4 12 4 2 2 4" xfId="32513" xr:uid="{8D08838A-1498-4FAE-89DE-B17622D285FC}"/>
    <cellStyle name="40% - Accent4 12 4 2 3" xfId="13074" xr:uid="{00000000-0005-0000-0000-00008E400000}"/>
    <cellStyle name="40% - Accent4 12 4 2 3 2" xfId="36923" xr:uid="{8F73892A-534A-48B3-BA43-5E9684A1AF77}"/>
    <cellStyle name="40% - Accent4 12 4 2 4" xfId="21029" xr:uid="{00000000-0005-0000-0000-00008F400000}"/>
    <cellStyle name="40% - Accent4 12 4 2 4 2" xfId="44861" xr:uid="{99400509-BF91-415F-8828-414CDF7EDA18}"/>
    <cellStyle name="40% - Accent4 12 4 2 5" xfId="28982" xr:uid="{8117DB69-0BF1-4CD6-A156-232F962F6F0C}"/>
    <cellStyle name="40% - Accent4 12 4 3" xfId="6882" xr:uid="{00000000-0005-0000-0000-000090400000}"/>
    <cellStyle name="40% - Accent4 12 4 3 2" xfId="14854" xr:uid="{00000000-0005-0000-0000-000091400000}"/>
    <cellStyle name="40% - Accent4 12 4 3 2 2" xfId="38696" xr:uid="{E32CAC52-47E6-4F66-9292-4A56078273C2}"/>
    <cellStyle name="40% - Accent4 12 4 3 3" xfId="22801" xr:uid="{00000000-0005-0000-0000-000092400000}"/>
    <cellStyle name="40% - Accent4 12 4 3 3 2" xfId="46633" xr:uid="{650264AA-7C25-4EC8-96D0-863E124097D8}"/>
    <cellStyle name="40% - Accent4 12 4 3 4" xfId="30755" xr:uid="{EEC12E87-D6A0-475E-94ED-374758A71103}"/>
    <cellStyle name="40% - Accent4 12 4 4" xfId="11318" xr:uid="{00000000-0005-0000-0000-000093400000}"/>
    <cellStyle name="40% - Accent4 12 4 4 2" xfId="35167" xr:uid="{8BCE7B86-9C0D-49E6-BD81-5AADE5805585}"/>
    <cellStyle name="40% - Accent4 12 4 5" xfId="19273" xr:uid="{00000000-0005-0000-0000-000094400000}"/>
    <cellStyle name="40% - Accent4 12 4 5 2" xfId="43105" xr:uid="{B3356F09-65E5-4656-98DD-49C617E66521}"/>
    <cellStyle name="40% - Accent4 12 4 6" xfId="27225" xr:uid="{79888420-CFCC-4FD8-9A00-C660CE58A183}"/>
    <cellStyle name="40% - Accent4 12 4_Exh G" xfId="3080" xr:uid="{00000000-0005-0000-0000-000095400000}"/>
    <cellStyle name="40% - Accent4 12 5" xfId="4171" xr:uid="{00000000-0005-0000-0000-000096400000}"/>
    <cellStyle name="40% - Accent4 12 5 2" xfId="7763" xr:uid="{00000000-0005-0000-0000-000097400000}"/>
    <cellStyle name="40% - Accent4 12 5 2 2" xfId="15734" xr:uid="{00000000-0005-0000-0000-000098400000}"/>
    <cellStyle name="40% - Accent4 12 5 2 2 2" xfId="39576" xr:uid="{80F09B1D-E499-45F6-BDD5-42437A0F05BE}"/>
    <cellStyle name="40% - Accent4 12 5 2 3" xfId="23680" xr:uid="{00000000-0005-0000-0000-000099400000}"/>
    <cellStyle name="40% - Accent4 12 5 2 3 2" xfId="47512" xr:uid="{50B72661-21E3-4B8B-8C77-A310F78F4957}"/>
    <cellStyle name="40% - Accent4 12 5 2 4" xfId="31635" xr:uid="{F761CBE0-1CE6-4D18-8047-B6E70D8F7278}"/>
    <cellStyle name="40% - Accent4 12 5 3" xfId="12196" xr:uid="{00000000-0005-0000-0000-00009A400000}"/>
    <cellStyle name="40% - Accent4 12 5 3 2" xfId="36045" xr:uid="{8076ECB8-C426-410B-9F55-4BA112235AD9}"/>
    <cellStyle name="40% - Accent4 12 5 4" xfId="20151" xr:uid="{00000000-0005-0000-0000-00009B400000}"/>
    <cellStyle name="40% - Accent4 12 5 4 2" xfId="43983" xr:uid="{542235AB-F116-4525-9476-84F59768FD59}"/>
    <cellStyle name="40% - Accent4 12 5 5" xfId="28104" xr:uid="{216F7ADD-243C-425C-810B-572A04CE6FB3}"/>
    <cellStyle name="40% - Accent4 12 6" xfId="5991" xr:uid="{00000000-0005-0000-0000-00009C400000}"/>
    <cellStyle name="40% - Accent4 12 6 2" xfId="13975" xr:uid="{00000000-0005-0000-0000-00009D400000}"/>
    <cellStyle name="40% - Accent4 12 6 2 2" xfId="37818" xr:uid="{AAA6F551-65C2-4EBD-89DE-578E7D916D4F}"/>
    <cellStyle name="40% - Accent4 12 6 3" xfId="21923" xr:uid="{00000000-0005-0000-0000-00009E400000}"/>
    <cellStyle name="40% - Accent4 12 6 3 2" xfId="45755" xr:uid="{DED67B95-B03E-4A28-98B1-F9580FB1B6FC}"/>
    <cellStyle name="40% - Accent4 12 6 4" xfId="29877" xr:uid="{A98A9356-522E-4896-A33C-AED3FF4FC3E1}"/>
    <cellStyle name="40% - Accent4 12 7" xfId="9544" xr:uid="{00000000-0005-0000-0000-00009F400000}"/>
    <cellStyle name="40% - Accent4 12 7 2" xfId="17502" xr:uid="{00000000-0005-0000-0000-0000A0400000}"/>
    <cellStyle name="40% - Accent4 12 7 2 2" xfId="41342" xr:uid="{051B9697-D386-4875-9EF9-A3766B98AA0F}"/>
    <cellStyle name="40% - Accent4 12 7 3" xfId="25446" xr:uid="{00000000-0005-0000-0000-0000A1400000}"/>
    <cellStyle name="40% - Accent4 12 7 3 2" xfId="49278" xr:uid="{A48FECBC-27D0-41F5-ACFD-EFC3DCD95D25}"/>
    <cellStyle name="40% - Accent4 12 7 4" xfId="33401" xr:uid="{C6C9BA08-996F-41A4-9741-79F7082C8254}"/>
    <cellStyle name="40% - Accent4 12 8" xfId="10440" xr:uid="{00000000-0005-0000-0000-0000A2400000}"/>
    <cellStyle name="40% - Accent4 12 8 2" xfId="34289" xr:uid="{17C83322-21F0-4771-9E3B-3F735C1F8347}"/>
    <cellStyle name="40% - Accent4 12 9" xfId="18395" xr:uid="{00000000-0005-0000-0000-0000A3400000}"/>
    <cellStyle name="40% - Accent4 12 9 2" xfId="42227" xr:uid="{882FD7D1-EBD7-47D1-B47B-C230D8D043C3}"/>
    <cellStyle name="40% - Accent4 12_Exh G" xfId="3073" xr:uid="{00000000-0005-0000-0000-0000A4400000}"/>
    <cellStyle name="40% - Accent4 13" xfId="496" xr:uid="{00000000-0005-0000-0000-0000A5400000}"/>
    <cellStyle name="40% - Accent4 13 10" xfId="26351" xr:uid="{32A3A9C5-AF00-4557-87C2-34B2138570BE}"/>
    <cellStyle name="40% - Accent4 13 2" xfId="497" xr:uid="{00000000-0005-0000-0000-0000A6400000}"/>
    <cellStyle name="40% - Accent4 13 2 2" xfId="498" xr:uid="{00000000-0005-0000-0000-0000A7400000}"/>
    <cellStyle name="40% - Accent4 13 2 2 2" xfId="1526" xr:uid="{00000000-0005-0000-0000-0000A8400000}"/>
    <cellStyle name="40% - Accent4 13 2 2 2 2" xfId="5056" xr:uid="{00000000-0005-0000-0000-0000A9400000}"/>
    <cellStyle name="40% - Accent4 13 2 2 2 2 2" xfId="8647" xr:uid="{00000000-0005-0000-0000-0000AA400000}"/>
    <cellStyle name="40% - Accent4 13 2 2 2 2 2 2" xfId="16618" xr:uid="{00000000-0005-0000-0000-0000AB400000}"/>
    <cellStyle name="40% - Accent4 13 2 2 2 2 2 2 2" xfId="40460" xr:uid="{BF7D88F2-57B9-41E3-AF37-8F10BBC00763}"/>
    <cellStyle name="40% - Accent4 13 2 2 2 2 2 3" xfId="24564" xr:uid="{00000000-0005-0000-0000-0000AC400000}"/>
    <cellStyle name="40% - Accent4 13 2 2 2 2 2 3 2" xfId="48396" xr:uid="{EEDF08AD-EA82-443C-B2F7-C92B65675B7A}"/>
    <cellStyle name="40% - Accent4 13 2 2 2 2 2 4" xfId="32519" xr:uid="{A9E3F1D9-D75D-4346-83EA-754FA950C685}"/>
    <cellStyle name="40% - Accent4 13 2 2 2 2 3" xfId="13080" xr:uid="{00000000-0005-0000-0000-0000AD400000}"/>
    <cellStyle name="40% - Accent4 13 2 2 2 2 3 2" xfId="36929" xr:uid="{448EE400-0B15-46BA-B19E-C487AC07ACB3}"/>
    <cellStyle name="40% - Accent4 13 2 2 2 2 4" xfId="21035" xr:uid="{00000000-0005-0000-0000-0000AE400000}"/>
    <cellStyle name="40% - Accent4 13 2 2 2 2 4 2" xfId="44867" xr:uid="{D3F5FC92-219E-49A9-AF91-EA11B6AABFB5}"/>
    <cellStyle name="40% - Accent4 13 2 2 2 2 5" xfId="28988" xr:uid="{9BB5793C-F1D4-478C-90C8-8087EC9354AE}"/>
    <cellStyle name="40% - Accent4 13 2 2 2 3" xfId="6888" xr:uid="{00000000-0005-0000-0000-0000AF400000}"/>
    <cellStyle name="40% - Accent4 13 2 2 2 3 2" xfId="14860" xr:uid="{00000000-0005-0000-0000-0000B0400000}"/>
    <cellStyle name="40% - Accent4 13 2 2 2 3 2 2" xfId="38702" xr:uid="{93049A72-536F-416E-9940-750C6C1AE434}"/>
    <cellStyle name="40% - Accent4 13 2 2 2 3 3" xfId="22807" xr:uid="{00000000-0005-0000-0000-0000B1400000}"/>
    <cellStyle name="40% - Accent4 13 2 2 2 3 3 2" xfId="46639" xr:uid="{3CB2D838-65E5-4B61-8BC6-4CF2D81FE95A}"/>
    <cellStyle name="40% - Accent4 13 2 2 2 3 4" xfId="30761" xr:uid="{6539131B-2B12-4524-B5F1-AC77AB9DA3B2}"/>
    <cellStyle name="40% - Accent4 13 2 2 2 4" xfId="11324" xr:uid="{00000000-0005-0000-0000-0000B2400000}"/>
    <cellStyle name="40% - Accent4 13 2 2 2 4 2" xfId="35173" xr:uid="{CBE40256-3083-4AD1-83DB-11FCFBF81BE0}"/>
    <cellStyle name="40% - Accent4 13 2 2 2 5" xfId="19279" xr:uid="{00000000-0005-0000-0000-0000B3400000}"/>
    <cellStyle name="40% - Accent4 13 2 2 2 5 2" xfId="43111" xr:uid="{52E11D6E-1FAB-4606-B342-BA8F1363663F}"/>
    <cellStyle name="40% - Accent4 13 2 2 2 6" xfId="27231" xr:uid="{B94824E5-0588-40FF-8480-2F32A56CE519}"/>
    <cellStyle name="40% - Accent4 13 2 2 2_Exh G" xfId="3084" xr:uid="{00000000-0005-0000-0000-0000B4400000}"/>
    <cellStyle name="40% - Accent4 13 2 2 3" xfId="4177" xr:uid="{00000000-0005-0000-0000-0000B5400000}"/>
    <cellStyle name="40% - Accent4 13 2 2 3 2" xfId="7769" xr:uid="{00000000-0005-0000-0000-0000B6400000}"/>
    <cellStyle name="40% - Accent4 13 2 2 3 2 2" xfId="15740" xr:uid="{00000000-0005-0000-0000-0000B7400000}"/>
    <cellStyle name="40% - Accent4 13 2 2 3 2 2 2" xfId="39582" xr:uid="{0BA68887-A30D-4B55-BA15-AA432DCAB6B0}"/>
    <cellStyle name="40% - Accent4 13 2 2 3 2 3" xfId="23686" xr:uid="{00000000-0005-0000-0000-0000B8400000}"/>
    <cellStyle name="40% - Accent4 13 2 2 3 2 3 2" xfId="47518" xr:uid="{DC91E0ED-6656-4483-BC33-87E9C430988A}"/>
    <cellStyle name="40% - Accent4 13 2 2 3 2 4" xfId="31641" xr:uid="{723B6B26-2A75-4327-933E-770C7C69A705}"/>
    <cellStyle name="40% - Accent4 13 2 2 3 3" xfId="12202" xr:uid="{00000000-0005-0000-0000-0000B9400000}"/>
    <cellStyle name="40% - Accent4 13 2 2 3 3 2" xfId="36051" xr:uid="{2D86418F-147C-43F8-8306-72B7ABB8B901}"/>
    <cellStyle name="40% - Accent4 13 2 2 3 4" xfId="20157" xr:uid="{00000000-0005-0000-0000-0000BA400000}"/>
    <cellStyle name="40% - Accent4 13 2 2 3 4 2" xfId="43989" xr:uid="{E9991526-6C51-449A-BE2C-6EBB71205B41}"/>
    <cellStyle name="40% - Accent4 13 2 2 3 5" xfId="28110" xr:uid="{F488031E-EA38-4E20-95A5-284F8CB33F4A}"/>
    <cellStyle name="40% - Accent4 13 2 2 4" xfId="5997" xr:uid="{00000000-0005-0000-0000-0000BB400000}"/>
    <cellStyle name="40% - Accent4 13 2 2 4 2" xfId="13981" xr:uid="{00000000-0005-0000-0000-0000BC400000}"/>
    <cellStyle name="40% - Accent4 13 2 2 4 2 2" xfId="37824" xr:uid="{5B62F344-80DC-45CE-B8FF-924C49FA6DE1}"/>
    <cellStyle name="40% - Accent4 13 2 2 4 3" xfId="21929" xr:uid="{00000000-0005-0000-0000-0000BD400000}"/>
    <cellStyle name="40% - Accent4 13 2 2 4 3 2" xfId="45761" xr:uid="{71745CEE-78B4-4E3E-A20F-00A3BA436D99}"/>
    <cellStyle name="40% - Accent4 13 2 2 4 4" xfId="29883" xr:uid="{5FC7005F-133C-411D-84BC-7A76678062CD}"/>
    <cellStyle name="40% - Accent4 13 2 2 5" xfId="9550" xr:uid="{00000000-0005-0000-0000-0000BE400000}"/>
    <cellStyle name="40% - Accent4 13 2 2 5 2" xfId="17508" xr:uid="{00000000-0005-0000-0000-0000BF400000}"/>
    <cellStyle name="40% - Accent4 13 2 2 5 2 2" xfId="41348" xr:uid="{08A59B4D-3185-458E-96F7-D0B5B7C071D3}"/>
    <cellStyle name="40% - Accent4 13 2 2 5 3" xfId="25452" xr:uid="{00000000-0005-0000-0000-0000C0400000}"/>
    <cellStyle name="40% - Accent4 13 2 2 5 3 2" xfId="49284" xr:uid="{CA42AC22-F13F-40B6-ACF1-C755F9A69B9B}"/>
    <cellStyle name="40% - Accent4 13 2 2 5 4" xfId="33407" xr:uid="{F474E87F-D8F3-411C-BA95-638073774DEF}"/>
    <cellStyle name="40% - Accent4 13 2 2 6" xfId="10446" xr:uid="{00000000-0005-0000-0000-0000C1400000}"/>
    <cellStyle name="40% - Accent4 13 2 2 6 2" xfId="34295" xr:uid="{797DF032-6221-4191-B571-A1581128DF71}"/>
    <cellStyle name="40% - Accent4 13 2 2 7" xfId="18401" xr:uid="{00000000-0005-0000-0000-0000C2400000}"/>
    <cellStyle name="40% - Accent4 13 2 2 7 2" xfId="42233" xr:uid="{009F3E26-F2DA-4346-BADB-4961338E19BF}"/>
    <cellStyle name="40% - Accent4 13 2 2 8" xfId="26353" xr:uid="{D2F39155-77A7-48FE-8BB2-809947911D8D}"/>
    <cellStyle name="40% - Accent4 13 2 2_Exh G" xfId="3083" xr:uid="{00000000-0005-0000-0000-0000C3400000}"/>
    <cellStyle name="40% - Accent4 13 2 3" xfId="1525" xr:uid="{00000000-0005-0000-0000-0000C4400000}"/>
    <cellStyle name="40% - Accent4 13 2 3 2" xfId="5055" xr:uid="{00000000-0005-0000-0000-0000C5400000}"/>
    <cellStyle name="40% - Accent4 13 2 3 2 2" xfId="8646" xr:uid="{00000000-0005-0000-0000-0000C6400000}"/>
    <cellStyle name="40% - Accent4 13 2 3 2 2 2" xfId="16617" xr:uid="{00000000-0005-0000-0000-0000C7400000}"/>
    <cellStyle name="40% - Accent4 13 2 3 2 2 2 2" xfId="40459" xr:uid="{E368ECE0-44CF-4FFE-A838-8DA10EF132C1}"/>
    <cellStyle name="40% - Accent4 13 2 3 2 2 3" xfId="24563" xr:uid="{00000000-0005-0000-0000-0000C8400000}"/>
    <cellStyle name="40% - Accent4 13 2 3 2 2 3 2" xfId="48395" xr:uid="{02122684-62A6-4AFA-B211-834E757EB6A1}"/>
    <cellStyle name="40% - Accent4 13 2 3 2 2 4" xfId="32518" xr:uid="{5902DB5C-4838-49D3-BCF6-9DC950D32F24}"/>
    <cellStyle name="40% - Accent4 13 2 3 2 3" xfId="13079" xr:uid="{00000000-0005-0000-0000-0000C9400000}"/>
    <cellStyle name="40% - Accent4 13 2 3 2 3 2" xfId="36928" xr:uid="{4E7FF113-3079-43AD-9561-CD416332D396}"/>
    <cellStyle name="40% - Accent4 13 2 3 2 4" xfId="21034" xr:uid="{00000000-0005-0000-0000-0000CA400000}"/>
    <cellStyle name="40% - Accent4 13 2 3 2 4 2" xfId="44866" xr:uid="{6DE7DCFA-2ADF-4236-8BC5-03689CE1EE2B}"/>
    <cellStyle name="40% - Accent4 13 2 3 2 5" xfId="28987" xr:uid="{4C1C6EE7-9322-407C-93FC-B94E48E1B296}"/>
    <cellStyle name="40% - Accent4 13 2 3 3" xfId="6887" xr:uid="{00000000-0005-0000-0000-0000CB400000}"/>
    <cellStyle name="40% - Accent4 13 2 3 3 2" xfId="14859" xr:uid="{00000000-0005-0000-0000-0000CC400000}"/>
    <cellStyle name="40% - Accent4 13 2 3 3 2 2" xfId="38701" xr:uid="{373CC48A-5A17-4DBA-9013-A19B31EAF630}"/>
    <cellStyle name="40% - Accent4 13 2 3 3 3" xfId="22806" xr:uid="{00000000-0005-0000-0000-0000CD400000}"/>
    <cellStyle name="40% - Accent4 13 2 3 3 3 2" xfId="46638" xr:uid="{8D0E799A-6FA2-402F-8537-992D04F6EC04}"/>
    <cellStyle name="40% - Accent4 13 2 3 3 4" xfId="30760" xr:uid="{6F856FC4-3712-42CD-A66C-DD74AE1EFF55}"/>
    <cellStyle name="40% - Accent4 13 2 3 4" xfId="11323" xr:uid="{00000000-0005-0000-0000-0000CE400000}"/>
    <cellStyle name="40% - Accent4 13 2 3 4 2" xfId="35172" xr:uid="{C2DCA902-CB76-4EE6-A6E3-D799BA4BFCAC}"/>
    <cellStyle name="40% - Accent4 13 2 3 5" xfId="19278" xr:uid="{00000000-0005-0000-0000-0000CF400000}"/>
    <cellStyle name="40% - Accent4 13 2 3 5 2" xfId="43110" xr:uid="{7B6B7FB4-5ACB-4E67-88F0-4CF863883D10}"/>
    <cellStyle name="40% - Accent4 13 2 3 6" xfId="27230" xr:uid="{1A48B2D0-3E12-4AA0-ACD2-6EE58E5E0D9C}"/>
    <cellStyle name="40% - Accent4 13 2 3_Exh G" xfId="3085" xr:uid="{00000000-0005-0000-0000-0000D0400000}"/>
    <cellStyle name="40% - Accent4 13 2 4" xfId="4176" xr:uid="{00000000-0005-0000-0000-0000D1400000}"/>
    <cellStyle name="40% - Accent4 13 2 4 2" xfId="7768" xr:uid="{00000000-0005-0000-0000-0000D2400000}"/>
    <cellStyle name="40% - Accent4 13 2 4 2 2" xfId="15739" xr:uid="{00000000-0005-0000-0000-0000D3400000}"/>
    <cellStyle name="40% - Accent4 13 2 4 2 2 2" xfId="39581" xr:uid="{1EAF73B1-AAC3-4198-AD51-75C07D2766CA}"/>
    <cellStyle name="40% - Accent4 13 2 4 2 3" xfId="23685" xr:uid="{00000000-0005-0000-0000-0000D4400000}"/>
    <cellStyle name="40% - Accent4 13 2 4 2 3 2" xfId="47517" xr:uid="{227A1B53-7AA3-49AD-A85A-78BF0119A149}"/>
    <cellStyle name="40% - Accent4 13 2 4 2 4" xfId="31640" xr:uid="{CAF797DF-6C05-416A-AB80-E4DEA923DE51}"/>
    <cellStyle name="40% - Accent4 13 2 4 3" xfId="12201" xr:uid="{00000000-0005-0000-0000-0000D5400000}"/>
    <cellStyle name="40% - Accent4 13 2 4 3 2" xfId="36050" xr:uid="{8A8857CF-3AF2-4F38-9720-8E6D279136FC}"/>
    <cellStyle name="40% - Accent4 13 2 4 4" xfId="20156" xr:uid="{00000000-0005-0000-0000-0000D6400000}"/>
    <cellStyle name="40% - Accent4 13 2 4 4 2" xfId="43988" xr:uid="{E8F95292-55BF-4AF8-87BA-1958174B3421}"/>
    <cellStyle name="40% - Accent4 13 2 4 5" xfId="28109" xr:uid="{AED30DC2-A739-48C4-A7BE-DF12936601F9}"/>
    <cellStyle name="40% - Accent4 13 2 5" xfId="5996" xr:uid="{00000000-0005-0000-0000-0000D7400000}"/>
    <cellStyle name="40% - Accent4 13 2 5 2" xfId="13980" xr:uid="{00000000-0005-0000-0000-0000D8400000}"/>
    <cellStyle name="40% - Accent4 13 2 5 2 2" xfId="37823" xr:uid="{973C9740-EA45-47BB-87DF-3CB3623C9D40}"/>
    <cellStyle name="40% - Accent4 13 2 5 3" xfId="21928" xr:uid="{00000000-0005-0000-0000-0000D9400000}"/>
    <cellStyle name="40% - Accent4 13 2 5 3 2" xfId="45760" xr:uid="{FF9C9902-215F-4334-8DE1-FAE814B28F87}"/>
    <cellStyle name="40% - Accent4 13 2 5 4" xfId="29882" xr:uid="{C4781489-41B4-455C-A2B8-382EAA315C1B}"/>
    <cellStyle name="40% - Accent4 13 2 6" xfId="9549" xr:uid="{00000000-0005-0000-0000-0000DA400000}"/>
    <cellStyle name="40% - Accent4 13 2 6 2" xfId="17507" xr:uid="{00000000-0005-0000-0000-0000DB400000}"/>
    <cellStyle name="40% - Accent4 13 2 6 2 2" xfId="41347" xr:uid="{F6436B1B-3AF8-4A6E-B7E3-2F4D86AAED72}"/>
    <cellStyle name="40% - Accent4 13 2 6 3" xfId="25451" xr:uid="{00000000-0005-0000-0000-0000DC400000}"/>
    <cellStyle name="40% - Accent4 13 2 6 3 2" xfId="49283" xr:uid="{0E48269F-C3B2-42CA-9757-7F20EA4EDDFF}"/>
    <cellStyle name="40% - Accent4 13 2 6 4" xfId="33406" xr:uid="{F6A91D20-D4DE-4AE2-ACF7-D61A387F4E2C}"/>
    <cellStyle name="40% - Accent4 13 2 7" xfId="10445" xr:uid="{00000000-0005-0000-0000-0000DD400000}"/>
    <cellStyle name="40% - Accent4 13 2 7 2" xfId="34294" xr:uid="{814128F5-2B07-46A5-834E-7F5B2CEE67A9}"/>
    <cellStyle name="40% - Accent4 13 2 8" xfId="18400" xr:uid="{00000000-0005-0000-0000-0000DE400000}"/>
    <cellStyle name="40% - Accent4 13 2 8 2" xfId="42232" xr:uid="{91E863F8-F761-45E8-B403-EAB5A1130DEC}"/>
    <cellStyle name="40% - Accent4 13 2 9" xfId="26352" xr:uid="{4D5A2B49-95EE-401B-99BA-6825980E931A}"/>
    <cellStyle name="40% - Accent4 13 2_Exh G" xfId="3082" xr:uid="{00000000-0005-0000-0000-0000DF400000}"/>
    <cellStyle name="40% - Accent4 13 3" xfId="499" xr:uid="{00000000-0005-0000-0000-0000E0400000}"/>
    <cellStyle name="40% - Accent4 13 3 2" xfId="1527" xr:uid="{00000000-0005-0000-0000-0000E1400000}"/>
    <cellStyle name="40% - Accent4 13 3 2 2" xfId="5057" xr:uid="{00000000-0005-0000-0000-0000E2400000}"/>
    <cellStyle name="40% - Accent4 13 3 2 2 2" xfId="8648" xr:uid="{00000000-0005-0000-0000-0000E3400000}"/>
    <cellStyle name="40% - Accent4 13 3 2 2 2 2" xfId="16619" xr:uid="{00000000-0005-0000-0000-0000E4400000}"/>
    <cellStyle name="40% - Accent4 13 3 2 2 2 2 2" xfId="40461" xr:uid="{E0C7AD84-A817-4BA3-B09C-702325D456CB}"/>
    <cellStyle name="40% - Accent4 13 3 2 2 2 3" xfId="24565" xr:uid="{00000000-0005-0000-0000-0000E5400000}"/>
    <cellStyle name="40% - Accent4 13 3 2 2 2 3 2" xfId="48397" xr:uid="{ADEDBEB4-ECFA-45CB-9901-01AEA14F03C0}"/>
    <cellStyle name="40% - Accent4 13 3 2 2 2 4" xfId="32520" xr:uid="{0542F831-68DD-4C95-801C-83C6F056AB88}"/>
    <cellStyle name="40% - Accent4 13 3 2 2 3" xfId="13081" xr:uid="{00000000-0005-0000-0000-0000E6400000}"/>
    <cellStyle name="40% - Accent4 13 3 2 2 3 2" xfId="36930" xr:uid="{78C7980A-0AB5-45A7-9E41-71144D2FFA83}"/>
    <cellStyle name="40% - Accent4 13 3 2 2 4" xfId="21036" xr:uid="{00000000-0005-0000-0000-0000E7400000}"/>
    <cellStyle name="40% - Accent4 13 3 2 2 4 2" xfId="44868" xr:uid="{FCD6FEE2-F8D0-41F8-90DE-08097AA3899E}"/>
    <cellStyle name="40% - Accent4 13 3 2 2 5" xfId="28989" xr:uid="{B4A8C0B4-F435-446D-A4E0-E8E9F450341C}"/>
    <cellStyle name="40% - Accent4 13 3 2 3" xfId="6889" xr:uid="{00000000-0005-0000-0000-0000E8400000}"/>
    <cellStyle name="40% - Accent4 13 3 2 3 2" xfId="14861" xr:uid="{00000000-0005-0000-0000-0000E9400000}"/>
    <cellStyle name="40% - Accent4 13 3 2 3 2 2" xfId="38703" xr:uid="{97202B13-6EC1-439B-9CE9-FAAD20F10204}"/>
    <cellStyle name="40% - Accent4 13 3 2 3 3" xfId="22808" xr:uid="{00000000-0005-0000-0000-0000EA400000}"/>
    <cellStyle name="40% - Accent4 13 3 2 3 3 2" xfId="46640" xr:uid="{9C8DBC86-F86A-4981-9FAA-22DA49C023E3}"/>
    <cellStyle name="40% - Accent4 13 3 2 3 4" xfId="30762" xr:uid="{239AA03E-C177-4754-B90B-E5A8CAFE2829}"/>
    <cellStyle name="40% - Accent4 13 3 2 4" xfId="11325" xr:uid="{00000000-0005-0000-0000-0000EB400000}"/>
    <cellStyle name="40% - Accent4 13 3 2 4 2" xfId="35174" xr:uid="{5F95FF56-BD30-48BB-9852-842B54502D54}"/>
    <cellStyle name="40% - Accent4 13 3 2 5" xfId="19280" xr:uid="{00000000-0005-0000-0000-0000EC400000}"/>
    <cellStyle name="40% - Accent4 13 3 2 5 2" xfId="43112" xr:uid="{60D9244B-C117-4DA8-AF12-030E7107C157}"/>
    <cellStyle name="40% - Accent4 13 3 2 6" xfId="27232" xr:uid="{68447A79-B7B8-4B31-9C59-E074F5197260}"/>
    <cellStyle name="40% - Accent4 13 3 2_Exh G" xfId="3087" xr:uid="{00000000-0005-0000-0000-0000ED400000}"/>
    <cellStyle name="40% - Accent4 13 3 3" xfId="4178" xr:uid="{00000000-0005-0000-0000-0000EE400000}"/>
    <cellStyle name="40% - Accent4 13 3 3 2" xfId="7770" xr:uid="{00000000-0005-0000-0000-0000EF400000}"/>
    <cellStyle name="40% - Accent4 13 3 3 2 2" xfId="15741" xr:uid="{00000000-0005-0000-0000-0000F0400000}"/>
    <cellStyle name="40% - Accent4 13 3 3 2 2 2" xfId="39583" xr:uid="{3DDF143D-08EB-4333-A0C7-7F4445B873DA}"/>
    <cellStyle name="40% - Accent4 13 3 3 2 3" xfId="23687" xr:uid="{00000000-0005-0000-0000-0000F1400000}"/>
    <cellStyle name="40% - Accent4 13 3 3 2 3 2" xfId="47519" xr:uid="{40A35FB7-F6B5-4190-9265-71461174DC4B}"/>
    <cellStyle name="40% - Accent4 13 3 3 2 4" xfId="31642" xr:uid="{8CAE82C7-E326-42BB-A7B2-8C06A0D9E274}"/>
    <cellStyle name="40% - Accent4 13 3 3 3" xfId="12203" xr:uid="{00000000-0005-0000-0000-0000F2400000}"/>
    <cellStyle name="40% - Accent4 13 3 3 3 2" xfId="36052" xr:uid="{7F7F464D-2BE0-4563-A92C-BDE0EDA78B63}"/>
    <cellStyle name="40% - Accent4 13 3 3 4" xfId="20158" xr:uid="{00000000-0005-0000-0000-0000F3400000}"/>
    <cellStyle name="40% - Accent4 13 3 3 4 2" xfId="43990" xr:uid="{E4B56ACE-6E4D-46EC-BA1A-5DC362D95B3F}"/>
    <cellStyle name="40% - Accent4 13 3 3 5" xfId="28111" xr:uid="{0DDB0C47-0AA1-4827-BC72-6B2E83F40D63}"/>
    <cellStyle name="40% - Accent4 13 3 4" xfId="5998" xr:uid="{00000000-0005-0000-0000-0000F4400000}"/>
    <cellStyle name="40% - Accent4 13 3 4 2" xfId="13982" xr:uid="{00000000-0005-0000-0000-0000F5400000}"/>
    <cellStyle name="40% - Accent4 13 3 4 2 2" xfId="37825" xr:uid="{18405503-691B-436C-8076-AF47C3E6DA2F}"/>
    <cellStyle name="40% - Accent4 13 3 4 3" xfId="21930" xr:uid="{00000000-0005-0000-0000-0000F6400000}"/>
    <cellStyle name="40% - Accent4 13 3 4 3 2" xfId="45762" xr:uid="{F241190E-1260-42FC-B766-E5F025AC3CAA}"/>
    <cellStyle name="40% - Accent4 13 3 4 4" xfId="29884" xr:uid="{466F3107-8C1D-4DDA-86EF-72D7451B3EC9}"/>
    <cellStyle name="40% - Accent4 13 3 5" xfId="9551" xr:uid="{00000000-0005-0000-0000-0000F7400000}"/>
    <cellStyle name="40% - Accent4 13 3 5 2" xfId="17509" xr:uid="{00000000-0005-0000-0000-0000F8400000}"/>
    <cellStyle name="40% - Accent4 13 3 5 2 2" xfId="41349" xr:uid="{FB91BD38-D903-4D52-9849-8FD5D7FBFFC4}"/>
    <cellStyle name="40% - Accent4 13 3 5 3" xfId="25453" xr:uid="{00000000-0005-0000-0000-0000F9400000}"/>
    <cellStyle name="40% - Accent4 13 3 5 3 2" xfId="49285" xr:uid="{31EF6D4A-DE22-40A3-AEDD-766104B2389D}"/>
    <cellStyle name="40% - Accent4 13 3 5 4" xfId="33408" xr:uid="{9AA1724D-2D99-42CB-8499-D11774D956BF}"/>
    <cellStyle name="40% - Accent4 13 3 6" xfId="10447" xr:uid="{00000000-0005-0000-0000-0000FA400000}"/>
    <cellStyle name="40% - Accent4 13 3 6 2" xfId="34296" xr:uid="{49430808-9A5F-41CA-8278-B703DC79B408}"/>
    <cellStyle name="40% - Accent4 13 3 7" xfId="18402" xr:uid="{00000000-0005-0000-0000-0000FB400000}"/>
    <cellStyle name="40% - Accent4 13 3 7 2" xfId="42234" xr:uid="{0B9FD9A5-5038-41CA-8DDF-57E869BDF159}"/>
    <cellStyle name="40% - Accent4 13 3 8" xfId="26354" xr:uid="{E374C097-1879-47EA-A017-7D9D881F1FB2}"/>
    <cellStyle name="40% - Accent4 13 3_Exh G" xfId="3086" xr:uid="{00000000-0005-0000-0000-0000FC400000}"/>
    <cellStyle name="40% - Accent4 13 4" xfId="1524" xr:uid="{00000000-0005-0000-0000-0000FD400000}"/>
    <cellStyle name="40% - Accent4 13 4 2" xfId="5054" xr:uid="{00000000-0005-0000-0000-0000FE400000}"/>
    <cellStyle name="40% - Accent4 13 4 2 2" xfId="8645" xr:uid="{00000000-0005-0000-0000-0000FF400000}"/>
    <cellStyle name="40% - Accent4 13 4 2 2 2" xfId="16616" xr:uid="{00000000-0005-0000-0000-000000410000}"/>
    <cellStyle name="40% - Accent4 13 4 2 2 2 2" xfId="40458" xr:uid="{C9285BBA-92A8-4F3E-A96E-A77F286CB9AF}"/>
    <cellStyle name="40% - Accent4 13 4 2 2 3" xfId="24562" xr:uid="{00000000-0005-0000-0000-000001410000}"/>
    <cellStyle name="40% - Accent4 13 4 2 2 3 2" xfId="48394" xr:uid="{21C81054-05DC-4EC9-BDB6-EC5EC535F95A}"/>
    <cellStyle name="40% - Accent4 13 4 2 2 4" xfId="32517" xr:uid="{6366D1A0-955B-4BC0-8B24-C44909A732ED}"/>
    <cellStyle name="40% - Accent4 13 4 2 3" xfId="13078" xr:uid="{00000000-0005-0000-0000-000002410000}"/>
    <cellStyle name="40% - Accent4 13 4 2 3 2" xfId="36927" xr:uid="{02DF09F9-3F5C-4143-8AA4-1F1BD75F39A3}"/>
    <cellStyle name="40% - Accent4 13 4 2 4" xfId="21033" xr:uid="{00000000-0005-0000-0000-000003410000}"/>
    <cellStyle name="40% - Accent4 13 4 2 4 2" xfId="44865" xr:uid="{B1C7E29F-E6DF-48B3-A724-7907A7C14E4B}"/>
    <cellStyle name="40% - Accent4 13 4 2 5" xfId="28986" xr:uid="{D3B26841-7E94-4C06-8784-AE5F1A497F47}"/>
    <cellStyle name="40% - Accent4 13 4 3" xfId="6886" xr:uid="{00000000-0005-0000-0000-000004410000}"/>
    <cellStyle name="40% - Accent4 13 4 3 2" xfId="14858" xr:uid="{00000000-0005-0000-0000-000005410000}"/>
    <cellStyle name="40% - Accent4 13 4 3 2 2" xfId="38700" xr:uid="{0D1B12A2-BFAE-4D16-B9FB-A96E5EE13949}"/>
    <cellStyle name="40% - Accent4 13 4 3 3" xfId="22805" xr:uid="{00000000-0005-0000-0000-000006410000}"/>
    <cellStyle name="40% - Accent4 13 4 3 3 2" xfId="46637" xr:uid="{DC6A12B1-1CC1-463C-A7A2-0D8358C3C4AD}"/>
    <cellStyle name="40% - Accent4 13 4 3 4" xfId="30759" xr:uid="{86297378-2C88-46D2-978A-43F2983D96BF}"/>
    <cellStyle name="40% - Accent4 13 4 4" xfId="11322" xr:uid="{00000000-0005-0000-0000-000007410000}"/>
    <cellStyle name="40% - Accent4 13 4 4 2" xfId="35171" xr:uid="{1E464D8D-4035-49A5-BF64-06608C594D0F}"/>
    <cellStyle name="40% - Accent4 13 4 5" xfId="19277" xr:uid="{00000000-0005-0000-0000-000008410000}"/>
    <cellStyle name="40% - Accent4 13 4 5 2" xfId="43109" xr:uid="{D367A3B8-3B85-4B86-B81A-2FAF702029BF}"/>
    <cellStyle name="40% - Accent4 13 4 6" xfId="27229" xr:uid="{43B7DA5F-C800-4172-B5C2-EA8EF02B0E01}"/>
    <cellStyle name="40% - Accent4 13 4_Exh G" xfId="3088" xr:uid="{00000000-0005-0000-0000-000009410000}"/>
    <cellStyle name="40% - Accent4 13 5" xfId="4175" xr:uid="{00000000-0005-0000-0000-00000A410000}"/>
    <cellStyle name="40% - Accent4 13 5 2" xfId="7767" xr:uid="{00000000-0005-0000-0000-00000B410000}"/>
    <cellStyle name="40% - Accent4 13 5 2 2" xfId="15738" xr:uid="{00000000-0005-0000-0000-00000C410000}"/>
    <cellStyle name="40% - Accent4 13 5 2 2 2" xfId="39580" xr:uid="{E0D7D561-CFC6-4862-9321-D126737BDCFB}"/>
    <cellStyle name="40% - Accent4 13 5 2 3" xfId="23684" xr:uid="{00000000-0005-0000-0000-00000D410000}"/>
    <cellStyle name="40% - Accent4 13 5 2 3 2" xfId="47516" xr:uid="{0A8D7526-487B-4049-A788-44900437DC9C}"/>
    <cellStyle name="40% - Accent4 13 5 2 4" xfId="31639" xr:uid="{B4214C2D-A9ED-4B9E-A1C8-4B03F7401AD5}"/>
    <cellStyle name="40% - Accent4 13 5 3" xfId="12200" xr:uid="{00000000-0005-0000-0000-00000E410000}"/>
    <cellStyle name="40% - Accent4 13 5 3 2" xfId="36049" xr:uid="{DE51C4D5-C8EB-4D57-B103-A954E9B62C87}"/>
    <cellStyle name="40% - Accent4 13 5 4" xfId="20155" xr:uid="{00000000-0005-0000-0000-00000F410000}"/>
    <cellStyle name="40% - Accent4 13 5 4 2" xfId="43987" xr:uid="{A6424F73-CCFF-4DBC-9A14-4B441C0E609E}"/>
    <cellStyle name="40% - Accent4 13 5 5" xfId="28108" xr:uid="{0A02EE47-4EAE-4D9D-85B4-DCEC98B6F55A}"/>
    <cellStyle name="40% - Accent4 13 6" xfId="5995" xr:uid="{00000000-0005-0000-0000-000010410000}"/>
    <cellStyle name="40% - Accent4 13 6 2" xfId="13979" xr:uid="{00000000-0005-0000-0000-000011410000}"/>
    <cellStyle name="40% - Accent4 13 6 2 2" xfId="37822" xr:uid="{53846137-2CA2-47F5-9939-2EC04CB55698}"/>
    <cellStyle name="40% - Accent4 13 6 3" xfId="21927" xr:uid="{00000000-0005-0000-0000-000012410000}"/>
    <cellStyle name="40% - Accent4 13 6 3 2" xfId="45759" xr:uid="{05116CC2-59E7-4B95-A7E2-7CD2377C9BE9}"/>
    <cellStyle name="40% - Accent4 13 6 4" xfId="29881" xr:uid="{179A9A1B-88C6-4107-89EC-69659C0D6BA1}"/>
    <cellStyle name="40% - Accent4 13 7" xfId="9548" xr:uid="{00000000-0005-0000-0000-000013410000}"/>
    <cellStyle name="40% - Accent4 13 7 2" xfId="17506" xr:uid="{00000000-0005-0000-0000-000014410000}"/>
    <cellStyle name="40% - Accent4 13 7 2 2" xfId="41346" xr:uid="{DE13EFFA-AC24-4CB0-BD56-6FD6BF108343}"/>
    <cellStyle name="40% - Accent4 13 7 3" xfId="25450" xr:uid="{00000000-0005-0000-0000-000015410000}"/>
    <cellStyle name="40% - Accent4 13 7 3 2" xfId="49282" xr:uid="{5559012A-6174-4EAA-BB00-DA7F027A032D}"/>
    <cellStyle name="40% - Accent4 13 7 4" xfId="33405" xr:uid="{73E01557-C520-42D9-BB31-CAEB2C3C8AA1}"/>
    <cellStyle name="40% - Accent4 13 8" xfId="10444" xr:uid="{00000000-0005-0000-0000-000016410000}"/>
    <cellStyle name="40% - Accent4 13 8 2" xfId="34293" xr:uid="{0992BC4C-283C-43A7-B943-9285C12152C8}"/>
    <cellStyle name="40% - Accent4 13 9" xfId="18399" xr:uid="{00000000-0005-0000-0000-000017410000}"/>
    <cellStyle name="40% - Accent4 13 9 2" xfId="42231" xr:uid="{673DB673-C89B-4CDF-ABCA-A7F7ACDA9D0B}"/>
    <cellStyle name="40% - Accent4 13_Exh G" xfId="3081" xr:uid="{00000000-0005-0000-0000-000018410000}"/>
    <cellStyle name="40% - Accent4 14" xfId="500" xr:uid="{00000000-0005-0000-0000-000019410000}"/>
    <cellStyle name="40% - Accent4 14 2" xfId="501" xr:uid="{00000000-0005-0000-0000-00001A410000}"/>
    <cellStyle name="40% - Accent4 14 2 2" xfId="1529" xr:uid="{00000000-0005-0000-0000-00001B410000}"/>
    <cellStyle name="40% - Accent4 14 2 2 2" xfId="5059" xr:uid="{00000000-0005-0000-0000-00001C410000}"/>
    <cellStyle name="40% - Accent4 14 2 2 2 2" xfId="8650" xr:uid="{00000000-0005-0000-0000-00001D410000}"/>
    <cellStyle name="40% - Accent4 14 2 2 2 2 2" xfId="16621" xr:uid="{00000000-0005-0000-0000-00001E410000}"/>
    <cellStyle name="40% - Accent4 14 2 2 2 2 2 2" xfId="40463" xr:uid="{52E7B048-1EBA-4795-9AC9-CB6F0D474857}"/>
    <cellStyle name="40% - Accent4 14 2 2 2 2 3" xfId="24567" xr:uid="{00000000-0005-0000-0000-00001F410000}"/>
    <cellStyle name="40% - Accent4 14 2 2 2 2 3 2" xfId="48399" xr:uid="{3AC34E4D-C6EA-4BF4-AC33-AD1ECA65B0BA}"/>
    <cellStyle name="40% - Accent4 14 2 2 2 2 4" xfId="32522" xr:uid="{98FD446E-6D98-4361-8598-8B7339BCC8D4}"/>
    <cellStyle name="40% - Accent4 14 2 2 2 3" xfId="13083" xr:uid="{00000000-0005-0000-0000-000020410000}"/>
    <cellStyle name="40% - Accent4 14 2 2 2 3 2" xfId="36932" xr:uid="{E9E7361B-A22A-4518-92C9-08F2F1D7303E}"/>
    <cellStyle name="40% - Accent4 14 2 2 2 4" xfId="21038" xr:uid="{00000000-0005-0000-0000-000021410000}"/>
    <cellStyle name="40% - Accent4 14 2 2 2 4 2" xfId="44870" xr:uid="{A63C1532-6E0A-4446-8762-B79A8418CB8D}"/>
    <cellStyle name="40% - Accent4 14 2 2 2 5" xfId="28991" xr:uid="{9C45FEB7-2385-4B84-92B3-98EB114BA546}"/>
    <cellStyle name="40% - Accent4 14 2 2 3" xfId="6891" xr:uid="{00000000-0005-0000-0000-000022410000}"/>
    <cellStyle name="40% - Accent4 14 2 2 3 2" xfId="14863" xr:uid="{00000000-0005-0000-0000-000023410000}"/>
    <cellStyle name="40% - Accent4 14 2 2 3 2 2" xfId="38705" xr:uid="{B6DA6697-0932-4D3B-9CD5-2ADECE1159A7}"/>
    <cellStyle name="40% - Accent4 14 2 2 3 3" xfId="22810" xr:uid="{00000000-0005-0000-0000-000024410000}"/>
    <cellStyle name="40% - Accent4 14 2 2 3 3 2" xfId="46642" xr:uid="{4F9C5AB7-A5EE-489A-B7F7-23CF4B647103}"/>
    <cellStyle name="40% - Accent4 14 2 2 3 4" xfId="30764" xr:uid="{C537C017-097E-4D90-9A2D-34E7CFC45AF1}"/>
    <cellStyle name="40% - Accent4 14 2 2 4" xfId="11327" xr:uid="{00000000-0005-0000-0000-000025410000}"/>
    <cellStyle name="40% - Accent4 14 2 2 4 2" xfId="35176" xr:uid="{4A81B8B3-C338-4E30-9C67-ED8D3D1F933A}"/>
    <cellStyle name="40% - Accent4 14 2 2 5" xfId="19282" xr:uid="{00000000-0005-0000-0000-000026410000}"/>
    <cellStyle name="40% - Accent4 14 2 2 5 2" xfId="43114" xr:uid="{E96CD4C5-87E8-4A8C-95B3-737C1B764B40}"/>
    <cellStyle name="40% - Accent4 14 2 2 6" xfId="27234" xr:uid="{399EB351-C8D1-40B1-986D-97DCF8419CC1}"/>
    <cellStyle name="40% - Accent4 14 2 2_Exh G" xfId="3091" xr:uid="{00000000-0005-0000-0000-000027410000}"/>
    <cellStyle name="40% - Accent4 14 2 3" xfId="4180" xr:uid="{00000000-0005-0000-0000-000028410000}"/>
    <cellStyle name="40% - Accent4 14 2 3 2" xfId="7772" xr:uid="{00000000-0005-0000-0000-000029410000}"/>
    <cellStyle name="40% - Accent4 14 2 3 2 2" xfId="15743" xr:uid="{00000000-0005-0000-0000-00002A410000}"/>
    <cellStyle name="40% - Accent4 14 2 3 2 2 2" xfId="39585" xr:uid="{B243C1A0-FA79-4E8C-96DB-A4C50C7C399D}"/>
    <cellStyle name="40% - Accent4 14 2 3 2 3" xfId="23689" xr:uid="{00000000-0005-0000-0000-00002B410000}"/>
    <cellStyle name="40% - Accent4 14 2 3 2 3 2" xfId="47521" xr:uid="{B4415D16-9B56-41CC-9450-31513628CAAF}"/>
    <cellStyle name="40% - Accent4 14 2 3 2 4" xfId="31644" xr:uid="{648F75D1-592B-4764-ACD5-715AF7989C68}"/>
    <cellStyle name="40% - Accent4 14 2 3 3" xfId="12205" xr:uid="{00000000-0005-0000-0000-00002C410000}"/>
    <cellStyle name="40% - Accent4 14 2 3 3 2" xfId="36054" xr:uid="{3FB48E77-9E85-427A-94A2-4356836E9DA0}"/>
    <cellStyle name="40% - Accent4 14 2 3 4" xfId="20160" xr:uid="{00000000-0005-0000-0000-00002D410000}"/>
    <cellStyle name="40% - Accent4 14 2 3 4 2" xfId="43992" xr:uid="{01EE1C17-EE02-41B5-979F-AD2DFE8CBD73}"/>
    <cellStyle name="40% - Accent4 14 2 3 5" xfId="28113" xr:uid="{770CB57B-EC6A-42A2-B0AA-8CB6C5DE2D83}"/>
    <cellStyle name="40% - Accent4 14 2 4" xfId="6000" xr:uid="{00000000-0005-0000-0000-00002E410000}"/>
    <cellStyle name="40% - Accent4 14 2 4 2" xfId="13984" xr:uid="{00000000-0005-0000-0000-00002F410000}"/>
    <cellStyle name="40% - Accent4 14 2 4 2 2" xfId="37827" xr:uid="{7562BDBC-FCC2-4E93-93E8-A41C183C3EA9}"/>
    <cellStyle name="40% - Accent4 14 2 4 3" xfId="21932" xr:uid="{00000000-0005-0000-0000-000030410000}"/>
    <cellStyle name="40% - Accent4 14 2 4 3 2" xfId="45764" xr:uid="{71874AF9-0FF9-4B4E-8727-C79EB4707D75}"/>
    <cellStyle name="40% - Accent4 14 2 4 4" xfId="29886" xr:uid="{CBB55A59-1814-4271-BF5A-CAE700101A0D}"/>
    <cellStyle name="40% - Accent4 14 2 5" xfId="9553" xr:uid="{00000000-0005-0000-0000-000031410000}"/>
    <cellStyle name="40% - Accent4 14 2 5 2" xfId="17511" xr:uid="{00000000-0005-0000-0000-000032410000}"/>
    <cellStyle name="40% - Accent4 14 2 5 2 2" xfId="41351" xr:uid="{72644311-9517-4722-837C-93A9F8F0BF33}"/>
    <cellStyle name="40% - Accent4 14 2 5 3" xfId="25455" xr:uid="{00000000-0005-0000-0000-000033410000}"/>
    <cellStyle name="40% - Accent4 14 2 5 3 2" xfId="49287" xr:uid="{1B8BE82E-7286-49B3-B43D-17A85B3853D9}"/>
    <cellStyle name="40% - Accent4 14 2 5 4" xfId="33410" xr:uid="{ACC40B05-856A-44BF-A6B7-CE80AEAD8DEF}"/>
    <cellStyle name="40% - Accent4 14 2 6" xfId="10449" xr:uid="{00000000-0005-0000-0000-000034410000}"/>
    <cellStyle name="40% - Accent4 14 2 6 2" xfId="34298" xr:uid="{B89AB038-E2CA-4E55-8E38-3E88210863DB}"/>
    <cellStyle name="40% - Accent4 14 2 7" xfId="18404" xr:uid="{00000000-0005-0000-0000-000035410000}"/>
    <cellStyle name="40% - Accent4 14 2 7 2" xfId="42236" xr:uid="{662FAC74-6420-4991-9389-B340CACEE031}"/>
    <cellStyle name="40% - Accent4 14 2 8" xfId="26356" xr:uid="{4143AEE5-65F5-4A92-8600-131BD7C96474}"/>
    <cellStyle name="40% - Accent4 14 2_Exh G" xfId="3090" xr:uid="{00000000-0005-0000-0000-000036410000}"/>
    <cellStyle name="40% - Accent4 14 3" xfId="1528" xr:uid="{00000000-0005-0000-0000-000037410000}"/>
    <cellStyle name="40% - Accent4 14 3 2" xfId="5058" xr:uid="{00000000-0005-0000-0000-000038410000}"/>
    <cellStyle name="40% - Accent4 14 3 2 2" xfId="8649" xr:uid="{00000000-0005-0000-0000-000039410000}"/>
    <cellStyle name="40% - Accent4 14 3 2 2 2" xfId="16620" xr:uid="{00000000-0005-0000-0000-00003A410000}"/>
    <cellStyle name="40% - Accent4 14 3 2 2 2 2" xfId="40462" xr:uid="{B3BEC9E1-2AA5-432B-B7C0-892C556AD4C3}"/>
    <cellStyle name="40% - Accent4 14 3 2 2 3" xfId="24566" xr:uid="{00000000-0005-0000-0000-00003B410000}"/>
    <cellStyle name="40% - Accent4 14 3 2 2 3 2" xfId="48398" xr:uid="{34FF0C03-0D0A-4ED1-A5D4-E7006000EF14}"/>
    <cellStyle name="40% - Accent4 14 3 2 2 4" xfId="32521" xr:uid="{E2E337C4-0695-49E1-BD03-1DCDDAEFBDCA}"/>
    <cellStyle name="40% - Accent4 14 3 2 3" xfId="13082" xr:uid="{00000000-0005-0000-0000-00003C410000}"/>
    <cellStyle name="40% - Accent4 14 3 2 3 2" xfId="36931" xr:uid="{3CA9572C-BA46-4D3C-BE65-70CD212D9378}"/>
    <cellStyle name="40% - Accent4 14 3 2 4" xfId="21037" xr:uid="{00000000-0005-0000-0000-00003D410000}"/>
    <cellStyle name="40% - Accent4 14 3 2 4 2" xfId="44869" xr:uid="{09495704-7E88-44A6-8947-617CE7C6ECCF}"/>
    <cellStyle name="40% - Accent4 14 3 2 5" xfId="28990" xr:uid="{3D6C7655-02AB-467B-A9C5-A3316E61EB39}"/>
    <cellStyle name="40% - Accent4 14 3 3" xfId="6890" xr:uid="{00000000-0005-0000-0000-00003E410000}"/>
    <cellStyle name="40% - Accent4 14 3 3 2" xfId="14862" xr:uid="{00000000-0005-0000-0000-00003F410000}"/>
    <cellStyle name="40% - Accent4 14 3 3 2 2" xfId="38704" xr:uid="{89C6F5F3-0FB0-4689-995E-19120E20EABB}"/>
    <cellStyle name="40% - Accent4 14 3 3 3" xfId="22809" xr:uid="{00000000-0005-0000-0000-000040410000}"/>
    <cellStyle name="40% - Accent4 14 3 3 3 2" xfId="46641" xr:uid="{313C897D-A7B2-4FC6-970B-1500C1B173DD}"/>
    <cellStyle name="40% - Accent4 14 3 3 4" xfId="30763" xr:uid="{E571B1A8-1A5F-49AE-811B-376BA8340497}"/>
    <cellStyle name="40% - Accent4 14 3 4" xfId="11326" xr:uid="{00000000-0005-0000-0000-000041410000}"/>
    <cellStyle name="40% - Accent4 14 3 4 2" xfId="35175" xr:uid="{DD0C43AE-E792-4B9E-9890-55EEE9F87A8F}"/>
    <cellStyle name="40% - Accent4 14 3 5" xfId="19281" xr:uid="{00000000-0005-0000-0000-000042410000}"/>
    <cellStyle name="40% - Accent4 14 3 5 2" xfId="43113" xr:uid="{8757678A-6D6C-4B5D-B15E-3ADF2BAB801B}"/>
    <cellStyle name="40% - Accent4 14 3 6" xfId="27233" xr:uid="{30CE344F-5608-4FAE-9909-F10C88AEFFF3}"/>
    <cellStyle name="40% - Accent4 14 3_Exh G" xfId="3092" xr:uid="{00000000-0005-0000-0000-000043410000}"/>
    <cellStyle name="40% - Accent4 14 4" xfId="4179" xr:uid="{00000000-0005-0000-0000-000044410000}"/>
    <cellStyle name="40% - Accent4 14 4 2" xfId="7771" xr:uid="{00000000-0005-0000-0000-000045410000}"/>
    <cellStyle name="40% - Accent4 14 4 2 2" xfId="15742" xr:uid="{00000000-0005-0000-0000-000046410000}"/>
    <cellStyle name="40% - Accent4 14 4 2 2 2" xfId="39584" xr:uid="{5669D65F-4ED1-4032-AF91-D9881E18D9A0}"/>
    <cellStyle name="40% - Accent4 14 4 2 3" xfId="23688" xr:uid="{00000000-0005-0000-0000-000047410000}"/>
    <cellStyle name="40% - Accent4 14 4 2 3 2" xfId="47520" xr:uid="{FA0A1BC0-CBD6-40DD-A56A-0FAA2A6D9DF8}"/>
    <cellStyle name="40% - Accent4 14 4 2 4" xfId="31643" xr:uid="{41D51D4F-60B0-404C-9B26-02ADDF7D7679}"/>
    <cellStyle name="40% - Accent4 14 4 3" xfId="12204" xr:uid="{00000000-0005-0000-0000-000048410000}"/>
    <cellStyle name="40% - Accent4 14 4 3 2" xfId="36053" xr:uid="{71677563-DDF3-4290-AD68-8ED0CC236067}"/>
    <cellStyle name="40% - Accent4 14 4 4" xfId="20159" xr:uid="{00000000-0005-0000-0000-000049410000}"/>
    <cellStyle name="40% - Accent4 14 4 4 2" xfId="43991" xr:uid="{B24E31F6-7905-4A10-84AC-D856CC47841E}"/>
    <cellStyle name="40% - Accent4 14 4 5" xfId="28112" xr:uid="{36168B1D-B144-4A37-ADD8-03767DE3D71D}"/>
    <cellStyle name="40% - Accent4 14 5" xfId="5999" xr:uid="{00000000-0005-0000-0000-00004A410000}"/>
    <cellStyle name="40% - Accent4 14 5 2" xfId="13983" xr:uid="{00000000-0005-0000-0000-00004B410000}"/>
    <cellStyle name="40% - Accent4 14 5 2 2" xfId="37826" xr:uid="{6DAD5847-9D33-477F-8E5F-F0B2B975845C}"/>
    <cellStyle name="40% - Accent4 14 5 3" xfId="21931" xr:uid="{00000000-0005-0000-0000-00004C410000}"/>
    <cellStyle name="40% - Accent4 14 5 3 2" xfId="45763" xr:uid="{394D7010-B4D9-455B-8351-2DD3DDD41AB8}"/>
    <cellStyle name="40% - Accent4 14 5 4" xfId="29885" xr:uid="{11FE31FE-CE4D-4E95-BFC9-94F54083AFA0}"/>
    <cellStyle name="40% - Accent4 14 6" xfId="9552" xr:uid="{00000000-0005-0000-0000-00004D410000}"/>
    <cellStyle name="40% - Accent4 14 6 2" xfId="17510" xr:uid="{00000000-0005-0000-0000-00004E410000}"/>
    <cellStyle name="40% - Accent4 14 6 2 2" xfId="41350" xr:uid="{779FBA9C-1F47-4577-8295-EC5D23EEA95F}"/>
    <cellStyle name="40% - Accent4 14 6 3" xfId="25454" xr:uid="{00000000-0005-0000-0000-00004F410000}"/>
    <cellStyle name="40% - Accent4 14 6 3 2" xfId="49286" xr:uid="{022E3040-F87C-42EE-B816-756907F2FD67}"/>
    <cellStyle name="40% - Accent4 14 6 4" xfId="33409" xr:uid="{4A0A8D01-2083-416E-8B1B-E02E8045D85E}"/>
    <cellStyle name="40% - Accent4 14 7" xfId="10448" xr:uid="{00000000-0005-0000-0000-000050410000}"/>
    <cellStyle name="40% - Accent4 14 7 2" xfId="34297" xr:uid="{61B9C0EA-FFCD-4BD2-86A6-31280FB420AC}"/>
    <cellStyle name="40% - Accent4 14 8" xfId="18403" xr:uid="{00000000-0005-0000-0000-000051410000}"/>
    <cellStyle name="40% - Accent4 14 8 2" xfId="42235" xr:uid="{96F8BDB9-87F2-45B4-BB09-B611A5BEE775}"/>
    <cellStyle name="40% - Accent4 14 9" xfId="26355" xr:uid="{117620F5-902F-4FAC-B177-36A08BD62B68}"/>
    <cellStyle name="40% - Accent4 14_Exh G" xfId="3089" xr:uid="{00000000-0005-0000-0000-000052410000}"/>
    <cellStyle name="40% - Accent4 15" xfId="502" xr:uid="{00000000-0005-0000-0000-000053410000}"/>
    <cellStyle name="40% - Accent4 15 2" xfId="1530" xr:uid="{00000000-0005-0000-0000-000054410000}"/>
    <cellStyle name="40% - Accent4 15 2 2" xfId="5060" xr:uid="{00000000-0005-0000-0000-000055410000}"/>
    <cellStyle name="40% - Accent4 15 2 2 2" xfId="8651" xr:uid="{00000000-0005-0000-0000-000056410000}"/>
    <cellStyle name="40% - Accent4 15 2 2 2 2" xfId="16622" xr:uid="{00000000-0005-0000-0000-000057410000}"/>
    <cellStyle name="40% - Accent4 15 2 2 2 2 2" xfId="40464" xr:uid="{7202F387-AD17-4F0D-B1CB-704B2B9A296C}"/>
    <cellStyle name="40% - Accent4 15 2 2 2 3" xfId="24568" xr:uid="{00000000-0005-0000-0000-000058410000}"/>
    <cellStyle name="40% - Accent4 15 2 2 2 3 2" xfId="48400" xr:uid="{EF30D652-4CF1-4B4C-9BD2-B64A614DA590}"/>
    <cellStyle name="40% - Accent4 15 2 2 2 4" xfId="32523" xr:uid="{925E686A-8DB6-4768-8C32-938B2B96121A}"/>
    <cellStyle name="40% - Accent4 15 2 2 3" xfId="13084" xr:uid="{00000000-0005-0000-0000-000059410000}"/>
    <cellStyle name="40% - Accent4 15 2 2 3 2" xfId="36933" xr:uid="{0FB82D1D-B320-4E4D-86D5-9268273390CC}"/>
    <cellStyle name="40% - Accent4 15 2 2 4" xfId="21039" xr:uid="{00000000-0005-0000-0000-00005A410000}"/>
    <cellStyle name="40% - Accent4 15 2 2 4 2" xfId="44871" xr:uid="{D162D7AB-E34C-4797-9A5E-026826309C97}"/>
    <cellStyle name="40% - Accent4 15 2 2 5" xfId="28992" xr:uid="{3D3A6E9D-4A42-4FB5-B9FE-6F47F319F4C7}"/>
    <cellStyle name="40% - Accent4 15 2 3" xfId="6892" xr:uid="{00000000-0005-0000-0000-00005B410000}"/>
    <cellStyle name="40% - Accent4 15 2 3 2" xfId="14864" xr:uid="{00000000-0005-0000-0000-00005C410000}"/>
    <cellStyle name="40% - Accent4 15 2 3 2 2" xfId="38706" xr:uid="{402BDB5B-0DC3-44FE-BCF6-64CA23D0677B}"/>
    <cellStyle name="40% - Accent4 15 2 3 3" xfId="22811" xr:uid="{00000000-0005-0000-0000-00005D410000}"/>
    <cellStyle name="40% - Accent4 15 2 3 3 2" xfId="46643" xr:uid="{7D4CCF73-02BB-451D-8491-EE68E1A850A7}"/>
    <cellStyle name="40% - Accent4 15 2 3 4" xfId="30765" xr:uid="{7DBC2E84-4C41-4880-BB18-C3C29AC0ED1E}"/>
    <cellStyle name="40% - Accent4 15 2 4" xfId="11328" xr:uid="{00000000-0005-0000-0000-00005E410000}"/>
    <cellStyle name="40% - Accent4 15 2 4 2" xfId="35177" xr:uid="{E8928721-1E7C-4059-8189-A186586E252E}"/>
    <cellStyle name="40% - Accent4 15 2 5" xfId="19283" xr:uid="{00000000-0005-0000-0000-00005F410000}"/>
    <cellStyle name="40% - Accent4 15 2 5 2" xfId="43115" xr:uid="{A7D0E833-728D-4DFA-9F49-58566F99BF87}"/>
    <cellStyle name="40% - Accent4 15 2 6" xfId="27235" xr:uid="{A50083E3-DDE9-49B1-AEC9-B8655A3C96F5}"/>
    <cellStyle name="40% - Accent4 15 2_Exh G" xfId="3094" xr:uid="{00000000-0005-0000-0000-000060410000}"/>
    <cellStyle name="40% - Accent4 15 3" xfId="4181" xr:uid="{00000000-0005-0000-0000-000061410000}"/>
    <cellStyle name="40% - Accent4 15 3 2" xfId="7773" xr:uid="{00000000-0005-0000-0000-000062410000}"/>
    <cellStyle name="40% - Accent4 15 3 2 2" xfId="15744" xr:uid="{00000000-0005-0000-0000-000063410000}"/>
    <cellStyle name="40% - Accent4 15 3 2 2 2" xfId="39586" xr:uid="{CACF827F-3EB3-4FF4-B719-E5F6A651D05A}"/>
    <cellStyle name="40% - Accent4 15 3 2 3" xfId="23690" xr:uid="{00000000-0005-0000-0000-000064410000}"/>
    <cellStyle name="40% - Accent4 15 3 2 3 2" xfId="47522" xr:uid="{3B08AEE9-2C45-43AC-A07C-5FA64C2C459D}"/>
    <cellStyle name="40% - Accent4 15 3 2 4" xfId="31645" xr:uid="{8FCBC72C-8E85-49C8-A0EA-E05F058139A9}"/>
    <cellStyle name="40% - Accent4 15 3 3" xfId="12206" xr:uid="{00000000-0005-0000-0000-000065410000}"/>
    <cellStyle name="40% - Accent4 15 3 3 2" xfId="36055" xr:uid="{70B2B36C-74E7-49DD-B7F4-4140B71A18AB}"/>
    <cellStyle name="40% - Accent4 15 3 4" xfId="20161" xr:uid="{00000000-0005-0000-0000-000066410000}"/>
    <cellStyle name="40% - Accent4 15 3 4 2" xfId="43993" xr:uid="{779F23C1-0C97-4899-B6CD-D1F057095B57}"/>
    <cellStyle name="40% - Accent4 15 3 5" xfId="28114" xr:uid="{6EBB9A82-CCDD-4244-8040-5AC399917C4A}"/>
    <cellStyle name="40% - Accent4 15 4" xfId="6001" xr:uid="{00000000-0005-0000-0000-000067410000}"/>
    <cellStyle name="40% - Accent4 15 4 2" xfId="13985" xr:uid="{00000000-0005-0000-0000-000068410000}"/>
    <cellStyle name="40% - Accent4 15 4 2 2" xfId="37828" xr:uid="{04DD7A69-3A48-4F31-B339-49C4038C931E}"/>
    <cellStyle name="40% - Accent4 15 4 3" xfId="21933" xr:uid="{00000000-0005-0000-0000-000069410000}"/>
    <cellStyle name="40% - Accent4 15 4 3 2" xfId="45765" xr:uid="{88D2A24E-D898-4EFE-AD75-44175721F65D}"/>
    <cellStyle name="40% - Accent4 15 4 4" xfId="29887" xr:uid="{6EAE62B2-32B3-4A6A-819B-F88FCCE8E251}"/>
    <cellStyle name="40% - Accent4 15 5" xfId="9554" xr:uid="{00000000-0005-0000-0000-00006A410000}"/>
    <cellStyle name="40% - Accent4 15 5 2" xfId="17512" xr:uid="{00000000-0005-0000-0000-00006B410000}"/>
    <cellStyle name="40% - Accent4 15 5 2 2" xfId="41352" xr:uid="{A33A3D53-522B-45C5-9458-B1583B551150}"/>
    <cellStyle name="40% - Accent4 15 5 3" xfId="25456" xr:uid="{00000000-0005-0000-0000-00006C410000}"/>
    <cellStyle name="40% - Accent4 15 5 3 2" xfId="49288" xr:uid="{EBA096AA-6AD5-4DA6-9D94-9790FCE50DCB}"/>
    <cellStyle name="40% - Accent4 15 5 4" xfId="33411" xr:uid="{5EE865F8-E1A5-48C6-9EAF-43FFBEF78E4B}"/>
    <cellStyle name="40% - Accent4 15 6" xfId="10450" xr:uid="{00000000-0005-0000-0000-00006D410000}"/>
    <cellStyle name="40% - Accent4 15 6 2" xfId="34299" xr:uid="{385269D9-A708-4EDB-B2C1-8485FF360DE4}"/>
    <cellStyle name="40% - Accent4 15 7" xfId="18405" xr:uid="{00000000-0005-0000-0000-00006E410000}"/>
    <cellStyle name="40% - Accent4 15 7 2" xfId="42237" xr:uid="{71499F45-70C6-4730-A83F-B2336E4A26C4}"/>
    <cellStyle name="40% - Accent4 15 8" xfId="26357" xr:uid="{B5170A6E-7DDA-4BCA-A934-3E4A2B337ED4}"/>
    <cellStyle name="40% - Accent4 15_Exh G" xfId="3093" xr:uid="{00000000-0005-0000-0000-00006F410000}"/>
    <cellStyle name="40% - Accent4 16" xfId="852" xr:uid="{00000000-0005-0000-0000-000070410000}"/>
    <cellStyle name="40% - Accent4 16 2" xfId="1791" xr:uid="{00000000-0005-0000-0000-000071410000}"/>
    <cellStyle name="40% - Accent4 16 2 2" xfId="5312" xr:uid="{00000000-0005-0000-0000-000072410000}"/>
    <cellStyle name="40% - Accent4 16 2 2 2" xfId="8903" xr:uid="{00000000-0005-0000-0000-000073410000}"/>
    <cellStyle name="40% - Accent4 16 2 2 2 2" xfId="16874" xr:uid="{00000000-0005-0000-0000-000074410000}"/>
    <cellStyle name="40% - Accent4 16 2 2 2 2 2" xfId="40716" xr:uid="{60CD5B50-9C74-4CBB-A421-78318E96296A}"/>
    <cellStyle name="40% - Accent4 16 2 2 2 3" xfId="24820" xr:uid="{00000000-0005-0000-0000-000075410000}"/>
    <cellStyle name="40% - Accent4 16 2 2 2 3 2" xfId="48652" xr:uid="{6CB5F435-7089-41B9-8837-347E48EEE80A}"/>
    <cellStyle name="40% - Accent4 16 2 2 2 4" xfId="32775" xr:uid="{06918825-6FF2-4FB1-BCCF-402175052DD8}"/>
    <cellStyle name="40% - Accent4 16 2 2 3" xfId="13336" xr:uid="{00000000-0005-0000-0000-000076410000}"/>
    <cellStyle name="40% - Accent4 16 2 2 3 2" xfId="37185" xr:uid="{ADF50A8D-0D2F-4979-BA09-4244C6BE8D68}"/>
    <cellStyle name="40% - Accent4 16 2 2 4" xfId="21291" xr:uid="{00000000-0005-0000-0000-000077410000}"/>
    <cellStyle name="40% - Accent4 16 2 2 4 2" xfId="45123" xr:uid="{170E0C62-63B8-4D5A-929A-368BFF625216}"/>
    <cellStyle name="40% - Accent4 16 2 2 5" xfId="29244" xr:uid="{B3496B4C-5857-4EDB-88E2-8E9B856914D1}"/>
    <cellStyle name="40% - Accent4 16 2 3" xfId="7144" xr:uid="{00000000-0005-0000-0000-000078410000}"/>
    <cellStyle name="40% - Accent4 16 2 3 2" xfId="15116" xr:uid="{00000000-0005-0000-0000-000079410000}"/>
    <cellStyle name="40% - Accent4 16 2 3 2 2" xfId="38958" xr:uid="{576C8791-6FD3-4D88-8EE4-EFAA34ADE8AC}"/>
    <cellStyle name="40% - Accent4 16 2 3 3" xfId="23063" xr:uid="{00000000-0005-0000-0000-00007A410000}"/>
    <cellStyle name="40% - Accent4 16 2 3 3 2" xfId="46895" xr:uid="{E1E250EC-DF7D-43B5-A8AD-CC92FD11AD35}"/>
    <cellStyle name="40% - Accent4 16 2 3 4" xfId="31017" xr:uid="{47C408BD-73C7-49BF-A4B0-761CE0169AE5}"/>
    <cellStyle name="40% - Accent4 16 2 4" xfId="11580" xr:uid="{00000000-0005-0000-0000-00007B410000}"/>
    <cellStyle name="40% - Accent4 16 2 4 2" xfId="35429" xr:uid="{76C80284-0984-462D-851B-07ADD5AA3629}"/>
    <cellStyle name="40% - Accent4 16 2 5" xfId="19535" xr:uid="{00000000-0005-0000-0000-00007C410000}"/>
    <cellStyle name="40% - Accent4 16 2 5 2" xfId="43367" xr:uid="{FF77B386-B275-473B-896B-C4A139C0E88D}"/>
    <cellStyle name="40% - Accent4 16 2 6" xfId="27487" xr:uid="{5442CE8B-484C-4A2A-A509-50B125A5F572}"/>
    <cellStyle name="40% - Accent4 16 2_Exh G" xfId="3096" xr:uid="{00000000-0005-0000-0000-00007D410000}"/>
    <cellStyle name="40% - Accent4 16 3" xfId="4433" xr:uid="{00000000-0005-0000-0000-00007E410000}"/>
    <cellStyle name="40% - Accent4 16 3 2" xfId="8025" xr:uid="{00000000-0005-0000-0000-00007F410000}"/>
    <cellStyle name="40% - Accent4 16 3 2 2" xfId="15996" xr:uid="{00000000-0005-0000-0000-000080410000}"/>
    <cellStyle name="40% - Accent4 16 3 2 2 2" xfId="39838" xr:uid="{705C648B-73DF-4633-9CA8-7421A47336AF}"/>
    <cellStyle name="40% - Accent4 16 3 2 3" xfId="23942" xr:uid="{00000000-0005-0000-0000-000081410000}"/>
    <cellStyle name="40% - Accent4 16 3 2 3 2" xfId="47774" xr:uid="{837CAC72-9973-4993-B3B3-CFA384C14DC5}"/>
    <cellStyle name="40% - Accent4 16 3 2 4" xfId="31897" xr:uid="{6D3E94B2-AD76-412F-9ED2-9F78EC221048}"/>
    <cellStyle name="40% - Accent4 16 3 3" xfId="12458" xr:uid="{00000000-0005-0000-0000-000082410000}"/>
    <cellStyle name="40% - Accent4 16 3 3 2" xfId="36307" xr:uid="{37EBF04D-CAAC-456A-B80B-80E67F83A3C6}"/>
    <cellStyle name="40% - Accent4 16 3 4" xfId="20413" xr:uid="{00000000-0005-0000-0000-000083410000}"/>
    <cellStyle name="40% - Accent4 16 3 4 2" xfId="44245" xr:uid="{A7C1AA3F-5A1D-4D3E-AAC1-6F4B3DBA69DB}"/>
    <cellStyle name="40% - Accent4 16 3 5" xfId="28366" xr:uid="{D5D35CEC-5F7E-49F6-B632-A8CC14557A8E}"/>
    <cellStyle name="40% - Accent4 16 4" xfId="6263" xr:uid="{00000000-0005-0000-0000-000084410000}"/>
    <cellStyle name="40% - Accent4 16 4 2" xfId="14238" xr:uid="{00000000-0005-0000-0000-000085410000}"/>
    <cellStyle name="40% - Accent4 16 4 2 2" xfId="38080" xr:uid="{C3E6D8FA-B562-47C7-8423-A4D3C50DB52A}"/>
    <cellStyle name="40% - Accent4 16 4 3" xfId="22185" xr:uid="{00000000-0005-0000-0000-000086410000}"/>
    <cellStyle name="40% - Accent4 16 4 3 2" xfId="46017" xr:uid="{866E9BE7-CDAC-460D-A8A0-C5924EDFC00F}"/>
    <cellStyle name="40% - Accent4 16 4 4" xfId="30139" xr:uid="{ABE789A3-8E32-4040-8EFD-8CC59BE09807}"/>
    <cellStyle name="40% - Accent4 16 5" xfId="9806" xr:uid="{00000000-0005-0000-0000-000087410000}"/>
    <cellStyle name="40% - Accent4 16 5 2" xfId="17764" xr:uid="{00000000-0005-0000-0000-000088410000}"/>
    <cellStyle name="40% - Accent4 16 5 2 2" xfId="41604" xr:uid="{69EE2AE1-12D7-48B6-9B26-87FBF6CE1642}"/>
    <cellStyle name="40% - Accent4 16 5 3" xfId="25708" xr:uid="{00000000-0005-0000-0000-000089410000}"/>
    <cellStyle name="40% - Accent4 16 5 3 2" xfId="49540" xr:uid="{B75A3C1D-5E43-4066-AD25-FC926315CE53}"/>
    <cellStyle name="40% - Accent4 16 5 4" xfId="33663" xr:uid="{6073F5ED-A15C-4D93-AB33-BEFBA536099F}"/>
    <cellStyle name="40% - Accent4 16 6" xfId="10702" xr:uid="{00000000-0005-0000-0000-00008A410000}"/>
    <cellStyle name="40% - Accent4 16 6 2" xfId="34551" xr:uid="{9C0731A9-B77A-4404-9527-90A48C256443}"/>
    <cellStyle name="40% - Accent4 16 7" xfId="18657" xr:uid="{00000000-0005-0000-0000-00008B410000}"/>
    <cellStyle name="40% - Accent4 16 7 2" xfId="42489" xr:uid="{7EEC8A07-1A70-4877-A15D-8CD834B05E0E}"/>
    <cellStyle name="40% - Accent4 16 8" xfId="26609" xr:uid="{AF85E0E6-56A1-4468-AF1D-335B114D5881}"/>
    <cellStyle name="40% - Accent4 16_Exh G" xfId="3095" xr:uid="{00000000-0005-0000-0000-00008C410000}"/>
    <cellStyle name="40% - Accent4 17" xfId="49801" xr:uid="{50B61F38-D25E-4EB7-8710-268F673E3CCC}"/>
    <cellStyle name="40% - Accent4 2" xfId="503" xr:uid="{00000000-0005-0000-0000-00008D410000}"/>
    <cellStyle name="40% - Accent4 2 10" xfId="18406" xr:uid="{00000000-0005-0000-0000-00008E410000}"/>
    <cellStyle name="40% - Accent4 2 10 2" xfId="42238" xr:uid="{042FADDB-5BD3-4C43-8B38-7CBF00A8B178}"/>
    <cellStyle name="40% - Accent4 2 11" xfId="26358" xr:uid="{F43D789F-D7E7-46BC-BEBB-8B59612E4579}"/>
    <cellStyle name="40% - Accent4 2 12" xfId="49786" xr:uid="{C13CB8F4-CA60-4765-8B23-CCD3878CE86D}"/>
    <cellStyle name="40% - Accent4 2 13" xfId="49814" xr:uid="{20DEE15C-4915-43B4-B034-7BE8861D20D7}"/>
    <cellStyle name="40% - Accent4 2 2" xfId="504" xr:uid="{00000000-0005-0000-0000-00008F410000}"/>
    <cellStyle name="40% - Accent4 2 2 10" xfId="26359" xr:uid="{C8AF8A1A-B42D-48FD-81D4-321483732515}"/>
    <cellStyle name="40% - Accent4 2 2 2" xfId="505" xr:uid="{00000000-0005-0000-0000-000090410000}"/>
    <cellStyle name="40% - Accent4 2 2 2 2" xfId="1533" xr:uid="{00000000-0005-0000-0000-000091410000}"/>
    <cellStyle name="40% - Accent4 2 2 2 2 2" xfId="5063" xr:uid="{00000000-0005-0000-0000-000092410000}"/>
    <cellStyle name="40% - Accent4 2 2 2 2 2 2" xfId="8654" xr:uid="{00000000-0005-0000-0000-000093410000}"/>
    <cellStyle name="40% - Accent4 2 2 2 2 2 2 2" xfId="16625" xr:uid="{00000000-0005-0000-0000-000094410000}"/>
    <cellStyle name="40% - Accent4 2 2 2 2 2 2 2 2" xfId="40467" xr:uid="{3B9E2DED-D417-436F-B0EE-7147630BB9A7}"/>
    <cellStyle name="40% - Accent4 2 2 2 2 2 2 3" xfId="24571" xr:uid="{00000000-0005-0000-0000-000095410000}"/>
    <cellStyle name="40% - Accent4 2 2 2 2 2 2 3 2" xfId="48403" xr:uid="{81F7E82E-7667-481B-AC39-17A8DAFDE222}"/>
    <cellStyle name="40% - Accent4 2 2 2 2 2 2 4" xfId="32526" xr:uid="{1BE74311-ACCC-4DA0-B35D-D0A4E999BA9C}"/>
    <cellStyle name="40% - Accent4 2 2 2 2 2 3" xfId="13087" xr:uid="{00000000-0005-0000-0000-000096410000}"/>
    <cellStyle name="40% - Accent4 2 2 2 2 2 3 2" xfId="36936" xr:uid="{C39296C9-D847-40F2-943C-A952E337F4BB}"/>
    <cellStyle name="40% - Accent4 2 2 2 2 2 4" xfId="21042" xr:uid="{00000000-0005-0000-0000-000097410000}"/>
    <cellStyle name="40% - Accent4 2 2 2 2 2 4 2" xfId="44874" xr:uid="{AD437589-0A52-4D66-9F7B-F2466DFF3740}"/>
    <cellStyle name="40% - Accent4 2 2 2 2 2 5" xfId="28995" xr:uid="{993CCC55-F13C-4E16-BDE9-E8ABE0D286FF}"/>
    <cellStyle name="40% - Accent4 2 2 2 2 3" xfId="6895" xr:uid="{00000000-0005-0000-0000-000098410000}"/>
    <cellStyle name="40% - Accent4 2 2 2 2 3 2" xfId="14867" xr:uid="{00000000-0005-0000-0000-000099410000}"/>
    <cellStyle name="40% - Accent4 2 2 2 2 3 2 2" xfId="38709" xr:uid="{04D84990-0335-490B-996E-B456E4A55DCC}"/>
    <cellStyle name="40% - Accent4 2 2 2 2 3 3" xfId="22814" xr:uid="{00000000-0005-0000-0000-00009A410000}"/>
    <cellStyle name="40% - Accent4 2 2 2 2 3 3 2" xfId="46646" xr:uid="{82CCE9A4-0E55-401D-B3FF-9B6103AB1CCA}"/>
    <cellStyle name="40% - Accent4 2 2 2 2 3 4" xfId="30768" xr:uid="{4F576E48-0B10-4EBF-BDB7-597483AD65BC}"/>
    <cellStyle name="40% - Accent4 2 2 2 2 4" xfId="11331" xr:uid="{00000000-0005-0000-0000-00009B410000}"/>
    <cellStyle name="40% - Accent4 2 2 2 2 4 2" xfId="35180" xr:uid="{0F9D785B-6B00-4380-B903-B4C28FD05862}"/>
    <cellStyle name="40% - Accent4 2 2 2 2 5" xfId="19286" xr:uid="{00000000-0005-0000-0000-00009C410000}"/>
    <cellStyle name="40% - Accent4 2 2 2 2 5 2" xfId="43118" xr:uid="{0F9EF237-F91F-43F6-B26E-E3AADAF2E435}"/>
    <cellStyle name="40% - Accent4 2 2 2 2 6" xfId="27238" xr:uid="{1FFC42C4-779C-471C-AD45-ACEC1F01AFC6}"/>
    <cellStyle name="40% - Accent4 2 2 2 2_Exh G" xfId="3100" xr:uid="{00000000-0005-0000-0000-00009D410000}"/>
    <cellStyle name="40% - Accent4 2 2 2 3" xfId="4184" xr:uid="{00000000-0005-0000-0000-00009E410000}"/>
    <cellStyle name="40% - Accent4 2 2 2 3 2" xfId="7776" xr:uid="{00000000-0005-0000-0000-00009F410000}"/>
    <cellStyle name="40% - Accent4 2 2 2 3 2 2" xfId="15747" xr:uid="{00000000-0005-0000-0000-0000A0410000}"/>
    <cellStyle name="40% - Accent4 2 2 2 3 2 2 2" xfId="39589" xr:uid="{E51DB69C-92BD-458F-8CC6-B3AA13EF8554}"/>
    <cellStyle name="40% - Accent4 2 2 2 3 2 3" xfId="23693" xr:uid="{00000000-0005-0000-0000-0000A1410000}"/>
    <cellStyle name="40% - Accent4 2 2 2 3 2 3 2" xfId="47525" xr:uid="{B63CFEAD-76C2-4FD4-A147-EE5F0283E85F}"/>
    <cellStyle name="40% - Accent4 2 2 2 3 2 4" xfId="31648" xr:uid="{1A13D493-82E2-403C-A6F5-9F392D3FA636}"/>
    <cellStyle name="40% - Accent4 2 2 2 3 3" xfId="12209" xr:uid="{00000000-0005-0000-0000-0000A2410000}"/>
    <cellStyle name="40% - Accent4 2 2 2 3 3 2" xfId="36058" xr:uid="{B3CA77E0-2EC5-4F54-9F6D-D2F1539B3CC6}"/>
    <cellStyle name="40% - Accent4 2 2 2 3 4" xfId="20164" xr:uid="{00000000-0005-0000-0000-0000A3410000}"/>
    <cellStyle name="40% - Accent4 2 2 2 3 4 2" xfId="43996" xr:uid="{759BAF34-29E2-4A9C-A254-77A0654CDBAA}"/>
    <cellStyle name="40% - Accent4 2 2 2 3 5" xfId="28117" xr:uid="{59BA5C05-097D-4C29-9F78-EDDCEAC455B6}"/>
    <cellStyle name="40% - Accent4 2 2 2 4" xfId="6004" xr:uid="{00000000-0005-0000-0000-0000A4410000}"/>
    <cellStyle name="40% - Accent4 2 2 2 4 2" xfId="13988" xr:uid="{00000000-0005-0000-0000-0000A5410000}"/>
    <cellStyle name="40% - Accent4 2 2 2 4 2 2" xfId="37831" xr:uid="{AA8EB964-26EC-40A6-A3E2-F72EDC18F683}"/>
    <cellStyle name="40% - Accent4 2 2 2 4 3" xfId="21936" xr:uid="{00000000-0005-0000-0000-0000A6410000}"/>
    <cellStyle name="40% - Accent4 2 2 2 4 3 2" xfId="45768" xr:uid="{7F45FE0C-0281-45D9-B323-7D01E26716C1}"/>
    <cellStyle name="40% - Accent4 2 2 2 4 4" xfId="29890" xr:uid="{A22D62E3-BF07-4424-86F8-616D141FC8FA}"/>
    <cellStyle name="40% - Accent4 2 2 2 5" xfId="9557" xr:uid="{00000000-0005-0000-0000-0000A7410000}"/>
    <cellStyle name="40% - Accent4 2 2 2 5 2" xfId="17515" xr:uid="{00000000-0005-0000-0000-0000A8410000}"/>
    <cellStyle name="40% - Accent4 2 2 2 5 2 2" xfId="41355" xr:uid="{0AC187AB-707E-4AE7-9329-B2EEEF7555EF}"/>
    <cellStyle name="40% - Accent4 2 2 2 5 3" xfId="25459" xr:uid="{00000000-0005-0000-0000-0000A9410000}"/>
    <cellStyle name="40% - Accent4 2 2 2 5 3 2" xfId="49291" xr:uid="{55DD5A72-E22A-45BA-84EC-7C20C5B342DC}"/>
    <cellStyle name="40% - Accent4 2 2 2 5 4" xfId="33414" xr:uid="{57966FAA-8D5F-43E5-8A37-AB930E625681}"/>
    <cellStyle name="40% - Accent4 2 2 2 6" xfId="10453" xr:uid="{00000000-0005-0000-0000-0000AA410000}"/>
    <cellStyle name="40% - Accent4 2 2 2 6 2" xfId="34302" xr:uid="{19416A94-A973-4A44-95E6-4AFD4ED5E02E}"/>
    <cellStyle name="40% - Accent4 2 2 2 7" xfId="18408" xr:uid="{00000000-0005-0000-0000-0000AB410000}"/>
    <cellStyle name="40% - Accent4 2 2 2 7 2" xfId="42240" xr:uid="{61906CBA-C8F6-4E17-B5FB-D28295308EAB}"/>
    <cellStyle name="40% - Accent4 2 2 2 8" xfId="26360" xr:uid="{7CE528F0-1247-4947-A97A-637B892000A0}"/>
    <cellStyle name="40% - Accent4 2 2 2_Exh G" xfId="3099" xr:uid="{00000000-0005-0000-0000-0000AC410000}"/>
    <cellStyle name="40% - Accent4 2 2 3" xfId="972" xr:uid="{00000000-0005-0000-0000-0000AD410000}"/>
    <cellStyle name="40% - Accent4 2 2 3 2" xfId="1890" xr:uid="{00000000-0005-0000-0000-0000AE410000}"/>
    <cellStyle name="40% - Accent4 2 2 3 2 2" xfId="5408" xr:uid="{00000000-0005-0000-0000-0000AF410000}"/>
    <cellStyle name="40% - Accent4 2 2 3 2 2 2" xfId="8999" xr:uid="{00000000-0005-0000-0000-0000B0410000}"/>
    <cellStyle name="40% - Accent4 2 2 3 2 2 2 2" xfId="16970" xr:uid="{00000000-0005-0000-0000-0000B1410000}"/>
    <cellStyle name="40% - Accent4 2 2 3 2 2 2 2 2" xfId="40812" xr:uid="{48619863-E2E6-4645-BBA8-4F87C0500F17}"/>
    <cellStyle name="40% - Accent4 2 2 3 2 2 2 3" xfId="24916" xr:uid="{00000000-0005-0000-0000-0000B2410000}"/>
    <cellStyle name="40% - Accent4 2 2 3 2 2 2 3 2" xfId="48748" xr:uid="{9973B9DB-6E74-43DB-8E43-F29B46E6A4F5}"/>
    <cellStyle name="40% - Accent4 2 2 3 2 2 2 4" xfId="32871" xr:uid="{CBAB7F29-C96C-4407-A9E2-CE26FE3F9AD6}"/>
    <cellStyle name="40% - Accent4 2 2 3 2 2 3" xfId="13432" xr:uid="{00000000-0005-0000-0000-0000B3410000}"/>
    <cellStyle name="40% - Accent4 2 2 3 2 2 3 2" xfId="37281" xr:uid="{E2CE381C-474B-4996-AD76-8395C28B2388}"/>
    <cellStyle name="40% - Accent4 2 2 3 2 2 4" xfId="21387" xr:uid="{00000000-0005-0000-0000-0000B4410000}"/>
    <cellStyle name="40% - Accent4 2 2 3 2 2 4 2" xfId="45219" xr:uid="{7B821503-0B2F-48CF-9295-2C3A07CE71A7}"/>
    <cellStyle name="40% - Accent4 2 2 3 2 2 5" xfId="29340" xr:uid="{F9C5450D-7151-4790-803E-AC112EA6B1BB}"/>
    <cellStyle name="40% - Accent4 2 2 3 2 3" xfId="7240" xr:uid="{00000000-0005-0000-0000-0000B5410000}"/>
    <cellStyle name="40% - Accent4 2 2 3 2 3 2" xfId="15212" xr:uid="{00000000-0005-0000-0000-0000B6410000}"/>
    <cellStyle name="40% - Accent4 2 2 3 2 3 2 2" xfId="39054" xr:uid="{958E5D4E-8A47-4030-A8C6-70EE60A5E06E}"/>
    <cellStyle name="40% - Accent4 2 2 3 2 3 3" xfId="23159" xr:uid="{00000000-0005-0000-0000-0000B7410000}"/>
    <cellStyle name="40% - Accent4 2 2 3 2 3 3 2" xfId="46991" xr:uid="{1D1CF853-722D-4328-827A-ABA0712A8CF8}"/>
    <cellStyle name="40% - Accent4 2 2 3 2 3 4" xfId="31113" xr:uid="{4EE30D47-45F5-4348-8110-FB699FCB768E}"/>
    <cellStyle name="40% - Accent4 2 2 3 2 4" xfId="11676" xr:uid="{00000000-0005-0000-0000-0000B8410000}"/>
    <cellStyle name="40% - Accent4 2 2 3 2 4 2" xfId="35525" xr:uid="{7B7F205D-2094-4D0B-8220-BAAF7ED9DB2B}"/>
    <cellStyle name="40% - Accent4 2 2 3 2 5" xfId="19631" xr:uid="{00000000-0005-0000-0000-0000B9410000}"/>
    <cellStyle name="40% - Accent4 2 2 3 2 5 2" xfId="43463" xr:uid="{C30DCFBF-B93A-4255-83BF-44773E128B59}"/>
    <cellStyle name="40% - Accent4 2 2 3 2 6" xfId="27583" xr:uid="{BB42082F-7CA8-4061-92C9-86DA929CDDF3}"/>
    <cellStyle name="40% - Accent4 2 2 3 2_Exh G" xfId="3102" xr:uid="{00000000-0005-0000-0000-0000BA410000}"/>
    <cellStyle name="40% - Accent4 2 2 3 3" xfId="4529" xr:uid="{00000000-0005-0000-0000-0000BB410000}"/>
    <cellStyle name="40% - Accent4 2 2 3 3 2" xfId="8121" xr:uid="{00000000-0005-0000-0000-0000BC410000}"/>
    <cellStyle name="40% - Accent4 2 2 3 3 2 2" xfId="16092" xr:uid="{00000000-0005-0000-0000-0000BD410000}"/>
    <cellStyle name="40% - Accent4 2 2 3 3 2 2 2" xfId="39934" xr:uid="{5DA6FF1F-BC29-48C2-AAFF-27A082275BA5}"/>
    <cellStyle name="40% - Accent4 2 2 3 3 2 3" xfId="24038" xr:uid="{00000000-0005-0000-0000-0000BE410000}"/>
    <cellStyle name="40% - Accent4 2 2 3 3 2 3 2" xfId="47870" xr:uid="{CE6C9A39-6F51-4058-B744-D99177C50B0D}"/>
    <cellStyle name="40% - Accent4 2 2 3 3 2 4" xfId="31993" xr:uid="{170B105C-BE20-4A3B-BCD2-7C0988541555}"/>
    <cellStyle name="40% - Accent4 2 2 3 3 3" xfId="12554" xr:uid="{00000000-0005-0000-0000-0000BF410000}"/>
    <cellStyle name="40% - Accent4 2 2 3 3 3 2" xfId="36403" xr:uid="{2A245452-3BC3-4F19-99B9-72716AA160A8}"/>
    <cellStyle name="40% - Accent4 2 2 3 3 4" xfId="20509" xr:uid="{00000000-0005-0000-0000-0000C0410000}"/>
    <cellStyle name="40% - Accent4 2 2 3 3 4 2" xfId="44341" xr:uid="{8A66DE16-0735-4AB4-B1B4-3F0C776EB1E8}"/>
    <cellStyle name="40% - Accent4 2 2 3 3 5" xfId="28462" xr:uid="{BEAE95DE-9658-497F-A964-8718EB04C44A}"/>
    <cellStyle name="40% - Accent4 2 2 3 4" xfId="6359" xr:uid="{00000000-0005-0000-0000-0000C1410000}"/>
    <cellStyle name="40% - Accent4 2 2 3 4 2" xfId="14334" xr:uid="{00000000-0005-0000-0000-0000C2410000}"/>
    <cellStyle name="40% - Accent4 2 2 3 4 2 2" xfId="38176" xr:uid="{18ACFF46-BB01-46A8-947B-C02AB98255C4}"/>
    <cellStyle name="40% - Accent4 2 2 3 4 3" xfId="22281" xr:uid="{00000000-0005-0000-0000-0000C3410000}"/>
    <cellStyle name="40% - Accent4 2 2 3 4 3 2" xfId="46113" xr:uid="{CC95FD76-FAD4-44A0-9923-B86C78A7916B}"/>
    <cellStyle name="40% - Accent4 2 2 3 4 4" xfId="30235" xr:uid="{2DEFDFBF-C731-4D19-8FB5-DCF28EC043F7}"/>
    <cellStyle name="40% - Accent4 2 2 3 5" xfId="9902" xr:uid="{00000000-0005-0000-0000-0000C4410000}"/>
    <cellStyle name="40% - Accent4 2 2 3 5 2" xfId="17860" xr:uid="{00000000-0005-0000-0000-0000C5410000}"/>
    <cellStyle name="40% - Accent4 2 2 3 5 2 2" xfId="41700" xr:uid="{FA0A3E77-4CD7-41A9-A605-E58274DAC8A9}"/>
    <cellStyle name="40% - Accent4 2 2 3 5 3" xfId="25804" xr:uid="{00000000-0005-0000-0000-0000C6410000}"/>
    <cellStyle name="40% - Accent4 2 2 3 5 3 2" xfId="49636" xr:uid="{90BA8F7C-1026-4182-BB60-D49BCB0D9830}"/>
    <cellStyle name="40% - Accent4 2 2 3 5 4" xfId="33759" xr:uid="{F25AE26D-A3FC-4AAF-9BB2-9F357076ABF8}"/>
    <cellStyle name="40% - Accent4 2 2 3 6" xfId="10798" xr:uid="{00000000-0005-0000-0000-0000C7410000}"/>
    <cellStyle name="40% - Accent4 2 2 3 6 2" xfId="34647" xr:uid="{6C10DDAD-FB02-45F2-B9C9-877AABDBB162}"/>
    <cellStyle name="40% - Accent4 2 2 3 7" xfId="18753" xr:uid="{00000000-0005-0000-0000-0000C8410000}"/>
    <cellStyle name="40% - Accent4 2 2 3 7 2" xfId="42585" xr:uid="{9295FBE4-3ECB-4F8C-A7C5-4466CFDD98FC}"/>
    <cellStyle name="40% - Accent4 2 2 3 8" xfId="26705" xr:uid="{EA8EE386-B486-4DCF-800B-90B957A3724A}"/>
    <cellStyle name="40% - Accent4 2 2 3_Exh G" xfId="3101" xr:uid="{00000000-0005-0000-0000-0000C9410000}"/>
    <cellStyle name="40% - Accent4 2 2 4" xfId="1532" xr:uid="{00000000-0005-0000-0000-0000CA410000}"/>
    <cellStyle name="40% - Accent4 2 2 4 2" xfId="5062" xr:uid="{00000000-0005-0000-0000-0000CB410000}"/>
    <cellStyle name="40% - Accent4 2 2 4 2 2" xfId="8653" xr:uid="{00000000-0005-0000-0000-0000CC410000}"/>
    <cellStyle name="40% - Accent4 2 2 4 2 2 2" xfId="16624" xr:uid="{00000000-0005-0000-0000-0000CD410000}"/>
    <cellStyle name="40% - Accent4 2 2 4 2 2 2 2" xfId="40466" xr:uid="{72DB3F85-D1D9-420F-8C49-FFC75E4D3F1B}"/>
    <cellStyle name="40% - Accent4 2 2 4 2 2 3" xfId="24570" xr:uid="{00000000-0005-0000-0000-0000CE410000}"/>
    <cellStyle name="40% - Accent4 2 2 4 2 2 3 2" xfId="48402" xr:uid="{A8F7B629-B201-4D91-ACAC-5753C923D301}"/>
    <cellStyle name="40% - Accent4 2 2 4 2 2 4" xfId="32525" xr:uid="{88661F99-6BE5-4488-8355-8109801DD93F}"/>
    <cellStyle name="40% - Accent4 2 2 4 2 3" xfId="13086" xr:uid="{00000000-0005-0000-0000-0000CF410000}"/>
    <cellStyle name="40% - Accent4 2 2 4 2 3 2" xfId="36935" xr:uid="{DCED09E9-2658-4BA6-A911-48F990D42063}"/>
    <cellStyle name="40% - Accent4 2 2 4 2 4" xfId="21041" xr:uid="{00000000-0005-0000-0000-0000D0410000}"/>
    <cellStyle name="40% - Accent4 2 2 4 2 4 2" xfId="44873" xr:uid="{EAE796D2-39DC-4501-BE24-7DF93FAB44FF}"/>
    <cellStyle name="40% - Accent4 2 2 4 2 5" xfId="28994" xr:uid="{F4A8CCD8-545A-47DF-BC85-04EBBB0C1C00}"/>
    <cellStyle name="40% - Accent4 2 2 4 3" xfId="6894" xr:uid="{00000000-0005-0000-0000-0000D1410000}"/>
    <cellStyle name="40% - Accent4 2 2 4 3 2" xfId="14866" xr:uid="{00000000-0005-0000-0000-0000D2410000}"/>
    <cellStyle name="40% - Accent4 2 2 4 3 2 2" xfId="38708" xr:uid="{9B885CAE-25EB-468D-9B04-D24965CB67EF}"/>
    <cellStyle name="40% - Accent4 2 2 4 3 3" xfId="22813" xr:uid="{00000000-0005-0000-0000-0000D3410000}"/>
    <cellStyle name="40% - Accent4 2 2 4 3 3 2" xfId="46645" xr:uid="{074B2234-0C7C-49AA-A228-A1F4CD68A6CA}"/>
    <cellStyle name="40% - Accent4 2 2 4 3 4" xfId="30767" xr:uid="{57C277FF-6BE8-4427-9FFB-5F895D321175}"/>
    <cellStyle name="40% - Accent4 2 2 4 4" xfId="11330" xr:uid="{00000000-0005-0000-0000-0000D4410000}"/>
    <cellStyle name="40% - Accent4 2 2 4 4 2" xfId="35179" xr:uid="{27499511-20C6-442B-A1C2-1E136078235F}"/>
    <cellStyle name="40% - Accent4 2 2 4 5" xfId="19285" xr:uid="{00000000-0005-0000-0000-0000D5410000}"/>
    <cellStyle name="40% - Accent4 2 2 4 5 2" xfId="43117" xr:uid="{9EE0CD0B-1D97-4DD1-9146-934FF11BEDB4}"/>
    <cellStyle name="40% - Accent4 2 2 4 6" xfId="27237" xr:uid="{E7997852-8238-475D-9B5A-2F656C6B8351}"/>
    <cellStyle name="40% - Accent4 2 2 4_Exh G" xfId="3103" xr:uid="{00000000-0005-0000-0000-0000D6410000}"/>
    <cellStyle name="40% - Accent4 2 2 5" xfId="4183" xr:uid="{00000000-0005-0000-0000-0000D7410000}"/>
    <cellStyle name="40% - Accent4 2 2 5 2" xfId="7775" xr:uid="{00000000-0005-0000-0000-0000D8410000}"/>
    <cellStyle name="40% - Accent4 2 2 5 2 2" xfId="15746" xr:uid="{00000000-0005-0000-0000-0000D9410000}"/>
    <cellStyle name="40% - Accent4 2 2 5 2 2 2" xfId="39588" xr:uid="{7D2CF6AD-5C66-4897-94C5-B76934352DEA}"/>
    <cellStyle name="40% - Accent4 2 2 5 2 3" xfId="23692" xr:uid="{00000000-0005-0000-0000-0000DA410000}"/>
    <cellStyle name="40% - Accent4 2 2 5 2 3 2" xfId="47524" xr:uid="{438049AC-7ED3-4327-8AFE-415E1D064B87}"/>
    <cellStyle name="40% - Accent4 2 2 5 2 4" xfId="31647" xr:uid="{0517DFF5-018D-4777-A575-71E85C036902}"/>
    <cellStyle name="40% - Accent4 2 2 5 3" xfId="12208" xr:uid="{00000000-0005-0000-0000-0000DB410000}"/>
    <cellStyle name="40% - Accent4 2 2 5 3 2" xfId="36057" xr:uid="{AACB2EC5-D637-4A50-8ADF-50A395569D73}"/>
    <cellStyle name="40% - Accent4 2 2 5 4" xfId="20163" xr:uid="{00000000-0005-0000-0000-0000DC410000}"/>
    <cellStyle name="40% - Accent4 2 2 5 4 2" xfId="43995" xr:uid="{39441BF7-3C75-4D30-99EF-E7829377166C}"/>
    <cellStyle name="40% - Accent4 2 2 5 5" xfId="28116" xr:uid="{5D5C4B9C-D830-46E5-B39F-CBCDD0A72908}"/>
    <cellStyle name="40% - Accent4 2 2 6" xfId="6003" xr:uid="{00000000-0005-0000-0000-0000DD410000}"/>
    <cellStyle name="40% - Accent4 2 2 6 2" xfId="13987" xr:uid="{00000000-0005-0000-0000-0000DE410000}"/>
    <cellStyle name="40% - Accent4 2 2 6 2 2" xfId="37830" xr:uid="{26DA5B5F-C2C7-4846-A31A-DBA4D29C5E84}"/>
    <cellStyle name="40% - Accent4 2 2 6 3" xfId="21935" xr:uid="{00000000-0005-0000-0000-0000DF410000}"/>
    <cellStyle name="40% - Accent4 2 2 6 3 2" xfId="45767" xr:uid="{9F98AE64-B737-4921-87DF-3F7602AABA54}"/>
    <cellStyle name="40% - Accent4 2 2 6 4" xfId="29889" xr:uid="{DA7A222F-E673-4652-AA55-1F6FC32D9131}"/>
    <cellStyle name="40% - Accent4 2 2 7" xfId="9556" xr:uid="{00000000-0005-0000-0000-0000E0410000}"/>
    <cellStyle name="40% - Accent4 2 2 7 2" xfId="17514" xr:uid="{00000000-0005-0000-0000-0000E1410000}"/>
    <cellStyle name="40% - Accent4 2 2 7 2 2" xfId="41354" xr:uid="{A36C18AB-07E0-42CC-899F-E133FDD22EBB}"/>
    <cellStyle name="40% - Accent4 2 2 7 3" xfId="25458" xr:uid="{00000000-0005-0000-0000-0000E2410000}"/>
    <cellStyle name="40% - Accent4 2 2 7 3 2" xfId="49290" xr:uid="{DB020100-CE66-4DF7-9240-FC04CEA37AFD}"/>
    <cellStyle name="40% - Accent4 2 2 7 4" xfId="33413" xr:uid="{5DB45DF1-8FE2-4231-BE38-CE02C16F0FED}"/>
    <cellStyle name="40% - Accent4 2 2 8" xfId="10452" xr:uid="{00000000-0005-0000-0000-0000E3410000}"/>
    <cellStyle name="40% - Accent4 2 2 8 2" xfId="34301" xr:uid="{9199B007-BDDA-4B30-AE4C-DD111D638C97}"/>
    <cellStyle name="40% - Accent4 2 2 9" xfId="18407" xr:uid="{00000000-0005-0000-0000-0000E4410000}"/>
    <cellStyle name="40% - Accent4 2 2 9 2" xfId="42239" xr:uid="{8004325E-3584-41EE-8252-936FC6E605E4}"/>
    <cellStyle name="40% - Accent4 2 2_Exh G" xfId="3098" xr:uid="{00000000-0005-0000-0000-0000E5410000}"/>
    <cellStyle name="40% - Accent4 2 3" xfId="506" xr:uid="{00000000-0005-0000-0000-0000E6410000}"/>
    <cellStyle name="40% - Accent4 2 3 2" xfId="1534" xr:uid="{00000000-0005-0000-0000-0000E7410000}"/>
    <cellStyle name="40% - Accent4 2 3 2 2" xfId="5064" xr:uid="{00000000-0005-0000-0000-0000E8410000}"/>
    <cellStyle name="40% - Accent4 2 3 2 2 2" xfId="8655" xr:uid="{00000000-0005-0000-0000-0000E9410000}"/>
    <cellStyle name="40% - Accent4 2 3 2 2 2 2" xfId="16626" xr:uid="{00000000-0005-0000-0000-0000EA410000}"/>
    <cellStyle name="40% - Accent4 2 3 2 2 2 2 2" xfId="40468" xr:uid="{5C677370-4824-42BD-BDDD-061A7F2C37F7}"/>
    <cellStyle name="40% - Accent4 2 3 2 2 2 3" xfId="24572" xr:uid="{00000000-0005-0000-0000-0000EB410000}"/>
    <cellStyle name="40% - Accent4 2 3 2 2 2 3 2" xfId="48404" xr:uid="{6BF0F9A8-AAE6-46F5-95C0-E1C387E5CA4F}"/>
    <cellStyle name="40% - Accent4 2 3 2 2 2 4" xfId="32527" xr:uid="{E1B990B8-2373-43E5-9300-166F9122FE1F}"/>
    <cellStyle name="40% - Accent4 2 3 2 2 3" xfId="13088" xr:uid="{00000000-0005-0000-0000-0000EC410000}"/>
    <cellStyle name="40% - Accent4 2 3 2 2 3 2" xfId="36937" xr:uid="{A38ACCFD-5970-4558-B034-07D0D4E00B08}"/>
    <cellStyle name="40% - Accent4 2 3 2 2 4" xfId="21043" xr:uid="{00000000-0005-0000-0000-0000ED410000}"/>
    <cellStyle name="40% - Accent4 2 3 2 2 4 2" xfId="44875" xr:uid="{C0A9F629-B8A0-4958-BC05-0EB6A423636E}"/>
    <cellStyle name="40% - Accent4 2 3 2 2 5" xfId="28996" xr:uid="{EB1E4724-2AD4-4AC9-AB03-519267448953}"/>
    <cellStyle name="40% - Accent4 2 3 2 3" xfId="6896" xr:uid="{00000000-0005-0000-0000-0000EE410000}"/>
    <cellStyle name="40% - Accent4 2 3 2 3 2" xfId="14868" xr:uid="{00000000-0005-0000-0000-0000EF410000}"/>
    <cellStyle name="40% - Accent4 2 3 2 3 2 2" xfId="38710" xr:uid="{04816579-7253-4925-8467-92715CB61E49}"/>
    <cellStyle name="40% - Accent4 2 3 2 3 3" xfId="22815" xr:uid="{00000000-0005-0000-0000-0000F0410000}"/>
    <cellStyle name="40% - Accent4 2 3 2 3 3 2" xfId="46647" xr:uid="{332ECCA4-BFDB-492E-AD0A-70AB695152D0}"/>
    <cellStyle name="40% - Accent4 2 3 2 3 4" xfId="30769" xr:uid="{32171904-0F47-470D-9F41-D2B02AB9B5DB}"/>
    <cellStyle name="40% - Accent4 2 3 2 4" xfId="11332" xr:uid="{00000000-0005-0000-0000-0000F1410000}"/>
    <cellStyle name="40% - Accent4 2 3 2 4 2" xfId="35181" xr:uid="{151FDB53-8BC6-42E1-B869-4008D1EA3869}"/>
    <cellStyle name="40% - Accent4 2 3 2 5" xfId="19287" xr:uid="{00000000-0005-0000-0000-0000F2410000}"/>
    <cellStyle name="40% - Accent4 2 3 2 5 2" xfId="43119" xr:uid="{468AFD6A-D30E-4492-B7D5-FDC05F32BCFC}"/>
    <cellStyle name="40% - Accent4 2 3 2 6" xfId="27239" xr:uid="{1A93E228-EEFC-4AD2-920D-5F58B6A92918}"/>
    <cellStyle name="40% - Accent4 2 3 2_Exh G" xfId="3105" xr:uid="{00000000-0005-0000-0000-0000F3410000}"/>
    <cellStyle name="40% - Accent4 2 3 3" xfId="4185" xr:uid="{00000000-0005-0000-0000-0000F4410000}"/>
    <cellStyle name="40% - Accent4 2 3 3 2" xfId="7777" xr:uid="{00000000-0005-0000-0000-0000F5410000}"/>
    <cellStyle name="40% - Accent4 2 3 3 2 2" xfId="15748" xr:uid="{00000000-0005-0000-0000-0000F6410000}"/>
    <cellStyle name="40% - Accent4 2 3 3 2 2 2" xfId="39590" xr:uid="{629768F3-818C-4A5A-8C02-D66B329F1D4C}"/>
    <cellStyle name="40% - Accent4 2 3 3 2 3" xfId="23694" xr:uid="{00000000-0005-0000-0000-0000F7410000}"/>
    <cellStyle name="40% - Accent4 2 3 3 2 3 2" xfId="47526" xr:uid="{9EDE8CCD-6FA2-4882-A6B2-8827A169F34D}"/>
    <cellStyle name="40% - Accent4 2 3 3 2 4" xfId="31649" xr:uid="{77CB774B-A3C5-400F-A554-DD6249EBD075}"/>
    <cellStyle name="40% - Accent4 2 3 3 3" xfId="12210" xr:uid="{00000000-0005-0000-0000-0000F8410000}"/>
    <cellStyle name="40% - Accent4 2 3 3 3 2" xfId="36059" xr:uid="{80E2C33A-C31B-4D3D-B1AC-FDB701C14E04}"/>
    <cellStyle name="40% - Accent4 2 3 3 4" xfId="20165" xr:uid="{00000000-0005-0000-0000-0000F9410000}"/>
    <cellStyle name="40% - Accent4 2 3 3 4 2" xfId="43997" xr:uid="{A7CCC952-A99E-48B6-8A26-E1E9B1CF2FAC}"/>
    <cellStyle name="40% - Accent4 2 3 3 5" xfId="28118" xr:uid="{DC96DBD8-63A6-4C76-8DAC-8487D6E88E62}"/>
    <cellStyle name="40% - Accent4 2 3 4" xfId="6005" xr:uid="{00000000-0005-0000-0000-0000FA410000}"/>
    <cellStyle name="40% - Accent4 2 3 4 2" xfId="13989" xr:uid="{00000000-0005-0000-0000-0000FB410000}"/>
    <cellStyle name="40% - Accent4 2 3 4 2 2" xfId="37832" xr:uid="{401706EC-23F2-4EFF-9D6E-AA5D58FBEE84}"/>
    <cellStyle name="40% - Accent4 2 3 4 3" xfId="21937" xr:uid="{00000000-0005-0000-0000-0000FC410000}"/>
    <cellStyle name="40% - Accent4 2 3 4 3 2" xfId="45769" xr:uid="{2582B0FE-8069-49CD-B601-596DFF5E0616}"/>
    <cellStyle name="40% - Accent4 2 3 4 4" xfId="29891" xr:uid="{EBD85D5B-0DDA-4597-914E-EF3771C61736}"/>
    <cellStyle name="40% - Accent4 2 3 5" xfId="9558" xr:uid="{00000000-0005-0000-0000-0000FD410000}"/>
    <cellStyle name="40% - Accent4 2 3 5 2" xfId="17516" xr:uid="{00000000-0005-0000-0000-0000FE410000}"/>
    <cellStyle name="40% - Accent4 2 3 5 2 2" xfId="41356" xr:uid="{0CBD5E4F-6944-4140-A302-D129512D79A0}"/>
    <cellStyle name="40% - Accent4 2 3 5 3" xfId="25460" xr:uid="{00000000-0005-0000-0000-0000FF410000}"/>
    <cellStyle name="40% - Accent4 2 3 5 3 2" xfId="49292" xr:uid="{EF7BE122-ACEB-4C9E-BACC-381A6D4DDDA8}"/>
    <cellStyle name="40% - Accent4 2 3 5 4" xfId="33415" xr:uid="{22767313-776D-4721-93D9-36D7B7A24B2B}"/>
    <cellStyle name="40% - Accent4 2 3 6" xfId="10454" xr:uid="{00000000-0005-0000-0000-000000420000}"/>
    <cellStyle name="40% - Accent4 2 3 6 2" xfId="34303" xr:uid="{985A8EAC-D628-4135-B18B-12BD32183AEB}"/>
    <cellStyle name="40% - Accent4 2 3 7" xfId="18409" xr:uid="{00000000-0005-0000-0000-000001420000}"/>
    <cellStyle name="40% - Accent4 2 3 7 2" xfId="42241" xr:uid="{040287AA-E986-4011-9ABA-2C1EEEE19D67}"/>
    <cellStyle name="40% - Accent4 2 3 8" xfId="26361" xr:uid="{C4C8FB22-B409-4DC7-9ECC-BFE6EA03FD07}"/>
    <cellStyle name="40% - Accent4 2 3_Exh G" xfId="3104" xr:uid="{00000000-0005-0000-0000-000002420000}"/>
    <cellStyle name="40% - Accent4 2 4" xfId="971" xr:uid="{00000000-0005-0000-0000-000003420000}"/>
    <cellStyle name="40% - Accent4 2 4 2" xfId="1889" xr:uid="{00000000-0005-0000-0000-000004420000}"/>
    <cellStyle name="40% - Accent4 2 4 2 2" xfId="5407" xr:uid="{00000000-0005-0000-0000-000005420000}"/>
    <cellStyle name="40% - Accent4 2 4 2 2 2" xfId="8998" xr:uid="{00000000-0005-0000-0000-000006420000}"/>
    <cellStyle name="40% - Accent4 2 4 2 2 2 2" xfId="16969" xr:uid="{00000000-0005-0000-0000-000007420000}"/>
    <cellStyle name="40% - Accent4 2 4 2 2 2 2 2" xfId="40811" xr:uid="{E6531F4B-9F01-4524-B56F-726C226BBF72}"/>
    <cellStyle name="40% - Accent4 2 4 2 2 2 3" xfId="24915" xr:uid="{00000000-0005-0000-0000-000008420000}"/>
    <cellStyle name="40% - Accent4 2 4 2 2 2 3 2" xfId="48747" xr:uid="{AC738C05-AB56-475B-A266-DD7B92A688D2}"/>
    <cellStyle name="40% - Accent4 2 4 2 2 2 4" xfId="32870" xr:uid="{3E635B6C-6E99-48C0-913D-359C19E7EADF}"/>
    <cellStyle name="40% - Accent4 2 4 2 2 3" xfId="13431" xr:uid="{00000000-0005-0000-0000-000009420000}"/>
    <cellStyle name="40% - Accent4 2 4 2 2 3 2" xfId="37280" xr:uid="{3F2D100F-CB90-4799-BD3E-0DB7816EC53B}"/>
    <cellStyle name="40% - Accent4 2 4 2 2 4" xfId="21386" xr:uid="{00000000-0005-0000-0000-00000A420000}"/>
    <cellStyle name="40% - Accent4 2 4 2 2 4 2" xfId="45218" xr:uid="{93370C7F-1AD5-4382-8F38-C05B4F0C293A}"/>
    <cellStyle name="40% - Accent4 2 4 2 2 5" xfId="29339" xr:uid="{606D281A-ADAB-43CF-A771-AB5D26EC61EF}"/>
    <cellStyle name="40% - Accent4 2 4 2 3" xfId="7239" xr:uid="{00000000-0005-0000-0000-00000B420000}"/>
    <cellStyle name="40% - Accent4 2 4 2 3 2" xfId="15211" xr:uid="{00000000-0005-0000-0000-00000C420000}"/>
    <cellStyle name="40% - Accent4 2 4 2 3 2 2" xfId="39053" xr:uid="{AF55F7A8-42E9-443F-A638-5E680326381F}"/>
    <cellStyle name="40% - Accent4 2 4 2 3 3" xfId="23158" xr:uid="{00000000-0005-0000-0000-00000D420000}"/>
    <cellStyle name="40% - Accent4 2 4 2 3 3 2" xfId="46990" xr:uid="{CCCE4694-D0E7-4824-93EF-88AD72E4ED1B}"/>
    <cellStyle name="40% - Accent4 2 4 2 3 4" xfId="31112" xr:uid="{4C9ADAE8-BA9E-46E4-8092-6BC33A4611C9}"/>
    <cellStyle name="40% - Accent4 2 4 2 4" xfId="11675" xr:uid="{00000000-0005-0000-0000-00000E420000}"/>
    <cellStyle name="40% - Accent4 2 4 2 4 2" xfId="35524" xr:uid="{95245B3C-E9B1-47AA-A0B2-340CC9CB0FDE}"/>
    <cellStyle name="40% - Accent4 2 4 2 5" xfId="19630" xr:uid="{00000000-0005-0000-0000-00000F420000}"/>
    <cellStyle name="40% - Accent4 2 4 2 5 2" xfId="43462" xr:uid="{5F764E5F-C90C-425E-B00A-E5951B72014B}"/>
    <cellStyle name="40% - Accent4 2 4 2 6" xfId="27582" xr:uid="{DA0EAFDB-7178-40EE-97A9-81DC7920D249}"/>
    <cellStyle name="40% - Accent4 2 4 2_Exh G" xfId="3107" xr:uid="{00000000-0005-0000-0000-000010420000}"/>
    <cellStyle name="40% - Accent4 2 4 3" xfId="4528" xr:uid="{00000000-0005-0000-0000-000011420000}"/>
    <cellStyle name="40% - Accent4 2 4 3 2" xfId="8120" xr:uid="{00000000-0005-0000-0000-000012420000}"/>
    <cellStyle name="40% - Accent4 2 4 3 2 2" xfId="16091" xr:uid="{00000000-0005-0000-0000-000013420000}"/>
    <cellStyle name="40% - Accent4 2 4 3 2 2 2" xfId="39933" xr:uid="{4C6A2FCE-D62B-450A-9E3F-B948DE4E19E8}"/>
    <cellStyle name="40% - Accent4 2 4 3 2 3" xfId="24037" xr:uid="{00000000-0005-0000-0000-000014420000}"/>
    <cellStyle name="40% - Accent4 2 4 3 2 3 2" xfId="47869" xr:uid="{1144C03E-F74E-47C4-BB1D-880B10ADE431}"/>
    <cellStyle name="40% - Accent4 2 4 3 2 4" xfId="31992" xr:uid="{AC32F730-8BAA-40DC-961D-9D6CD2B7B706}"/>
    <cellStyle name="40% - Accent4 2 4 3 3" xfId="12553" xr:uid="{00000000-0005-0000-0000-000015420000}"/>
    <cellStyle name="40% - Accent4 2 4 3 3 2" xfId="36402" xr:uid="{9D8BA786-5D34-4261-844F-E9D70E9DA38E}"/>
    <cellStyle name="40% - Accent4 2 4 3 4" xfId="20508" xr:uid="{00000000-0005-0000-0000-000016420000}"/>
    <cellStyle name="40% - Accent4 2 4 3 4 2" xfId="44340" xr:uid="{7454A02C-88C9-4F7B-B59C-6EE44B8A47E8}"/>
    <cellStyle name="40% - Accent4 2 4 3 5" xfId="28461" xr:uid="{3257DA1B-EE44-4D2F-80D3-FBD6815B117A}"/>
    <cellStyle name="40% - Accent4 2 4 4" xfId="6358" xr:uid="{00000000-0005-0000-0000-000017420000}"/>
    <cellStyle name="40% - Accent4 2 4 4 2" xfId="14333" xr:uid="{00000000-0005-0000-0000-000018420000}"/>
    <cellStyle name="40% - Accent4 2 4 4 2 2" xfId="38175" xr:uid="{92C98F21-3F25-4279-BC6E-A8225582367F}"/>
    <cellStyle name="40% - Accent4 2 4 4 3" xfId="22280" xr:uid="{00000000-0005-0000-0000-000019420000}"/>
    <cellStyle name="40% - Accent4 2 4 4 3 2" xfId="46112" xr:uid="{B1A89891-A03D-49EB-968C-4DB6A1EFD2E6}"/>
    <cellStyle name="40% - Accent4 2 4 4 4" xfId="30234" xr:uid="{654773FA-CE4C-4371-AF18-139BDCF4A5C0}"/>
    <cellStyle name="40% - Accent4 2 4 5" xfId="9901" xr:uid="{00000000-0005-0000-0000-00001A420000}"/>
    <cellStyle name="40% - Accent4 2 4 5 2" xfId="17859" xr:uid="{00000000-0005-0000-0000-00001B420000}"/>
    <cellStyle name="40% - Accent4 2 4 5 2 2" xfId="41699" xr:uid="{5443139E-6122-4CE2-A8C7-86434B998E0B}"/>
    <cellStyle name="40% - Accent4 2 4 5 3" xfId="25803" xr:uid="{00000000-0005-0000-0000-00001C420000}"/>
    <cellStyle name="40% - Accent4 2 4 5 3 2" xfId="49635" xr:uid="{85C81B12-AAAE-4C3E-A203-FC191BC1CE3A}"/>
    <cellStyle name="40% - Accent4 2 4 5 4" xfId="33758" xr:uid="{33BE3F59-32AD-49DF-A600-4081141F3614}"/>
    <cellStyle name="40% - Accent4 2 4 6" xfId="10797" xr:uid="{00000000-0005-0000-0000-00001D420000}"/>
    <cellStyle name="40% - Accent4 2 4 6 2" xfId="34646" xr:uid="{A2CCB97E-D373-4136-B8AD-EFFD087CF093}"/>
    <cellStyle name="40% - Accent4 2 4 7" xfId="18752" xr:uid="{00000000-0005-0000-0000-00001E420000}"/>
    <cellStyle name="40% - Accent4 2 4 7 2" xfId="42584" xr:uid="{6C9693D6-41B4-4D98-A3A1-14DC31FF2D35}"/>
    <cellStyle name="40% - Accent4 2 4 8" xfId="26704" xr:uid="{4EF0658D-D9D2-4A77-A213-5D888E59808F}"/>
    <cellStyle name="40% - Accent4 2 4_Exh G" xfId="3106" xr:uid="{00000000-0005-0000-0000-00001F420000}"/>
    <cellStyle name="40% - Accent4 2 5" xfId="1531" xr:uid="{00000000-0005-0000-0000-000020420000}"/>
    <cellStyle name="40% - Accent4 2 5 2" xfId="5061" xr:uid="{00000000-0005-0000-0000-000021420000}"/>
    <cellStyle name="40% - Accent4 2 5 2 2" xfId="8652" xr:uid="{00000000-0005-0000-0000-000022420000}"/>
    <cellStyle name="40% - Accent4 2 5 2 2 2" xfId="16623" xr:uid="{00000000-0005-0000-0000-000023420000}"/>
    <cellStyle name="40% - Accent4 2 5 2 2 2 2" xfId="40465" xr:uid="{C1FEBA76-1D6E-4D5C-AF1B-581933AE9C13}"/>
    <cellStyle name="40% - Accent4 2 5 2 2 3" xfId="24569" xr:uid="{00000000-0005-0000-0000-000024420000}"/>
    <cellStyle name="40% - Accent4 2 5 2 2 3 2" xfId="48401" xr:uid="{48D9CB70-E02C-4BEC-ACBA-4299EB31FBCD}"/>
    <cellStyle name="40% - Accent4 2 5 2 2 4" xfId="32524" xr:uid="{6B48B180-2F11-44FB-A7B9-A1B280A79C6C}"/>
    <cellStyle name="40% - Accent4 2 5 2 3" xfId="13085" xr:uid="{00000000-0005-0000-0000-000025420000}"/>
    <cellStyle name="40% - Accent4 2 5 2 3 2" xfId="36934" xr:uid="{D9592565-8542-4260-9C19-F7D60F2D9649}"/>
    <cellStyle name="40% - Accent4 2 5 2 4" xfId="21040" xr:uid="{00000000-0005-0000-0000-000026420000}"/>
    <cellStyle name="40% - Accent4 2 5 2 4 2" xfId="44872" xr:uid="{90C4A698-8C1B-40A5-B646-D1AFA7069D71}"/>
    <cellStyle name="40% - Accent4 2 5 2 5" xfId="28993" xr:uid="{851CD6DE-1BBD-4CF2-95B0-D8F4D8859EFD}"/>
    <cellStyle name="40% - Accent4 2 5 3" xfId="6893" xr:uid="{00000000-0005-0000-0000-000027420000}"/>
    <cellStyle name="40% - Accent4 2 5 3 2" xfId="14865" xr:uid="{00000000-0005-0000-0000-000028420000}"/>
    <cellStyle name="40% - Accent4 2 5 3 2 2" xfId="38707" xr:uid="{AF431400-BA85-4E91-9357-DCBCECA2330D}"/>
    <cellStyle name="40% - Accent4 2 5 3 3" xfId="22812" xr:uid="{00000000-0005-0000-0000-000029420000}"/>
    <cellStyle name="40% - Accent4 2 5 3 3 2" xfId="46644" xr:uid="{C7A07EAD-E8EA-4F62-A29D-E952962BFE83}"/>
    <cellStyle name="40% - Accent4 2 5 3 4" xfId="30766" xr:uid="{E49F4070-350B-4577-96C9-527291C00DD9}"/>
    <cellStyle name="40% - Accent4 2 5 4" xfId="11329" xr:uid="{00000000-0005-0000-0000-00002A420000}"/>
    <cellStyle name="40% - Accent4 2 5 4 2" xfId="35178" xr:uid="{4D116ACE-8885-4A01-AC76-AC0487B6B32F}"/>
    <cellStyle name="40% - Accent4 2 5 5" xfId="19284" xr:uid="{00000000-0005-0000-0000-00002B420000}"/>
    <cellStyle name="40% - Accent4 2 5 5 2" xfId="43116" xr:uid="{9B7B9A79-570B-4057-84A7-0D54AEA77937}"/>
    <cellStyle name="40% - Accent4 2 5 6" xfId="27236" xr:uid="{781D9EB0-6F0C-49F8-9914-FBBC6BF978CA}"/>
    <cellStyle name="40% - Accent4 2 5_Exh G" xfId="3108" xr:uid="{00000000-0005-0000-0000-00002C420000}"/>
    <cellStyle name="40% - Accent4 2 6" xfId="4182" xr:uid="{00000000-0005-0000-0000-00002D420000}"/>
    <cellStyle name="40% - Accent4 2 6 2" xfId="7774" xr:uid="{00000000-0005-0000-0000-00002E420000}"/>
    <cellStyle name="40% - Accent4 2 6 2 2" xfId="15745" xr:uid="{00000000-0005-0000-0000-00002F420000}"/>
    <cellStyle name="40% - Accent4 2 6 2 2 2" xfId="39587" xr:uid="{7A72D268-95B0-46EE-8675-0D555F42F1D8}"/>
    <cellStyle name="40% - Accent4 2 6 2 3" xfId="23691" xr:uid="{00000000-0005-0000-0000-000030420000}"/>
    <cellStyle name="40% - Accent4 2 6 2 3 2" xfId="47523" xr:uid="{45BC722A-4AA1-4E2D-AAD5-AA7D978E2A9F}"/>
    <cellStyle name="40% - Accent4 2 6 2 4" xfId="31646" xr:uid="{6280B64F-1129-455A-B9D9-2FC907B5D686}"/>
    <cellStyle name="40% - Accent4 2 6 3" xfId="12207" xr:uid="{00000000-0005-0000-0000-000031420000}"/>
    <cellStyle name="40% - Accent4 2 6 3 2" xfId="36056" xr:uid="{84C1C32A-D394-4683-B3A0-BC6C5FAF8D78}"/>
    <cellStyle name="40% - Accent4 2 6 4" xfId="20162" xr:uid="{00000000-0005-0000-0000-000032420000}"/>
    <cellStyle name="40% - Accent4 2 6 4 2" xfId="43994" xr:uid="{CBB32699-E694-4E1E-B6CD-466CC1E135C5}"/>
    <cellStyle name="40% - Accent4 2 6 5" xfId="28115" xr:uid="{F06A3372-EDB2-42B9-816A-A326A33B0794}"/>
    <cellStyle name="40% - Accent4 2 7" xfId="6002" xr:uid="{00000000-0005-0000-0000-000033420000}"/>
    <cellStyle name="40% - Accent4 2 7 2" xfId="13986" xr:uid="{00000000-0005-0000-0000-000034420000}"/>
    <cellStyle name="40% - Accent4 2 7 2 2" xfId="37829" xr:uid="{B8BAEC34-C367-4972-B94B-C7733DB280CB}"/>
    <cellStyle name="40% - Accent4 2 7 3" xfId="21934" xr:uid="{00000000-0005-0000-0000-000035420000}"/>
    <cellStyle name="40% - Accent4 2 7 3 2" xfId="45766" xr:uid="{E7463EA1-84B3-4434-A289-C8261E57AB78}"/>
    <cellStyle name="40% - Accent4 2 7 4" xfId="29888" xr:uid="{D8C621DE-D38E-43D0-AFAD-0DD4479B8393}"/>
    <cellStyle name="40% - Accent4 2 8" xfId="9555" xr:uid="{00000000-0005-0000-0000-000036420000}"/>
    <cellStyle name="40% - Accent4 2 8 2" xfId="17513" xr:uid="{00000000-0005-0000-0000-000037420000}"/>
    <cellStyle name="40% - Accent4 2 8 2 2" xfId="41353" xr:uid="{92EC5AD4-9BEF-434E-A269-A143CD531C38}"/>
    <cellStyle name="40% - Accent4 2 8 3" xfId="25457" xr:uid="{00000000-0005-0000-0000-000038420000}"/>
    <cellStyle name="40% - Accent4 2 8 3 2" xfId="49289" xr:uid="{A1EC5AD2-5D57-429B-9B5D-7B4D613857A8}"/>
    <cellStyle name="40% - Accent4 2 8 4" xfId="33412" xr:uid="{D23E3B21-BE1D-48B9-95D6-58062F110EEC}"/>
    <cellStyle name="40% - Accent4 2 9" xfId="10451" xr:uid="{00000000-0005-0000-0000-000039420000}"/>
    <cellStyle name="40% - Accent4 2 9 2" xfId="34300" xr:uid="{0CA3DB56-3DC9-4C9E-A4BC-F9A344E1E025}"/>
    <cellStyle name="40% - Accent4 2_Exh G" xfId="3097" xr:uid="{00000000-0005-0000-0000-00003A420000}"/>
    <cellStyle name="40% - Accent4 3" xfId="507" xr:uid="{00000000-0005-0000-0000-00003B420000}"/>
    <cellStyle name="40% - Accent4 3 10" xfId="18410" xr:uid="{00000000-0005-0000-0000-00003C420000}"/>
    <cellStyle name="40% - Accent4 3 10 2" xfId="42242" xr:uid="{49916F93-9D85-4322-B891-5714523448AC}"/>
    <cellStyle name="40% - Accent4 3 11" xfId="26362" xr:uid="{704D65E6-3812-458E-8780-F1BD932EABC7}"/>
    <cellStyle name="40% - Accent4 3 12" xfId="49772" xr:uid="{035F9CAE-C5B0-4BA8-ACB3-3374E481DDF7}"/>
    <cellStyle name="40% - Accent4 3 13" xfId="49826" xr:uid="{90095F8B-97D1-444B-B9E6-FF108C247D51}"/>
    <cellStyle name="40% - Accent4 3 2" xfId="508" xr:uid="{00000000-0005-0000-0000-00003D420000}"/>
    <cellStyle name="40% - Accent4 3 2 10" xfId="26363" xr:uid="{23323BF3-4995-48D2-BF93-162B62F7705E}"/>
    <cellStyle name="40% - Accent4 3 2 2" xfId="509" xr:uid="{00000000-0005-0000-0000-00003E420000}"/>
    <cellStyle name="40% - Accent4 3 2 2 2" xfId="1537" xr:uid="{00000000-0005-0000-0000-00003F420000}"/>
    <cellStyle name="40% - Accent4 3 2 2 2 2" xfId="5067" xr:uid="{00000000-0005-0000-0000-000040420000}"/>
    <cellStyle name="40% - Accent4 3 2 2 2 2 2" xfId="8658" xr:uid="{00000000-0005-0000-0000-000041420000}"/>
    <cellStyle name="40% - Accent4 3 2 2 2 2 2 2" xfId="16629" xr:uid="{00000000-0005-0000-0000-000042420000}"/>
    <cellStyle name="40% - Accent4 3 2 2 2 2 2 2 2" xfId="40471" xr:uid="{FE44741B-91D6-46B8-BBC9-D24D4D515EF2}"/>
    <cellStyle name="40% - Accent4 3 2 2 2 2 2 3" xfId="24575" xr:uid="{00000000-0005-0000-0000-000043420000}"/>
    <cellStyle name="40% - Accent4 3 2 2 2 2 2 3 2" xfId="48407" xr:uid="{B84F2D39-6105-48EE-BB50-3E9261ECFD73}"/>
    <cellStyle name="40% - Accent4 3 2 2 2 2 2 4" xfId="32530" xr:uid="{1E86C068-057C-4287-AEFF-4CA5E208CF19}"/>
    <cellStyle name="40% - Accent4 3 2 2 2 2 3" xfId="13091" xr:uid="{00000000-0005-0000-0000-000044420000}"/>
    <cellStyle name="40% - Accent4 3 2 2 2 2 3 2" xfId="36940" xr:uid="{8514BDE4-4446-490E-9480-CE58F5911459}"/>
    <cellStyle name="40% - Accent4 3 2 2 2 2 4" xfId="21046" xr:uid="{00000000-0005-0000-0000-000045420000}"/>
    <cellStyle name="40% - Accent4 3 2 2 2 2 4 2" xfId="44878" xr:uid="{B8E67818-F028-4BAC-8CB6-4F23223D8443}"/>
    <cellStyle name="40% - Accent4 3 2 2 2 2 5" xfId="28999" xr:uid="{9615B3B5-886B-4734-9ED7-80AEDBAD6EFC}"/>
    <cellStyle name="40% - Accent4 3 2 2 2 3" xfId="6899" xr:uid="{00000000-0005-0000-0000-000046420000}"/>
    <cellStyle name="40% - Accent4 3 2 2 2 3 2" xfId="14871" xr:uid="{00000000-0005-0000-0000-000047420000}"/>
    <cellStyle name="40% - Accent4 3 2 2 2 3 2 2" xfId="38713" xr:uid="{5B2A7079-460C-491E-B015-7F9C8073AC93}"/>
    <cellStyle name="40% - Accent4 3 2 2 2 3 3" xfId="22818" xr:uid="{00000000-0005-0000-0000-000048420000}"/>
    <cellStyle name="40% - Accent4 3 2 2 2 3 3 2" xfId="46650" xr:uid="{E8DF3231-E0CD-45F2-82A6-A2F57A1BFB99}"/>
    <cellStyle name="40% - Accent4 3 2 2 2 3 4" xfId="30772" xr:uid="{A6FF5BC9-5E2C-458D-BEFF-363ACDE4E617}"/>
    <cellStyle name="40% - Accent4 3 2 2 2 4" xfId="11335" xr:uid="{00000000-0005-0000-0000-000049420000}"/>
    <cellStyle name="40% - Accent4 3 2 2 2 4 2" xfId="35184" xr:uid="{C4FB5B39-3EBD-41D5-A8FB-1A9D85EC05A7}"/>
    <cellStyle name="40% - Accent4 3 2 2 2 5" xfId="19290" xr:uid="{00000000-0005-0000-0000-00004A420000}"/>
    <cellStyle name="40% - Accent4 3 2 2 2 5 2" xfId="43122" xr:uid="{EC8D52D5-257A-47FC-B75C-33133B6663D8}"/>
    <cellStyle name="40% - Accent4 3 2 2 2 6" xfId="27242" xr:uid="{60622B2D-F32F-475A-B209-74309E9119BF}"/>
    <cellStyle name="40% - Accent4 3 2 2 2_Exh G" xfId="3112" xr:uid="{00000000-0005-0000-0000-00004B420000}"/>
    <cellStyle name="40% - Accent4 3 2 2 3" xfId="4188" xr:uid="{00000000-0005-0000-0000-00004C420000}"/>
    <cellStyle name="40% - Accent4 3 2 2 3 2" xfId="7780" xr:uid="{00000000-0005-0000-0000-00004D420000}"/>
    <cellStyle name="40% - Accent4 3 2 2 3 2 2" xfId="15751" xr:uid="{00000000-0005-0000-0000-00004E420000}"/>
    <cellStyle name="40% - Accent4 3 2 2 3 2 2 2" xfId="39593" xr:uid="{7831F4BD-8A93-4DBF-8C57-9EB841A2006A}"/>
    <cellStyle name="40% - Accent4 3 2 2 3 2 3" xfId="23697" xr:uid="{00000000-0005-0000-0000-00004F420000}"/>
    <cellStyle name="40% - Accent4 3 2 2 3 2 3 2" xfId="47529" xr:uid="{4D1A4858-8C23-40B0-B4D9-AAE05C4482C4}"/>
    <cellStyle name="40% - Accent4 3 2 2 3 2 4" xfId="31652" xr:uid="{43558F6A-117B-4BB0-BE9C-AD2CB980A0A9}"/>
    <cellStyle name="40% - Accent4 3 2 2 3 3" xfId="12213" xr:uid="{00000000-0005-0000-0000-000050420000}"/>
    <cellStyle name="40% - Accent4 3 2 2 3 3 2" xfId="36062" xr:uid="{1F916163-4CB4-46D0-A626-3BE5D253FAAE}"/>
    <cellStyle name="40% - Accent4 3 2 2 3 4" xfId="20168" xr:uid="{00000000-0005-0000-0000-000051420000}"/>
    <cellStyle name="40% - Accent4 3 2 2 3 4 2" xfId="44000" xr:uid="{5EF445DE-BCE4-4811-8276-ED0BB348A4A9}"/>
    <cellStyle name="40% - Accent4 3 2 2 3 5" xfId="28121" xr:uid="{F1767D6F-F057-423B-86AC-1F9C7D22A811}"/>
    <cellStyle name="40% - Accent4 3 2 2 4" xfId="6008" xr:uid="{00000000-0005-0000-0000-000052420000}"/>
    <cellStyle name="40% - Accent4 3 2 2 4 2" xfId="13992" xr:uid="{00000000-0005-0000-0000-000053420000}"/>
    <cellStyle name="40% - Accent4 3 2 2 4 2 2" xfId="37835" xr:uid="{651E779F-A241-4143-BC53-CB68B488F404}"/>
    <cellStyle name="40% - Accent4 3 2 2 4 3" xfId="21940" xr:uid="{00000000-0005-0000-0000-000054420000}"/>
    <cellStyle name="40% - Accent4 3 2 2 4 3 2" xfId="45772" xr:uid="{8D5E4F32-C3C2-48F0-85B0-81402FE2A7F3}"/>
    <cellStyle name="40% - Accent4 3 2 2 4 4" xfId="29894" xr:uid="{E6A31E4F-1EB8-4D01-B5F0-1134ACD9AD44}"/>
    <cellStyle name="40% - Accent4 3 2 2 5" xfId="9561" xr:uid="{00000000-0005-0000-0000-000055420000}"/>
    <cellStyle name="40% - Accent4 3 2 2 5 2" xfId="17519" xr:uid="{00000000-0005-0000-0000-000056420000}"/>
    <cellStyle name="40% - Accent4 3 2 2 5 2 2" xfId="41359" xr:uid="{82E8496C-5740-4565-B685-E4DD676C8D82}"/>
    <cellStyle name="40% - Accent4 3 2 2 5 3" xfId="25463" xr:uid="{00000000-0005-0000-0000-000057420000}"/>
    <cellStyle name="40% - Accent4 3 2 2 5 3 2" xfId="49295" xr:uid="{FB6CC448-D97B-492A-9019-3823278373FA}"/>
    <cellStyle name="40% - Accent4 3 2 2 5 4" xfId="33418" xr:uid="{9CBDE43F-B335-4673-8B50-10798DC0E1D0}"/>
    <cellStyle name="40% - Accent4 3 2 2 6" xfId="10457" xr:uid="{00000000-0005-0000-0000-000058420000}"/>
    <cellStyle name="40% - Accent4 3 2 2 6 2" xfId="34306" xr:uid="{95D2E2F6-BDC5-4E81-9D25-59F597AF1EAA}"/>
    <cellStyle name="40% - Accent4 3 2 2 7" xfId="18412" xr:uid="{00000000-0005-0000-0000-000059420000}"/>
    <cellStyle name="40% - Accent4 3 2 2 7 2" xfId="42244" xr:uid="{1CD30561-E1E3-4CB0-9E94-AA7170F4CD07}"/>
    <cellStyle name="40% - Accent4 3 2 2 8" xfId="26364" xr:uid="{E9380D34-3375-400B-B93E-65B073CE4297}"/>
    <cellStyle name="40% - Accent4 3 2 2_Exh G" xfId="3111" xr:uid="{00000000-0005-0000-0000-00005A420000}"/>
    <cellStyle name="40% - Accent4 3 2 3" xfId="974" xr:uid="{00000000-0005-0000-0000-00005B420000}"/>
    <cellStyle name="40% - Accent4 3 2 3 2" xfId="1892" xr:uid="{00000000-0005-0000-0000-00005C420000}"/>
    <cellStyle name="40% - Accent4 3 2 3 2 2" xfId="5410" xr:uid="{00000000-0005-0000-0000-00005D420000}"/>
    <cellStyle name="40% - Accent4 3 2 3 2 2 2" xfId="9001" xr:uid="{00000000-0005-0000-0000-00005E420000}"/>
    <cellStyle name="40% - Accent4 3 2 3 2 2 2 2" xfId="16972" xr:uid="{00000000-0005-0000-0000-00005F420000}"/>
    <cellStyle name="40% - Accent4 3 2 3 2 2 2 2 2" xfId="40814" xr:uid="{49330E50-3941-4C04-BA1D-5A9C617EB3EF}"/>
    <cellStyle name="40% - Accent4 3 2 3 2 2 2 3" xfId="24918" xr:uid="{00000000-0005-0000-0000-000060420000}"/>
    <cellStyle name="40% - Accent4 3 2 3 2 2 2 3 2" xfId="48750" xr:uid="{A86F116B-CC41-448D-968A-F66BE6250B6D}"/>
    <cellStyle name="40% - Accent4 3 2 3 2 2 2 4" xfId="32873" xr:uid="{532CF3DD-FE6F-481B-80CE-C24357095A7F}"/>
    <cellStyle name="40% - Accent4 3 2 3 2 2 3" xfId="13434" xr:uid="{00000000-0005-0000-0000-000061420000}"/>
    <cellStyle name="40% - Accent4 3 2 3 2 2 3 2" xfId="37283" xr:uid="{B6FD8A8D-A21C-485C-9A3F-8CF56EBE75CD}"/>
    <cellStyle name="40% - Accent4 3 2 3 2 2 4" xfId="21389" xr:uid="{00000000-0005-0000-0000-000062420000}"/>
    <cellStyle name="40% - Accent4 3 2 3 2 2 4 2" xfId="45221" xr:uid="{A20F9225-6F39-4424-8158-15520356104D}"/>
    <cellStyle name="40% - Accent4 3 2 3 2 2 5" xfId="29342" xr:uid="{7CACD3AF-0FFA-4844-94C1-0DC99D7530B7}"/>
    <cellStyle name="40% - Accent4 3 2 3 2 3" xfId="7242" xr:uid="{00000000-0005-0000-0000-000063420000}"/>
    <cellStyle name="40% - Accent4 3 2 3 2 3 2" xfId="15214" xr:uid="{00000000-0005-0000-0000-000064420000}"/>
    <cellStyle name="40% - Accent4 3 2 3 2 3 2 2" xfId="39056" xr:uid="{551A2799-98B8-4810-B886-59B02043CA2C}"/>
    <cellStyle name="40% - Accent4 3 2 3 2 3 3" xfId="23161" xr:uid="{00000000-0005-0000-0000-000065420000}"/>
    <cellStyle name="40% - Accent4 3 2 3 2 3 3 2" xfId="46993" xr:uid="{5E8A5D29-5497-44A3-AA8B-3994C6D820CA}"/>
    <cellStyle name="40% - Accent4 3 2 3 2 3 4" xfId="31115" xr:uid="{7DB7D26D-2D85-4F87-938B-E29B1FCEC405}"/>
    <cellStyle name="40% - Accent4 3 2 3 2 4" xfId="11678" xr:uid="{00000000-0005-0000-0000-000066420000}"/>
    <cellStyle name="40% - Accent4 3 2 3 2 4 2" xfId="35527" xr:uid="{AC0F22F6-FB37-4623-A335-C8EF661EDC36}"/>
    <cellStyle name="40% - Accent4 3 2 3 2 5" xfId="19633" xr:uid="{00000000-0005-0000-0000-000067420000}"/>
    <cellStyle name="40% - Accent4 3 2 3 2 5 2" xfId="43465" xr:uid="{A0E597D5-8DBE-4C91-99F4-3CA819679678}"/>
    <cellStyle name="40% - Accent4 3 2 3 2 6" xfId="27585" xr:uid="{6C4E6BBB-B3F0-455B-9ECD-1D38EEEA0127}"/>
    <cellStyle name="40% - Accent4 3 2 3 2_Exh G" xfId="3114" xr:uid="{00000000-0005-0000-0000-000068420000}"/>
    <cellStyle name="40% - Accent4 3 2 3 3" xfId="4531" xr:uid="{00000000-0005-0000-0000-000069420000}"/>
    <cellStyle name="40% - Accent4 3 2 3 3 2" xfId="8123" xr:uid="{00000000-0005-0000-0000-00006A420000}"/>
    <cellStyle name="40% - Accent4 3 2 3 3 2 2" xfId="16094" xr:uid="{00000000-0005-0000-0000-00006B420000}"/>
    <cellStyle name="40% - Accent4 3 2 3 3 2 2 2" xfId="39936" xr:uid="{744F78D7-ACA1-49AC-8DB1-AEAF253CAC26}"/>
    <cellStyle name="40% - Accent4 3 2 3 3 2 3" xfId="24040" xr:uid="{00000000-0005-0000-0000-00006C420000}"/>
    <cellStyle name="40% - Accent4 3 2 3 3 2 3 2" xfId="47872" xr:uid="{243C5EBB-47A5-4AA0-9482-49317993EE3B}"/>
    <cellStyle name="40% - Accent4 3 2 3 3 2 4" xfId="31995" xr:uid="{98D854A5-07F6-4042-820C-9950F1FEAAF1}"/>
    <cellStyle name="40% - Accent4 3 2 3 3 3" xfId="12556" xr:uid="{00000000-0005-0000-0000-00006D420000}"/>
    <cellStyle name="40% - Accent4 3 2 3 3 3 2" xfId="36405" xr:uid="{D0414C77-8912-4A0C-99D1-B3CF432972CA}"/>
    <cellStyle name="40% - Accent4 3 2 3 3 4" xfId="20511" xr:uid="{00000000-0005-0000-0000-00006E420000}"/>
    <cellStyle name="40% - Accent4 3 2 3 3 4 2" xfId="44343" xr:uid="{FCD77185-01C6-4BFD-80FD-2096C44DC0FF}"/>
    <cellStyle name="40% - Accent4 3 2 3 3 5" xfId="28464" xr:uid="{84496EC1-4678-49B4-B6A3-22ADC8DBD235}"/>
    <cellStyle name="40% - Accent4 3 2 3 4" xfId="6361" xr:uid="{00000000-0005-0000-0000-00006F420000}"/>
    <cellStyle name="40% - Accent4 3 2 3 4 2" xfId="14336" xr:uid="{00000000-0005-0000-0000-000070420000}"/>
    <cellStyle name="40% - Accent4 3 2 3 4 2 2" xfId="38178" xr:uid="{E3B0C46C-BAEF-43D0-8128-40CBAAB11E74}"/>
    <cellStyle name="40% - Accent4 3 2 3 4 3" xfId="22283" xr:uid="{00000000-0005-0000-0000-000071420000}"/>
    <cellStyle name="40% - Accent4 3 2 3 4 3 2" xfId="46115" xr:uid="{50008A7B-4C4B-4D99-9314-2D2A8728D1C6}"/>
    <cellStyle name="40% - Accent4 3 2 3 4 4" xfId="30237" xr:uid="{77F64F59-E8B8-46ED-864E-4F0B47DD00F9}"/>
    <cellStyle name="40% - Accent4 3 2 3 5" xfId="9904" xr:uid="{00000000-0005-0000-0000-000072420000}"/>
    <cellStyle name="40% - Accent4 3 2 3 5 2" xfId="17862" xr:uid="{00000000-0005-0000-0000-000073420000}"/>
    <cellStyle name="40% - Accent4 3 2 3 5 2 2" xfId="41702" xr:uid="{425615C1-5F67-4A52-A6D1-B917192AE23E}"/>
    <cellStyle name="40% - Accent4 3 2 3 5 3" xfId="25806" xr:uid="{00000000-0005-0000-0000-000074420000}"/>
    <cellStyle name="40% - Accent4 3 2 3 5 3 2" xfId="49638" xr:uid="{7E022157-9A02-4E77-8988-020B072E7924}"/>
    <cellStyle name="40% - Accent4 3 2 3 5 4" xfId="33761" xr:uid="{837D4625-5D43-44BD-B1F5-157EE2862F1F}"/>
    <cellStyle name="40% - Accent4 3 2 3 6" xfId="10800" xr:uid="{00000000-0005-0000-0000-000075420000}"/>
    <cellStyle name="40% - Accent4 3 2 3 6 2" xfId="34649" xr:uid="{DB431E61-DE3F-4AF0-AD74-138401F4AC64}"/>
    <cellStyle name="40% - Accent4 3 2 3 7" xfId="18755" xr:uid="{00000000-0005-0000-0000-000076420000}"/>
    <cellStyle name="40% - Accent4 3 2 3 7 2" xfId="42587" xr:uid="{57258889-4FE3-46B8-95C5-8FAD2FFCA8B7}"/>
    <cellStyle name="40% - Accent4 3 2 3 8" xfId="26707" xr:uid="{0349E3F8-E68F-4EA0-99C5-030642A7124C}"/>
    <cellStyle name="40% - Accent4 3 2 3_Exh G" xfId="3113" xr:uid="{00000000-0005-0000-0000-000077420000}"/>
    <cellStyle name="40% - Accent4 3 2 4" xfId="1536" xr:uid="{00000000-0005-0000-0000-000078420000}"/>
    <cellStyle name="40% - Accent4 3 2 4 2" xfId="5066" xr:uid="{00000000-0005-0000-0000-000079420000}"/>
    <cellStyle name="40% - Accent4 3 2 4 2 2" xfId="8657" xr:uid="{00000000-0005-0000-0000-00007A420000}"/>
    <cellStyle name="40% - Accent4 3 2 4 2 2 2" xfId="16628" xr:uid="{00000000-0005-0000-0000-00007B420000}"/>
    <cellStyle name="40% - Accent4 3 2 4 2 2 2 2" xfId="40470" xr:uid="{27F9CCD1-B22C-49F8-AC21-2872D95D4586}"/>
    <cellStyle name="40% - Accent4 3 2 4 2 2 3" xfId="24574" xr:uid="{00000000-0005-0000-0000-00007C420000}"/>
    <cellStyle name="40% - Accent4 3 2 4 2 2 3 2" xfId="48406" xr:uid="{73274771-B831-4019-A63C-A550EB8A3441}"/>
    <cellStyle name="40% - Accent4 3 2 4 2 2 4" xfId="32529" xr:uid="{8C05C1A6-1841-4463-AB23-C6987E825393}"/>
    <cellStyle name="40% - Accent4 3 2 4 2 3" xfId="13090" xr:uid="{00000000-0005-0000-0000-00007D420000}"/>
    <cellStyle name="40% - Accent4 3 2 4 2 3 2" xfId="36939" xr:uid="{208EB7D2-6A98-48FD-A36F-C8856F1257B5}"/>
    <cellStyle name="40% - Accent4 3 2 4 2 4" xfId="21045" xr:uid="{00000000-0005-0000-0000-00007E420000}"/>
    <cellStyle name="40% - Accent4 3 2 4 2 4 2" xfId="44877" xr:uid="{9E4470DA-8FDF-4F04-98FF-8AC7AD670188}"/>
    <cellStyle name="40% - Accent4 3 2 4 2 5" xfId="28998" xr:uid="{E0E815E4-7E80-4097-AE45-86C8A34503DA}"/>
    <cellStyle name="40% - Accent4 3 2 4 3" xfId="6898" xr:uid="{00000000-0005-0000-0000-00007F420000}"/>
    <cellStyle name="40% - Accent4 3 2 4 3 2" xfId="14870" xr:uid="{00000000-0005-0000-0000-000080420000}"/>
    <cellStyle name="40% - Accent4 3 2 4 3 2 2" xfId="38712" xr:uid="{86E8FFB2-52F8-461A-8A8F-031D4099961C}"/>
    <cellStyle name="40% - Accent4 3 2 4 3 3" xfId="22817" xr:uid="{00000000-0005-0000-0000-000081420000}"/>
    <cellStyle name="40% - Accent4 3 2 4 3 3 2" xfId="46649" xr:uid="{B405BDEE-97B2-49B2-83F9-F2BD85F8A49A}"/>
    <cellStyle name="40% - Accent4 3 2 4 3 4" xfId="30771" xr:uid="{BFACB55D-CA6E-406A-9A77-5EA5D912621B}"/>
    <cellStyle name="40% - Accent4 3 2 4 4" xfId="11334" xr:uid="{00000000-0005-0000-0000-000082420000}"/>
    <cellStyle name="40% - Accent4 3 2 4 4 2" xfId="35183" xr:uid="{7DE6EA36-AFC4-4903-974E-3C9C323D9764}"/>
    <cellStyle name="40% - Accent4 3 2 4 5" xfId="19289" xr:uid="{00000000-0005-0000-0000-000083420000}"/>
    <cellStyle name="40% - Accent4 3 2 4 5 2" xfId="43121" xr:uid="{669D7D72-9354-4E9D-A150-353F5C9DCA04}"/>
    <cellStyle name="40% - Accent4 3 2 4 6" xfId="27241" xr:uid="{3C6208F0-00FF-4C34-B48F-3F8220301D10}"/>
    <cellStyle name="40% - Accent4 3 2 4_Exh G" xfId="3115" xr:uid="{00000000-0005-0000-0000-000084420000}"/>
    <cellStyle name="40% - Accent4 3 2 5" xfId="4187" xr:uid="{00000000-0005-0000-0000-000085420000}"/>
    <cellStyle name="40% - Accent4 3 2 5 2" xfId="7779" xr:uid="{00000000-0005-0000-0000-000086420000}"/>
    <cellStyle name="40% - Accent4 3 2 5 2 2" xfId="15750" xr:uid="{00000000-0005-0000-0000-000087420000}"/>
    <cellStyle name="40% - Accent4 3 2 5 2 2 2" xfId="39592" xr:uid="{8E6760F7-9AFB-4C7E-BAB0-2EF508955EE4}"/>
    <cellStyle name="40% - Accent4 3 2 5 2 3" xfId="23696" xr:uid="{00000000-0005-0000-0000-000088420000}"/>
    <cellStyle name="40% - Accent4 3 2 5 2 3 2" xfId="47528" xr:uid="{F0450BBF-E0EE-434D-969B-9AF7AB3030A3}"/>
    <cellStyle name="40% - Accent4 3 2 5 2 4" xfId="31651" xr:uid="{918FE828-0ABC-45AE-8AFE-A872EB4CEEA5}"/>
    <cellStyle name="40% - Accent4 3 2 5 3" xfId="12212" xr:uid="{00000000-0005-0000-0000-000089420000}"/>
    <cellStyle name="40% - Accent4 3 2 5 3 2" xfId="36061" xr:uid="{9B7D2F4A-C79C-4159-9D65-003B1CBC429E}"/>
    <cellStyle name="40% - Accent4 3 2 5 4" xfId="20167" xr:uid="{00000000-0005-0000-0000-00008A420000}"/>
    <cellStyle name="40% - Accent4 3 2 5 4 2" xfId="43999" xr:uid="{61A76E26-79E8-477D-9184-9569738810B2}"/>
    <cellStyle name="40% - Accent4 3 2 5 5" xfId="28120" xr:uid="{170CA39E-1D84-43F9-AA26-1AB9366F5465}"/>
    <cellStyle name="40% - Accent4 3 2 6" xfId="6007" xr:uid="{00000000-0005-0000-0000-00008B420000}"/>
    <cellStyle name="40% - Accent4 3 2 6 2" xfId="13991" xr:uid="{00000000-0005-0000-0000-00008C420000}"/>
    <cellStyle name="40% - Accent4 3 2 6 2 2" xfId="37834" xr:uid="{61BB1006-FF72-4DF0-9A3A-9C753BED0165}"/>
    <cellStyle name="40% - Accent4 3 2 6 3" xfId="21939" xr:uid="{00000000-0005-0000-0000-00008D420000}"/>
    <cellStyle name="40% - Accent4 3 2 6 3 2" xfId="45771" xr:uid="{B6A97396-7205-448E-82A3-F8009C8D1A16}"/>
    <cellStyle name="40% - Accent4 3 2 6 4" xfId="29893" xr:uid="{580BE241-31B9-45CC-ABC3-5A1BC1BE6001}"/>
    <cellStyle name="40% - Accent4 3 2 7" xfId="9560" xr:uid="{00000000-0005-0000-0000-00008E420000}"/>
    <cellStyle name="40% - Accent4 3 2 7 2" xfId="17518" xr:uid="{00000000-0005-0000-0000-00008F420000}"/>
    <cellStyle name="40% - Accent4 3 2 7 2 2" xfId="41358" xr:uid="{8E708B9B-E6C0-427F-8644-A2446210D5E8}"/>
    <cellStyle name="40% - Accent4 3 2 7 3" xfId="25462" xr:uid="{00000000-0005-0000-0000-000090420000}"/>
    <cellStyle name="40% - Accent4 3 2 7 3 2" xfId="49294" xr:uid="{E02AA4E5-51DF-4217-86DA-1A5E105484F9}"/>
    <cellStyle name="40% - Accent4 3 2 7 4" xfId="33417" xr:uid="{15FB393E-996C-4687-9DF3-BB1A92D76C57}"/>
    <cellStyle name="40% - Accent4 3 2 8" xfId="10456" xr:uid="{00000000-0005-0000-0000-000091420000}"/>
    <cellStyle name="40% - Accent4 3 2 8 2" xfId="34305" xr:uid="{D82E3D42-E108-4E46-8254-7B65C15797D2}"/>
    <cellStyle name="40% - Accent4 3 2 9" xfId="18411" xr:uid="{00000000-0005-0000-0000-000092420000}"/>
    <cellStyle name="40% - Accent4 3 2 9 2" xfId="42243" xr:uid="{8761760F-6115-459C-868F-C5E2612CC872}"/>
    <cellStyle name="40% - Accent4 3 2_Exh G" xfId="3110" xr:uid="{00000000-0005-0000-0000-000093420000}"/>
    <cellStyle name="40% - Accent4 3 3" xfId="510" xr:uid="{00000000-0005-0000-0000-000094420000}"/>
    <cellStyle name="40% - Accent4 3 3 2" xfId="1538" xr:uid="{00000000-0005-0000-0000-000095420000}"/>
    <cellStyle name="40% - Accent4 3 3 2 2" xfId="5068" xr:uid="{00000000-0005-0000-0000-000096420000}"/>
    <cellStyle name="40% - Accent4 3 3 2 2 2" xfId="8659" xr:uid="{00000000-0005-0000-0000-000097420000}"/>
    <cellStyle name="40% - Accent4 3 3 2 2 2 2" xfId="16630" xr:uid="{00000000-0005-0000-0000-000098420000}"/>
    <cellStyle name="40% - Accent4 3 3 2 2 2 2 2" xfId="40472" xr:uid="{35ED1A03-E224-46A4-938B-8F831B1213CE}"/>
    <cellStyle name="40% - Accent4 3 3 2 2 2 3" xfId="24576" xr:uid="{00000000-0005-0000-0000-000099420000}"/>
    <cellStyle name="40% - Accent4 3 3 2 2 2 3 2" xfId="48408" xr:uid="{A558D5B2-C87F-4F9A-9912-C3F63249B501}"/>
    <cellStyle name="40% - Accent4 3 3 2 2 2 4" xfId="32531" xr:uid="{B2623D0C-C0A5-4714-96AD-A77EDDB2168F}"/>
    <cellStyle name="40% - Accent4 3 3 2 2 3" xfId="13092" xr:uid="{00000000-0005-0000-0000-00009A420000}"/>
    <cellStyle name="40% - Accent4 3 3 2 2 3 2" xfId="36941" xr:uid="{B72EBBB2-D4D8-452A-88CC-330E7F4B1EA2}"/>
    <cellStyle name="40% - Accent4 3 3 2 2 4" xfId="21047" xr:uid="{00000000-0005-0000-0000-00009B420000}"/>
    <cellStyle name="40% - Accent4 3 3 2 2 4 2" xfId="44879" xr:uid="{1322A623-63BB-42EA-9D8F-97EDD7F5203F}"/>
    <cellStyle name="40% - Accent4 3 3 2 2 5" xfId="29000" xr:uid="{50498A66-5C70-4247-8DEA-F3F10310094E}"/>
    <cellStyle name="40% - Accent4 3 3 2 3" xfId="6900" xr:uid="{00000000-0005-0000-0000-00009C420000}"/>
    <cellStyle name="40% - Accent4 3 3 2 3 2" xfId="14872" xr:uid="{00000000-0005-0000-0000-00009D420000}"/>
    <cellStyle name="40% - Accent4 3 3 2 3 2 2" xfId="38714" xr:uid="{BE4D05D0-2844-4438-864A-4D6E5A362D49}"/>
    <cellStyle name="40% - Accent4 3 3 2 3 3" xfId="22819" xr:uid="{00000000-0005-0000-0000-00009E420000}"/>
    <cellStyle name="40% - Accent4 3 3 2 3 3 2" xfId="46651" xr:uid="{A4D0E37F-2F03-4B0A-9B26-2FCE4F148D82}"/>
    <cellStyle name="40% - Accent4 3 3 2 3 4" xfId="30773" xr:uid="{FBB818D9-D82B-424F-9BE8-D31C417409A6}"/>
    <cellStyle name="40% - Accent4 3 3 2 4" xfId="11336" xr:uid="{00000000-0005-0000-0000-00009F420000}"/>
    <cellStyle name="40% - Accent4 3 3 2 4 2" xfId="35185" xr:uid="{2D5AC206-6EEB-48F4-962A-1E3B561FC014}"/>
    <cellStyle name="40% - Accent4 3 3 2 5" xfId="19291" xr:uid="{00000000-0005-0000-0000-0000A0420000}"/>
    <cellStyle name="40% - Accent4 3 3 2 5 2" xfId="43123" xr:uid="{606FF65D-C694-4CB8-ACFB-92BEC51C1A6E}"/>
    <cellStyle name="40% - Accent4 3 3 2 6" xfId="27243" xr:uid="{4899E49C-69AB-4881-9799-F207EF3C3324}"/>
    <cellStyle name="40% - Accent4 3 3 2_Exh G" xfId="3117" xr:uid="{00000000-0005-0000-0000-0000A1420000}"/>
    <cellStyle name="40% - Accent4 3 3 3" xfId="4189" xr:uid="{00000000-0005-0000-0000-0000A2420000}"/>
    <cellStyle name="40% - Accent4 3 3 3 2" xfId="7781" xr:uid="{00000000-0005-0000-0000-0000A3420000}"/>
    <cellStyle name="40% - Accent4 3 3 3 2 2" xfId="15752" xr:uid="{00000000-0005-0000-0000-0000A4420000}"/>
    <cellStyle name="40% - Accent4 3 3 3 2 2 2" xfId="39594" xr:uid="{251A9456-3D47-4195-B0A7-FEE46B912FF9}"/>
    <cellStyle name="40% - Accent4 3 3 3 2 3" xfId="23698" xr:uid="{00000000-0005-0000-0000-0000A5420000}"/>
    <cellStyle name="40% - Accent4 3 3 3 2 3 2" xfId="47530" xr:uid="{71D939B4-1454-47C6-8850-0908E7AD1870}"/>
    <cellStyle name="40% - Accent4 3 3 3 2 4" xfId="31653" xr:uid="{4BE99974-172E-4C4A-AD7A-9E11821D4563}"/>
    <cellStyle name="40% - Accent4 3 3 3 3" xfId="12214" xr:uid="{00000000-0005-0000-0000-0000A6420000}"/>
    <cellStyle name="40% - Accent4 3 3 3 3 2" xfId="36063" xr:uid="{240E3F73-02B2-41FE-9365-C0B76C077E2A}"/>
    <cellStyle name="40% - Accent4 3 3 3 4" xfId="20169" xr:uid="{00000000-0005-0000-0000-0000A7420000}"/>
    <cellStyle name="40% - Accent4 3 3 3 4 2" xfId="44001" xr:uid="{543F9263-22CF-439E-9D73-70EDE2D6857B}"/>
    <cellStyle name="40% - Accent4 3 3 3 5" xfId="28122" xr:uid="{9920FBBF-80E2-4BE2-99F1-07CACB492770}"/>
    <cellStyle name="40% - Accent4 3 3 4" xfId="6009" xr:uid="{00000000-0005-0000-0000-0000A8420000}"/>
    <cellStyle name="40% - Accent4 3 3 4 2" xfId="13993" xr:uid="{00000000-0005-0000-0000-0000A9420000}"/>
    <cellStyle name="40% - Accent4 3 3 4 2 2" xfId="37836" xr:uid="{137755AB-22EC-499E-8EF3-4E271E00CA83}"/>
    <cellStyle name="40% - Accent4 3 3 4 3" xfId="21941" xr:uid="{00000000-0005-0000-0000-0000AA420000}"/>
    <cellStyle name="40% - Accent4 3 3 4 3 2" xfId="45773" xr:uid="{6C0FFFFA-1D7C-4B65-A129-E3EFCDF6612F}"/>
    <cellStyle name="40% - Accent4 3 3 4 4" xfId="29895" xr:uid="{215FFDA2-A462-4F11-B6B1-3D62428B401B}"/>
    <cellStyle name="40% - Accent4 3 3 5" xfId="9562" xr:uid="{00000000-0005-0000-0000-0000AB420000}"/>
    <cellStyle name="40% - Accent4 3 3 5 2" xfId="17520" xr:uid="{00000000-0005-0000-0000-0000AC420000}"/>
    <cellStyle name="40% - Accent4 3 3 5 2 2" xfId="41360" xr:uid="{2B8CD29E-64E6-4425-883C-17FC8D436CF7}"/>
    <cellStyle name="40% - Accent4 3 3 5 3" xfId="25464" xr:uid="{00000000-0005-0000-0000-0000AD420000}"/>
    <cellStyle name="40% - Accent4 3 3 5 3 2" xfId="49296" xr:uid="{2746BA38-69BC-433C-BE2A-7328B93C9D3A}"/>
    <cellStyle name="40% - Accent4 3 3 5 4" xfId="33419" xr:uid="{BBE4DC0B-6072-4CF7-A192-952CB2946912}"/>
    <cellStyle name="40% - Accent4 3 3 6" xfId="10458" xr:uid="{00000000-0005-0000-0000-0000AE420000}"/>
    <cellStyle name="40% - Accent4 3 3 6 2" xfId="34307" xr:uid="{AA695110-CCEF-48E0-9D13-087C6EB0DD64}"/>
    <cellStyle name="40% - Accent4 3 3 7" xfId="18413" xr:uid="{00000000-0005-0000-0000-0000AF420000}"/>
    <cellStyle name="40% - Accent4 3 3 7 2" xfId="42245" xr:uid="{32120AA1-013F-4DDC-A848-5A514FFCE095}"/>
    <cellStyle name="40% - Accent4 3 3 8" xfId="26365" xr:uid="{D09791FF-1DB4-4866-9FD6-F0B81A6F1E67}"/>
    <cellStyle name="40% - Accent4 3 3_Exh G" xfId="3116" xr:uid="{00000000-0005-0000-0000-0000B0420000}"/>
    <cellStyle name="40% - Accent4 3 4" xfId="973" xr:uid="{00000000-0005-0000-0000-0000B1420000}"/>
    <cellStyle name="40% - Accent4 3 4 2" xfId="1891" xr:uid="{00000000-0005-0000-0000-0000B2420000}"/>
    <cellStyle name="40% - Accent4 3 4 2 2" xfId="5409" xr:uid="{00000000-0005-0000-0000-0000B3420000}"/>
    <cellStyle name="40% - Accent4 3 4 2 2 2" xfId="9000" xr:uid="{00000000-0005-0000-0000-0000B4420000}"/>
    <cellStyle name="40% - Accent4 3 4 2 2 2 2" xfId="16971" xr:uid="{00000000-0005-0000-0000-0000B5420000}"/>
    <cellStyle name="40% - Accent4 3 4 2 2 2 2 2" xfId="40813" xr:uid="{C7AC2A04-8DD2-4463-8871-254CD50490C8}"/>
    <cellStyle name="40% - Accent4 3 4 2 2 2 3" xfId="24917" xr:uid="{00000000-0005-0000-0000-0000B6420000}"/>
    <cellStyle name="40% - Accent4 3 4 2 2 2 3 2" xfId="48749" xr:uid="{7BEEE5F8-7848-4DC2-AE51-7AD2665DAEEC}"/>
    <cellStyle name="40% - Accent4 3 4 2 2 2 4" xfId="32872" xr:uid="{EFA28FBE-6B89-493F-9481-940593F6D987}"/>
    <cellStyle name="40% - Accent4 3 4 2 2 3" xfId="13433" xr:uid="{00000000-0005-0000-0000-0000B7420000}"/>
    <cellStyle name="40% - Accent4 3 4 2 2 3 2" xfId="37282" xr:uid="{7A750902-C119-4047-ACD8-1B4CA897739F}"/>
    <cellStyle name="40% - Accent4 3 4 2 2 4" xfId="21388" xr:uid="{00000000-0005-0000-0000-0000B8420000}"/>
    <cellStyle name="40% - Accent4 3 4 2 2 4 2" xfId="45220" xr:uid="{E8D5AD15-2403-41DE-954A-EC34F9CCE902}"/>
    <cellStyle name="40% - Accent4 3 4 2 2 5" xfId="29341" xr:uid="{4D820A08-4877-4007-B343-B64186DA278F}"/>
    <cellStyle name="40% - Accent4 3 4 2 3" xfId="7241" xr:uid="{00000000-0005-0000-0000-0000B9420000}"/>
    <cellStyle name="40% - Accent4 3 4 2 3 2" xfId="15213" xr:uid="{00000000-0005-0000-0000-0000BA420000}"/>
    <cellStyle name="40% - Accent4 3 4 2 3 2 2" xfId="39055" xr:uid="{9AFBA840-1D1E-48B1-AC48-396468826388}"/>
    <cellStyle name="40% - Accent4 3 4 2 3 3" xfId="23160" xr:uid="{00000000-0005-0000-0000-0000BB420000}"/>
    <cellStyle name="40% - Accent4 3 4 2 3 3 2" xfId="46992" xr:uid="{2EDB9720-7761-45BE-BD5A-1B509E261DB4}"/>
    <cellStyle name="40% - Accent4 3 4 2 3 4" xfId="31114" xr:uid="{86F92019-BB8B-4EB9-9A4B-6028DC039E24}"/>
    <cellStyle name="40% - Accent4 3 4 2 4" xfId="11677" xr:uid="{00000000-0005-0000-0000-0000BC420000}"/>
    <cellStyle name="40% - Accent4 3 4 2 4 2" xfId="35526" xr:uid="{E04A7DD2-0F5A-4D42-91A9-11D37ABBF56A}"/>
    <cellStyle name="40% - Accent4 3 4 2 5" xfId="19632" xr:uid="{00000000-0005-0000-0000-0000BD420000}"/>
    <cellStyle name="40% - Accent4 3 4 2 5 2" xfId="43464" xr:uid="{6FB69803-3708-4177-9011-E3C17CCCB5E5}"/>
    <cellStyle name="40% - Accent4 3 4 2 6" xfId="27584" xr:uid="{15C0157E-037E-494F-800B-39CFBAA498C0}"/>
    <cellStyle name="40% - Accent4 3 4 2_Exh G" xfId="3119" xr:uid="{00000000-0005-0000-0000-0000BE420000}"/>
    <cellStyle name="40% - Accent4 3 4 3" xfId="4530" xr:uid="{00000000-0005-0000-0000-0000BF420000}"/>
    <cellStyle name="40% - Accent4 3 4 3 2" xfId="8122" xr:uid="{00000000-0005-0000-0000-0000C0420000}"/>
    <cellStyle name="40% - Accent4 3 4 3 2 2" xfId="16093" xr:uid="{00000000-0005-0000-0000-0000C1420000}"/>
    <cellStyle name="40% - Accent4 3 4 3 2 2 2" xfId="39935" xr:uid="{DE7C41D0-3214-406E-962F-E462BF30A05A}"/>
    <cellStyle name="40% - Accent4 3 4 3 2 3" xfId="24039" xr:uid="{00000000-0005-0000-0000-0000C2420000}"/>
    <cellStyle name="40% - Accent4 3 4 3 2 3 2" xfId="47871" xr:uid="{573D4506-09D3-466E-90E7-A3527194617C}"/>
    <cellStyle name="40% - Accent4 3 4 3 2 4" xfId="31994" xr:uid="{BE94CD56-7526-4961-A888-430EAE97E6A0}"/>
    <cellStyle name="40% - Accent4 3 4 3 3" xfId="12555" xr:uid="{00000000-0005-0000-0000-0000C3420000}"/>
    <cellStyle name="40% - Accent4 3 4 3 3 2" xfId="36404" xr:uid="{C1CE491C-AA91-47A1-B54D-3AEA4D83F11F}"/>
    <cellStyle name="40% - Accent4 3 4 3 4" xfId="20510" xr:uid="{00000000-0005-0000-0000-0000C4420000}"/>
    <cellStyle name="40% - Accent4 3 4 3 4 2" xfId="44342" xr:uid="{DEF854BA-9A6D-4216-BCB7-3C1CCEC3B537}"/>
    <cellStyle name="40% - Accent4 3 4 3 5" xfId="28463" xr:uid="{E39723AB-BA5B-4221-8119-F26AC1B0B752}"/>
    <cellStyle name="40% - Accent4 3 4 4" xfId="6360" xr:uid="{00000000-0005-0000-0000-0000C5420000}"/>
    <cellStyle name="40% - Accent4 3 4 4 2" xfId="14335" xr:uid="{00000000-0005-0000-0000-0000C6420000}"/>
    <cellStyle name="40% - Accent4 3 4 4 2 2" xfId="38177" xr:uid="{CCE05C0F-33AA-4B89-85B1-BFB559F2B8A5}"/>
    <cellStyle name="40% - Accent4 3 4 4 3" xfId="22282" xr:uid="{00000000-0005-0000-0000-0000C7420000}"/>
    <cellStyle name="40% - Accent4 3 4 4 3 2" xfId="46114" xr:uid="{24CAE5A8-8407-4865-BB34-C6BC737EF57C}"/>
    <cellStyle name="40% - Accent4 3 4 4 4" xfId="30236" xr:uid="{16EAC0ED-B5D9-4435-AE95-7F325AF86CB7}"/>
    <cellStyle name="40% - Accent4 3 4 5" xfId="9903" xr:uid="{00000000-0005-0000-0000-0000C8420000}"/>
    <cellStyle name="40% - Accent4 3 4 5 2" xfId="17861" xr:uid="{00000000-0005-0000-0000-0000C9420000}"/>
    <cellStyle name="40% - Accent4 3 4 5 2 2" xfId="41701" xr:uid="{20CE98F9-3316-4C3E-A5DC-24C1A4805EBE}"/>
    <cellStyle name="40% - Accent4 3 4 5 3" xfId="25805" xr:uid="{00000000-0005-0000-0000-0000CA420000}"/>
    <cellStyle name="40% - Accent4 3 4 5 3 2" xfId="49637" xr:uid="{152F0983-E32F-4121-8265-BCBADC71D300}"/>
    <cellStyle name="40% - Accent4 3 4 5 4" xfId="33760" xr:uid="{7D7CEBD2-6104-437D-BB7A-61D706399D36}"/>
    <cellStyle name="40% - Accent4 3 4 6" xfId="10799" xr:uid="{00000000-0005-0000-0000-0000CB420000}"/>
    <cellStyle name="40% - Accent4 3 4 6 2" xfId="34648" xr:uid="{CC39EE34-79B3-4561-93C8-A0F66CB16F15}"/>
    <cellStyle name="40% - Accent4 3 4 7" xfId="18754" xr:uid="{00000000-0005-0000-0000-0000CC420000}"/>
    <cellStyle name="40% - Accent4 3 4 7 2" xfId="42586" xr:uid="{1A7EDD43-D232-423D-8FC6-822BC9FF5724}"/>
    <cellStyle name="40% - Accent4 3 4 8" xfId="26706" xr:uid="{43FE3D6B-C47C-41BD-9C73-45AA56E5E1C1}"/>
    <cellStyle name="40% - Accent4 3 4_Exh G" xfId="3118" xr:uid="{00000000-0005-0000-0000-0000CD420000}"/>
    <cellStyle name="40% - Accent4 3 5" xfId="1535" xr:uid="{00000000-0005-0000-0000-0000CE420000}"/>
    <cellStyle name="40% - Accent4 3 5 2" xfId="5065" xr:uid="{00000000-0005-0000-0000-0000CF420000}"/>
    <cellStyle name="40% - Accent4 3 5 2 2" xfId="8656" xr:uid="{00000000-0005-0000-0000-0000D0420000}"/>
    <cellStyle name="40% - Accent4 3 5 2 2 2" xfId="16627" xr:uid="{00000000-0005-0000-0000-0000D1420000}"/>
    <cellStyle name="40% - Accent4 3 5 2 2 2 2" xfId="40469" xr:uid="{4E84AD0E-DD58-465A-9E78-72B5395D0CD7}"/>
    <cellStyle name="40% - Accent4 3 5 2 2 3" xfId="24573" xr:uid="{00000000-0005-0000-0000-0000D2420000}"/>
    <cellStyle name="40% - Accent4 3 5 2 2 3 2" xfId="48405" xr:uid="{58BCAEEB-7D24-47FB-9230-2162802888C6}"/>
    <cellStyle name="40% - Accent4 3 5 2 2 4" xfId="32528" xr:uid="{EF31644C-3669-433F-AF2F-8159B54E32E2}"/>
    <cellStyle name="40% - Accent4 3 5 2 3" xfId="13089" xr:uid="{00000000-0005-0000-0000-0000D3420000}"/>
    <cellStyle name="40% - Accent4 3 5 2 3 2" xfId="36938" xr:uid="{C398D6F0-3D87-494B-9F8B-9AD640CF01FF}"/>
    <cellStyle name="40% - Accent4 3 5 2 4" xfId="21044" xr:uid="{00000000-0005-0000-0000-0000D4420000}"/>
    <cellStyle name="40% - Accent4 3 5 2 4 2" xfId="44876" xr:uid="{F484B028-393E-4A76-9383-8B901C72BCF1}"/>
    <cellStyle name="40% - Accent4 3 5 2 5" xfId="28997" xr:uid="{630FE6DA-639E-4541-81C2-6B67F7BF51FF}"/>
    <cellStyle name="40% - Accent4 3 5 3" xfId="6897" xr:uid="{00000000-0005-0000-0000-0000D5420000}"/>
    <cellStyle name="40% - Accent4 3 5 3 2" xfId="14869" xr:uid="{00000000-0005-0000-0000-0000D6420000}"/>
    <cellStyle name="40% - Accent4 3 5 3 2 2" xfId="38711" xr:uid="{D75562EB-A0CD-42E5-83D1-54B53AE46BCC}"/>
    <cellStyle name="40% - Accent4 3 5 3 3" xfId="22816" xr:uid="{00000000-0005-0000-0000-0000D7420000}"/>
    <cellStyle name="40% - Accent4 3 5 3 3 2" xfId="46648" xr:uid="{CB0D7B56-593D-4A41-BF58-1400BACD3DAE}"/>
    <cellStyle name="40% - Accent4 3 5 3 4" xfId="30770" xr:uid="{606D61A2-6DE6-4CCD-8F4A-1AA6DD348C9F}"/>
    <cellStyle name="40% - Accent4 3 5 4" xfId="11333" xr:uid="{00000000-0005-0000-0000-0000D8420000}"/>
    <cellStyle name="40% - Accent4 3 5 4 2" xfId="35182" xr:uid="{8CFBB0A6-117A-4D7F-9F94-E7D4C341891C}"/>
    <cellStyle name="40% - Accent4 3 5 5" xfId="19288" xr:uid="{00000000-0005-0000-0000-0000D9420000}"/>
    <cellStyle name="40% - Accent4 3 5 5 2" xfId="43120" xr:uid="{523DE42C-A847-468C-8EC1-D2B2621055CF}"/>
    <cellStyle name="40% - Accent4 3 5 6" xfId="27240" xr:uid="{DC4A2825-3037-409B-9353-D4E38785554B}"/>
    <cellStyle name="40% - Accent4 3 5_Exh G" xfId="3120" xr:uid="{00000000-0005-0000-0000-0000DA420000}"/>
    <cellStyle name="40% - Accent4 3 6" xfId="4186" xr:uid="{00000000-0005-0000-0000-0000DB420000}"/>
    <cellStyle name="40% - Accent4 3 6 2" xfId="7778" xr:uid="{00000000-0005-0000-0000-0000DC420000}"/>
    <cellStyle name="40% - Accent4 3 6 2 2" xfId="15749" xr:uid="{00000000-0005-0000-0000-0000DD420000}"/>
    <cellStyle name="40% - Accent4 3 6 2 2 2" xfId="39591" xr:uid="{F04C63D2-A808-43F2-A0F0-8FF34E6EB7FA}"/>
    <cellStyle name="40% - Accent4 3 6 2 3" xfId="23695" xr:uid="{00000000-0005-0000-0000-0000DE420000}"/>
    <cellStyle name="40% - Accent4 3 6 2 3 2" xfId="47527" xr:uid="{30834049-2691-463D-AF2B-1407DD4EDBBC}"/>
    <cellStyle name="40% - Accent4 3 6 2 4" xfId="31650" xr:uid="{999B39C3-3533-434C-B02E-2DE5E02DEAD9}"/>
    <cellStyle name="40% - Accent4 3 6 3" xfId="12211" xr:uid="{00000000-0005-0000-0000-0000DF420000}"/>
    <cellStyle name="40% - Accent4 3 6 3 2" xfId="36060" xr:uid="{4A98A0C7-BDA5-426F-97B2-D42459DDF897}"/>
    <cellStyle name="40% - Accent4 3 6 4" xfId="20166" xr:uid="{00000000-0005-0000-0000-0000E0420000}"/>
    <cellStyle name="40% - Accent4 3 6 4 2" xfId="43998" xr:uid="{A24D7954-E6FE-4B92-9D6A-535662233E94}"/>
    <cellStyle name="40% - Accent4 3 6 5" xfId="28119" xr:uid="{26B18A09-CC5D-409A-B70B-B3334920A8AD}"/>
    <cellStyle name="40% - Accent4 3 7" xfId="6006" xr:uid="{00000000-0005-0000-0000-0000E1420000}"/>
    <cellStyle name="40% - Accent4 3 7 2" xfId="13990" xr:uid="{00000000-0005-0000-0000-0000E2420000}"/>
    <cellStyle name="40% - Accent4 3 7 2 2" xfId="37833" xr:uid="{2FB2F2C4-1D17-4763-86C7-934FA2F728C0}"/>
    <cellStyle name="40% - Accent4 3 7 3" xfId="21938" xr:uid="{00000000-0005-0000-0000-0000E3420000}"/>
    <cellStyle name="40% - Accent4 3 7 3 2" xfId="45770" xr:uid="{7C1F244D-B806-4F93-91AF-9465DBA07896}"/>
    <cellStyle name="40% - Accent4 3 7 4" xfId="29892" xr:uid="{988E7929-BBB9-4A26-93DC-0EAEDA53CFF4}"/>
    <cellStyle name="40% - Accent4 3 8" xfId="9559" xr:uid="{00000000-0005-0000-0000-0000E4420000}"/>
    <cellStyle name="40% - Accent4 3 8 2" xfId="17517" xr:uid="{00000000-0005-0000-0000-0000E5420000}"/>
    <cellStyle name="40% - Accent4 3 8 2 2" xfId="41357" xr:uid="{11BED97D-6136-4ACF-B129-FEDF875F48FA}"/>
    <cellStyle name="40% - Accent4 3 8 3" xfId="25461" xr:uid="{00000000-0005-0000-0000-0000E6420000}"/>
    <cellStyle name="40% - Accent4 3 8 3 2" xfId="49293" xr:uid="{A9AD87E6-8BD6-4A54-9D9C-BCCA1A43C185}"/>
    <cellStyle name="40% - Accent4 3 8 4" xfId="33416" xr:uid="{E0D032B9-3AAF-4228-8595-007B3B02E378}"/>
    <cellStyle name="40% - Accent4 3 9" xfId="10455" xr:uid="{00000000-0005-0000-0000-0000E7420000}"/>
    <cellStyle name="40% - Accent4 3 9 2" xfId="34304" xr:uid="{32EE4004-5261-4ABC-9FBD-090F51B71838}"/>
    <cellStyle name="40% - Accent4 3_Exh G" xfId="3109" xr:uid="{00000000-0005-0000-0000-0000E8420000}"/>
    <cellStyle name="40% - Accent4 4" xfId="511" xr:uid="{00000000-0005-0000-0000-0000E9420000}"/>
    <cellStyle name="40% - Accent4 4 10" xfId="18414" xr:uid="{00000000-0005-0000-0000-0000EA420000}"/>
    <cellStyle name="40% - Accent4 4 10 2" xfId="42246" xr:uid="{632A42EE-C81E-479F-A0B3-15F332C5E610}"/>
    <cellStyle name="40% - Accent4 4 11" xfId="26366" xr:uid="{24534573-AF5A-4AF7-A21C-97A969C3CA84}"/>
    <cellStyle name="40% - Accent4 4 2" xfId="512" xr:uid="{00000000-0005-0000-0000-0000EB420000}"/>
    <cellStyle name="40% - Accent4 4 2 10" xfId="26367" xr:uid="{9D838E66-EDEC-446F-941C-E45C772F7136}"/>
    <cellStyle name="40% - Accent4 4 2 2" xfId="513" xr:uid="{00000000-0005-0000-0000-0000EC420000}"/>
    <cellStyle name="40% - Accent4 4 2 2 2" xfId="1541" xr:uid="{00000000-0005-0000-0000-0000ED420000}"/>
    <cellStyle name="40% - Accent4 4 2 2 2 2" xfId="5071" xr:uid="{00000000-0005-0000-0000-0000EE420000}"/>
    <cellStyle name="40% - Accent4 4 2 2 2 2 2" xfId="8662" xr:uid="{00000000-0005-0000-0000-0000EF420000}"/>
    <cellStyle name="40% - Accent4 4 2 2 2 2 2 2" xfId="16633" xr:uid="{00000000-0005-0000-0000-0000F0420000}"/>
    <cellStyle name="40% - Accent4 4 2 2 2 2 2 2 2" xfId="40475" xr:uid="{03263D1D-3D9F-4EC8-A437-547673822D81}"/>
    <cellStyle name="40% - Accent4 4 2 2 2 2 2 3" xfId="24579" xr:uid="{00000000-0005-0000-0000-0000F1420000}"/>
    <cellStyle name="40% - Accent4 4 2 2 2 2 2 3 2" xfId="48411" xr:uid="{FE97CCF2-0448-4254-BC25-AE61D81D6136}"/>
    <cellStyle name="40% - Accent4 4 2 2 2 2 2 4" xfId="32534" xr:uid="{B99B8BA8-33C4-4887-A6A1-3FBD9DB731DC}"/>
    <cellStyle name="40% - Accent4 4 2 2 2 2 3" xfId="13095" xr:uid="{00000000-0005-0000-0000-0000F2420000}"/>
    <cellStyle name="40% - Accent4 4 2 2 2 2 3 2" xfId="36944" xr:uid="{50642F53-291E-4DBC-8406-E054960EEB2B}"/>
    <cellStyle name="40% - Accent4 4 2 2 2 2 4" xfId="21050" xr:uid="{00000000-0005-0000-0000-0000F3420000}"/>
    <cellStyle name="40% - Accent4 4 2 2 2 2 4 2" xfId="44882" xr:uid="{E225F7EE-3705-4376-B667-2A0B85FAF5AF}"/>
    <cellStyle name="40% - Accent4 4 2 2 2 2 5" xfId="29003" xr:uid="{C046F657-3383-45D1-B514-92BD9DD573DA}"/>
    <cellStyle name="40% - Accent4 4 2 2 2 3" xfId="6903" xr:uid="{00000000-0005-0000-0000-0000F4420000}"/>
    <cellStyle name="40% - Accent4 4 2 2 2 3 2" xfId="14875" xr:uid="{00000000-0005-0000-0000-0000F5420000}"/>
    <cellStyle name="40% - Accent4 4 2 2 2 3 2 2" xfId="38717" xr:uid="{BF50D321-AF4C-4818-B79A-B5AF846C0528}"/>
    <cellStyle name="40% - Accent4 4 2 2 2 3 3" xfId="22822" xr:uid="{00000000-0005-0000-0000-0000F6420000}"/>
    <cellStyle name="40% - Accent4 4 2 2 2 3 3 2" xfId="46654" xr:uid="{F318B258-3E9B-41DB-822F-7360AD25D4B9}"/>
    <cellStyle name="40% - Accent4 4 2 2 2 3 4" xfId="30776" xr:uid="{6C5E6A5E-5EB4-4F63-BB20-097E94A316FA}"/>
    <cellStyle name="40% - Accent4 4 2 2 2 4" xfId="11339" xr:uid="{00000000-0005-0000-0000-0000F7420000}"/>
    <cellStyle name="40% - Accent4 4 2 2 2 4 2" xfId="35188" xr:uid="{2720ABBF-F126-4ED5-AF64-68B8DEAA5EB3}"/>
    <cellStyle name="40% - Accent4 4 2 2 2 5" xfId="19294" xr:uid="{00000000-0005-0000-0000-0000F8420000}"/>
    <cellStyle name="40% - Accent4 4 2 2 2 5 2" xfId="43126" xr:uid="{D66E7FFC-34B5-4F2F-B884-E26AD7C6F8C7}"/>
    <cellStyle name="40% - Accent4 4 2 2 2 6" xfId="27246" xr:uid="{F16B2073-4AC1-4B6D-82B0-415DD4D570B7}"/>
    <cellStyle name="40% - Accent4 4 2 2 2_Exh G" xfId="3124" xr:uid="{00000000-0005-0000-0000-0000F9420000}"/>
    <cellStyle name="40% - Accent4 4 2 2 3" xfId="4192" xr:uid="{00000000-0005-0000-0000-0000FA420000}"/>
    <cellStyle name="40% - Accent4 4 2 2 3 2" xfId="7784" xr:uid="{00000000-0005-0000-0000-0000FB420000}"/>
    <cellStyle name="40% - Accent4 4 2 2 3 2 2" xfId="15755" xr:uid="{00000000-0005-0000-0000-0000FC420000}"/>
    <cellStyle name="40% - Accent4 4 2 2 3 2 2 2" xfId="39597" xr:uid="{E0EF5402-8C29-4DD2-A8A9-BAE7FFFD6066}"/>
    <cellStyle name="40% - Accent4 4 2 2 3 2 3" xfId="23701" xr:uid="{00000000-0005-0000-0000-0000FD420000}"/>
    <cellStyle name="40% - Accent4 4 2 2 3 2 3 2" xfId="47533" xr:uid="{57724B9F-C2F9-40C6-AB1C-898A7819245B}"/>
    <cellStyle name="40% - Accent4 4 2 2 3 2 4" xfId="31656" xr:uid="{6F74029A-5C03-484B-9CB7-EC682841C8F2}"/>
    <cellStyle name="40% - Accent4 4 2 2 3 3" xfId="12217" xr:uid="{00000000-0005-0000-0000-0000FE420000}"/>
    <cellStyle name="40% - Accent4 4 2 2 3 3 2" xfId="36066" xr:uid="{38C3D1E7-CCE2-4B36-973B-5D8797AAC1C2}"/>
    <cellStyle name="40% - Accent4 4 2 2 3 4" xfId="20172" xr:uid="{00000000-0005-0000-0000-0000FF420000}"/>
    <cellStyle name="40% - Accent4 4 2 2 3 4 2" xfId="44004" xr:uid="{7B325E63-CA49-4A17-A326-06CBEC19908E}"/>
    <cellStyle name="40% - Accent4 4 2 2 3 5" xfId="28125" xr:uid="{20320513-C35E-4469-8B84-0C98286A33CA}"/>
    <cellStyle name="40% - Accent4 4 2 2 4" xfId="6012" xr:uid="{00000000-0005-0000-0000-000000430000}"/>
    <cellStyle name="40% - Accent4 4 2 2 4 2" xfId="13996" xr:uid="{00000000-0005-0000-0000-000001430000}"/>
    <cellStyle name="40% - Accent4 4 2 2 4 2 2" xfId="37839" xr:uid="{9D664A58-25C0-4DFE-A5C0-FEB406C61D48}"/>
    <cellStyle name="40% - Accent4 4 2 2 4 3" xfId="21944" xr:uid="{00000000-0005-0000-0000-000002430000}"/>
    <cellStyle name="40% - Accent4 4 2 2 4 3 2" xfId="45776" xr:uid="{ECC20FDC-2666-4977-ADE0-F25B65C29295}"/>
    <cellStyle name="40% - Accent4 4 2 2 4 4" xfId="29898" xr:uid="{5120AC82-7B9B-481D-A9A0-BC87571CA4B7}"/>
    <cellStyle name="40% - Accent4 4 2 2 5" xfId="9565" xr:uid="{00000000-0005-0000-0000-000003430000}"/>
    <cellStyle name="40% - Accent4 4 2 2 5 2" xfId="17523" xr:uid="{00000000-0005-0000-0000-000004430000}"/>
    <cellStyle name="40% - Accent4 4 2 2 5 2 2" xfId="41363" xr:uid="{DAD5828F-295E-4F78-A455-746ADAF8DBE6}"/>
    <cellStyle name="40% - Accent4 4 2 2 5 3" xfId="25467" xr:uid="{00000000-0005-0000-0000-000005430000}"/>
    <cellStyle name="40% - Accent4 4 2 2 5 3 2" xfId="49299" xr:uid="{3D07B77C-2BAD-48D4-9EEC-2165A448B8FC}"/>
    <cellStyle name="40% - Accent4 4 2 2 5 4" xfId="33422" xr:uid="{5121BB49-BD81-4E44-A38F-E9E937E68DD9}"/>
    <cellStyle name="40% - Accent4 4 2 2 6" xfId="10461" xr:uid="{00000000-0005-0000-0000-000006430000}"/>
    <cellStyle name="40% - Accent4 4 2 2 6 2" xfId="34310" xr:uid="{08EC8E00-2AD2-48D4-9037-1A45A51F330F}"/>
    <cellStyle name="40% - Accent4 4 2 2 7" xfId="18416" xr:uid="{00000000-0005-0000-0000-000007430000}"/>
    <cellStyle name="40% - Accent4 4 2 2 7 2" xfId="42248" xr:uid="{F92B3D76-C3BE-4D0A-B593-F3C2E4F46CFE}"/>
    <cellStyle name="40% - Accent4 4 2 2 8" xfId="26368" xr:uid="{1D926EE3-F124-4771-99C7-E69F9D4F5F4F}"/>
    <cellStyle name="40% - Accent4 4 2 2_Exh G" xfId="3123" xr:uid="{00000000-0005-0000-0000-000008430000}"/>
    <cellStyle name="40% - Accent4 4 2 3" xfId="976" xr:uid="{00000000-0005-0000-0000-000009430000}"/>
    <cellStyle name="40% - Accent4 4 2 3 2" xfId="1894" xr:uid="{00000000-0005-0000-0000-00000A430000}"/>
    <cellStyle name="40% - Accent4 4 2 3 2 2" xfId="5412" xr:uid="{00000000-0005-0000-0000-00000B430000}"/>
    <cellStyle name="40% - Accent4 4 2 3 2 2 2" xfId="9003" xr:uid="{00000000-0005-0000-0000-00000C430000}"/>
    <cellStyle name="40% - Accent4 4 2 3 2 2 2 2" xfId="16974" xr:uid="{00000000-0005-0000-0000-00000D430000}"/>
    <cellStyle name="40% - Accent4 4 2 3 2 2 2 2 2" xfId="40816" xr:uid="{5E1419DF-392A-45EA-A760-15714D08E8BE}"/>
    <cellStyle name="40% - Accent4 4 2 3 2 2 2 3" xfId="24920" xr:uid="{00000000-0005-0000-0000-00000E430000}"/>
    <cellStyle name="40% - Accent4 4 2 3 2 2 2 3 2" xfId="48752" xr:uid="{34E00AF5-66F9-4939-838D-72CE96089B62}"/>
    <cellStyle name="40% - Accent4 4 2 3 2 2 2 4" xfId="32875" xr:uid="{2AB987FF-40C0-4A61-88AA-9609E3CE4BA0}"/>
    <cellStyle name="40% - Accent4 4 2 3 2 2 3" xfId="13436" xr:uid="{00000000-0005-0000-0000-00000F430000}"/>
    <cellStyle name="40% - Accent4 4 2 3 2 2 3 2" xfId="37285" xr:uid="{832B2434-20AB-4ADF-B211-1D99F6E9EA1C}"/>
    <cellStyle name="40% - Accent4 4 2 3 2 2 4" xfId="21391" xr:uid="{00000000-0005-0000-0000-000010430000}"/>
    <cellStyle name="40% - Accent4 4 2 3 2 2 4 2" xfId="45223" xr:uid="{432DB84B-B8AD-4020-A60E-C9D561DC5CEF}"/>
    <cellStyle name="40% - Accent4 4 2 3 2 2 5" xfId="29344" xr:uid="{9B780CF2-F8F5-404B-9DE6-02A3C08B02D1}"/>
    <cellStyle name="40% - Accent4 4 2 3 2 3" xfId="7244" xr:uid="{00000000-0005-0000-0000-000011430000}"/>
    <cellStyle name="40% - Accent4 4 2 3 2 3 2" xfId="15216" xr:uid="{00000000-0005-0000-0000-000012430000}"/>
    <cellStyle name="40% - Accent4 4 2 3 2 3 2 2" xfId="39058" xr:uid="{80F18427-E7CD-42E2-863D-33D34CFB6852}"/>
    <cellStyle name="40% - Accent4 4 2 3 2 3 3" xfId="23163" xr:uid="{00000000-0005-0000-0000-000013430000}"/>
    <cellStyle name="40% - Accent4 4 2 3 2 3 3 2" xfId="46995" xr:uid="{67CB5910-B6D6-4BB3-A2F2-4C65C21A327C}"/>
    <cellStyle name="40% - Accent4 4 2 3 2 3 4" xfId="31117" xr:uid="{F1788394-D3E9-4A26-89D3-4D14F38BE006}"/>
    <cellStyle name="40% - Accent4 4 2 3 2 4" xfId="11680" xr:uid="{00000000-0005-0000-0000-000014430000}"/>
    <cellStyle name="40% - Accent4 4 2 3 2 4 2" xfId="35529" xr:uid="{530B6867-A34E-4763-AE1F-39203AB1E887}"/>
    <cellStyle name="40% - Accent4 4 2 3 2 5" xfId="19635" xr:uid="{00000000-0005-0000-0000-000015430000}"/>
    <cellStyle name="40% - Accent4 4 2 3 2 5 2" xfId="43467" xr:uid="{3E31BCD5-9BE8-4E4F-AF04-502F1919999A}"/>
    <cellStyle name="40% - Accent4 4 2 3 2 6" xfId="27587" xr:uid="{B2B18174-E387-45F3-802E-A9CCAC9448EE}"/>
    <cellStyle name="40% - Accent4 4 2 3 2_Exh G" xfId="3126" xr:uid="{00000000-0005-0000-0000-000016430000}"/>
    <cellStyle name="40% - Accent4 4 2 3 3" xfId="4533" xr:uid="{00000000-0005-0000-0000-000017430000}"/>
    <cellStyle name="40% - Accent4 4 2 3 3 2" xfId="8125" xr:uid="{00000000-0005-0000-0000-000018430000}"/>
    <cellStyle name="40% - Accent4 4 2 3 3 2 2" xfId="16096" xr:uid="{00000000-0005-0000-0000-000019430000}"/>
    <cellStyle name="40% - Accent4 4 2 3 3 2 2 2" xfId="39938" xr:uid="{ED9B34F4-E6AA-4B7C-8D5E-80018C4E3847}"/>
    <cellStyle name="40% - Accent4 4 2 3 3 2 3" xfId="24042" xr:uid="{00000000-0005-0000-0000-00001A430000}"/>
    <cellStyle name="40% - Accent4 4 2 3 3 2 3 2" xfId="47874" xr:uid="{BB3B07B5-CAF3-407A-8943-BF0B05D0522F}"/>
    <cellStyle name="40% - Accent4 4 2 3 3 2 4" xfId="31997" xr:uid="{94A7BCF2-2AB6-4BD8-A302-C8C141ACAD65}"/>
    <cellStyle name="40% - Accent4 4 2 3 3 3" xfId="12558" xr:uid="{00000000-0005-0000-0000-00001B430000}"/>
    <cellStyle name="40% - Accent4 4 2 3 3 3 2" xfId="36407" xr:uid="{9AB7A869-0166-4081-AE7E-FB54D280CCF1}"/>
    <cellStyle name="40% - Accent4 4 2 3 3 4" xfId="20513" xr:uid="{00000000-0005-0000-0000-00001C430000}"/>
    <cellStyle name="40% - Accent4 4 2 3 3 4 2" xfId="44345" xr:uid="{0CEF0139-5E97-4EA4-8778-858122A4BCFC}"/>
    <cellStyle name="40% - Accent4 4 2 3 3 5" xfId="28466" xr:uid="{7697D3E2-EFA9-4DF8-8433-C361522EAAA1}"/>
    <cellStyle name="40% - Accent4 4 2 3 4" xfId="6363" xr:uid="{00000000-0005-0000-0000-00001D430000}"/>
    <cellStyle name="40% - Accent4 4 2 3 4 2" xfId="14338" xr:uid="{00000000-0005-0000-0000-00001E430000}"/>
    <cellStyle name="40% - Accent4 4 2 3 4 2 2" xfId="38180" xr:uid="{1DE76E4D-3988-4A3C-9956-72BC45AA5B71}"/>
    <cellStyle name="40% - Accent4 4 2 3 4 3" xfId="22285" xr:uid="{00000000-0005-0000-0000-00001F430000}"/>
    <cellStyle name="40% - Accent4 4 2 3 4 3 2" xfId="46117" xr:uid="{6708FF72-1076-475A-80DF-505ABD844BE0}"/>
    <cellStyle name="40% - Accent4 4 2 3 4 4" xfId="30239" xr:uid="{FB709C41-7F3D-42EE-9087-06290E49B212}"/>
    <cellStyle name="40% - Accent4 4 2 3 5" xfId="9906" xr:uid="{00000000-0005-0000-0000-000020430000}"/>
    <cellStyle name="40% - Accent4 4 2 3 5 2" xfId="17864" xr:uid="{00000000-0005-0000-0000-000021430000}"/>
    <cellStyle name="40% - Accent4 4 2 3 5 2 2" xfId="41704" xr:uid="{C72FA11A-1F2B-44CC-9917-EF22ABB7846D}"/>
    <cellStyle name="40% - Accent4 4 2 3 5 3" xfId="25808" xr:uid="{00000000-0005-0000-0000-000022430000}"/>
    <cellStyle name="40% - Accent4 4 2 3 5 3 2" xfId="49640" xr:uid="{1818DA87-340B-4864-9A56-C6FD0EDD8984}"/>
    <cellStyle name="40% - Accent4 4 2 3 5 4" xfId="33763" xr:uid="{EE45810F-72CC-4CDC-949B-AC3B04820A45}"/>
    <cellStyle name="40% - Accent4 4 2 3 6" xfId="10802" xr:uid="{00000000-0005-0000-0000-000023430000}"/>
    <cellStyle name="40% - Accent4 4 2 3 6 2" xfId="34651" xr:uid="{B545CE5E-02EA-4063-B714-D737AB3AACBE}"/>
    <cellStyle name="40% - Accent4 4 2 3 7" xfId="18757" xr:uid="{00000000-0005-0000-0000-000024430000}"/>
    <cellStyle name="40% - Accent4 4 2 3 7 2" xfId="42589" xr:uid="{D979B0F9-7EE8-4326-BFF2-DC5E1C64821B}"/>
    <cellStyle name="40% - Accent4 4 2 3 8" xfId="26709" xr:uid="{A13844D7-41ED-4CC9-B9C5-D9CB808FB05D}"/>
    <cellStyle name="40% - Accent4 4 2 3_Exh G" xfId="3125" xr:uid="{00000000-0005-0000-0000-000025430000}"/>
    <cellStyle name="40% - Accent4 4 2 4" xfId="1540" xr:uid="{00000000-0005-0000-0000-000026430000}"/>
    <cellStyle name="40% - Accent4 4 2 4 2" xfId="5070" xr:uid="{00000000-0005-0000-0000-000027430000}"/>
    <cellStyle name="40% - Accent4 4 2 4 2 2" xfId="8661" xr:uid="{00000000-0005-0000-0000-000028430000}"/>
    <cellStyle name="40% - Accent4 4 2 4 2 2 2" xfId="16632" xr:uid="{00000000-0005-0000-0000-000029430000}"/>
    <cellStyle name="40% - Accent4 4 2 4 2 2 2 2" xfId="40474" xr:uid="{E963F103-100D-461C-AA06-A1581217D798}"/>
    <cellStyle name="40% - Accent4 4 2 4 2 2 3" xfId="24578" xr:uid="{00000000-0005-0000-0000-00002A430000}"/>
    <cellStyle name="40% - Accent4 4 2 4 2 2 3 2" xfId="48410" xr:uid="{ED5F477B-0BE5-4DCF-97BF-3978B0491B52}"/>
    <cellStyle name="40% - Accent4 4 2 4 2 2 4" xfId="32533" xr:uid="{33CA7FED-8709-46E1-B1FA-1D1B05AFA90D}"/>
    <cellStyle name="40% - Accent4 4 2 4 2 3" xfId="13094" xr:uid="{00000000-0005-0000-0000-00002B430000}"/>
    <cellStyle name="40% - Accent4 4 2 4 2 3 2" xfId="36943" xr:uid="{832CA3B0-58A5-4264-BDA6-A1434D6ADE94}"/>
    <cellStyle name="40% - Accent4 4 2 4 2 4" xfId="21049" xr:uid="{00000000-0005-0000-0000-00002C430000}"/>
    <cellStyle name="40% - Accent4 4 2 4 2 4 2" xfId="44881" xr:uid="{128222D9-BFCF-4089-A8C5-859063477A70}"/>
    <cellStyle name="40% - Accent4 4 2 4 2 5" xfId="29002" xr:uid="{C8DA9DCB-76E4-4120-8AF9-F8D1FB6CDF1A}"/>
    <cellStyle name="40% - Accent4 4 2 4 3" xfId="6902" xr:uid="{00000000-0005-0000-0000-00002D430000}"/>
    <cellStyle name="40% - Accent4 4 2 4 3 2" xfId="14874" xr:uid="{00000000-0005-0000-0000-00002E430000}"/>
    <cellStyle name="40% - Accent4 4 2 4 3 2 2" xfId="38716" xr:uid="{066B5290-A610-44C8-A570-D0121401EB0F}"/>
    <cellStyle name="40% - Accent4 4 2 4 3 3" xfId="22821" xr:uid="{00000000-0005-0000-0000-00002F430000}"/>
    <cellStyle name="40% - Accent4 4 2 4 3 3 2" xfId="46653" xr:uid="{15B5C3C2-8A0F-49CA-8D62-75DE4AB95C4F}"/>
    <cellStyle name="40% - Accent4 4 2 4 3 4" xfId="30775" xr:uid="{5A3248EC-A6E9-44D6-B3E7-39AC03B657E6}"/>
    <cellStyle name="40% - Accent4 4 2 4 4" xfId="11338" xr:uid="{00000000-0005-0000-0000-000030430000}"/>
    <cellStyle name="40% - Accent4 4 2 4 4 2" xfId="35187" xr:uid="{952060E3-49B5-4242-8B0F-93068C8622DE}"/>
    <cellStyle name="40% - Accent4 4 2 4 5" xfId="19293" xr:uid="{00000000-0005-0000-0000-000031430000}"/>
    <cellStyle name="40% - Accent4 4 2 4 5 2" xfId="43125" xr:uid="{A7BB438C-0273-4BDC-BF3C-CAE455289927}"/>
    <cellStyle name="40% - Accent4 4 2 4 6" xfId="27245" xr:uid="{945EFB84-33F6-4685-BE39-139655543289}"/>
    <cellStyle name="40% - Accent4 4 2 4_Exh G" xfId="3127" xr:uid="{00000000-0005-0000-0000-000032430000}"/>
    <cellStyle name="40% - Accent4 4 2 5" xfId="4191" xr:uid="{00000000-0005-0000-0000-000033430000}"/>
    <cellStyle name="40% - Accent4 4 2 5 2" xfId="7783" xr:uid="{00000000-0005-0000-0000-000034430000}"/>
    <cellStyle name="40% - Accent4 4 2 5 2 2" xfId="15754" xr:uid="{00000000-0005-0000-0000-000035430000}"/>
    <cellStyle name="40% - Accent4 4 2 5 2 2 2" xfId="39596" xr:uid="{ED92AC35-7F58-4D22-8217-87ACB4608679}"/>
    <cellStyle name="40% - Accent4 4 2 5 2 3" xfId="23700" xr:uid="{00000000-0005-0000-0000-000036430000}"/>
    <cellStyle name="40% - Accent4 4 2 5 2 3 2" xfId="47532" xr:uid="{8E7CA8CD-D4FE-46B5-A049-66E9F3867240}"/>
    <cellStyle name="40% - Accent4 4 2 5 2 4" xfId="31655" xr:uid="{F8954320-BEFC-4A61-AA8C-DF47414970E9}"/>
    <cellStyle name="40% - Accent4 4 2 5 3" xfId="12216" xr:uid="{00000000-0005-0000-0000-000037430000}"/>
    <cellStyle name="40% - Accent4 4 2 5 3 2" xfId="36065" xr:uid="{AE9C55FD-0FF3-4E1D-8892-65254C566A9D}"/>
    <cellStyle name="40% - Accent4 4 2 5 4" xfId="20171" xr:uid="{00000000-0005-0000-0000-000038430000}"/>
    <cellStyle name="40% - Accent4 4 2 5 4 2" xfId="44003" xr:uid="{BF7118AA-4390-4DF0-9142-65F6F5868DDC}"/>
    <cellStyle name="40% - Accent4 4 2 5 5" xfId="28124" xr:uid="{8FACBF6D-23CE-479C-8DFA-523E3774FD3F}"/>
    <cellStyle name="40% - Accent4 4 2 6" xfId="6011" xr:uid="{00000000-0005-0000-0000-000039430000}"/>
    <cellStyle name="40% - Accent4 4 2 6 2" xfId="13995" xr:uid="{00000000-0005-0000-0000-00003A430000}"/>
    <cellStyle name="40% - Accent4 4 2 6 2 2" xfId="37838" xr:uid="{773E736A-67E7-48AB-8FB5-4F22778E339A}"/>
    <cellStyle name="40% - Accent4 4 2 6 3" xfId="21943" xr:uid="{00000000-0005-0000-0000-00003B430000}"/>
    <cellStyle name="40% - Accent4 4 2 6 3 2" xfId="45775" xr:uid="{007C6A6C-9DCB-48D5-B9C9-158054410268}"/>
    <cellStyle name="40% - Accent4 4 2 6 4" xfId="29897" xr:uid="{CCD3C1A7-C127-4F9B-9689-E5D93DE36FC3}"/>
    <cellStyle name="40% - Accent4 4 2 7" xfId="9564" xr:uid="{00000000-0005-0000-0000-00003C430000}"/>
    <cellStyle name="40% - Accent4 4 2 7 2" xfId="17522" xr:uid="{00000000-0005-0000-0000-00003D430000}"/>
    <cellStyle name="40% - Accent4 4 2 7 2 2" xfId="41362" xr:uid="{F0CCE1ED-4EC1-44A4-B3AE-67C77768BE1F}"/>
    <cellStyle name="40% - Accent4 4 2 7 3" xfId="25466" xr:uid="{00000000-0005-0000-0000-00003E430000}"/>
    <cellStyle name="40% - Accent4 4 2 7 3 2" xfId="49298" xr:uid="{49A801B6-40D2-4497-A3D5-C56289449DED}"/>
    <cellStyle name="40% - Accent4 4 2 7 4" xfId="33421" xr:uid="{898C76D2-AE0B-4BE5-9029-C994F2DE920A}"/>
    <cellStyle name="40% - Accent4 4 2 8" xfId="10460" xr:uid="{00000000-0005-0000-0000-00003F430000}"/>
    <cellStyle name="40% - Accent4 4 2 8 2" xfId="34309" xr:uid="{3B9E4D37-C7A7-465B-BD45-4896EED40509}"/>
    <cellStyle name="40% - Accent4 4 2 9" xfId="18415" xr:uid="{00000000-0005-0000-0000-000040430000}"/>
    <cellStyle name="40% - Accent4 4 2 9 2" xfId="42247" xr:uid="{28DEAE5D-21B4-45C4-87F0-57623EB333EB}"/>
    <cellStyle name="40% - Accent4 4 2_Exh G" xfId="3122" xr:uid="{00000000-0005-0000-0000-000041430000}"/>
    <cellStyle name="40% - Accent4 4 3" xfId="514" xr:uid="{00000000-0005-0000-0000-000042430000}"/>
    <cellStyle name="40% - Accent4 4 3 2" xfId="1542" xr:uid="{00000000-0005-0000-0000-000043430000}"/>
    <cellStyle name="40% - Accent4 4 3 2 2" xfId="5072" xr:uid="{00000000-0005-0000-0000-000044430000}"/>
    <cellStyle name="40% - Accent4 4 3 2 2 2" xfId="8663" xr:uid="{00000000-0005-0000-0000-000045430000}"/>
    <cellStyle name="40% - Accent4 4 3 2 2 2 2" xfId="16634" xr:uid="{00000000-0005-0000-0000-000046430000}"/>
    <cellStyle name="40% - Accent4 4 3 2 2 2 2 2" xfId="40476" xr:uid="{073A4BCC-6BC2-4226-A2E1-E5DC8AC23553}"/>
    <cellStyle name="40% - Accent4 4 3 2 2 2 3" xfId="24580" xr:uid="{00000000-0005-0000-0000-000047430000}"/>
    <cellStyle name="40% - Accent4 4 3 2 2 2 3 2" xfId="48412" xr:uid="{BC337507-8E9A-4107-AF87-303838D788EC}"/>
    <cellStyle name="40% - Accent4 4 3 2 2 2 4" xfId="32535" xr:uid="{40C160F6-3C51-49EF-AE06-3E118631C9E2}"/>
    <cellStyle name="40% - Accent4 4 3 2 2 3" xfId="13096" xr:uid="{00000000-0005-0000-0000-000048430000}"/>
    <cellStyle name="40% - Accent4 4 3 2 2 3 2" xfId="36945" xr:uid="{A30A20A3-0873-4B3E-8177-9C9960737FF1}"/>
    <cellStyle name="40% - Accent4 4 3 2 2 4" xfId="21051" xr:uid="{00000000-0005-0000-0000-000049430000}"/>
    <cellStyle name="40% - Accent4 4 3 2 2 4 2" xfId="44883" xr:uid="{CA897CB4-CA63-47C2-90A1-394945A4BC25}"/>
    <cellStyle name="40% - Accent4 4 3 2 2 5" xfId="29004" xr:uid="{3BC96E24-AA07-4202-B5DF-9EA69FFCC17D}"/>
    <cellStyle name="40% - Accent4 4 3 2 3" xfId="6904" xr:uid="{00000000-0005-0000-0000-00004A430000}"/>
    <cellStyle name="40% - Accent4 4 3 2 3 2" xfId="14876" xr:uid="{00000000-0005-0000-0000-00004B430000}"/>
    <cellStyle name="40% - Accent4 4 3 2 3 2 2" xfId="38718" xr:uid="{FC0F7E60-181B-4D46-86F4-514015C45714}"/>
    <cellStyle name="40% - Accent4 4 3 2 3 3" xfId="22823" xr:uid="{00000000-0005-0000-0000-00004C430000}"/>
    <cellStyle name="40% - Accent4 4 3 2 3 3 2" xfId="46655" xr:uid="{17BB96B7-E5DA-4661-B29A-1B69328FDFC4}"/>
    <cellStyle name="40% - Accent4 4 3 2 3 4" xfId="30777" xr:uid="{E55E812A-A369-4419-B9AD-E0F05DF03092}"/>
    <cellStyle name="40% - Accent4 4 3 2 4" xfId="11340" xr:uid="{00000000-0005-0000-0000-00004D430000}"/>
    <cellStyle name="40% - Accent4 4 3 2 4 2" xfId="35189" xr:uid="{B0B954E9-F7AD-4BF5-AB73-2CE5A40AA066}"/>
    <cellStyle name="40% - Accent4 4 3 2 5" xfId="19295" xr:uid="{00000000-0005-0000-0000-00004E430000}"/>
    <cellStyle name="40% - Accent4 4 3 2 5 2" xfId="43127" xr:uid="{1B1256D7-B13F-4736-A98A-0DEFE1CE9483}"/>
    <cellStyle name="40% - Accent4 4 3 2 6" xfId="27247" xr:uid="{36E5E701-7C61-480C-A60E-DF877B9977DF}"/>
    <cellStyle name="40% - Accent4 4 3 2_Exh G" xfId="3129" xr:uid="{00000000-0005-0000-0000-00004F430000}"/>
    <cellStyle name="40% - Accent4 4 3 3" xfId="4193" xr:uid="{00000000-0005-0000-0000-000050430000}"/>
    <cellStyle name="40% - Accent4 4 3 3 2" xfId="7785" xr:uid="{00000000-0005-0000-0000-000051430000}"/>
    <cellStyle name="40% - Accent4 4 3 3 2 2" xfId="15756" xr:uid="{00000000-0005-0000-0000-000052430000}"/>
    <cellStyle name="40% - Accent4 4 3 3 2 2 2" xfId="39598" xr:uid="{036D19CD-1CBA-4842-8C13-9EE1C34DFB62}"/>
    <cellStyle name="40% - Accent4 4 3 3 2 3" xfId="23702" xr:uid="{00000000-0005-0000-0000-000053430000}"/>
    <cellStyle name="40% - Accent4 4 3 3 2 3 2" xfId="47534" xr:uid="{AC71452B-C4F1-49F0-AD23-728255E5BDE3}"/>
    <cellStyle name="40% - Accent4 4 3 3 2 4" xfId="31657" xr:uid="{ED47B456-19CD-4022-9E39-5EE6AE058792}"/>
    <cellStyle name="40% - Accent4 4 3 3 3" xfId="12218" xr:uid="{00000000-0005-0000-0000-000054430000}"/>
    <cellStyle name="40% - Accent4 4 3 3 3 2" xfId="36067" xr:uid="{3901452D-3933-4A4E-A07C-AD6AE0DCEDB1}"/>
    <cellStyle name="40% - Accent4 4 3 3 4" xfId="20173" xr:uid="{00000000-0005-0000-0000-000055430000}"/>
    <cellStyle name="40% - Accent4 4 3 3 4 2" xfId="44005" xr:uid="{D0A20728-B7F2-41FD-90CE-5094BC391DDE}"/>
    <cellStyle name="40% - Accent4 4 3 3 5" xfId="28126" xr:uid="{1194464D-8FF0-48B4-9C62-072610CC36D9}"/>
    <cellStyle name="40% - Accent4 4 3 4" xfId="6013" xr:uid="{00000000-0005-0000-0000-000056430000}"/>
    <cellStyle name="40% - Accent4 4 3 4 2" xfId="13997" xr:uid="{00000000-0005-0000-0000-000057430000}"/>
    <cellStyle name="40% - Accent4 4 3 4 2 2" xfId="37840" xr:uid="{CC790D92-A27F-4953-80CD-A415F415E793}"/>
    <cellStyle name="40% - Accent4 4 3 4 3" xfId="21945" xr:uid="{00000000-0005-0000-0000-000058430000}"/>
    <cellStyle name="40% - Accent4 4 3 4 3 2" xfId="45777" xr:uid="{BFE4B4EC-7C99-4907-A1AC-8E974FEF88F1}"/>
    <cellStyle name="40% - Accent4 4 3 4 4" xfId="29899" xr:uid="{FE41C395-DE11-4539-9517-BF688FD39B6A}"/>
    <cellStyle name="40% - Accent4 4 3 5" xfId="9566" xr:uid="{00000000-0005-0000-0000-000059430000}"/>
    <cellStyle name="40% - Accent4 4 3 5 2" xfId="17524" xr:uid="{00000000-0005-0000-0000-00005A430000}"/>
    <cellStyle name="40% - Accent4 4 3 5 2 2" xfId="41364" xr:uid="{DCA53B72-6D7F-49A8-AA9E-37A60D26755D}"/>
    <cellStyle name="40% - Accent4 4 3 5 3" xfId="25468" xr:uid="{00000000-0005-0000-0000-00005B430000}"/>
    <cellStyle name="40% - Accent4 4 3 5 3 2" xfId="49300" xr:uid="{56DE96D6-ACCB-4E34-BC3B-00533F235A00}"/>
    <cellStyle name="40% - Accent4 4 3 5 4" xfId="33423" xr:uid="{F2E373DD-C77A-48FC-BE64-D56D1748A2AB}"/>
    <cellStyle name="40% - Accent4 4 3 6" xfId="10462" xr:uid="{00000000-0005-0000-0000-00005C430000}"/>
    <cellStyle name="40% - Accent4 4 3 6 2" xfId="34311" xr:uid="{A3672DC4-37C3-4E89-8865-E0C4A5230DCC}"/>
    <cellStyle name="40% - Accent4 4 3 7" xfId="18417" xr:uid="{00000000-0005-0000-0000-00005D430000}"/>
    <cellStyle name="40% - Accent4 4 3 7 2" xfId="42249" xr:uid="{F2B44DE8-C8CF-4856-9774-8D4E83508C58}"/>
    <cellStyle name="40% - Accent4 4 3 8" xfId="26369" xr:uid="{6D236BAA-C7DB-40E9-8A20-A4B0FF05FEF7}"/>
    <cellStyle name="40% - Accent4 4 3_Exh G" xfId="3128" xr:uid="{00000000-0005-0000-0000-00005E430000}"/>
    <cellStyle name="40% - Accent4 4 4" xfId="975" xr:uid="{00000000-0005-0000-0000-00005F430000}"/>
    <cellStyle name="40% - Accent4 4 4 2" xfId="1893" xr:uid="{00000000-0005-0000-0000-000060430000}"/>
    <cellStyle name="40% - Accent4 4 4 2 2" xfId="5411" xr:uid="{00000000-0005-0000-0000-000061430000}"/>
    <cellStyle name="40% - Accent4 4 4 2 2 2" xfId="9002" xr:uid="{00000000-0005-0000-0000-000062430000}"/>
    <cellStyle name="40% - Accent4 4 4 2 2 2 2" xfId="16973" xr:uid="{00000000-0005-0000-0000-000063430000}"/>
    <cellStyle name="40% - Accent4 4 4 2 2 2 2 2" xfId="40815" xr:uid="{F87E5F92-11E4-4EF3-995F-73F739C88579}"/>
    <cellStyle name="40% - Accent4 4 4 2 2 2 3" xfId="24919" xr:uid="{00000000-0005-0000-0000-000064430000}"/>
    <cellStyle name="40% - Accent4 4 4 2 2 2 3 2" xfId="48751" xr:uid="{09EAAD9B-5A73-48AA-B33B-96EF2D321AF7}"/>
    <cellStyle name="40% - Accent4 4 4 2 2 2 4" xfId="32874" xr:uid="{F52B4E9C-9587-4456-9CE4-CECEE3281DFC}"/>
    <cellStyle name="40% - Accent4 4 4 2 2 3" xfId="13435" xr:uid="{00000000-0005-0000-0000-000065430000}"/>
    <cellStyle name="40% - Accent4 4 4 2 2 3 2" xfId="37284" xr:uid="{7164CC7A-A62A-4557-B3A6-5702960F7DFF}"/>
    <cellStyle name="40% - Accent4 4 4 2 2 4" xfId="21390" xr:uid="{00000000-0005-0000-0000-000066430000}"/>
    <cellStyle name="40% - Accent4 4 4 2 2 4 2" xfId="45222" xr:uid="{DA7DAD9A-6832-4A9E-9074-AF6151EDBFF4}"/>
    <cellStyle name="40% - Accent4 4 4 2 2 5" xfId="29343" xr:uid="{5D5FC4EC-0DD8-475D-8DC5-DCE888EEF3C3}"/>
    <cellStyle name="40% - Accent4 4 4 2 3" xfId="7243" xr:uid="{00000000-0005-0000-0000-000067430000}"/>
    <cellStyle name="40% - Accent4 4 4 2 3 2" xfId="15215" xr:uid="{00000000-0005-0000-0000-000068430000}"/>
    <cellStyle name="40% - Accent4 4 4 2 3 2 2" xfId="39057" xr:uid="{5E26AE9D-FA48-40F0-9862-A7B5FDF8530F}"/>
    <cellStyle name="40% - Accent4 4 4 2 3 3" xfId="23162" xr:uid="{00000000-0005-0000-0000-000069430000}"/>
    <cellStyle name="40% - Accent4 4 4 2 3 3 2" xfId="46994" xr:uid="{37344C04-3602-43AE-985E-C6DC21D8C6F5}"/>
    <cellStyle name="40% - Accent4 4 4 2 3 4" xfId="31116" xr:uid="{5A302D48-B212-4BA9-8111-9BAAB99841B7}"/>
    <cellStyle name="40% - Accent4 4 4 2 4" xfId="11679" xr:uid="{00000000-0005-0000-0000-00006A430000}"/>
    <cellStyle name="40% - Accent4 4 4 2 4 2" xfId="35528" xr:uid="{9E2FDB0E-256A-42C3-999D-A85DDFDE6E9A}"/>
    <cellStyle name="40% - Accent4 4 4 2 5" xfId="19634" xr:uid="{00000000-0005-0000-0000-00006B430000}"/>
    <cellStyle name="40% - Accent4 4 4 2 5 2" xfId="43466" xr:uid="{7B411342-F410-4AD8-A597-3888AEA340BD}"/>
    <cellStyle name="40% - Accent4 4 4 2 6" xfId="27586" xr:uid="{615E07E1-239C-4899-9A0F-3BAAE64FD725}"/>
    <cellStyle name="40% - Accent4 4 4 2_Exh G" xfId="3131" xr:uid="{00000000-0005-0000-0000-00006C430000}"/>
    <cellStyle name="40% - Accent4 4 4 3" xfId="4532" xr:uid="{00000000-0005-0000-0000-00006D430000}"/>
    <cellStyle name="40% - Accent4 4 4 3 2" xfId="8124" xr:uid="{00000000-0005-0000-0000-00006E430000}"/>
    <cellStyle name="40% - Accent4 4 4 3 2 2" xfId="16095" xr:uid="{00000000-0005-0000-0000-00006F430000}"/>
    <cellStyle name="40% - Accent4 4 4 3 2 2 2" xfId="39937" xr:uid="{974C7BFE-98E8-4EE7-892C-E38330046E4D}"/>
    <cellStyle name="40% - Accent4 4 4 3 2 3" xfId="24041" xr:uid="{00000000-0005-0000-0000-000070430000}"/>
    <cellStyle name="40% - Accent4 4 4 3 2 3 2" xfId="47873" xr:uid="{17C1D3FA-04D4-4BB9-8DEE-3552F58B75F4}"/>
    <cellStyle name="40% - Accent4 4 4 3 2 4" xfId="31996" xr:uid="{02651627-76BE-4F00-90A1-C33463840E3D}"/>
    <cellStyle name="40% - Accent4 4 4 3 3" xfId="12557" xr:uid="{00000000-0005-0000-0000-000071430000}"/>
    <cellStyle name="40% - Accent4 4 4 3 3 2" xfId="36406" xr:uid="{52398E97-5D37-42CE-9E6B-E587798C125B}"/>
    <cellStyle name="40% - Accent4 4 4 3 4" xfId="20512" xr:uid="{00000000-0005-0000-0000-000072430000}"/>
    <cellStyle name="40% - Accent4 4 4 3 4 2" xfId="44344" xr:uid="{18B1F2DE-D0E3-4748-B115-439CA32441C0}"/>
    <cellStyle name="40% - Accent4 4 4 3 5" xfId="28465" xr:uid="{85520F26-EAF6-49F2-92EA-1A1ED095E387}"/>
    <cellStyle name="40% - Accent4 4 4 4" xfId="6362" xr:uid="{00000000-0005-0000-0000-000073430000}"/>
    <cellStyle name="40% - Accent4 4 4 4 2" xfId="14337" xr:uid="{00000000-0005-0000-0000-000074430000}"/>
    <cellStyle name="40% - Accent4 4 4 4 2 2" xfId="38179" xr:uid="{CDC227E3-8DF5-456C-9560-625199BA5BC2}"/>
    <cellStyle name="40% - Accent4 4 4 4 3" xfId="22284" xr:uid="{00000000-0005-0000-0000-000075430000}"/>
    <cellStyle name="40% - Accent4 4 4 4 3 2" xfId="46116" xr:uid="{04790122-33F7-41DD-9C94-E8F355DF5C8D}"/>
    <cellStyle name="40% - Accent4 4 4 4 4" xfId="30238" xr:uid="{CBCA3F3D-EFA0-41AB-A148-4F4859207A26}"/>
    <cellStyle name="40% - Accent4 4 4 5" xfId="9905" xr:uid="{00000000-0005-0000-0000-000076430000}"/>
    <cellStyle name="40% - Accent4 4 4 5 2" xfId="17863" xr:uid="{00000000-0005-0000-0000-000077430000}"/>
    <cellStyle name="40% - Accent4 4 4 5 2 2" xfId="41703" xr:uid="{B5072B4E-BAC3-4759-860B-B75014AAC3C7}"/>
    <cellStyle name="40% - Accent4 4 4 5 3" xfId="25807" xr:uid="{00000000-0005-0000-0000-000078430000}"/>
    <cellStyle name="40% - Accent4 4 4 5 3 2" xfId="49639" xr:uid="{C7579C3F-D791-454F-8A24-42A2C9AD5BCF}"/>
    <cellStyle name="40% - Accent4 4 4 5 4" xfId="33762" xr:uid="{599C771A-BB94-4669-963B-24B5E26C7A69}"/>
    <cellStyle name="40% - Accent4 4 4 6" xfId="10801" xr:uid="{00000000-0005-0000-0000-000079430000}"/>
    <cellStyle name="40% - Accent4 4 4 6 2" xfId="34650" xr:uid="{ADA26ABE-5160-4F48-B557-F3B784745CE9}"/>
    <cellStyle name="40% - Accent4 4 4 7" xfId="18756" xr:uid="{00000000-0005-0000-0000-00007A430000}"/>
    <cellStyle name="40% - Accent4 4 4 7 2" xfId="42588" xr:uid="{715A35C1-10BF-4D6C-909A-ECEA7546D05A}"/>
    <cellStyle name="40% - Accent4 4 4 8" xfId="26708" xr:uid="{C24C1827-34DC-4445-A112-E1661FBC0BC6}"/>
    <cellStyle name="40% - Accent4 4 4_Exh G" xfId="3130" xr:uid="{00000000-0005-0000-0000-00007B430000}"/>
    <cellStyle name="40% - Accent4 4 5" xfId="1539" xr:uid="{00000000-0005-0000-0000-00007C430000}"/>
    <cellStyle name="40% - Accent4 4 5 2" xfId="5069" xr:uid="{00000000-0005-0000-0000-00007D430000}"/>
    <cellStyle name="40% - Accent4 4 5 2 2" xfId="8660" xr:uid="{00000000-0005-0000-0000-00007E430000}"/>
    <cellStyle name="40% - Accent4 4 5 2 2 2" xfId="16631" xr:uid="{00000000-0005-0000-0000-00007F430000}"/>
    <cellStyle name="40% - Accent4 4 5 2 2 2 2" xfId="40473" xr:uid="{59732075-9E01-4C02-89EC-A347C4A1D1C9}"/>
    <cellStyle name="40% - Accent4 4 5 2 2 3" xfId="24577" xr:uid="{00000000-0005-0000-0000-000080430000}"/>
    <cellStyle name="40% - Accent4 4 5 2 2 3 2" xfId="48409" xr:uid="{D6EEC58A-BB43-4B0C-A452-4258B2D8BA7F}"/>
    <cellStyle name="40% - Accent4 4 5 2 2 4" xfId="32532" xr:uid="{660648D5-2FA9-4ED5-9D32-0C5C6D68CF38}"/>
    <cellStyle name="40% - Accent4 4 5 2 3" xfId="13093" xr:uid="{00000000-0005-0000-0000-000081430000}"/>
    <cellStyle name="40% - Accent4 4 5 2 3 2" xfId="36942" xr:uid="{9F2A256A-7711-45D6-8329-CB529A1D25AF}"/>
    <cellStyle name="40% - Accent4 4 5 2 4" xfId="21048" xr:uid="{00000000-0005-0000-0000-000082430000}"/>
    <cellStyle name="40% - Accent4 4 5 2 4 2" xfId="44880" xr:uid="{DDBD42A3-3F26-4ADE-BC74-46EFB7024CB8}"/>
    <cellStyle name="40% - Accent4 4 5 2 5" xfId="29001" xr:uid="{D49A2D43-FBC1-43CA-87F6-1C75D5CBC3A6}"/>
    <cellStyle name="40% - Accent4 4 5 3" xfId="6901" xr:uid="{00000000-0005-0000-0000-000083430000}"/>
    <cellStyle name="40% - Accent4 4 5 3 2" xfId="14873" xr:uid="{00000000-0005-0000-0000-000084430000}"/>
    <cellStyle name="40% - Accent4 4 5 3 2 2" xfId="38715" xr:uid="{8B6EDCFB-0E5F-4628-8A31-7F4CDE7C3E35}"/>
    <cellStyle name="40% - Accent4 4 5 3 3" xfId="22820" xr:uid="{00000000-0005-0000-0000-000085430000}"/>
    <cellStyle name="40% - Accent4 4 5 3 3 2" xfId="46652" xr:uid="{4DA78600-DCEC-47E7-9CF0-AEE910AE30FB}"/>
    <cellStyle name="40% - Accent4 4 5 3 4" xfId="30774" xr:uid="{8B08A570-3EA0-47BF-B39D-B8547DEF65CB}"/>
    <cellStyle name="40% - Accent4 4 5 4" xfId="11337" xr:uid="{00000000-0005-0000-0000-000086430000}"/>
    <cellStyle name="40% - Accent4 4 5 4 2" xfId="35186" xr:uid="{24152146-A8D7-4297-9915-13B305E2FCB6}"/>
    <cellStyle name="40% - Accent4 4 5 5" xfId="19292" xr:uid="{00000000-0005-0000-0000-000087430000}"/>
    <cellStyle name="40% - Accent4 4 5 5 2" xfId="43124" xr:uid="{FC9840C4-F8DC-4DEE-928B-80535E78E8A1}"/>
    <cellStyle name="40% - Accent4 4 5 6" xfId="27244" xr:uid="{69D2340B-06DF-4204-9A9A-F4B3CB1E9A76}"/>
    <cellStyle name="40% - Accent4 4 5_Exh G" xfId="3132" xr:uid="{00000000-0005-0000-0000-000088430000}"/>
    <cellStyle name="40% - Accent4 4 6" xfId="4190" xr:uid="{00000000-0005-0000-0000-000089430000}"/>
    <cellStyle name="40% - Accent4 4 6 2" xfId="7782" xr:uid="{00000000-0005-0000-0000-00008A430000}"/>
    <cellStyle name="40% - Accent4 4 6 2 2" xfId="15753" xr:uid="{00000000-0005-0000-0000-00008B430000}"/>
    <cellStyle name="40% - Accent4 4 6 2 2 2" xfId="39595" xr:uid="{FF199829-BEC7-418D-8682-335636A639A2}"/>
    <cellStyle name="40% - Accent4 4 6 2 3" xfId="23699" xr:uid="{00000000-0005-0000-0000-00008C430000}"/>
    <cellStyle name="40% - Accent4 4 6 2 3 2" xfId="47531" xr:uid="{EFB5BAEA-61F9-4328-9A4A-96646802DD5B}"/>
    <cellStyle name="40% - Accent4 4 6 2 4" xfId="31654" xr:uid="{7FB0B6E2-44A0-4D04-8013-249A8071ADE9}"/>
    <cellStyle name="40% - Accent4 4 6 3" xfId="12215" xr:uid="{00000000-0005-0000-0000-00008D430000}"/>
    <cellStyle name="40% - Accent4 4 6 3 2" xfId="36064" xr:uid="{5A0C2591-CA36-4CF2-90D0-86C560E3A83A}"/>
    <cellStyle name="40% - Accent4 4 6 4" xfId="20170" xr:uid="{00000000-0005-0000-0000-00008E430000}"/>
    <cellStyle name="40% - Accent4 4 6 4 2" xfId="44002" xr:uid="{B2F5D345-E78B-40EB-94B3-1D266944305B}"/>
    <cellStyle name="40% - Accent4 4 6 5" xfId="28123" xr:uid="{4B43F683-5B91-4987-9998-7F4D49422889}"/>
    <cellStyle name="40% - Accent4 4 7" xfId="6010" xr:uid="{00000000-0005-0000-0000-00008F430000}"/>
    <cellStyle name="40% - Accent4 4 7 2" xfId="13994" xr:uid="{00000000-0005-0000-0000-000090430000}"/>
    <cellStyle name="40% - Accent4 4 7 2 2" xfId="37837" xr:uid="{BE895380-E86D-4C60-B979-395B6F8E5471}"/>
    <cellStyle name="40% - Accent4 4 7 3" xfId="21942" xr:uid="{00000000-0005-0000-0000-000091430000}"/>
    <cellStyle name="40% - Accent4 4 7 3 2" xfId="45774" xr:uid="{09BFA047-E13A-4B00-B4A2-EF69B1B40E7B}"/>
    <cellStyle name="40% - Accent4 4 7 4" xfId="29896" xr:uid="{79CBAEC0-D3F6-4CA3-94E2-DFB3C2EC1BF4}"/>
    <cellStyle name="40% - Accent4 4 8" xfId="9563" xr:uid="{00000000-0005-0000-0000-000092430000}"/>
    <cellStyle name="40% - Accent4 4 8 2" xfId="17521" xr:uid="{00000000-0005-0000-0000-000093430000}"/>
    <cellStyle name="40% - Accent4 4 8 2 2" xfId="41361" xr:uid="{531F5B57-163D-4229-89FA-F859CE4525F5}"/>
    <cellStyle name="40% - Accent4 4 8 3" xfId="25465" xr:uid="{00000000-0005-0000-0000-000094430000}"/>
    <cellStyle name="40% - Accent4 4 8 3 2" xfId="49297" xr:uid="{A2E6666D-B3AB-4959-A6C7-A3065801F4C5}"/>
    <cellStyle name="40% - Accent4 4 8 4" xfId="33420" xr:uid="{FC20C28A-8B6E-482F-B72C-C60D2F5B02C7}"/>
    <cellStyle name="40% - Accent4 4 9" xfId="10459" xr:uid="{00000000-0005-0000-0000-000095430000}"/>
    <cellStyle name="40% - Accent4 4 9 2" xfId="34308" xr:uid="{A68FDC22-01C1-4519-9A08-56D40095BF2A}"/>
    <cellStyle name="40% - Accent4 4_Exh G" xfId="3121" xr:uid="{00000000-0005-0000-0000-000096430000}"/>
    <cellStyle name="40% - Accent4 5" xfId="515" xr:uid="{00000000-0005-0000-0000-000097430000}"/>
    <cellStyle name="40% - Accent4 5 10" xfId="18418" xr:uid="{00000000-0005-0000-0000-000098430000}"/>
    <cellStyle name="40% - Accent4 5 10 2" xfId="42250" xr:uid="{51D00649-327F-4BB3-9F38-F0F764FF1424}"/>
    <cellStyle name="40% - Accent4 5 11" xfId="26370" xr:uid="{A6A8CC89-9B4A-4AD6-AF37-825A6BA8D3FE}"/>
    <cellStyle name="40% - Accent4 5 2" xfId="516" xr:uid="{00000000-0005-0000-0000-000099430000}"/>
    <cellStyle name="40% - Accent4 5 2 2" xfId="517" xr:uid="{00000000-0005-0000-0000-00009A430000}"/>
    <cellStyle name="40% - Accent4 5 2 2 2" xfId="1545" xr:uid="{00000000-0005-0000-0000-00009B430000}"/>
    <cellStyle name="40% - Accent4 5 2 2 2 2" xfId="5075" xr:uid="{00000000-0005-0000-0000-00009C430000}"/>
    <cellStyle name="40% - Accent4 5 2 2 2 2 2" xfId="8666" xr:uid="{00000000-0005-0000-0000-00009D430000}"/>
    <cellStyle name="40% - Accent4 5 2 2 2 2 2 2" xfId="16637" xr:uid="{00000000-0005-0000-0000-00009E430000}"/>
    <cellStyle name="40% - Accent4 5 2 2 2 2 2 2 2" xfId="40479" xr:uid="{6F9ABDF6-96D0-485B-96D9-FD90F44E7E51}"/>
    <cellStyle name="40% - Accent4 5 2 2 2 2 2 3" xfId="24583" xr:uid="{00000000-0005-0000-0000-00009F430000}"/>
    <cellStyle name="40% - Accent4 5 2 2 2 2 2 3 2" xfId="48415" xr:uid="{5EF5D02F-8301-4262-9DC9-B60F3879236A}"/>
    <cellStyle name="40% - Accent4 5 2 2 2 2 2 4" xfId="32538" xr:uid="{357B8DE0-593B-4036-B74D-5579C389CDF1}"/>
    <cellStyle name="40% - Accent4 5 2 2 2 2 3" xfId="13099" xr:uid="{00000000-0005-0000-0000-0000A0430000}"/>
    <cellStyle name="40% - Accent4 5 2 2 2 2 3 2" xfId="36948" xr:uid="{7EB3022A-ECE0-4059-8CE9-909EC93F49A3}"/>
    <cellStyle name="40% - Accent4 5 2 2 2 2 4" xfId="21054" xr:uid="{00000000-0005-0000-0000-0000A1430000}"/>
    <cellStyle name="40% - Accent4 5 2 2 2 2 4 2" xfId="44886" xr:uid="{57596FD9-72EB-4D1C-B974-2F9E1B07C3A9}"/>
    <cellStyle name="40% - Accent4 5 2 2 2 2 5" xfId="29007" xr:uid="{30B3D384-A13A-4AD6-A0CC-BE84037D32F7}"/>
    <cellStyle name="40% - Accent4 5 2 2 2 3" xfId="6907" xr:uid="{00000000-0005-0000-0000-0000A2430000}"/>
    <cellStyle name="40% - Accent4 5 2 2 2 3 2" xfId="14879" xr:uid="{00000000-0005-0000-0000-0000A3430000}"/>
    <cellStyle name="40% - Accent4 5 2 2 2 3 2 2" xfId="38721" xr:uid="{43727A52-1C35-4C6B-95D7-13BF9BC63723}"/>
    <cellStyle name="40% - Accent4 5 2 2 2 3 3" xfId="22826" xr:uid="{00000000-0005-0000-0000-0000A4430000}"/>
    <cellStyle name="40% - Accent4 5 2 2 2 3 3 2" xfId="46658" xr:uid="{8E1819E7-FCA6-41A1-A33C-70D8C736D95E}"/>
    <cellStyle name="40% - Accent4 5 2 2 2 3 4" xfId="30780" xr:uid="{0DBED7DE-773D-430A-858C-301A1F2FCE4E}"/>
    <cellStyle name="40% - Accent4 5 2 2 2 4" xfId="11343" xr:uid="{00000000-0005-0000-0000-0000A5430000}"/>
    <cellStyle name="40% - Accent4 5 2 2 2 4 2" xfId="35192" xr:uid="{A0C88A35-89D8-4E3F-BD46-06945B18155D}"/>
    <cellStyle name="40% - Accent4 5 2 2 2 5" xfId="19298" xr:uid="{00000000-0005-0000-0000-0000A6430000}"/>
    <cellStyle name="40% - Accent4 5 2 2 2 5 2" xfId="43130" xr:uid="{1BE36FA3-4D12-47DC-B3DB-E9ACEE5941D5}"/>
    <cellStyle name="40% - Accent4 5 2 2 2 6" xfId="27250" xr:uid="{4194EEC7-5C51-4C14-9AD5-C42942B8653A}"/>
    <cellStyle name="40% - Accent4 5 2 2 2_Exh G" xfId="3136" xr:uid="{00000000-0005-0000-0000-0000A7430000}"/>
    <cellStyle name="40% - Accent4 5 2 2 3" xfId="4196" xr:uid="{00000000-0005-0000-0000-0000A8430000}"/>
    <cellStyle name="40% - Accent4 5 2 2 3 2" xfId="7788" xr:uid="{00000000-0005-0000-0000-0000A9430000}"/>
    <cellStyle name="40% - Accent4 5 2 2 3 2 2" xfId="15759" xr:uid="{00000000-0005-0000-0000-0000AA430000}"/>
    <cellStyle name="40% - Accent4 5 2 2 3 2 2 2" xfId="39601" xr:uid="{1387D85E-CFEF-4CAE-93C4-22882311AEBE}"/>
    <cellStyle name="40% - Accent4 5 2 2 3 2 3" xfId="23705" xr:uid="{00000000-0005-0000-0000-0000AB430000}"/>
    <cellStyle name="40% - Accent4 5 2 2 3 2 3 2" xfId="47537" xr:uid="{4235C8A7-1DC5-47CF-8302-57713F18C6C5}"/>
    <cellStyle name="40% - Accent4 5 2 2 3 2 4" xfId="31660" xr:uid="{4B294F42-1ADA-4C38-8ABF-DF9A47BD20D8}"/>
    <cellStyle name="40% - Accent4 5 2 2 3 3" xfId="12221" xr:uid="{00000000-0005-0000-0000-0000AC430000}"/>
    <cellStyle name="40% - Accent4 5 2 2 3 3 2" xfId="36070" xr:uid="{DDC77752-5AC1-48B1-B5A6-DD1CF523D0C3}"/>
    <cellStyle name="40% - Accent4 5 2 2 3 4" xfId="20176" xr:uid="{00000000-0005-0000-0000-0000AD430000}"/>
    <cellStyle name="40% - Accent4 5 2 2 3 4 2" xfId="44008" xr:uid="{1F332F48-D31B-428B-A6D5-E4287BE275EF}"/>
    <cellStyle name="40% - Accent4 5 2 2 3 5" xfId="28129" xr:uid="{671EFA2B-A44E-4B34-BDFB-A0CCD28ACE34}"/>
    <cellStyle name="40% - Accent4 5 2 2 4" xfId="6016" xr:uid="{00000000-0005-0000-0000-0000AE430000}"/>
    <cellStyle name="40% - Accent4 5 2 2 4 2" xfId="14000" xr:uid="{00000000-0005-0000-0000-0000AF430000}"/>
    <cellStyle name="40% - Accent4 5 2 2 4 2 2" xfId="37843" xr:uid="{86F3A11A-5688-4699-8EB3-210847E594F8}"/>
    <cellStyle name="40% - Accent4 5 2 2 4 3" xfId="21948" xr:uid="{00000000-0005-0000-0000-0000B0430000}"/>
    <cellStyle name="40% - Accent4 5 2 2 4 3 2" xfId="45780" xr:uid="{960DF57C-EEF5-488B-9AC5-5B69E80C8B49}"/>
    <cellStyle name="40% - Accent4 5 2 2 4 4" xfId="29902" xr:uid="{1DF9F97E-81F8-44E1-BDB5-3BE2EBD6F8CC}"/>
    <cellStyle name="40% - Accent4 5 2 2 5" xfId="9569" xr:uid="{00000000-0005-0000-0000-0000B1430000}"/>
    <cellStyle name="40% - Accent4 5 2 2 5 2" xfId="17527" xr:uid="{00000000-0005-0000-0000-0000B2430000}"/>
    <cellStyle name="40% - Accent4 5 2 2 5 2 2" xfId="41367" xr:uid="{0652AD67-7D74-43E3-8345-4811F323D033}"/>
    <cellStyle name="40% - Accent4 5 2 2 5 3" xfId="25471" xr:uid="{00000000-0005-0000-0000-0000B3430000}"/>
    <cellStyle name="40% - Accent4 5 2 2 5 3 2" xfId="49303" xr:uid="{0F57F259-50D4-45BB-8741-35E888AF2604}"/>
    <cellStyle name="40% - Accent4 5 2 2 5 4" xfId="33426" xr:uid="{2200C0A8-724E-47F8-8578-0C69526B8BFE}"/>
    <cellStyle name="40% - Accent4 5 2 2 6" xfId="10465" xr:uid="{00000000-0005-0000-0000-0000B4430000}"/>
    <cellStyle name="40% - Accent4 5 2 2 6 2" xfId="34314" xr:uid="{95EED8F2-6ACA-40D7-911C-A26D4BCAB477}"/>
    <cellStyle name="40% - Accent4 5 2 2 7" xfId="18420" xr:uid="{00000000-0005-0000-0000-0000B5430000}"/>
    <cellStyle name="40% - Accent4 5 2 2 7 2" xfId="42252" xr:uid="{09346E9F-60B8-4146-899B-54350401D814}"/>
    <cellStyle name="40% - Accent4 5 2 2 8" xfId="26372" xr:uid="{2359A658-5EA8-456E-87F6-EC7D838AC595}"/>
    <cellStyle name="40% - Accent4 5 2 2_Exh G" xfId="3135" xr:uid="{00000000-0005-0000-0000-0000B6430000}"/>
    <cellStyle name="40% - Accent4 5 2 3" xfId="1544" xr:uid="{00000000-0005-0000-0000-0000B7430000}"/>
    <cellStyle name="40% - Accent4 5 2 3 2" xfId="5074" xr:uid="{00000000-0005-0000-0000-0000B8430000}"/>
    <cellStyle name="40% - Accent4 5 2 3 2 2" xfId="8665" xr:uid="{00000000-0005-0000-0000-0000B9430000}"/>
    <cellStyle name="40% - Accent4 5 2 3 2 2 2" xfId="16636" xr:uid="{00000000-0005-0000-0000-0000BA430000}"/>
    <cellStyle name="40% - Accent4 5 2 3 2 2 2 2" xfId="40478" xr:uid="{366C0484-7AD0-41AD-8896-AABF8659B403}"/>
    <cellStyle name="40% - Accent4 5 2 3 2 2 3" xfId="24582" xr:uid="{00000000-0005-0000-0000-0000BB430000}"/>
    <cellStyle name="40% - Accent4 5 2 3 2 2 3 2" xfId="48414" xr:uid="{B81948E0-0430-41EB-80C0-1060F787C388}"/>
    <cellStyle name="40% - Accent4 5 2 3 2 2 4" xfId="32537" xr:uid="{26A9E966-652C-473A-80A5-B1B4A8827F54}"/>
    <cellStyle name="40% - Accent4 5 2 3 2 3" xfId="13098" xr:uid="{00000000-0005-0000-0000-0000BC430000}"/>
    <cellStyle name="40% - Accent4 5 2 3 2 3 2" xfId="36947" xr:uid="{7DA4C76F-AE3F-4E0F-8655-4F89F6BCEE69}"/>
    <cellStyle name="40% - Accent4 5 2 3 2 4" xfId="21053" xr:uid="{00000000-0005-0000-0000-0000BD430000}"/>
    <cellStyle name="40% - Accent4 5 2 3 2 4 2" xfId="44885" xr:uid="{87FC1A2D-EE5D-4097-8C5E-0019D64F59D2}"/>
    <cellStyle name="40% - Accent4 5 2 3 2 5" xfId="29006" xr:uid="{F736DA2D-84BB-4AA8-A42E-74A874DEF544}"/>
    <cellStyle name="40% - Accent4 5 2 3 3" xfId="6906" xr:uid="{00000000-0005-0000-0000-0000BE430000}"/>
    <cellStyle name="40% - Accent4 5 2 3 3 2" xfId="14878" xr:uid="{00000000-0005-0000-0000-0000BF430000}"/>
    <cellStyle name="40% - Accent4 5 2 3 3 2 2" xfId="38720" xr:uid="{2D7B43B5-EAB9-4655-B764-812F49E46188}"/>
    <cellStyle name="40% - Accent4 5 2 3 3 3" xfId="22825" xr:uid="{00000000-0005-0000-0000-0000C0430000}"/>
    <cellStyle name="40% - Accent4 5 2 3 3 3 2" xfId="46657" xr:uid="{A000AAFA-30FB-46C0-B619-7ECBACF4167C}"/>
    <cellStyle name="40% - Accent4 5 2 3 3 4" xfId="30779" xr:uid="{E6F0ABDC-B5AD-4CE9-AA02-E7F3751027F3}"/>
    <cellStyle name="40% - Accent4 5 2 3 4" xfId="11342" xr:uid="{00000000-0005-0000-0000-0000C1430000}"/>
    <cellStyle name="40% - Accent4 5 2 3 4 2" xfId="35191" xr:uid="{5F701DA5-F05E-4BD2-B078-CCE595BEE870}"/>
    <cellStyle name="40% - Accent4 5 2 3 5" xfId="19297" xr:uid="{00000000-0005-0000-0000-0000C2430000}"/>
    <cellStyle name="40% - Accent4 5 2 3 5 2" xfId="43129" xr:uid="{11C0E031-C2B8-47EC-85D6-323B06D9EC87}"/>
    <cellStyle name="40% - Accent4 5 2 3 6" xfId="27249" xr:uid="{2B75F477-B372-4BA2-9A4D-99047010E8DA}"/>
    <cellStyle name="40% - Accent4 5 2 3_Exh G" xfId="3137" xr:uid="{00000000-0005-0000-0000-0000C3430000}"/>
    <cellStyle name="40% - Accent4 5 2 4" xfId="4195" xr:uid="{00000000-0005-0000-0000-0000C4430000}"/>
    <cellStyle name="40% - Accent4 5 2 4 2" xfId="7787" xr:uid="{00000000-0005-0000-0000-0000C5430000}"/>
    <cellStyle name="40% - Accent4 5 2 4 2 2" xfId="15758" xr:uid="{00000000-0005-0000-0000-0000C6430000}"/>
    <cellStyle name="40% - Accent4 5 2 4 2 2 2" xfId="39600" xr:uid="{D99DB429-6E8F-4F76-9A9A-D159CE645FD4}"/>
    <cellStyle name="40% - Accent4 5 2 4 2 3" xfId="23704" xr:uid="{00000000-0005-0000-0000-0000C7430000}"/>
    <cellStyle name="40% - Accent4 5 2 4 2 3 2" xfId="47536" xr:uid="{BF205A9F-4C8E-4505-88E6-042E046737FA}"/>
    <cellStyle name="40% - Accent4 5 2 4 2 4" xfId="31659" xr:uid="{7EE452ED-89D1-4363-9E0F-3C1CACCD91B2}"/>
    <cellStyle name="40% - Accent4 5 2 4 3" xfId="12220" xr:uid="{00000000-0005-0000-0000-0000C8430000}"/>
    <cellStyle name="40% - Accent4 5 2 4 3 2" xfId="36069" xr:uid="{7CFBDB1D-0588-46EC-BF17-7482A39188B9}"/>
    <cellStyle name="40% - Accent4 5 2 4 4" xfId="20175" xr:uid="{00000000-0005-0000-0000-0000C9430000}"/>
    <cellStyle name="40% - Accent4 5 2 4 4 2" xfId="44007" xr:uid="{42C2D527-BE20-4B21-8406-B4608E4C8BCD}"/>
    <cellStyle name="40% - Accent4 5 2 4 5" xfId="28128" xr:uid="{12E32CC6-D015-4955-948D-6FF406EAA7E0}"/>
    <cellStyle name="40% - Accent4 5 2 5" xfId="6015" xr:uid="{00000000-0005-0000-0000-0000CA430000}"/>
    <cellStyle name="40% - Accent4 5 2 5 2" xfId="13999" xr:uid="{00000000-0005-0000-0000-0000CB430000}"/>
    <cellStyle name="40% - Accent4 5 2 5 2 2" xfId="37842" xr:uid="{1733AA71-F2B4-40AB-9FF7-BD09F1C19F94}"/>
    <cellStyle name="40% - Accent4 5 2 5 3" xfId="21947" xr:uid="{00000000-0005-0000-0000-0000CC430000}"/>
    <cellStyle name="40% - Accent4 5 2 5 3 2" xfId="45779" xr:uid="{68B02DB7-1733-4CC5-96E2-E0EAD2AD4F16}"/>
    <cellStyle name="40% - Accent4 5 2 5 4" xfId="29901" xr:uid="{9E469063-6829-496A-A68C-D336BC4C5369}"/>
    <cellStyle name="40% - Accent4 5 2 6" xfId="9568" xr:uid="{00000000-0005-0000-0000-0000CD430000}"/>
    <cellStyle name="40% - Accent4 5 2 6 2" xfId="17526" xr:uid="{00000000-0005-0000-0000-0000CE430000}"/>
    <cellStyle name="40% - Accent4 5 2 6 2 2" xfId="41366" xr:uid="{4CDFA218-8402-42A8-B575-77CB580D14A5}"/>
    <cellStyle name="40% - Accent4 5 2 6 3" xfId="25470" xr:uid="{00000000-0005-0000-0000-0000CF430000}"/>
    <cellStyle name="40% - Accent4 5 2 6 3 2" xfId="49302" xr:uid="{8D18BBAD-C4C6-401C-8C50-5BFF7EFE4E66}"/>
    <cellStyle name="40% - Accent4 5 2 6 4" xfId="33425" xr:uid="{B275E251-CF04-4C94-A502-E257A99C6901}"/>
    <cellStyle name="40% - Accent4 5 2 7" xfId="10464" xr:uid="{00000000-0005-0000-0000-0000D0430000}"/>
    <cellStyle name="40% - Accent4 5 2 7 2" xfId="34313" xr:uid="{2417F9CF-4B76-46A6-BC16-016CC3FF94D2}"/>
    <cellStyle name="40% - Accent4 5 2 8" xfId="18419" xr:uid="{00000000-0005-0000-0000-0000D1430000}"/>
    <cellStyle name="40% - Accent4 5 2 8 2" xfId="42251" xr:uid="{4026BCF2-C958-40BE-8CF1-BF3FACB2D20E}"/>
    <cellStyle name="40% - Accent4 5 2 9" xfId="26371" xr:uid="{F7F6495A-028E-4D49-8C4E-7A4674048A10}"/>
    <cellStyle name="40% - Accent4 5 2_Exh G" xfId="3134" xr:uid="{00000000-0005-0000-0000-0000D2430000}"/>
    <cellStyle name="40% - Accent4 5 3" xfId="518" xr:uid="{00000000-0005-0000-0000-0000D3430000}"/>
    <cellStyle name="40% - Accent4 5 3 2" xfId="1546" xr:uid="{00000000-0005-0000-0000-0000D4430000}"/>
    <cellStyle name="40% - Accent4 5 3 2 2" xfId="5076" xr:uid="{00000000-0005-0000-0000-0000D5430000}"/>
    <cellStyle name="40% - Accent4 5 3 2 2 2" xfId="8667" xr:uid="{00000000-0005-0000-0000-0000D6430000}"/>
    <cellStyle name="40% - Accent4 5 3 2 2 2 2" xfId="16638" xr:uid="{00000000-0005-0000-0000-0000D7430000}"/>
    <cellStyle name="40% - Accent4 5 3 2 2 2 2 2" xfId="40480" xr:uid="{016AD8A3-D28B-41D6-8F47-2C96767A7F10}"/>
    <cellStyle name="40% - Accent4 5 3 2 2 2 3" xfId="24584" xr:uid="{00000000-0005-0000-0000-0000D8430000}"/>
    <cellStyle name="40% - Accent4 5 3 2 2 2 3 2" xfId="48416" xr:uid="{B3AC8E0B-FDC8-47F3-892F-20D4AF7F6E46}"/>
    <cellStyle name="40% - Accent4 5 3 2 2 2 4" xfId="32539" xr:uid="{9548C680-9B17-4E18-A88E-E60302F32034}"/>
    <cellStyle name="40% - Accent4 5 3 2 2 3" xfId="13100" xr:uid="{00000000-0005-0000-0000-0000D9430000}"/>
    <cellStyle name="40% - Accent4 5 3 2 2 3 2" xfId="36949" xr:uid="{6B91F2CC-6EC8-493F-935E-748F499BCBCC}"/>
    <cellStyle name="40% - Accent4 5 3 2 2 4" xfId="21055" xr:uid="{00000000-0005-0000-0000-0000DA430000}"/>
    <cellStyle name="40% - Accent4 5 3 2 2 4 2" xfId="44887" xr:uid="{138D1A57-6F45-49D3-ABE4-B6440666EBE5}"/>
    <cellStyle name="40% - Accent4 5 3 2 2 5" xfId="29008" xr:uid="{7CC5EFA9-CE3B-43B9-A8DD-9C670E52E62C}"/>
    <cellStyle name="40% - Accent4 5 3 2 3" xfId="6908" xr:uid="{00000000-0005-0000-0000-0000DB430000}"/>
    <cellStyle name="40% - Accent4 5 3 2 3 2" xfId="14880" xr:uid="{00000000-0005-0000-0000-0000DC430000}"/>
    <cellStyle name="40% - Accent4 5 3 2 3 2 2" xfId="38722" xr:uid="{DD307113-F336-4334-A0FA-2DBAA56D1A9D}"/>
    <cellStyle name="40% - Accent4 5 3 2 3 3" xfId="22827" xr:uid="{00000000-0005-0000-0000-0000DD430000}"/>
    <cellStyle name="40% - Accent4 5 3 2 3 3 2" xfId="46659" xr:uid="{C1F4D3B0-7748-4CB8-A24B-3A26792EB85B}"/>
    <cellStyle name="40% - Accent4 5 3 2 3 4" xfId="30781" xr:uid="{AD24DB93-A281-4DC4-A2A8-59CB25E6B9E6}"/>
    <cellStyle name="40% - Accent4 5 3 2 4" xfId="11344" xr:uid="{00000000-0005-0000-0000-0000DE430000}"/>
    <cellStyle name="40% - Accent4 5 3 2 4 2" xfId="35193" xr:uid="{14F8A69D-45E0-4B57-BEA0-F23E5944B2D4}"/>
    <cellStyle name="40% - Accent4 5 3 2 5" xfId="19299" xr:uid="{00000000-0005-0000-0000-0000DF430000}"/>
    <cellStyle name="40% - Accent4 5 3 2 5 2" xfId="43131" xr:uid="{8108251F-F119-413F-B8D1-71238D1FE923}"/>
    <cellStyle name="40% - Accent4 5 3 2 6" xfId="27251" xr:uid="{95F3FA36-6506-4A55-877F-C5CD1B2529D3}"/>
    <cellStyle name="40% - Accent4 5 3 2_Exh G" xfId="3139" xr:uid="{00000000-0005-0000-0000-0000E0430000}"/>
    <cellStyle name="40% - Accent4 5 3 3" xfId="4197" xr:uid="{00000000-0005-0000-0000-0000E1430000}"/>
    <cellStyle name="40% - Accent4 5 3 3 2" xfId="7789" xr:uid="{00000000-0005-0000-0000-0000E2430000}"/>
    <cellStyle name="40% - Accent4 5 3 3 2 2" xfId="15760" xr:uid="{00000000-0005-0000-0000-0000E3430000}"/>
    <cellStyle name="40% - Accent4 5 3 3 2 2 2" xfId="39602" xr:uid="{C2BE2395-72E8-4E5B-A691-AFE08422119F}"/>
    <cellStyle name="40% - Accent4 5 3 3 2 3" xfId="23706" xr:uid="{00000000-0005-0000-0000-0000E4430000}"/>
    <cellStyle name="40% - Accent4 5 3 3 2 3 2" xfId="47538" xr:uid="{7B33B3C4-F6C3-415B-8D67-E41AD174EDEC}"/>
    <cellStyle name="40% - Accent4 5 3 3 2 4" xfId="31661" xr:uid="{B5A3D209-E1C9-4ADC-8C4A-A44471DE505A}"/>
    <cellStyle name="40% - Accent4 5 3 3 3" xfId="12222" xr:uid="{00000000-0005-0000-0000-0000E5430000}"/>
    <cellStyle name="40% - Accent4 5 3 3 3 2" xfId="36071" xr:uid="{32E3F9B4-554E-4566-8FCD-C43181639881}"/>
    <cellStyle name="40% - Accent4 5 3 3 4" xfId="20177" xr:uid="{00000000-0005-0000-0000-0000E6430000}"/>
    <cellStyle name="40% - Accent4 5 3 3 4 2" xfId="44009" xr:uid="{BC7034D1-321C-4B29-B962-F478C5B68121}"/>
    <cellStyle name="40% - Accent4 5 3 3 5" xfId="28130" xr:uid="{446F288A-73C8-4202-B8FE-A07A69907953}"/>
    <cellStyle name="40% - Accent4 5 3 4" xfId="6017" xr:uid="{00000000-0005-0000-0000-0000E7430000}"/>
    <cellStyle name="40% - Accent4 5 3 4 2" xfId="14001" xr:uid="{00000000-0005-0000-0000-0000E8430000}"/>
    <cellStyle name="40% - Accent4 5 3 4 2 2" xfId="37844" xr:uid="{C23ABD26-3420-44FA-AD83-A74986BBF623}"/>
    <cellStyle name="40% - Accent4 5 3 4 3" xfId="21949" xr:uid="{00000000-0005-0000-0000-0000E9430000}"/>
    <cellStyle name="40% - Accent4 5 3 4 3 2" xfId="45781" xr:uid="{2DE10990-247C-46B7-B690-92C0715B6F2E}"/>
    <cellStyle name="40% - Accent4 5 3 4 4" xfId="29903" xr:uid="{976B1C17-6881-40B5-B343-E88C453AD149}"/>
    <cellStyle name="40% - Accent4 5 3 5" xfId="9570" xr:uid="{00000000-0005-0000-0000-0000EA430000}"/>
    <cellStyle name="40% - Accent4 5 3 5 2" xfId="17528" xr:uid="{00000000-0005-0000-0000-0000EB430000}"/>
    <cellStyle name="40% - Accent4 5 3 5 2 2" xfId="41368" xr:uid="{41B3CA5D-8BC4-4252-8780-3501D3A21F8D}"/>
    <cellStyle name="40% - Accent4 5 3 5 3" xfId="25472" xr:uid="{00000000-0005-0000-0000-0000EC430000}"/>
    <cellStyle name="40% - Accent4 5 3 5 3 2" xfId="49304" xr:uid="{FBDC073E-BE45-4AED-BD86-A4058C6E5223}"/>
    <cellStyle name="40% - Accent4 5 3 5 4" xfId="33427" xr:uid="{13B9F04C-DBC5-486E-883B-D5FAB47F7185}"/>
    <cellStyle name="40% - Accent4 5 3 6" xfId="10466" xr:uid="{00000000-0005-0000-0000-0000ED430000}"/>
    <cellStyle name="40% - Accent4 5 3 6 2" xfId="34315" xr:uid="{5CA07A1B-4150-4AFB-B0A5-CC9CD151CE40}"/>
    <cellStyle name="40% - Accent4 5 3 7" xfId="18421" xr:uid="{00000000-0005-0000-0000-0000EE430000}"/>
    <cellStyle name="40% - Accent4 5 3 7 2" xfId="42253" xr:uid="{A52079A5-B731-46CE-9EE6-3A03C195C096}"/>
    <cellStyle name="40% - Accent4 5 3 8" xfId="26373" xr:uid="{52EFC276-2834-4800-BA2D-5719F0E5D5B8}"/>
    <cellStyle name="40% - Accent4 5 3_Exh G" xfId="3138" xr:uid="{00000000-0005-0000-0000-0000EF430000}"/>
    <cellStyle name="40% - Accent4 5 4" xfId="977" xr:uid="{00000000-0005-0000-0000-0000F0430000}"/>
    <cellStyle name="40% - Accent4 5 5" xfId="1543" xr:uid="{00000000-0005-0000-0000-0000F1430000}"/>
    <cellStyle name="40% - Accent4 5 5 2" xfId="5073" xr:uid="{00000000-0005-0000-0000-0000F2430000}"/>
    <cellStyle name="40% - Accent4 5 5 2 2" xfId="8664" xr:uid="{00000000-0005-0000-0000-0000F3430000}"/>
    <cellStyle name="40% - Accent4 5 5 2 2 2" xfId="16635" xr:uid="{00000000-0005-0000-0000-0000F4430000}"/>
    <cellStyle name="40% - Accent4 5 5 2 2 2 2" xfId="40477" xr:uid="{D739D11D-3E58-46E2-8D4A-D4386DC03D17}"/>
    <cellStyle name="40% - Accent4 5 5 2 2 3" xfId="24581" xr:uid="{00000000-0005-0000-0000-0000F5430000}"/>
    <cellStyle name="40% - Accent4 5 5 2 2 3 2" xfId="48413" xr:uid="{A6B1A34F-155F-4230-A426-8B8E8AECE176}"/>
    <cellStyle name="40% - Accent4 5 5 2 2 4" xfId="32536" xr:uid="{C4C0C5F5-99BD-467F-ABE6-FEE486DD3C76}"/>
    <cellStyle name="40% - Accent4 5 5 2 3" xfId="13097" xr:uid="{00000000-0005-0000-0000-0000F6430000}"/>
    <cellStyle name="40% - Accent4 5 5 2 3 2" xfId="36946" xr:uid="{49D4B5CF-23DA-4136-BF82-021089A57981}"/>
    <cellStyle name="40% - Accent4 5 5 2 4" xfId="21052" xr:uid="{00000000-0005-0000-0000-0000F7430000}"/>
    <cellStyle name="40% - Accent4 5 5 2 4 2" xfId="44884" xr:uid="{750A29DB-D666-4C95-A705-F48C2510A235}"/>
    <cellStyle name="40% - Accent4 5 5 2 5" xfId="29005" xr:uid="{748F9732-796C-4632-9D48-D2F644AFE32C}"/>
    <cellStyle name="40% - Accent4 5 5 3" xfId="6905" xr:uid="{00000000-0005-0000-0000-0000F8430000}"/>
    <cellStyle name="40% - Accent4 5 5 3 2" xfId="14877" xr:uid="{00000000-0005-0000-0000-0000F9430000}"/>
    <cellStyle name="40% - Accent4 5 5 3 2 2" xfId="38719" xr:uid="{C93A1728-5528-4B03-8E64-899E6536CD0F}"/>
    <cellStyle name="40% - Accent4 5 5 3 3" xfId="22824" xr:uid="{00000000-0005-0000-0000-0000FA430000}"/>
    <cellStyle name="40% - Accent4 5 5 3 3 2" xfId="46656" xr:uid="{D82AC054-22AC-46AB-8E0C-455ADFFE263E}"/>
    <cellStyle name="40% - Accent4 5 5 3 4" xfId="30778" xr:uid="{7AA26CBC-CCC1-4529-A3D9-78ACCB984EA9}"/>
    <cellStyle name="40% - Accent4 5 5 4" xfId="11341" xr:uid="{00000000-0005-0000-0000-0000FB430000}"/>
    <cellStyle name="40% - Accent4 5 5 4 2" xfId="35190" xr:uid="{8C628DF8-5976-41CE-AAE7-DEE8C5C2E617}"/>
    <cellStyle name="40% - Accent4 5 5 5" xfId="19296" xr:uid="{00000000-0005-0000-0000-0000FC430000}"/>
    <cellStyle name="40% - Accent4 5 5 5 2" xfId="43128" xr:uid="{D8E671A6-9E95-45D8-9D95-4C853AE9AB5F}"/>
    <cellStyle name="40% - Accent4 5 5 6" xfId="27248" xr:uid="{57CA02EB-61B7-4364-97DA-DFC45003BF6F}"/>
    <cellStyle name="40% - Accent4 5 5_Exh G" xfId="3140" xr:uid="{00000000-0005-0000-0000-0000FD430000}"/>
    <cellStyle name="40% - Accent4 5 6" xfId="4194" xr:uid="{00000000-0005-0000-0000-0000FE430000}"/>
    <cellStyle name="40% - Accent4 5 6 2" xfId="7786" xr:uid="{00000000-0005-0000-0000-0000FF430000}"/>
    <cellStyle name="40% - Accent4 5 6 2 2" xfId="15757" xr:uid="{00000000-0005-0000-0000-000000440000}"/>
    <cellStyle name="40% - Accent4 5 6 2 2 2" xfId="39599" xr:uid="{64163782-DBA3-4E5E-9F49-AD81565064BB}"/>
    <cellStyle name="40% - Accent4 5 6 2 3" xfId="23703" xr:uid="{00000000-0005-0000-0000-000001440000}"/>
    <cellStyle name="40% - Accent4 5 6 2 3 2" xfId="47535" xr:uid="{F311DF7A-F4DB-46D8-BE33-D9D91B117BA5}"/>
    <cellStyle name="40% - Accent4 5 6 2 4" xfId="31658" xr:uid="{96CEA652-354D-4F6E-9774-75E07B34DEB8}"/>
    <cellStyle name="40% - Accent4 5 6 3" xfId="12219" xr:uid="{00000000-0005-0000-0000-000002440000}"/>
    <cellStyle name="40% - Accent4 5 6 3 2" xfId="36068" xr:uid="{6B47EB5C-72DF-45D4-A6F1-04D37C0D1705}"/>
    <cellStyle name="40% - Accent4 5 6 4" xfId="20174" xr:uid="{00000000-0005-0000-0000-000003440000}"/>
    <cellStyle name="40% - Accent4 5 6 4 2" xfId="44006" xr:uid="{FCCF9856-6347-488B-B572-E5EEF97E8C7E}"/>
    <cellStyle name="40% - Accent4 5 6 5" xfId="28127" xr:uid="{FD13C5D7-03BB-411D-A2DE-D9C4E627ED1D}"/>
    <cellStyle name="40% - Accent4 5 7" xfId="6014" xr:uid="{00000000-0005-0000-0000-000004440000}"/>
    <cellStyle name="40% - Accent4 5 7 2" xfId="13998" xr:uid="{00000000-0005-0000-0000-000005440000}"/>
    <cellStyle name="40% - Accent4 5 7 2 2" xfId="37841" xr:uid="{509632C0-1ECC-43FA-BB12-B9BA5ED30E35}"/>
    <cellStyle name="40% - Accent4 5 7 3" xfId="21946" xr:uid="{00000000-0005-0000-0000-000006440000}"/>
    <cellStyle name="40% - Accent4 5 7 3 2" xfId="45778" xr:uid="{9425075A-1390-40A3-B8B3-9085933AE1F8}"/>
    <cellStyle name="40% - Accent4 5 7 4" xfId="29900" xr:uid="{4B8560B0-25F5-4CB9-BE72-744E193A6CE1}"/>
    <cellStyle name="40% - Accent4 5 8" xfId="9567" xr:uid="{00000000-0005-0000-0000-000007440000}"/>
    <cellStyle name="40% - Accent4 5 8 2" xfId="17525" xr:uid="{00000000-0005-0000-0000-000008440000}"/>
    <cellStyle name="40% - Accent4 5 8 2 2" xfId="41365" xr:uid="{FDF79948-AFC2-4A50-B333-3D720D98C26A}"/>
    <cellStyle name="40% - Accent4 5 8 3" xfId="25469" xr:uid="{00000000-0005-0000-0000-000009440000}"/>
    <cellStyle name="40% - Accent4 5 8 3 2" xfId="49301" xr:uid="{62DDAE1C-9A6B-4B38-8A50-F13DB4640FD4}"/>
    <cellStyle name="40% - Accent4 5 8 4" xfId="33424" xr:uid="{09876AB9-D3DE-4AB6-A543-34CA38CB332E}"/>
    <cellStyle name="40% - Accent4 5 9" xfId="10463" xr:uid="{00000000-0005-0000-0000-00000A440000}"/>
    <cellStyle name="40% - Accent4 5 9 2" xfId="34312" xr:uid="{3D40DC91-EE6E-481D-BE83-138CE9E3C009}"/>
    <cellStyle name="40% - Accent4 5_Exh G" xfId="3133" xr:uid="{00000000-0005-0000-0000-00000B440000}"/>
    <cellStyle name="40% - Accent4 6" xfId="519" xr:uid="{00000000-0005-0000-0000-00000C440000}"/>
    <cellStyle name="40% - Accent4 6 10" xfId="18422" xr:uid="{00000000-0005-0000-0000-00000D440000}"/>
    <cellStyle name="40% - Accent4 6 10 2" xfId="42254" xr:uid="{36896209-307F-41A3-A8D8-37D8D6041F37}"/>
    <cellStyle name="40% - Accent4 6 11" xfId="26374" xr:uid="{F94A08EE-26B3-476F-A26B-5BDD189927DA}"/>
    <cellStyle name="40% - Accent4 6 2" xfId="520" xr:uid="{00000000-0005-0000-0000-00000E440000}"/>
    <cellStyle name="40% - Accent4 6 2 2" xfId="521" xr:uid="{00000000-0005-0000-0000-00000F440000}"/>
    <cellStyle name="40% - Accent4 6 2 2 2" xfId="1549" xr:uid="{00000000-0005-0000-0000-000010440000}"/>
    <cellStyle name="40% - Accent4 6 2 2 2 2" xfId="5079" xr:uid="{00000000-0005-0000-0000-000011440000}"/>
    <cellStyle name="40% - Accent4 6 2 2 2 2 2" xfId="8670" xr:uid="{00000000-0005-0000-0000-000012440000}"/>
    <cellStyle name="40% - Accent4 6 2 2 2 2 2 2" xfId="16641" xr:uid="{00000000-0005-0000-0000-000013440000}"/>
    <cellStyle name="40% - Accent4 6 2 2 2 2 2 2 2" xfId="40483" xr:uid="{335AC1AA-6EC9-45FB-8CC2-55107701D950}"/>
    <cellStyle name="40% - Accent4 6 2 2 2 2 2 3" xfId="24587" xr:uid="{00000000-0005-0000-0000-000014440000}"/>
    <cellStyle name="40% - Accent4 6 2 2 2 2 2 3 2" xfId="48419" xr:uid="{6DD36B7F-53FA-444E-88C8-F5D0D329F81C}"/>
    <cellStyle name="40% - Accent4 6 2 2 2 2 2 4" xfId="32542" xr:uid="{E79C8354-8D6D-4897-8EBB-1DC0484313B5}"/>
    <cellStyle name="40% - Accent4 6 2 2 2 2 3" xfId="13103" xr:uid="{00000000-0005-0000-0000-000015440000}"/>
    <cellStyle name="40% - Accent4 6 2 2 2 2 3 2" xfId="36952" xr:uid="{8694BD90-6428-4ACE-81D4-6E53422269D4}"/>
    <cellStyle name="40% - Accent4 6 2 2 2 2 4" xfId="21058" xr:uid="{00000000-0005-0000-0000-000016440000}"/>
    <cellStyle name="40% - Accent4 6 2 2 2 2 4 2" xfId="44890" xr:uid="{7F658B65-5D94-4AA7-B198-7379537036A1}"/>
    <cellStyle name="40% - Accent4 6 2 2 2 2 5" xfId="29011" xr:uid="{AF4969E2-768F-4671-BB95-9CD6970A24B2}"/>
    <cellStyle name="40% - Accent4 6 2 2 2 3" xfId="6911" xr:uid="{00000000-0005-0000-0000-000017440000}"/>
    <cellStyle name="40% - Accent4 6 2 2 2 3 2" xfId="14883" xr:uid="{00000000-0005-0000-0000-000018440000}"/>
    <cellStyle name="40% - Accent4 6 2 2 2 3 2 2" xfId="38725" xr:uid="{E127F8E3-6053-40E7-93F7-99830FEE5103}"/>
    <cellStyle name="40% - Accent4 6 2 2 2 3 3" xfId="22830" xr:uid="{00000000-0005-0000-0000-000019440000}"/>
    <cellStyle name="40% - Accent4 6 2 2 2 3 3 2" xfId="46662" xr:uid="{D15EF857-9A32-4428-8FE9-B0A87A919C72}"/>
    <cellStyle name="40% - Accent4 6 2 2 2 3 4" xfId="30784" xr:uid="{FDFC0990-4809-4045-AC96-C75E9D724297}"/>
    <cellStyle name="40% - Accent4 6 2 2 2 4" xfId="11347" xr:uid="{00000000-0005-0000-0000-00001A440000}"/>
    <cellStyle name="40% - Accent4 6 2 2 2 4 2" xfId="35196" xr:uid="{5E48E342-3D8F-44F3-9C10-C97671142618}"/>
    <cellStyle name="40% - Accent4 6 2 2 2 5" xfId="19302" xr:uid="{00000000-0005-0000-0000-00001B440000}"/>
    <cellStyle name="40% - Accent4 6 2 2 2 5 2" xfId="43134" xr:uid="{0897C516-C91C-4B1E-88F0-0CCEBE16843B}"/>
    <cellStyle name="40% - Accent4 6 2 2 2 6" xfId="27254" xr:uid="{941A14C8-9D8A-4629-953A-63DCF930D06A}"/>
    <cellStyle name="40% - Accent4 6 2 2 2_Exh G" xfId="3144" xr:uid="{00000000-0005-0000-0000-00001C440000}"/>
    <cellStyle name="40% - Accent4 6 2 2 3" xfId="4200" xr:uid="{00000000-0005-0000-0000-00001D440000}"/>
    <cellStyle name="40% - Accent4 6 2 2 3 2" xfId="7792" xr:uid="{00000000-0005-0000-0000-00001E440000}"/>
    <cellStyle name="40% - Accent4 6 2 2 3 2 2" xfId="15763" xr:uid="{00000000-0005-0000-0000-00001F440000}"/>
    <cellStyle name="40% - Accent4 6 2 2 3 2 2 2" xfId="39605" xr:uid="{26CBD372-0B37-44A6-B2C3-5A6B24E46F22}"/>
    <cellStyle name="40% - Accent4 6 2 2 3 2 3" xfId="23709" xr:uid="{00000000-0005-0000-0000-000020440000}"/>
    <cellStyle name="40% - Accent4 6 2 2 3 2 3 2" xfId="47541" xr:uid="{B1078D16-90FE-46C2-A50C-CC0CC06B7EE8}"/>
    <cellStyle name="40% - Accent4 6 2 2 3 2 4" xfId="31664" xr:uid="{EC80333E-B229-494B-B903-ED8D2224E909}"/>
    <cellStyle name="40% - Accent4 6 2 2 3 3" xfId="12225" xr:uid="{00000000-0005-0000-0000-000021440000}"/>
    <cellStyle name="40% - Accent4 6 2 2 3 3 2" xfId="36074" xr:uid="{F1D37ACA-7212-4A1D-B903-8A4A596A640A}"/>
    <cellStyle name="40% - Accent4 6 2 2 3 4" xfId="20180" xr:uid="{00000000-0005-0000-0000-000022440000}"/>
    <cellStyle name="40% - Accent4 6 2 2 3 4 2" xfId="44012" xr:uid="{CF0C1153-F8D7-4455-8A16-408280430D46}"/>
    <cellStyle name="40% - Accent4 6 2 2 3 5" xfId="28133" xr:uid="{BAAA2BAE-ACF8-4A28-BBD6-CAB2848C932E}"/>
    <cellStyle name="40% - Accent4 6 2 2 4" xfId="6020" xr:uid="{00000000-0005-0000-0000-000023440000}"/>
    <cellStyle name="40% - Accent4 6 2 2 4 2" xfId="14004" xr:uid="{00000000-0005-0000-0000-000024440000}"/>
    <cellStyle name="40% - Accent4 6 2 2 4 2 2" xfId="37847" xr:uid="{8B5FCEB8-C501-47A6-BF68-85EF4FF6ACA1}"/>
    <cellStyle name="40% - Accent4 6 2 2 4 3" xfId="21952" xr:uid="{00000000-0005-0000-0000-000025440000}"/>
    <cellStyle name="40% - Accent4 6 2 2 4 3 2" xfId="45784" xr:uid="{AFD010E5-80C0-4C47-BD27-5DEE565A4993}"/>
    <cellStyle name="40% - Accent4 6 2 2 4 4" xfId="29906" xr:uid="{D27564A0-9853-4A0F-88C1-3B7D01CCD801}"/>
    <cellStyle name="40% - Accent4 6 2 2 5" xfId="9573" xr:uid="{00000000-0005-0000-0000-000026440000}"/>
    <cellStyle name="40% - Accent4 6 2 2 5 2" xfId="17531" xr:uid="{00000000-0005-0000-0000-000027440000}"/>
    <cellStyle name="40% - Accent4 6 2 2 5 2 2" xfId="41371" xr:uid="{F5232822-77E1-4B61-AB18-86C33A04BCFC}"/>
    <cellStyle name="40% - Accent4 6 2 2 5 3" xfId="25475" xr:uid="{00000000-0005-0000-0000-000028440000}"/>
    <cellStyle name="40% - Accent4 6 2 2 5 3 2" xfId="49307" xr:uid="{AA62FB88-F604-470B-9FE4-CFA9F037A718}"/>
    <cellStyle name="40% - Accent4 6 2 2 5 4" xfId="33430" xr:uid="{B934F80C-6CE8-460C-BBE8-196E01522BFB}"/>
    <cellStyle name="40% - Accent4 6 2 2 6" xfId="10469" xr:uid="{00000000-0005-0000-0000-000029440000}"/>
    <cellStyle name="40% - Accent4 6 2 2 6 2" xfId="34318" xr:uid="{71D30F94-20E2-45D4-B969-9BBE8599D3D8}"/>
    <cellStyle name="40% - Accent4 6 2 2 7" xfId="18424" xr:uid="{00000000-0005-0000-0000-00002A440000}"/>
    <cellStyle name="40% - Accent4 6 2 2 7 2" xfId="42256" xr:uid="{8FFF0B0D-BFE9-40B1-AF3A-A679B32462BE}"/>
    <cellStyle name="40% - Accent4 6 2 2 8" xfId="26376" xr:uid="{3627350C-95C5-47DE-B3E5-32002B6AA95A}"/>
    <cellStyle name="40% - Accent4 6 2 2_Exh G" xfId="3143" xr:uid="{00000000-0005-0000-0000-00002B440000}"/>
    <cellStyle name="40% - Accent4 6 2 3" xfId="1548" xr:uid="{00000000-0005-0000-0000-00002C440000}"/>
    <cellStyle name="40% - Accent4 6 2 3 2" xfId="5078" xr:uid="{00000000-0005-0000-0000-00002D440000}"/>
    <cellStyle name="40% - Accent4 6 2 3 2 2" xfId="8669" xr:uid="{00000000-0005-0000-0000-00002E440000}"/>
    <cellStyle name="40% - Accent4 6 2 3 2 2 2" xfId="16640" xr:uid="{00000000-0005-0000-0000-00002F440000}"/>
    <cellStyle name="40% - Accent4 6 2 3 2 2 2 2" xfId="40482" xr:uid="{C81338E3-B386-4D55-8C3F-CFCEC7E9A025}"/>
    <cellStyle name="40% - Accent4 6 2 3 2 2 3" xfId="24586" xr:uid="{00000000-0005-0000-0000-000030440000}"/>
    <cellStyle name="40% - Accent4 6 2 3 2 2 3 2" xfId="48418" xr:uid="{3D2FCCB4-FC42-4DC1-92E7-2390A0BC3835}"/>
    <cellStyle name="40% - Accent4 6 2 3 2 2 4" xfId="32541" xr:uid="{9C65C242-B057-45F9-9834-0D49474E2CFD}"/>
    <cellStyle name="40% - Accent4 6 2 3 2 3" xfId="13102" xr:uid="{00000000-0005-0000-0000-000031440000}"/>
    <cellStyle name="40% - Accent4 6 2 3 2 3 2" xfId="36951" xr:uid="{AE43EF56-F88F-4455-9C75-57BB0DF937EF}"/>
    <cellStyle name="40% - Accent4 6 2 3 2 4" xfId="21057" xr:uid="{00000000-0005-0000-0000-000032440000}"/>
    <cellStyle name="40% - Accent4 6 2 3 2 4 2" xfId="44889" xr:uid="{978B9730-96E6-455A-AE63-3A3930FA275D}"/>
    <cellStyle name="40% - Accent4 6 2 3 2 5" xfId="29010" xr:uid="{BB1FD1AB-5442-4DB5-9D7D-EC96479D5C8F}"/>
    <cellStyle name="40% - Accent4 6 2 3 3" xfId="6910" xr:uid="{00000000-0005-0000-0000-000033440000}"/>
    <cellStyle name="40% - Accent4 6 2 3 3 2" xfId="14882" xr:uid="{00000000-0005-0000-0000-000034440000}"/>
    <cellStyle name="40% - Accent4 6 2 3 3 2 2" xfId="38724" xr:uid="{7ABBD1C9-D754-45DA-B7A0-728131E04237}"/>
    <cellStyle name="40% - Accent4 6 2 3 3 3" xfId="22829" xr:uid="{00000000-0005-0000-0000-000035440000}"/>
    <cellStyle name="40% - Accent4 6 2 3 3 3 2" xfId="46661" xr:uid="{250AB40B-5507-4FB7-A7FE-26E7877C9F9C}"/>
    <cellStyle name="40% - Accent4 6 2 3 3 4" xfId="30783" xr:uid="{4E26E436-0F7E-4379-978C-B41696877040}"/>
    <cellStyle name="40% - Accent4 6 2 3 4" xfId="11346" xr:uid="{00000000-0005-0000-0000-000036440000}"/>
    <cellStyle name="40% - Accent4 6 2 3 4 2" xfId="35195" xr:uid="{976038F2-CBB7-45C7-AA6F-2A008A08B3B2}"/>
    <cellStyle name="40% - Accent4 6 2 3 5" xfId="19301" xr:uid="{00000000-0005-0000-0000-000037440000}"/>
    <cellStyle name="40% - Accent4 6 2 3 5 2" xfId="43133" xr:uid="{D78D4AE6-5AAA-4C0A-8E1A-AA776A4C773F}"/>
    <cellStyle name="40% - Accent4 6 2 3 6" xfId="27253" xr:uid="{D11CBAF3-BF45-4A15-BFD8-680AC3EC414C}"/>
    <cellStyle name="40% - Accent4 6 2 3_Exh G" xfId="3145" xr:uid="{00000000-0005-0000-0000-000038440000}"/>
    <cellStyle name="40% - Accent4 6 2 4" xfId="4199" xr:uid="{00000000-0005-0000-0000-000039440000}"/>
    <cellStyle name="40% - Accent4 6 2 4 2" xfId="7791" xr:uid="{00000000-0005-0000-0000-00003A440000}"/>
    <cellStyle name="40% - Accent4 6 2 4 2 2" xfId="15762" xr:uid="{00000000-0005-0000-0000-00003B440000}"/>
    <cellStyle name="40% - Accent4 6 2 4 2 2 2" xfId="39604" xr:uid="{8E3FA1AF-C2CA-4FD6-B6EF-5A5AE9C920DB}"/>
    <cellStyle name="40% - Accent4 6 2 4 2 3" xfId="23708" xr:uid="{00000000-0005-0000-0000-00003C440000}"/>
    <cellStyle name="40% - Accent4 6 2 4 2 3 2" xfId="47540" xr:uid="{37B65D50-8859-429C-B445-5A0E4D7BCE00}"/>
    <cellStyle name="40% - Accent4 6 2 4 2 4" xfId="31663" xr:uid="{7A0D4C8A-DFAC-4284-9E01-F4CA55910B05}"/>
    <cellStyle name="40% - Accent4 6 2 4 3" xfId="12224" xr:uid="{00000000-0005-0000-0000-00003D440000}"/>
    <cellStyle name="40% - Accent4 6 2 4 3 2" xfId="36073" xr:uid="{E74678AB-C20E-4FF5-B26A-4FA23B88D64D}"/>
    <cellStyle name="40% - Accent4 6 2 4 4" xfId="20179" xr:uid="{00000000-0005-0000-0000-00003E440000}"/>
    <cellStyle name="40% - Accent4 6 2 4 4 2" xfId="44011" xr:uid="{C0F75FF2-57D6-4C23-820A-7467B08B604A}"/>
    <cellStyle name="40% - Accent4 6 2 4 5" xfId="28132" xr:uid="{6FE68E6E-F92D-4E73-8A80-291693B2FE4D}"/>
    <cellStyle name="40% - Accent4 6 2 5" xfId="6019" xr:uid="{00000000-0005-0000-0000-00003F440000}"/>
    <cellStyle name="40% - Accent4 6 2 5 2" xfId="14003" xr:uid="{00000000-0005-0000-0000-000040440000}"/>
    <cellStyle name="40% - Accent4 6 2 5 2 2" xfId="37846" xr:uid="{EA3BE73D-2FD7-46E1-AEB2-A941AFC130C9}"/>
    <cellStyle name="40% - Accent4 6 2 5 3" xfId="21951" xr:uid="{00000000-0005-0000-0000-000041440000}"/>
    <cellStyle name="40% - Accent4 6 2 5 3 2" xfId="45783" xr:uid="{A92B7A11-A827-412D-AAD6-D6AFCC6E4359}"/>
    <cellStyle name="40% - Accent4 6 2 5 4" xfId="29905" xr:uid="{75EA3434-3EA1-477D-A179-3848ECAAAF5F}"/>
    <cellStyle name="40% - Accent4 6 2 6" xfId="9572" xr:uid="{00000000-0005-0000-0000-000042440000}"/>
    <cellStyle name="40% - Accent4 6 2 6 2" xfId="17530" xr:uid="{00000000-0005-0000-0000-000043440000}"/>
    <cellStyle name="40% - Accent4 6 2 6 2 2" xfId="41370" xr:uid="{15A30379-502D-40D4-956D-DD83F1ADF502}"/>
    <cellStyle name="40% - Accent4 6 2 6 3" xfId="25474" xr:uid="{00000000-0005-0000-0000-000044440000}"/>
    <cellStyle name="40% - Accent4 6 2 6 3 2" xfId="49306" xr:uid="{3621FA04-CC3D-46D6-9A7C-A1F2309BD7CE}"/>
    <cellStyle name="40% - Accent4 6 2 6 4" xfId="33429" xr:uid="{5F50FF8A-5320-42B3-8AAA-18AAE1FDCF03}"/>
    <cellStyle name="40% - Accent4 6 2 7" xfId="10468" xr:uid="{00000000-0005-0000-0000-000045440000}"/>
    <cellStyle name="40% - Accent4 6 2 7 2" xfId="34317" xr:uid="{85EFB796-53D8-40FC-BAFC-29A64961F3B5}"/>
    <cellStyle name="40% - Accent4 6 2 8" xfId="18423" xr:uid="{00000000-0005-0000-0000-000046440000}"/>
    <cellStyle name="40% - Accent4 6 2 8 2" xfId="42255" xr:uid="{8D3303B2-6F44-4113-AACD-8BAFC142EC0D}"/>
    <cellStyle name="40% - Accent4 6 2 9" xfId="26375" xr:uid="{91883701-A989-4ADC-8C90-DEDF29E6A884}"/>
    <cellStyle name="40% - Accent4 6 2_Exh G" xfId="3142" xr:uid="{00000000-0005-0000-0000-000047440000}"/>
    <cellStyle name="40% - Accent4 6 3" xfId="522" xr:uid="{00000000-0005-0000-0000-000048440000}"/>
    <cellStyle name="40% - Accent4 6 3 2" xfId="1550" xr:uid="{00000000-0005-0000-0000-000049440000}"/>
    <cellStyle name="40% - Accent4 6 3 2 2" xfId="5080" xr:uid="{00000000-0005-0000-0000-00004A440000}"/>
    <cellStyle name="40% - Accent4 6 3 2 2 2" xfId="8671" xr:uid="{00000000-0005-0000-0000-00004B440000}"/>
    <cellStyle name="40% - Accent4 6 3 2 2 2 2" xfId="16642" xr:uid="{00000000-0005-0000-0000-00004C440000}"/>
    <cellStyle name="40% - Accent4 6 3 2 2 2 2 2" xfId="40484" xr:uid="{3C464F1C-BEFD-4B37-88BD-2D53EE18B46D}"/>
    <cellStyle name="40% - Accent4 6 3 2 2 2 3" xfId="24588" xr:uid="{00000000-0005-0000-0000-00004D440000}"/>
    <cellStyle name="40% - Accent4 6 3 2 2 2 3 2" xfId="48420" xr:uid="{8FCF2804-63BB-4FC7-8DD6-FC116DC0D278}"/>
    <cellStyle name="40% - Accent4 6 3 2 2 2 4" xfId="32543" xr:uid="{D7C7432C-2BDA-4879-8749-E6918D46BEF3}"/>
    <cellStyle name="40% - Accent4 6 3 2 2 3" xfId="13104" xr:uid="{00000000-0005-0000-0000-00004E440000}"/>
    <cellStyle name="40% - Accent4 6 3 2 2 3 2" xfId="36953" xr:uid="{A6937A29-F9C7-447B-9BC7-0BBAC7D0B5F8}"/>
    <cellStyle name="40% - Accent4 6 3 2 2 4" xfId="21059" xr:uid="{00000000-0005-0000-0000-00004F440000}"/>
    <cellStyle name="40% - Accent4 6 3 2 2 4 2" xfId="44891" xr:uid="{9AD0C85A-D017-4E41-B35C-3F8ADE9B7FB2}"/>
    <cellStyle name="40% - Accent4 6 3 2 2 5" xfId="29012" xr:uid="{61BDA20E-7D8F-4C8C-B492-5AA1FAA778E4}"/>
    <cellStyle name="40% - Accent4 6 3 2 3" xfId="6912" xr:uid="{00000000-0005-0000-0000-000050440000}"/>
    <cellStyle name="40% - Accent4 6 3 2 3 2" xfId="14884" xr:uid="{00000000-0005-0000-0000-000051440000}"/>
    <cellStyle name="40% - Accent4 6 3 2 3 2 2" xfId="38726" xr:uid="{91554448-CEEA-4A6F-91AF-08CA68B94F91}"/>
    <cellStyle name="40% - Accent4 6 3 2 3 3" xfId="22831" xr:uid="{00000000-0005-0000-0000-000052440000}"/>
    <cellStyle name="40% - Accent4 6 3 2 3 3 2" xfId="46663" xr:uid="{F6104E2E-9162-4CAC-8B76-648C34C85EF4}"/>
    <cellStyle name="40% - Accent4 6 3 2 3 4" xfId="30785" xr:uid="{F90ED860-61FE-49F3-9CB2-5606E91B4D01}"/>
    <cellStyle name="40% - Accent4 6 3 2 4" xfId="11348" xr:uid="{00000000-0005-0000-0000-000053440000}"/>
    <cellStyle name="40% - Accent4 6 3 2 4 2" xfId="35197" xr:uid="{848DEEBC-11CE-4A38-9CE6-62245642CEE1}"/>
    <cellStyle name="40% - Accent4 6 3 2 5" xfId="19303" xr:uid="{00000000-0005-0000-0000-000054440000}"/>
    <cellStyle name="40% - Accent4 6 3 2 5 2" xfId="43135" xr:uid="{F45C579D-B7BE-4926-B566-70FFA1A894DA}"/>
    <cellStyle name="40% - Accent4 6 3 2 6" xfId="27255" xr:uid="{7D0AF433-0EB5-4898-A32A-FB56CC4EBA19}"/>
    <cellStyle name="40% - Accent4 6 3 2_Exh G" xfId="3147" xr:uid="{00000000-0005-0000-0000-000055440000}"/>
    <cellStyle name="40% - Accent4 6 3 3" xfId="4201" xr:uid="{00000000-0005-0000-0000-000056440000}"/>
    <cellStyle name="40% - Accent4 6 3 3 2" xfId="7793" xr:uid="{00000000-0005-0000-0000-000057440000}"/>
    <cellStyle name="40% - Accent4 6 3 3 2 2" xfId="15764" xr:uid="{00000000-0005-0000-0000-000058440000}"/>
    <cellStyle name="40% - Accent4 6 3 3 2 2 2" xfId="39606" xr:uid="{FB072F8A-1BC8-4E5A-8D8F-AD267056B7A6}"/>
    <cellStyle name="40% - Accent4 6 3 3 2 3" xfId="23710" xr:uid="{00000000-0005-0000-0000-000059440000}"/>
    <cellStyle name="40% - Accent4 6 3 3 2 3 2" xfId="47542" xr:uid="{19515DF9-9DF0-4049-9F83-2C46B7F4A6FA}"/>
    <cellStyle name="40% - Accent4 6 3 3 2 4" xfId="31665" xr:uid="{72EB74A6-37F4-4D4D-916F-7EC5E2986E40}"/>
    <cellStyle name="40% - Accent4 6 3 3 3" xfId="12226" xr:uid="{00000000-0005-0000-0000-00005A440000}"/>
    <cellStyle name="40% - Accent4 6 3 3 3 2" xfId="36075" xr:uid="{59380E2F-50F5-4623-B62E-1DD60BD40733}"/>
    <cellStyle name="40% - Accent4 6 3 3 4" xfId="20181" xr:uid="{00000000-0005-0000-0000-00005B440000}"/>
    <cellStyle name="40% - Accent4 6 3 3 4 2" xfId="44013" xr:uid="{76682BB6-4A8D-419C-B2E9-EB4E5FCD0218}"/>
    <cellStyle name="40% - Accent4 6 3 3 5" xfId="28134" xr:uid="{0337BA4A-FAEB-431F-A076-9A2813589AFA}"/>
    <cellStyle name="40% - Accent4 6 3 4" xfId="6021" xr:uid="{00000000-0005-0000-0000-00005C440000}"/>
    <cellStyle name="40% - Accent4 6 3 4 2" xfId="14005" xr:uid="{00000000-0005-0000-0000-00005D440000}"/>
    <cellStyle name="40% - Accent4 6 3 4 2 2" xfId="37848" xr:uid="{A7EAD118-6E75-4C47-BA0C-84CA3AD96E60}"/>
    <cellStyle name="40% - Accent4 6 3 4 3" xfId="21953" xr:uid="{00000000-0005-0000-0000-00005E440000}"/>
    <cellStyle name="40% - Accent4 6 3 4 3 2" xfId="45785" xr:uid="{340A6D39-DE72-46F0-91DF-253B6C3D8E22}"/>
    <cellStyle name="40% - Accent4 6 3 4 4" xfId="29907" xr:uid="{0816E6AC-E640-4BED-99B1-89675442A21C}"/>
    <cellStyle name="40% - Accent4 6 3 5" xfId="9574" xr:uid="{00000000-0005-0000-0000-00005F440000}"/>
    <cellStyle name="40% - Accent4 6 3 5 2" xfId="17532" xr:uid="{00000000-0005-0000-0000-000060440000}"/>
    <cellStyle name="40% - Accent4 6 3 5 2 2" xfId="41372" xr:uid="{28940197-81CC-421B-9AFF-E9B54C219070}"/>
    <cellStyle name="40% - Accent4 6 3 5 3" xfId="25476" xr:uid="{00000000-0005-0000-0000-000061440000}"/>
    <cellStyle name="40% - Accent4 6 3 5 3 2" xfId="49308" xr:uid="{3063DCC6-CD82-4C3A-8C4A-7AE854413BEA}"/>
    <cellStyle name="40% - Accent4 6 3 5 4" xfId="33431" xr:uid="{9CEF7156-AAFB-46C7-A66E-5F55EFF509B1}"/>
    <cellStyle name="40% - Accent4 6 3 6" xfId="10470" xr:uid="{00000000-0005-0000-0000-000062440000}"/>
    <cellStyle name="40% - Accent4 6 3 6 2" xfId="34319" xr:uid="{FC8EF790-8605-4A2A-B2AE-3494CB654D2A}"/>
    <cellStyle name="40% - Accent4 6 3 7" xfId="18425" xr:uid="{00000000-0005-0000-0000-000063440000}"/>
    <cellStyle name="40% - Accent4 6 3 7 2" xfId="42257" xr:uid="{9E8F5136-69BD-4FB9-AEC4-788D80FE6322}"/>
    <cellStyle name="40% - Accent4 6 3 8" xfId="26377" xr:uid="{6D242AE4-815E-4A06-A19E-15A4F7F6E63E}"/>
    <cellStyle name="40% - Accent4 6 3_Exh G" xfId="3146" xr:uid="{00000000-0005-0000-0000-000064440000}"/>
    <cellStyle name="40% - Accent4 6 4" xfId="978" xr:uid="{00000000-0005-0000-0000-000065440000}"/>
    <cellStyle name="40% - Accent4 6 4 2" xfId="1895" xr:uid="{00000000-0005-0000-0000-000066440000}"/>
    <cellStyle name="40% - Accent4 6 4 2 2" xfId="5413" xr:uid="{00000000-0005-0000-0000-000067440000}"/>
    <cellStyle name="40% - Accent4 6 4 2 2 2" xfId="9004" xr:uid="{00000000-0005-0000-0000-000068440000}"/>
    <cellStyle name="40% - Accent4 6 4 2 2 2 2" xfId="16975" xr:uid="{00000000-0005-0000-0000-000069440000}"/>
    <cellStyle name="40% - Accent4 6 4 2 2 2 2 2" xfId="40817" xr:uid="{1FA67933-1BF3-43C7-B2B7-D62C11068451}"/>
    <cellStyle name="40% - Accent4 6 4 2 2 2 3" xfId="24921" xr:uid="{00000000-0005-0000-0000-00006A440000}"/>
    <cellStyle name="40% - Accent4 6 4 2 2 2 3 2" xfId="48753" xr:uid="{D0D2B7C8-EB81-440C-921F-7EE7443E9FFA}"/>
    <cellStyle name="40% - Accent4 6 4 2 2 2 4" xfId="32876" xr:uid="{071E32CB-99C5-4FCD-A044-0A62CFD97707}"/>
    <cellStyle name="40% - Accent4 6 4 2 2 3" xfId="13437" xr:uid="{00000000-0005-0000-0000-00006B440000}"/>
    <cellStyle name="40% - Accent4 6 4 2 2 3 2" xfId="37286" xr:uid="{813DD8A5-7436-4457-BBCB-F52EB7EA3A4D}"/>
    <cellStyle name="40% - Accent4 6 4 2 2 4" xfId="21392" xr:uid="{00000000-0005-0000-0000-00006C440000}"/>
    <cellStyle name="40% - Accent4 6 4 2 2 4 2" xfId="45224" xr:uid="{5336BE54-CB39-4C94-9A2D-A1CCA9F267FB}"/>
    <cellStyle name="40% - Accent4 6 4 2 2 5" xfId="29345" xr:uid="{215BBC47-2545-4576-ADC5-A89FE784B431}"/>
    <cellStyle name="40% - Accent4 6 4 2 3" xfId="7245" xr:uid="{00000000-0005-0000-0000-00006D440000}"/>
    <cellStyle name="40% - Accent4 6 4 2 3 2" xfId="15217" xr:uid="{00000000-0005-0000-0000-00006E440000}"/>
    <cellStyle name="40% - Accent4 6 4 2 3 2 2" xfId="39059" xr:uid="{6E766A23-2334-49B2-A133-53B8673B5DF7}"/>
    <cellStyle name="40% - Accent4 6 4 2 3 3" xfId="23164" xr:uid="{00000000-0005-0000-0000-00006F440000}"/>
    <cellStyle name="40% - Accent4 6 4 2 3 3 2" xfId="46996" xr:uid="{7A268F09-B42A-43D1-B742-573F5C3D6247}"/>
    <cellStyle name="40% - Accent4 6 4 2 3 4" xfId="31118" xr:uid="{DA05723D-A198-48CE-A9CB-858A07C8759F}"/>
    <cellStyle name="40% - Accent4 6 4 2 4" xfId="11681" xr:uid="{00000000-0005-0000-0000-000070440000}"/>
    <cellStyle name="40% - Accent4 6 4 2 4 2" xfId="35530" xr:uid="{C9888AE9-AAAC-4892-B7E3-4B81E6380711}"/>
    <cellStyle name="40% - Accent4 6 4 2 5" xfId="19636" xr:uid="{00000000-0005-0000-0000-000071440000}"/>
    <cellStyle name="40% - Accent4 6 4 2 5 2" xfId="43468" xr:uid="{93937DC8-D04F-4B3D-9476-CB19583BFBC7}"/>
    <cellStyle name="40% - Accent4 6 4 2 6" xfId="27588" xr:uid="{3ED2A1CB-23ED-4018-967F-195889C62BDE}"/>
    <cellStyle name="40% - Accent4 6 4 2_Exh G" xfId="3149" xr:uid="{00000000-0005-0000-0000-000072440000}"/>
    <cellStyle name="40% - Accent4 6 4 3" xfId="4534" xr:uid="{00000000-0005-0000-0000-000073440000}"/>
    <cellStyle name="40% - Accent4 6 4 3 2" xfId="8126" xr:uid="{00000000-0005-0000-0000-000074440000}"/>
    <cellStyle name="40% - Accent4 6 4 3 2 2" xfId="16097" xr:uid="{00000000-0005-0000-0000-000075440000}"/>
    <cellStyle name="40% - Accent4 6 4 3 2 2 2" xfId="39939" xr:uid="{3A95E963-C3E0-46C7-9AA6-192DAC11CB86}"/>
    <cellStyle name="40% - Accent4 6 4 3 2 3" xfId="24043" xr:uid="{00000000-0005-0000-0000-000076440000}"/>
    <cellStyle name="40% - Accent4 6 4 3 2 3 2" xfId="47875" xr:uid="{6911D841-C38F-4029-8312-FC74F5C86A10}"/>
    <cellStyle name="40% - Accent4 6 4 3 2 4" xfId="31998" xr:uid="{F27D14ED-BF58-45E0-A0AE-93440EBC666E}"/>
    <cellStyle name="40% - Accent4 6 4 3 3" xfId="12559" xr:uid="{00000000-0005-0000-0000-000077440000}"/>
    <cellStyle name="40% - Accent4 6 4 3 3 2" xfId="36408" xr:uid="{32D61DA6-E5EC-42D4-A2CD-F3FB03DC3B09}"/>
    <cellStyle name="40% - Accent4 6 4 3 4" xfId="20514" xr:uid="{00000000-0005-0000-0000-000078440000}"/>
    <cellStyle name="40% - Accent4 6 4 3 4 2" xfId="44346" xr:uid="{DBF104E2-21AD-4BCA-A884-5C71EE06CFB6}"/>
    <cellStyle name="40% - Accent4 6 4 3 5" xfId="28467" xr:uid="{D2827329-4B80-46BF-AEB7-332D961A3DD9}"/>
    <cellStyle name="40% - Accent4 6 4 4" xfId="6364" xr:uid="{00000000-0005-0000-0000-000079440000}"/>
    <cellStyle name="40% - Accent4 6 4 4 2" xfId="14339" xr:uid="{00000000-0005-0000-0000-00007A440000}"/>
    <cellStyle name="40% - Accent4 6 4 4 2 2" xfId="38181" xr:uid="{E05B3BC8-BC03-49AB-BD74-76C48CCE88D5}"/>
    <cellStyle name="40% - Accent4 6 4 4 3" xfId="22286" xr:uid="{00000000-0005-0000-0000-00007B440000}"/>
    <cellStyle name="40% - Accent4 6 4 4 3 2" xfId="46118" xr:uid="{787B3824-72B4-48D4-B7D1-4BFD8E62B0E3}"/>
    <cellStyle name="40% - Accent4 6 4 4 4" xfId="30240" xr:uid="{3CB6EC13-7F48-43C3-A22A-DEC23E81B31C}"/>
    <cellStyle name="40% - Accent4 6 4 5" xfId="9907" xr:uid="{00000000-0005-0000-0000-00007C440000}"/>
    <cellStyle name="40% - Accent4 6 4 5 2" xfId="17865" xr:uid="{00000000-0005-0000-0000-00007D440000}"/>
    <cellStyle name="40% - Accent4 6 4 5 2 2" xfId="41705" xr:uid="{4B583BFD-8792-4908-8B15-4708320CB623}"/>
    <cellStyle name="40% - Accent4 6 4 5 3" xfId="25809" xr:uid="{00000000-0005-0000-0000-00007E440000}"/>
    <cellStyle name="40% - Accent4 6 4 5 3 2" xfId="49641" xr:uid="{7CE6D335-FF77-4A29-916C-05D180EAED0C}"/>
    <cellStyle name="40% - Accent4 6 4 5 4" xfId="33764" xr:uid="{DCA46960-35C1-4378-BAB2-57F303BD9DFC}"/>
    <cellStyle name="40% - Accent4 6 4 6" xfId="10803" xr:uid="{00000000-0005-0000-0000-00007F440000}"/>
    <cellStyle name="40% - Accent4 6 4 6 2" xfId="34652" xr:uid="{7F1E2787-B598-4DC5-BAFA-2324DCF3B485}"/>
    <cellStyle name="40% - Accent4 6 4 7" xfId="18758" xr:uid="{00000000-0005-0000-0000-000080440000}"/>
    <cellStyle name="40% - Accent4 6 4 7 2" xfId="42590" xr:uid="{3A6F6349-B75C-4866-A2AB-A5C261FF70E1}"/>
    <cellStyle name="40% - Accent4 6 4 8" xfId="26710" xr:uid="{7AEC7C84-88E9-4CA1-9570-B850FA10E8EB}"/>
    <cellStyle name="40% - Accent4 6 4_Exh G" xfId="3148" xr:uid="{00000000-0005-0000-0000-000081440000}"/>
    <cellStyle name="40% - Accent4 6 5" xfId="1547" xr:uid="{00000000-0005-0000-0000-000082440000}"/>
    <cellStyle name="40% - Accent4 6 5 2" xfId="5077" xr:uid="{00000000-0005-0000-0000-000083440000}"/>
    <cellStyle name="40% - Accent4 6 5 2 2" xfId="8668" xr:uid="{00000000-0005-0000-0000-000084440000}"/>
    <cellStyle name="40% - Accent4 6 5 2 2 2" xfId="16639" xr:uid="{00000000-0005-0000-0000-000085440000}"/>
    <cellStyle name="40% - Accent4 6 5 2 2 2 2" xfId="40481" xr:uid="{8068635C-FE17-4E10-9F87-B61730FDCAC7}"/>
    <cellStyle name="40% - Accent4 6 5 2 2 3" xfId="24585" xr:uid="{00000000-0005-0000-0000-000086440000}"/>
    <cellStyle name="40% - Accent4 6 5 2 2 3 2" xfId="48417" xr:uid="{672E24E6-F559-48D3-B62A-CECFEEC5DD73}"/>
    <cellStyle name="40% - Accent4 6 5 2 2 4" xfId="32540" xr:uid="{37A2E1A4-9FA7-4006-A71D-C46E0B78E8BF}"/>
    <cellStyle name="40% - Accent4 6 5 2 3" xfId="13101" xr:uid="{00000000-0005-0000-0000-000087440000}"/>
    <cellStyle name="40% - Accent4 6 5 2 3 2" xfId="36950" xr:uid="{C5C5285C-A0A3-44ED-BF5B-96B43E808ADB}"/>
    <cellStyle name="40% - Accent4 6 5 2 4" xfId="21056" xr:uid="{00000000-0005-0000-0000-000088440000}"/>
    <cellStyle name="40% - Accent4 6 5 2 4 2" xfId="44888" xr:uid="{AA9F2A50-232C-415A-82BD-C539885E306A}"/>
    <cellStyle name="40% - Accent4 6 5 2 5" xfId="29009" xr:uid="{EE41775E-9E3C-4423-BD06-0245736611C6}"/>
    <cellStyle name="40% - Accent4 6 5 3" xfId="6909" xr:uid="{00000000-0005-0000-0000-000089440000}"/>
    <cellStyle name="40% - Accent4 6 5 3 2" xfId="14881" xr:uid="{00000000-0005-0000-0000-00008A440000}"/>
    <cellStyle name="40% - Accent4 6 5 3 2 2" xfId="38723" xr:uid="{CBD063E1-F903-44DC-A047-21A34D4D6347}"/>
    <cellStyle name="40% - Accent4 6 5 3 3" xfId="22828" xr:uid="{00000000-0005-0000-0000-00008B440000}"/>
    <cellStyle name="40% - Accent4 6 5 3 3 2" xfId="46660" xr:uid="{32EECC12-6F84-4684-862A-ADEDBE5628EC}"/>
    <cellStyle name="40% - Accent4 6 5 3 4" xfId="30782" xr:uid="{C3B4B747-0F23-43C9-BB74-92FE4F226D71}"/>
    <cellStyle name="40% - Accent4 6 5 4" xfId="11345" xr:uid="{00000000-0005-0000-0000-00008C440000}"/>
    <cellStyle name="40% - Accent4 6 5 4 2" xfId="35194" xr:uid="{8102BADF-49DA-4270-91D1-EA045C864ABE}"/>
    <cellStyle name="40% - Accent4 6 5 5" xfId="19300" xr:uid="{00000000-0005-0000-0000-00008D440000}"/>
    <cellStyle name="40% - Accent4 6 5 5 2" xfId="43132" xr:uid="{95C80E9B-5BD2-4753-91AD-F6CC23832B30}"/>
    <cellStyle name="40% - Accent4 6 5 6" xfId="27252" xr:uid="{2B24E22D-5595-4AB3-9FB4-D0272599873A}"/>
    <cellStyle name="40% - Accent4 6 5_Exh G" xfId="3150" xr:uid="{00000000-0005-0000-0000-00008E440000}"/>
    <cellStyle name="40% - Accent4 6 6" xfId="4198" xr:uid="{00000000-0005-0000-0000-00008F440000}"/>
    <cellStyle name="40% - Accent4 6 6 2" xfId="7790" xr:uid="{00000000-0005-0000-0000-000090440000}"/>
    <cellStyle name="40% - Accent4 6 6 2 2" xfId="15761" xr:uid="{00000000-0005-0000-0000-000091440000}"/>
    <cellStyle name="40% - Accent4 6 6 2 2 2" xfId="39603" xr:uid="{6B28AD83-10AF-43CA-95AC-30C1DD189953}"/>
    <cellStyle name="40% - Accent4 6 6 2 3" xfId="23707" xr:uid="{00000000-0005-0000-0000-000092440000}"/>
    <cellStyle name="40% - Accent4 6 6 2 3 2" xfId="47539" xr:uid="{B5590BC1-F74C-4017-B3C6-FCDCE8C5F511}"/>
    <cellStyle name="40% - Accent4 6 6 2 4" xfId="31662" xr:uid="{78D6F4D9-F0F0-41E4-B66D-5A1DC5EA1B40}"/>
    <cellStyle name="40% - Accent4 6 6 3" xfId="12223" xr:uid="{00000000-0005-0000-0000-000093440000}"/>
    <cellStyle name="40% - Accent4 6 6 3 2" xfId="36072" xr:uid="{1F03F50C-7D9F-400F-ACEE-826AE0416436}"/>
    <cellStyle name="40% - Accent4 6 6 4" xfId="20178" xr:uid="{00000000-0005-0000-0000-000094440000}"/>
    <cellStyle name="40% - Accent4 6 6 4 2" xfId="44010" xr:uid="{97285A1E-6DC4-4ACF-BB2E-9785D3DBAAEF}"/>
    <cellStyle name="40% - Accent4 6 6 5" xfId="28131" xr:uid="{C29583EB-48B4-4E4E-8A8C-59267EBA9FC3}"/>
    <cellStyle name="40% - Accent4 6 7" xfId="6018" xr:uid="{00000000-0005-0000-0000-000095440000}"/>
    <cellStyle name="40% - Accent4 6 7 2" xfId="14002" xr:uid="{00000000-0005-0000-0000-000096440000}"/>
    <cellStyle name="40% - Accent4 6 7 2 2" xfId="37845" xr:uid="{03A17957-E599-4AC2-953E-D08912565D99}"/>
    <cellStyle name="40% - Accent4 6 7 3" xfId="21950" xr:uid="{00000000-0005-0000-0000-000097440000}"/>
    <cellStyle name="40% - Accent4 6 7 3 2" xfId="45782" xr:uid="{301C95DA-7FFA-4C33-B8CE-F25360B24A7F}"/>
    <cellStyle name="40% - Accent4 6 7 4" xfId="29904" xr:uid="{A11D6AD1-3446-4AD5-BB5C-946C7EA65F5D}"/>
    <cellStyle name="40% - Accent4 6 8" xfId="9571" xr:uid="{00000000-0005-0000-0000-000098440000}"/>
    <cellStyle name="40% - Accent4 6 8 2" xfId="17529" xr:uid="{00000000-0005-0000-0000-000099440000}"/>
    <cellStyle name="40% - Accent4 6 8 2 2" xfId="41369" xr:uid="{FD17B9FE-88AC-4FA4-802A-AF44BB618BD9}"/>
    <cellStyle name="40% - Accent4 6 8 3" xfId="25473" xr:uid="{00000000-0005-0000-0000-00009A440000}"/>
    <cellStyle name="40% - Accent4 6 8 3 2" xfId="49305" xr:uid="{F2CBAE79-AE65-4C43-AD70-B6F9097CC6A5}"/>
    <cellStyle name="40% - Accent4 6 8 4" xfId="33428" xr:uid="{D16216FB-5703-48AF-B497-DF94442F5D63}"/>
    <cellStyle name="40% - Accent4 6 9" xfId="10467" xr:uid="{00000000-0005-0000-0000-00009B440000}"/>
    <cellStyle name="40% - Accent4 6 9 2" xfId="34316" xr:uid="{E11CE9D1-96BC-4547-AADB-FD0E760E29E1}"/>
    <cellStyle name="40% - Accent4 6_Exh G" xfId="3141" xr:uid="{00000000-0005-0000-0000-00009C440000}"/>
    <cellStyle name="40% - Accent4 7" xfId="523" xr:uid="{00000000-0005-0000-0000-00009D440000}"/>
    <cellStyle name="40% - Accent4 7 10" xfId="18426" xr:uid="{00000000-0005-0000-0000-00009E440000}"/>
    <cellStyle name="40% - Accent4 7 10 2" xfId="42258" xr:uid="{181186F7-E648-46DC-85E0-259B05BEF7F4}"/>
    <cellStyle name="40% - Accent4 7 11" xfId="26378" xr:uid="{10669349-AD5E-46C9-A5CC-ADC3EE0A20E8}"/>
    <cellStyle name="40% - Accent4 7 2" xfId="524" xr:uid="{00000000-0005-0000-0000-00009F440000}"/>
    <cellStyle name="40% - Accent4 7 2 2" xfId="525" xr:uid="{00000000-0005-0000-0000-0000A0440000}"/>
    <cellStyle name="40% - Accent4 7 2 2 2" xfId="1553" xr:uid="{00000000-0005-0000-0000-0000A1440000}"/>
    <cellStyle name="40% - Accent4 7 2 2 2 2" xfId="5083" xr:uid="{00000000-0005-0000-0000-0000A2440000}"/>
    <cellStyle name="40% - Accent4 7 2 2 2 2 2" xfId="8674" xr:uid="{00000000-0005-0000-0000-0000A3440000}"/>
    <cellStyle name="40% - Accent4 7 2 2 2 2 2 2" xfId="16645" xr:uid="{00000000-0005-0000-0000-0000A4440000}"/>
    <cellStyle name="40% - Accent4 7 2 2 2 2 2 2 2" xfId="40487" xr:uid="{78738BF2-1B27-41C9-9628-51F76E746863}"/>
    <cellStyle name="40% - Accent4 7 2 2 2 2 2 3" xfId="24591" xr:uid="{00000000-0005-0000-0000-0000A5440000}"/>
    <cellStyle name="40% - Accent4 7 2 2 2 2 2 3 2" xfId="48423" xr:uid="{C121BF44-1D94-4013-90A1-5385C5D05CD2}"/>
    <cellStyle name="40% - Accent4 7 2 2 2 2 2 4" xfId="32546" xr:uid="{5E83D68C-0E9E-4ED9-930C-666B9873CA75}"/>
    <cellStyle name="40% - Accent4 7 2 2 2 2 3" xfId="13107" xr:uid="{00000000-0005-0000-0000-0000A6440000}"/>
    <cellStyle name="40% - Accent4 7 2 2 2 2 3 2" xfId="36956" xr:uid="{22A243A6-1B64-4017-8622-E5D9C0CB6B16}"/>
    <cellStyle name="40% - Accent4 7 2 2 2 2 4" xfId="21062" xr:uid="{00000000-0005-0000-0000-0000A7440000}"/>
    <cellStyle name="40% - Accent4 7 2 2 2 2 4 2" xfId="44894" xr:uid="{9AEB9F3B-AC97-4977-97D6-EB00EBB97864}"/>
    <cellStyle name="40% - Accent4 7 2 2 2 2 5" xfId="29015" xr:uid="{9006BF6D-FD8D-408B-8D21-F2334F809E80}"/>
    <cellStyle name="40% - Accent4 7 2 2 2 3" xfId="6915" xr:uid="{00000000-0005-0000-0000-0000A8440000}"/>
    <cellStyle name="40% - Accent4 7 2 2 2 3 2" xfId="14887" xr:uid="{00000000-0005-0000-0000-0000A9440000}"/>
    <cellStyle name="40% - Accent4 7 2 2 2 3 2 2" xfId="38729" xr:uid="{8216530F-FAEC-4315-BFEF-653B7F9E202B}"/>
    <cellStyle name="40% - Accent4 7 2 2 2 3 3" xfId="22834" xr:uid="{00000000-0005-0000-0000-0000AA440000}"/>
    <cellStyle name="40% - Accent4 7 2 2 2 3 3 2" xfId="46666" xr:uid="{BCD248E0-E311-4968-B699-269836332230}"/>
    <cellStyle name="40% - Accent4 7 2 2 2 3 4" xfId="30788" xr:uid="{1CD46203-7B3D-440C-A2D1-3C5C067AA87D}"/>
    <cellStyle name="40% - Accent4 7 2 2 2 4" xfId="11351" xr:uid="{00000000-0005-0000-0000-0000AB440000}"/>
    <cellStyle name="40% - Accent4 7 2 2 2 4 2" xfId="35200" xr:uid="{936013C7-19CB-4524-9387-D5E8C39D7824}"/>
    <cellStyle name="40% - Accent4 7 2 2 2 5" xfId="19306" xr:uid="{00000000-0005-0000-0000-0000AC440000}"/>
    <cellStyle name="40% - Accent4 7 2 2 2 5 2" xfId="43138" xr:uid="{9D5609DC-C1C0-4D5A-B23D-FFAFF07FCB5F}"/>
    <cellStyle name="40% - Accent4 7 2 2 2 6" xfId="27258" xr:uid="{C21A1C2A-16B1-4AE2-8FD8-447F3A835581}"/>
    <cellStyle name="40% - Accent4 7 2 2 2_Exh G" xfId="3154" xr:uid="{00000000-0005-0000-0000-0000AD440000}"/>
    <cellStyle name="40% - Accent4 7 2 2 3" xfId="4204" xr:uid="{00000000-0005-0000-0000-0000AE440000}"/>
    <cellStyle name="40% - Accent4 7 2 2 3 2" xfId="7796" xr:uid="{00000000-0005-0000-0000-0000AF440000}"/>
    <cellStyle name="40% - Accent4 7 2 2 3 2 2" xfId="15767" xr:uid="{00000000-0005-0000-0000-0000B0440000}"/>
    <cellStyle name="40% - Accent4 7 2 2 3 2 2 2" xfId="39609" xr:uid="{B7F92FB2-083B-4F6D-9AD7-25EA85D3F56C}"/>
    <cellStyle name="40% - Accent4 7 2 2 3 2 3" xfId="23713" xr:uid="{00000000-0005-0000-0000-0000B1440000}"/>
    <cellStyle name="40% - Accent4 7 2 2 3 2 3 2" xfId="47545" xr:uid="{B185625E-2B99-4FC5-A5BF-6A1AF013D516}"/>
    <cellStyle name="40% - Accent4 7 2 2 3 2 4" xfId="31668" xr:uid="{3ACDF731-E077-426D-908A-2F6072802DFE}"/>
    <cellStyle name="40% - Accent4 7 2 2 3 3" xfId="12229" xr:uid="{00000000-0005-0000-0000-0000B2440000}"/>
    <cellStyle name="40% - Accent4 7 2 2 3 3 2" xfId="36078" xr:uid="{94884705-5578-436A-97C6-EA692FEA54A4}"/>
    <cellStyle name="40% - Accent4 7 2 2 3 4" xfId="20184" xr:uid="{00000000-0005-0000-0000-0000B3440000}"/>
    <cellStyle name="40% - Accent4 7 2 2 3 4 2" xfId="44016" xr:uid="{77A709A9-75FC-4AE6-A69E-C3650902965C}"/>
    <cellStyle name="40% - Accent4 7 2 2 3 5" xfId="28137" xr:uid="{1CD4C898-B9B3-4FFD-8AB3-4EADCC12950B}"/>
    <cellStyle name="40% - Accent4 7 2 2 4" xfId="6024" xr:uid="{00000000-0005-0000-0000-0000B4440000}"/>
    <cellStyle name="40% - Accent4 7 2 2 4 2" xfId="14008" xr:uid="{00000000-0005-0000-0000-0000B5440000}"/>
    <cellStyle name="40% - Accent4 7 2 2 4 2 2" xfId="37851" xr:uid="{ACAE7F40-657A-48AB-A153-752772A82B70}"/>
    <cellStyle name="40% - Accent4 7 2 2 4 3" xfId="21956" xr:uid="{00000000-0005-0000-0000-0000B6440000}"/>
    <cellStyle name="40% - Accent4 7 2 2 4 3 2" xfId="45788" xr:uid="{F69EC1D3-CEC1-4B63-9E2A-07E378AC2A91}"/>
    <cellStyle name="40% - Accent4 7 2 2 4 4" xfId="29910" xr:uid="{7B897C17-BA12-4D1D-9878-2724CC1177FA}"/>
    <cellStyle name="40% - Accent4 7 2 2 5" xfId="9577" xr:uid="{00000000-0005-0000-0000-0000B7440000}"/>
    <cellStyle name="40% - Accent4 7 2 2 5 2" xfId="17535" xr:uid="{00000000-0005-0000-0000-0000B8440000}"/>
    <cellStyle name="40% - Accent4 7 2 2 5 2 2" xfId="41375" xr:uid="{FF894BDF-5689-4F94-BB3A-E9E1C11B5B91}"/>
    <cellStyle name="40% - Accent4 7 2 2 5 3" xfId="25479" xr:uid="{00000000-0005-0000-0000-0000B9440000}"/>
    <cellStyle name="40% - Accent4 7 2 2 5 3 2" xfId="49311" xr:uid="{499E9E72-96C0-43E6-A213-1B9C15CE1A43}"/>
    <cellStyle name="40% - Accent4 7 2 2 5 4" xfId="33434" xr:uid="{515CBBB5-D416-42E0-9244-932D6433A2B9}"/>
    <cellStyle name="40% - Accent4 7 2 2 6" xfId="10473" xr:uid="{00000000-0005-0000-0000-0000BA440000}"/>
    <cellStyle name="40% - Accent4 7 2 2 6 2" xfId="34322" xr:uid="{43F28E8B-A267-457B-8624-1B80FFA53B03}"/>
    <cellStyle name="40% - Accent4 7 2 2 7" xfId="18428" xr:uid="{00000000-0005-0000-0000-0000BB440000}"/>
    <cellStyle name="40% - Accent4 7 2 2 7 2" xfId="42260" xr:uid="{8CB33AC3-DC56-4A52-8810-CC09BE9BB35E}"/>
    <cellStyle name="40% - Accent4 7 2 2 8" xfId="26380" xr:uid="{03963233-A642-4DE7-90A5-41BD9432796C}"/>
    <cellStyle name="40% - Accent4 7 2 2_Exh G" xfId="3153" xr:uid="{00000000-0005-0000-0000-0000BC440000}"/>
    <cellStyle name="40% - Accent4 7 2 3" xfId="1552" xr:uid="{00000000-0005-0000-0000-0000BD440000}"/>
    <cellStyle name="40% - Accent4 7 2 3 2" xfId="5082" xr:uid="{00000000-0005-0000-0000-0000BE440000}"/>
    <cellStyle name="40% - Accent4 7 2 3 2 2" xfId="8673" xr:uid="{00000000-0005-0000-0000-0000BF440000}"/>
    <cellStyle name="40% - Accent4 7 2 3 2 2 2" xfId="16644" xr:uid="{00000000-0005-0000-0000-0000C0440000}"/>
    <cellStyle name="40% - Accent4 7 2 3 2 2 2 2" xfId="40486" xr:uid="{3F32B61C-17D1-4FBF-B497-E735D2AAA629}"/>
    <cellStyle name="40% - Accent4 7 2 3 2 2 3" xfId="24590" xr:uid="{00000000-0005-0000-0000-0000C1440000}"/>
    <cellStyle name="40% - Accent4 7 2 3 2 2 3 2" xfId="48422" xr:uid="{A2C2FB47-D82E-4655-8276-1212EDAAC96B}"/>
    <cellStyle name="40% - Accent4 7 2 3 2 2 4" xfId="32545" xr:uid="{B964622D-072E-446F-BA28-8C3CC116D399}"/>
    <cellStyle name="40% - Accent4 7 2 3 2 3" xfId="13106" xr:uid="{00000000-0005-0000-0000-0000C2440000}"/>
    <cellStyle name="40% - Accent4 7 2 3 2 3 2" xfId="36955" xr:uid="{637E810F-5033-41FA-B3A3-35EE1FAD3606}"/>
    <cellStyle name="40% - Accent4 7 2 3 2 4" xfId="21061" xr:uid="{00000000-0005-0000-0000-0000C3440000}"/>
    <cellStyle name="40% - Accent4 7 2 3 2 4 2" xfId="44893" xr:uid="{1B753AD3-000F-4D63-A395-F2B4F9A37435}"/>
    <cellStyle name="40% - Accent4 7 2 3 2 5" xfId="29014" xr:uid="{72BDFD43-CE64-4AEF-BB84-A5B057840182}"/>
    <cellStyle name="40% - Accent4 7 2 3 3" xfId="6914" xr:uid="{00000000-0005-0000-0000-0000C4440000}"/>
    <cellStyle name="40% - Accent4 7 2 3 3 2" xfId="14886" xr:uid="{00000000-0005-0000-0000-0000C5440000}"/>
    <cellStyle name="40% - Accent4 7 2 3 3 2 2" xfId="38728" xr:uid="{324BECD4-DEC6-41BE-8D75-88B926E96B78}"/>
    <cellStyle name="40% - Accent4 7 2 3 3 3" xfId="22833" xr:uid="{00000000-0005-0000-0000-0000C6440000}"/>
    <cellStyle name="40% - Accent4 7 2 3 3 3 2" xfId="46665" xr:uid="{306E66C2-8EF9-4EB7-8290-DC408CC5D7B9}"/>
    <cellStyle name="40% - Accent4 7 2 3 3 4" xfId="30787" xr:uid="{1E0145CF-E636-42A8-99EA-A8D793FB60EB}"/>
    <cellStyle name="40% - Accent4 7 2 3 4" xfId="11350" xr:uid="{00000000-0005-0000-0000-0000C7440000}"/>
    <cellStyle name="40% - Accent4 7 2 3 4 2" xfId="35199" xr:uid="{14EBA090-8830-429D-A5FF-DFB866E9989B}"/>
    <cellStyle name="40% - Accent4 7 2 3 5" xfId="19305" xr:uid="{00000000-0005-0000-0000-0000C8440000}"/>
    <cellStyle name="40% - Accent4 7 2 3 5 2" xfId="43137" xr:uid="{C9F424DE-D4E4-4218-86F9-C56CF9A7DB01}"/>
    <cellStyle name="40% - Accent4 7 2 3 6" xfId="27257" xr:uid="{81A605D2-0804-4EE7-8218-C8933CDB7B23}"/>
    <cellStyle name="40% - Accent4 7 2 3_Exh G" xfId="3155" xr:uid="{00000000-0005-0000-0000-0000C9440000}"/>
    <cellStyle name="40% - Accent4 7 2 4" xfId="4203" xr:uid="{00000000-0005-0000-0000-0000CA440000}"/>
    <cellStyle name="40% - Accent4 7 2 4 2" xfId="7795" xr:uid="{00000000-0005-0000-0000-0000CB440000}"/>
    <cellStyle name="40% - Accent4 7 2 4 2 2" xfId="15766" xr:uid="{00000000-0005-0000-0000-0000CC440000}"/>
    <cellStyle name="40% - Accent4 7 2 4 2 2 2" xfId="39608" xr:uid="{05F71F83-924C-4E59-9CD0-451025EEB3BD}"/>
    <cellStyle name="40% - Accent4 7 2 4 2 3" xfId="23712" xr:uid="{00000000-0005-0000-0000-0000CD440000}"/>
    <cellStyle name="40% - Accent4 7 2 4 2 3 2" xfId="47544" xr:uid="{630E54EE-AA3D-4030-892E-756D3BA001AA}"/>
    <cellStyle name="40% - Accent4 7 2 4 2 4" xfId="31667" xr:uid="{2A588F2E-5A68-4359-A8F9-530652AAB0E9}"/>
    <cellStyle name="40% - Accent4 7 2 4 3" xfId="12228" xr:uid="{00000000-0005-0000-0000-0000CE440000}"/>
    <cellStyle name="40% - Accent4 7 2 4 3 2" xfId="36077" xr:uid="{8B93EAC8-A90E-4739-8629-3A87B816957E}"/>
    <cellStyle name="40% - Accent4 7 2 4 4" xfId="20183" xr:uid="{00000000-0005-0000-0000-0000CF440000}"/>
    <cellStyle name="40% - Accent4 7 2 4 4 2" xfId="44015" xr:uid="{48818BC7-16F5-4817-B786-D5405526A0DA}"/>
    <cellStyle name="40% - Accent4 7 2 4 5" xfId="28136" xr:uid="{5918F359-B727-47D3-BE99-AAC026941815}"/>
    <cellStyle name="40% - Accent4 7 2 5" xfId="6023" xr:uid="{00000000-0005-0000-0000-0000D0440000}"/>
    <cellStyle name="40% - Accent4 7 2 5 2" xfId="14007" xr:uid="{00000000-0005-0000-0000-0000D1440000}"/>
    <cellStyle name="40% - Accent4 7 2 5 2 2" xfId="37850" xr:uid="{903B78B8-FA4F-401B-ABA3-6A8B42BEF6DB}"/>
    <cellStyle name="40% - Accent4 7 2 5 3" xfId="21955" xr:uid="{00000000-0005-0000-0000-0000D2440000}"/>
    <cellStyle name="40% - Accent4 7 2 5 3 2" xfId="45787" xr:uid="{1CEA2657-DCF9-4E62-AB15-921A336F14F8}"/>
    <cellStyle name="40% - Accent4 7 2 5 4" xfId="29909" xr:uid="{C6D742C7-E6DE-4778-AEF2-6F57CB786A8C}"/>
    <cellStyle name="40% - Accent4 7 2 6" xfId="9576" xr:uid="{00000000-0005-0000-0000-0000D3440000}"/>
    <cellStyle name="40% - Accent4 7 2 6 2" xfId="17534" xr:uid="{00000000-0005-0000-0000-0000D4440000}"/>
    <cellStyle name="40% - Accent4 7 2 6 2 2" xfId="41374" xr:uid="{535BF431-AAFE-45BB-98DA-42CBD86BF9CB}"/>
    <cellStyle name="40% - Accent4 7 2 6 3" xfId="25478" xr:uid="{00000000-0005-0000-0000-0000D5440000}"/>
    <cellStyle name="40% - Accent4 7 2 6 3 2" xfId="49310" xr:uid="{8B7A1552-355B-4086-AF26-69D47CC92E72}"/>
    <cellStyle name="40% - Accent4 7 2 6 4" xfId="33433" xr:uid="{B7A2BC2D-B926-4543-83D4-D486866E4E3A}"/>
    <cellStyle name="40% - Accent4 7 2 7" xfId="10472" xr:uid="{00000000-0005-0000-0000-0000D6440000}"/>
    <cellStyle name="40% - Accent4 7 2 7 2" xfId="34321" xr:uid="{DD88411C-457E-4F01-BB69-F0EB269FB51B}"/>
    <cellStyle name="40% - Accent4 7 2 8" xfId="18427" xr:uid="{00000000-0005-0000-0000-0000D7440000}"/>
    <cellStyle name="40% - Accent4 7 2 8 2" xfId="42259" xr:uid="{7257FBAA-9084-4553-9513-2D0B05CDEA4B}"/>
    <cellStyle name="40% - Accent4 7 2 9" xfId="26379" xr:uid="{E6B4615F-E057-45C9-8077-1A3F5FA756F4}"/>
    <cellStyle name="40% - Accent4 7 2_Exh G" xfId="3152" xr:uid="{00000000-0005-0000-0000-0000D8440000}"/>
    <cellStyle name="40% - Accent4 7 3" xfId="526" xr:uid="{00000000-0005-0000-0000-0000D9440000}"/>
    <cellStyle name="40% - Accent4 7 3 2" xfId="1554" xr:uid="{00000000-0005-0000-0000-0000DA440000}"/>
    <cellStyle name="40% - Accent4 7 3 2 2" xfId="5084" xr:uid="{00000000-0005-0000-0000-0000DB440000}"/>
    <cellStyle name="40% - Accent4 7 3 2 2 2" xfId="8675" xr:uid="{00000000-0005-0000-0000-0000DC440000}"/>
    <cellStyle name="40% - Accent4 7 3 2 2 2 2" xfId="16646" xr:uid="{00000000-0005-0000-0000-0000DD440000}"/>
    <cellStyle name="40% - Accent4 7 3 2 2 2 2 2" xfId="40488" xr:uid="{1F34163A-7370-4A5B-8294-C51698B619DF}"/>
    <cellStyle name="40% - Accent4 7 3 2 2 2 3" xfId="24592" xr:uid="{00000000-0005-0000-0000-0000DE440000}"/>
    <cellStyle name="40% - Accent4 7 3 2 2 2 3 2" xfId="48424" xr:uid="{A7076570-44EA-4FB2-9494-6164B6893591}"/>
    <cellStyle name="40% - Accent4 7 3 2 2 2 4" xfId="32547" xr:uid="{BCA16429-1905-4D71-90E9-86EC02A20A38}"/>
    <cellStyle name="40% - Accent4 7 3 2 2 3" xfId="13108" xr:uid="{00000000-0005-0000-0000-0000DF440000}"/>
    <cellStyle name="40% - Accent4 7 3 2 2 3 2" xfId="36957" xr:uid="{F56B142E-F404-4117-9FFF-B52CB577E45B}"/>
    <cellStyle name="40% - Accent4 7 3 2 2 4" xfId="21063" xr:uid="{00000000-0005-0000-0000-0000E0440000}"/>
    <cellStyle name="40% - Accent4 7 3 2 2 4 2" xfId="44895" xr:uid="{45850ABA-EC3B-427D-BEC9-2C4E77CDF082}"/>
    <cellStyle name="40% - Accent4 7 3 2 2 5" xfId="29016" xr:uid="{A20634D2-4989-4704-95D8-B8D7D418806E}"/>
    <cellStyle name="40% - Accent4 7 3 2 3" xfId="6916" xr:uid="{00000000-0005-0000-0000-0000E1440000}"/>
    <cellStyle name="40% - Accent4 7 3 2 3 2" xfId="14888" xr:uid="{00000000-0005-0000-0000-0000E2440000}"/>
    <cellStyle name="40% - Accent4 7 3 2 3 2 2" xfId="38730" xr:uid="{ACF99A37-19E4-4EEC-A82A-89BD0466D69E}"/>
    <cellStyle name="40% - Accent4 7 3 2 3 3" xfId="22835" xr:uid="{00000000-0005-0000-0000-0000E3440000}"/>
    <cellStyle name="40% - Accent4 7 3 2 3 3 2" xfId="46667" xr:uid="{FEEA1DB9-CA10-4533-88FE-0F7137BB19B3}"/>
    <cellStyle name="40% - Accent4 7 3 2 3 4" xfId="30789" xr:uid="{F57AFD0D-610E-44FA-B16F-EA4A571A8F8E}"/>
    <cellStyle name="40% - Accent4 7 3 2 4" xfId="11352" xr:uid="{00000000-0005-0000-0000-0000E4440000}"/>
    <cellStyle name="40% - Accent4 7 3 2 4 2" xfId="35201" xr:uid="{B775BA84-BB2D-4C28-B3D6-3D9FADB6A910}"/>
    <cellStyle name="40% - Accent4 7 3 2 5" xfId="19307" xr:uid="{00000000-0005-0000-0000-0000E5440000}"/>
    <cellStyle name="40% - Accent4 7 3 2 5 2" xfId="43139" xr:uid="{6A9133DA-34A9-4087-8E76-B60075038A9C}"/>
    <cellStyle name="40% - Accent4 7 3 2 6" xfId="27259" xr:uid="{AFD9FCCA-3930-4290-A66D-05756600E8EF}"/>
    <cellStyle name="40% - Accent4 7 3 2_Exh G" xfId="3157" xr:uid="{00000000-0005-0000-0000-0000E6440000}"/>
    <cellStyle name="40% - Accent4 7 3 3" xfId="4205" xr:uid="{00000000-0005-0000-0000-0000E7440000}"/>
    <cellStyle name="40% - Accent4 7 3 3 2" xfId="7797" xr:uid="{00000000-0005-0000-0000-0000E8440000}"/>
    <cellStyle name="40% - Accent4 7 3 3 2 2" xfId="15768" xr:uid="{00000000-0005-0000-0000-0000E9440000}"/>
    <cellStyle name="40% - Accent4 7 3 3 2 2 2" xfId="39610" xr:uid="{CCEF495C-DB60-478D-98DA-6F537D687C09}"/>
    <cellStyle name="40% - Accent4 7 3 3 2 3" xfId="23714" xr:uid="{00000000-0005-0000-0000-0000EA440000}"/>
    <cellStyle name="40% - Accent4 7 3 3 2 3 2" xfId="47546" xr:uid="{1ACB04E3-8D88-497A-8602-8BB0856449F1}"/>
    <cellStyle name="40% - Accent4 7 3 3 2 4" xfId="31669" xr:uid="{E2E25DBB-571A-4534-9CDD-3574B0C2558C}"/>
    <cellStyle name="40% - Accent4 7 3 3 3" xfId="12230" xr:uid="{00000000-0005-0000-0000-0000EB440000}"/>
    <cellStyle name="40% - Accent4 7 3 3 3 2" xfId="36079" xr:uid="{3C18EE62-A4CC-4BDA-86F7-27CAD9BA774D}"/>
    <cellStyle name="40% - Accent4 7 3 3 4" xfId="20185" xr:uid="{00000000-0005-0000-0000-0000EC440000}"/>
    <cellStyle name="40% - Accent4 7 3 3 4 2" xfId="44017" xr:uid="{BA1E3C00-8CBD-429D-9DAE-0F5AA358A2F1}"/>
    <cellStyle name="40% - Accent4 7 3 3 5" xfId="28138" xr:uid="{5B8481C0-5A76-454F-992F-689D984A1F39}"/>
    <cellStyle name="40% - Accent4 7 3 4" xfId="6025" xr:uid="{00000000-0005-0000-0000-0000ED440000}"/>
    <cellStyle name="40% - Accent4 7 3 4 2" xfId="14009" xr:uid="{00000000-0005-0000-0000-0000EE440000}"/>
    <cellStyle name="40% - Accent4 7 3 4 2 2" xfId="37852" xr:uid="{16C05B18-9655-41BA-95E3-643292A8CC12}"/>
    <cellStyle name="40% - Accent4 7 3 4 3" xfId="21957" xr:uid="{00000000-0005-0000-0000-0000EF440000}"/>
    <cellStyle name="40% - Accent4 7 3 4 3 2" xfId="45789" xr:uid="{F26BC79F-5FFA-4AB0-8221-EE717A5BA7E4}"/>
    <cellStyle name="40% - Accent4 7 3 4 4" xfId="29911" xr:uid="{47F4CA82-A38E-4D62-A7BF-17C08C91890B}"/>
    <cellStyle name="40% - Accent4 7 3 5" xfId="9578" xr:uid="{00000000-0005-0000-0000-0000F0440000}"/>
    <cellStyle name="40% - Accent4 7 3 5 2" xfId="17536" xr:uid="{00000000-0005-0000-0000-0000F1440000}"/>
    <cellStyle name="40% - Accent4 7 3 5 2 2" xfId="41376" xr:uid="{39F115F2-D5D2-4AAA-A822-334319096515}"/>
    <cellStyle name="40% - Accent4 7 3 5 3" xfId="25480" xr:uid="{00000000-0005-0000-0000-0000F2440000}"/>
    <cellStyle name="40% - Accent4 7 3 5 3 2" xfId="49312" xr:uid="{FCB68351-3D45-4E6B-ACAB-BB385A5B7C6A}"/>
    <cellStyle name="40% - Accent4 7 3 5 4" xfId="33435" xr:uid="{CCFCC340-CECC-430F-9384-437DFF95D791}"/>
    <cellStyle name="40% - Accent4 7 3 6" xfId="10474" xr:uid="{00000000-0005-0000-0000-0000F3440000}"/>
    <cellStyle name="40% - Accent4 7 3 6 2" xfId="34323" xr:uid="{F9F0C394-E283-4E8A-B7BD-BB63DA844CB6}"/>
    <cellStyle name="40% - Accent4 7 3 7" xfId="18429" xr:uid="{00000000-0005-0000-0000-0000F4440000}"/>
    <cellStyle name="40% - Accent4 7 3 7 2" xfId="42261" xr:uid="{BDA34652-F32B-4624-810A-269ACA66F893}"/>
    <cellStyle name="40% - Accent4 7 3 8" xfId="26381" xr:uid="{1F1153D6-9119-4821-9B3B-D8E7B552A763}"/>
    <cellStyle name="40% - Accent4 7 3_Exh G" xfId="3156" xr:uid="{00000000-0005-0000-0000-0000F5440000}"/>
    <cellStyle name="40% - Accent4 7 4" xfId="979" xr:uid="{00000000-0005-0000-0000-0000F6440000}"/>
    <cellStyle name="40% - Accent4 7 4 2" xfId="1896" xr:uid="{00000000-0005-0000-0000-0000F7440000}"/>
    <cellStyle name="40% - Accent4 7 4 2 2" xfId="5414" xr:uid="{00000000-0005-0000-0000-0000F8440000}"/>
    <cellStyle name="40% - Accent4 7 4 2 2 2" xfId="9005" xr:uid="{00000000-0005-0000-0000-0000F9440000}"/>
    <cellStyle name="40% - Accent4 7 4 2 2 2 2" xfId="16976" xr:uid="{00000000-0005-0000-0000-0000FA440000}"/>
    <cellStyle name="40% - Accent4 7 4 2 2 2 2 2" xfId="40818" xr:uid="{30E25EF6-A0B1-4E91-8D08-C5B2FA315925}"/>
    <cellStyle name="40% - Accent4 7 4 2 2 2 3" xfId="24922" xr:uid="{00000000-0005-0000-0000-0000FB440000}"/>
    <cellStyle name="40% - Accent4 7 4 2 2 2 3 2" xfId="48754" xr:uid="{9EAA10DA-2CCA-454D-A043-BE1EE48942B0}"/>
    <cellStyle name="40% - Accent4 7 4 2 2 2 4" xfId="32877" xr:uid="{D73B834E-F621-4D81-9850-ED02FC940A17}"/>
    <cellStyle name="40% - Accent4 7 4 2 2 3" xfId="13438" xr:uid="{00000000-0005-0000-0000-0000FC440000}"/>
    <cellStyle name="40% - Accent4 7 4 2 2 3 2" xfId="37287" xr:uid="{A7A37F58-945E-4D83-AC25-94076F1AEDFC}"/>
    <cellStyle name="40% - Accent4 7 4 2 2 4" xfId="21393" xr:uid="{00000000-0005-0000-0000-0000FD440000}"/>
    <cellStyle name="40% - Accent4 7 4 2 2 4 2" xfId="45225" xr:uid="{621163F7-36FD-4446-A96C-BD8EFF6B7CF6}"/>
    <cellStyle name="40% - Accent4 7 4 2 2 5" xfId="29346" xr:uid="{F1FF9D4B-7BA2-4ABC-8F92-831E860FA6F7}"/>
    <cellStyle name="40% - Accent4 7 4 2 3" xfId="7246" xr:uid="{00000000-0005-0000-0000-0000FE440000}"/>
    <cellStyle name="40% - Accent4 7 4 2 3 2" xfId="15218" xr:uid="{00000000-0005-0000-0000-0000FF440000}"/>
    <cellStyle name="40% - Accent4 7 4 2 3 2 2" xfId="39060" xr:uid="{F6A7AC5C-03D8-4573-804D-276FD1FD7152}"/>
    <cellStyle name="40% - Accent4 7 4 2 3 3" xfId="23165" xr:uid="{00000000-0005-0000-0000-000000450000}"/>
    <cellStyle name="40% - Accent4 7 4 2 3 3 2" xfId="46997" xr:uid="{AB391F9E-429E-45C3-8F7B-D8B609357ADD}"/>
    <cellStyle name="40% - Accent4 7 4 2 3 4" xfId="31119" xr:uid="{6ED25A3D-944F-4D8F-A5FC-6487BCBE04AE}"/>
    <cellStyle name="40% - Accent4 7 4 2 4" xfId="11682" xr:uid="{00000000-0005-0000-0000-000001450000}"/>
    <cellStyle name="40% - Accent4 7 4 2 4 2" xfId="35531" xr:uid="{8AE8824D-AE1E-4755-8DD7-C6ED4FA9AA5D}"/>
    <cellStyle name="40% - Accent4 7 4 2 5" xfId="19637" xr:uid="{00000000-0005-0000-0000-000002450000}"/>
    <cellStyle name="40% - Accent4 7 4 2 5 2" xfId="43469" xr:uid="{6825D47B-6BB6-4A85-8D09-DF30D2CB6996}"/>
    <cellStyle name="40% - Accent4 7 4 2 6" xfId="27589" xr:uid="{5DD7DB6D-7AC1-44A1-928C-E3A1D024DE2C}"/>
    <cellStyle name="40% - Accent4 7 4 2_Exh G" xfId="3159" xr:uid="{00000000-0005-0000-0000-000003450000}"/>
    <cellStyle name="40% - Accent4 7 4 3" xfId="4535" xr:uid="{00000000-0005-0000-0000-000004450000}"/>
    <cellStyle name="40% - Accent4 7 4 3 2" xfId="8127" xr:uid="{00000000-0005-0000-0000-000005450000}"/>
    <cellStyle name="40% - Accent4 7 4 3 2 2" xfId="16098" xr:uid="{00000000-0005-0000-0000-000006450000}"/>
    <cellStyle name="40% - Accent4 7 4 3 2 2 2" xfId="39940" xr:uid="{57897011-4DD4-4921-83E0-13748C922595}"/>
    <cellStyle name="40% - Accent4 7 4 3 2 3" xfId="24044" xr:uid="{00000000-0005-0000-0000-000007450000}"/>
    <cellStyle name="40% - Accent4 7 4 3 2 3 2" xfId="47876" xr:uid="{B237659C-FB24-4F90-B653-27314D279D6F}"/>
    <cellStyle name="40% - Accent4 7 4 3 2 4" xfId="31999" xr:uid="{0CBCA2F0-5D6F-446A-AFC6-345AA20AA474}"/>
    <cellStyle name="40% - Accent4 7 4 3 3" xfId="12560" xr:uid="{00000000-0005-0000-0000-000008450000}"/>
    <cellStyle name="40% - Accent4 7 4 3 3 2" xfId="36409" xr:uid="{F9160AF7-C297-4B93-8B2C-B3436B48A478}"/>
    <cellStyle name="40% - Accent4 7 4 3 4" xfId="20515" xr:uid="{00000000-0005-0000-0000-000009450000}"/>
    <cellStyle name="40% - Accent4 7 4 3 4 2" xfId="44347" xr:uid="{DDD78EEF-B2CF-4B0E-9C89-56AF6F3AC198}"/>
    <cellStyle name="40% - Accent4 7 4 3 5" xfId="28468" xr:uid="{1B6EE19F-9CFE-43E6-9803-3942004EF687}"/>
    <cellStyle name="40% - Accent4 7 4 4" xfId="6365" xr:uid="{00000000-0005-0000-0000-00000A450000}"/>
    <cellStyle name="40% - Accent4 7 4 4 2" xfId="14340" xr:uid="{00000000-0005-0000-0000-00000B450000}"/>
    <cellStyle name="40% - Accent4 7 4 4 2 2" xfId="38182" xr:uid="{93BC73D6-CE7A-4DDE-A74F-A2BB7A6F1710}"/>
    <cellStyle name="40% - Accent4 7 4 4 3" xfId="22287" xr:uid="{00000000-0005-0000-0000-00000C450000}"/>
    <cellStyle name="40% - Accent4 7 4 4 3 2" xfId="46119" xr:uid="{F43EDE7E-5390-4413-A4C9-3BB856195153}"/>
    <cellStyle name="40% - Accent4 7 4 4 4" xfId="30241" xr:uid="{E2C84244-1277-40DD-9E7A-F4E90B043C4B}"/>
    <cellStyle name="40% - Accent4 7 4 5" xfId="9908" xr:uid="{00000000-0005-0000-0000-00000D450000}"/>
    <cellStyle name="40% - Accent4 7 4 5 2" xfId="17866" xr:uid="{00000000-0005-0000-0000-00000E450000}"/>
    <cellStyle name="40% - Accent4 7 4 5 2 2" xfId="41706" xr:uid="{FBBE29A1-C9E2-4D23-AE07-C0FB32E6FEDF}"/>
    <cellStyle name="40% - Accent4 7 4 5 3" xfId="25810" xr:uid="{00000000-0005-0000-0000-00000F450000}"/>
    <cellStyle name="40% - Accent4 7 4 5 3 2" xfId="49642" xr:uid="{893A8FC1-6D66-4EC2-9DAE-C3418FC7C5F8}"/>
    <cellStyle name="40% - Accent4 7 4 5 4" xfId="33765" xr:uid="{0C8ABF42-D439-4D14-B74D-200BEFE1FB8E}"/>
    <cellStyle name="40% - Accent4 7 4 6" xfId="10804" xr:uid="{00000000-0005-0000-0000-000010450000}"/>
    <cellStyle name="40% - Accent4 7 4 6 2" xfId="34653" xr:uid="{CE71DFCC-636C-4C01-B422-09509E0CAB47}"/>
    <cellStyle name="40% - Accent4 7 4 7" xfId="18759" xr:uid="{00000000-0005-0000-0000-000011450000}"/>
    <cellStyle name="40% - Accent4 7 4 7 2" xfId="42591" xr:uid="{2F765B7D-01D5-46C6-8BB7-C4FC890A1D0B}"/>
    <cellStyle name="40% - Accent4 7 4 8" xfId="26711" xr:uid="{C4334632-9242-422C-A4B2-C290D4F56A19}"/>
    <cellStyle name="40% - Accent4 7 4_Exh G" xfId="3158" xr:uid="{00000000-0005-0000-0000-000012450000}"/>
    <cellStyle name="40% - Accent4 7 5" xfId="1551" xr:uid="{00000000-0005-0000-0000-000013450000}"/>
    <cellStyle name="40% - Accent4 7 5 2" xfId="5081" xr:uid="{00000000-0005-0000-0000-000014450000}"/>
    <cellStyle name="40% - Accent4 7 5 2 2" xfId="8672" xr:uid="{00000000-0005-0000-0000-000015450000}"/>
    <cellStyle name="40% - Accent4 7 5 2 2 2" xfId="16643" xr:uid="{00000000-0005-0000-0000-000016450000}"/>
    <cellStyle name="40% - Accent4 7 5 2 2 2 2" xfId="40485" xr:uid="{A7EA6E84-B5E9-49F7-B4A9-56DF1979EF56}"/>
    <cellStyle name="40% - Accent4 7 5 2 2 3" xfId="24589" xr:uid="{00000000-0005-0000-0000-000017450000}"/>
    <cellStyle name="40% - Accent4 7 5 2 2 3 2" xfId="48421" xr:uid="{53242AE7-1A0D-49A7-9FA0-876B1FC7E638}"/>
    <cellStyle name="40% - Accent4 7 5 2 2 4" xfId="32544" xr:uid="{88321372-6621-426D-BCE3-13F84E74737F}"/>
    <cellStyle name="40% - Accent4 7 5 2 3" xfId="13105" xr:uid="{00000000-0005-0000-0000-000018450000}"/>
    <cellStyle name="40% - Accent4 7 5 2 3 2" xfId="36954" xr:uid="{77C05630-F43A-496A-9785-3BAACF2785E6}"/>
    <cellStyle name="40% - Accent4 7 5 2 4" xfId="21060" xr:uid="{00000000-0005-0000-0000-000019450000}"/>
    <cellStyle name="40% - Accent4 7 5 2 4 2" xfId="44892" xr:uid="{10840705-489B-49B8-A8F3-63EDE4AF11EA}"/>
    <cellStyle name="40% - Accent4 7 5 2 5" xfId="29013" xr:uid="{E1BB7656-539B-41FD-A621-649D9CC4B03F}"/>
    <cellStyle name="40% - Accent4 7 5 3" xfId="6913" xr:uid="{00000000-0005-0000-0000-00001A450000}"/>
    <cellStyle name="40% - Accent4 7 5 3 2" xfId="14885" xr:uid="{00000000-0005-0000-0000-00001B450000}"/>
    <cellStyle name="40% - Accent4 7 5 3 2 2" xfId="38727" xr:uid="{CD76E7D6-8F08-480A-9F7D-6EED3D0A24E3}"/>
    <cellStyle name="40% - Accent4 7 5 3 3" xfId="22832" xr:uid="{00000000-0005-0000-0000-00001C450000}"/>
    <cellStyle name="40% - Accent4 7 5 3 3 2" xfId="46664" xr:uid="{4ACFFD89-AFE6-4207-8B66-7B690E7519A0}"/>
    <cellStyle name="40% - Accent4 7 5 3 4" xfId="30786" xr:uid="{C3CA6B56-A5C6-48CC-AAC8-A749ACFF0CE8}"/>
    <cellStyle name="40% - Accent4 7 5 4" xfId="11349" xr:uid="{00000000-0005-0000-0000-00001D450000}"/>
    <cellStyle name="40% - Accent4 7 5 4 2" xfId="35198" xr:uid="{6F9BD711-5616-454A-B1EB-C39C90D29610}"/>
    <cellStyle name="40% - Accent4 7 5 5" xfId="19304" xr:uid="{00000000-0005-0000-0000-00001E450000}"/>
    <cellStyle name="40% - Accent4 7 5 5 2" xfId="43136" xr:uid="{8CBD8CA1-509C-455B-9131-2B51456B05E7}"/>
    <cellStyle name="40% - Accent4 7 5 6" xfId="27256" xr:uid="{DEB8A4F2-4B19-4700-A989-FA6AB4A4FFCE}"/>
    <cellStyle name="40% - Accent4 7 5_Exh G" xfId="3160" xr:uid="{00000000-0005-0000-0000-00001F450000}"/>
    <cellStyle name="40% - Accent4 7 6" xfId="4202" xr:uid="{00000000-0005-0000-0000-000020450000}"/>
    <cellStyle name="40% - Accent4 7 6 2" xfId="7794" xr:uid="{00000000-0005-0000-0000-000021450000}"/>
    <cellStyle name="40% - Accent4 7 6 2 2" xfId="15765" xr:uid="{00000000-0005-0000-0000-000022450000}"/>
    <cellStyle name="40% - Accent4 7 6 2 2 2" xfId="39607" xr:uid="{44235C29-CE16-40A6-88AC-E407660902DF}"/>
    <cellStyle name="40% - Accent4 7 6 2 3" xfId="23711" xr:uid="{00000000-0005-0000-0000-000023450000}"/>
    <cellStyle name="40% - Accent4 7 6 2 3 2" xfId="47543" xr:uid="{9E752D64-C301-448C-8587-90129DE25056}"/>
    <cellStyle name="40% - Accent4 7 6 2 4" xfId="31666" xr:uid="{64057A58-9B61-4BBA-922E-C889EAE282C6}"/>
    <cellStyle name="40% - Accent4 7 6 3" xfId="12227" xr:uid="{00000000-0005-0000-0000-000024450000}"/>
    <cellStyle name="40% - Accent4 7 6 3 2" xfId="36076" xr:uid="{3B4CB3BB-5F86-40BF-B590-96C7BF040C32}"/>
    <cellStyle name="40% - Accent4 7 6 4" xfId="20182" xr:uid="{00000000-0005-0000-0000-000025450000}"/>
    <cellStyle name="40% - Accent4 7 6 4 2" xfId="44014" xr:uid="{B6F9A740-8EA7-4FD5-A2F6-CFB094D51302}"/>
    <cellStyle name="40% - Accent4 7 6 5" xfId="28135" xr:uid="{64D9D2C4-A207-41DA-904B-2B05DC770974}"/>
    <cellStyle name="40% - Accent4 7 7" xfId="6022" xr:uid="{00000000-0005-0000-0000-000026450000}"/>
    <cellStyle name="40% - Accent4 7 7 2" xfId="14006" xr:uid="{00000000-0005-0000-0000-000027450000}"/>
    <cellStyle name="40% - Accent4 7 7 2 2" xfId="37849" xr:uid="{484C6968-FC62-479A-925A-1F193FF6A68F}"/>
    <cellStyle name="40% - Accent4 7 7 3" xfId="21954" xr:uid="{00000000-0005-0000-0000-000028450000}"/>
    <cellStyle name="40% - Accent4 7 7 3 2" xfId="45786" xr:uid="{8BFD0CAF-2B08-4A3E-B9A7-F9A3F888F04D}"/>
    <cellStyle name="40% - Accent4 7 7 4" xfId="29908" xr:uid="{42D20EA9-9B18-4618-B460-40F7E34AE74A}"/>
    <cellStyle name="40% - Accent4 7 8" xfId="9575" xr:uid="{00000000-0005-0000-0000-000029450000}"/>
    <cellStyle name="40% - Accent4 7 8 2" xfId="17533" xr:uid="{00000000-0005-0000-0000-00002A450000}"/>
    <cellStyle name="40% - Accent4 7 8 2 2" xfId="41373" xr:uid="{C3ACF85E-41A7-4944-86CA-16D7BE001BB0}"/>
    <cellStyle name="40% - Accent4 7 8 3" xfId="25477" xr:uid="{00000000-0005-0000-0000-00002B450000}"/>
    <cellStyle name="40% - Accent4 7 8 3 2" xfId="49309" xr:uid="{DD484BF3-C2A2-4064-A45B-024DE2CBC62B}"/>
    <cellStyle name="40% - Accent4 7 8 4" xfId="33432" xr:uid="{1D047588-EDD5-4A29-A9C9-BC35FF828E72}"/>
    <cellStyle name="40% - Accent4 7 9" xfId="10471" xr:uid="{00000000-0005-0000-0000-00002C450000}"/>
    <cellStyle name="40% - Accent4 7 9 2" xfId="34320" xr:uid="{BD9AD9C5-764E-4202-9817-B98B744282BE}"/>
    <cellStyle name="40% - Accent4 7_Exh G" xfId="3151" xr:uid="{00000000-0005-0000-0000-00002D450000}"/>
    <cellStyle name="40% - Accent4 8" xfId="527" xr:uid="{00000000-0005-0000-0000-00002E450000}"/>
    <cellStyle name="40% - Accent4 8 10" xfId="18430" xr:uid="{00000000-0005-0000-0000-00002F450000}"/>
    <cellStyle name="40% - Accent4 8 10 2" xfId="42262" xr:uid="{8803EBE9-7491-4789-92FF-F25409032808}"/>
    <cellStyle name="40% - Accent4 8 11" xfId="26382" xr:uid="{A60B7714-AE75-4620-AE51-07611C201507}"/>
    <cellStyle name="40% - Accent4 8 2" xfId="528" xr:uid="{00000000-0005-0000-0000-000030450000}"/>
    <cellStyle name="40% - Accent4 8 2 2" xfId="529" xr:uid="{00000000-0005-0000-0000-000031450000}"/>
    <cellStyle name="40% - Accent4 8 2 2 2" xfId="1557" xr:uid="{00000000-0005-0000-0000-000032450000}"/>
    <cellStyle name="40% - Accent4 8 2 2 2 2" xfId="5087" xr:uid="{00000000-0005-0000-0000-000033450000}"/>
    <cellStyle name="40% - Accent4 8 2 2 2 2 2" xfId="8678" xr:uid="{00000000-0005-0000-0000-000034450000}"/>
    <cellStyle name="40% - Accent4 8 2 2 2 2 2 2" xfId="16649" xr:uid="{00000000-0005-0000-0000-000035450000}"/>
    <cellStyle name="40% - Accent4 8 2 2 2 2 2 2 2" xfId="40491" xr:uid="{4D78317C-D643-4144-A0EA-ABF866485817}"/>
    <cellStyle name="40% - Accent4 8 2 2 2 2 2 3" xfId="24595" xr:uid="{00000000-0005-0000-0000-000036450000}"/>
    <cellStyle name="40% - Accent4 8 2 2 2 2 2 3 2" xfId="48427" xr:uid="{D7FDBEFC-BE20-4E6F-BC2E-7402C82961F7}"/>
    <cellStyle name="40% - Accent4 8 2 2 2 2 2 4" xfId="32550" xr:uid="{D1E97EFD-EC3F-4A81-89A4-5488847D4076}"/>
    <cellStyle name="40% - Accent4 8 2 2 2 2 3" xfId="13111" xr:uid="{00000000-0005-0000-0000-000037450000}"/>
    <cellStyle name="40% - Accent4 8 2 2 2 2 3 2" xfId="36960" xr:uid="{8357202C-ADF5-4051-8463-100C93E12571}"/>
    <cellStyle name="40% - Accent4 8 2 2 2 2 4" xfId="21066" xr:uid="{00000000-0005-0000-0000-000038450000}"/>
    <cellStyle name="40% - Accent4 8 2 2 2 2 4 2" xfId="44898" xr:uid="{5D2C6E07-D0C6-49FB-9C92-2BCA85368BBC}"/>
    <cellStyle name="40% - Accent4 8 2 2 2 2 5" xfId="29019" xr:uid="{5AAD2F1A-06CC-4B1C-B131-6D908F71788D}"/>
    <cellStyle name="40% - Accent4 8 2 2 2 3" xfId="6919" xr:uid="{00000000-0005-0000-0000-000039450000}"/>
    <cellStyle name="40% - Accent4 8 2 2 2 3 2" xfId="14891" xr:uid="{00000000-0005-0000-0000-00003A450000}"/>
    <cellStyle name="40% - Accent4 8 2 2 2 3 2 2" xfId="38733" xr:uid="{0216D527-F387-462E-BDEB-1F6088F9935C}"/>
    <cellStyle name="40% - Accent4 8 2 2 2 3 3" xfId="22838" xr:uid="{00000000-0005-0000-0000-00003B450000}"/>
    <cellStyle name="40% - Accent4 8 2 2 2 3 3 2" xfId="46670" xr:uid="{8C8FAEF4-70A0-4141-93EB-D1B123125257}"/>
    <cellStyle name="40% - Accent4 8 2 2 2 3 4" xfId="30792" xr:uid="{034392ED-B537-45AE-9862-FDAC44442647}"/>
    <cellStyle name="40% - Accent4 8 2 2 2 4" xfId="11355" xr:uid="{00000000-0005-0000-0000-00003C450000}"/>
    <cellStyle name="40% - Accent4 8 2 2 2 4 2" xfId="35204" xr:uid="{96EC0BCF-0AE4-4366-94B0-9CF2068EDBAB}"/>
    <cellStyle name="40% - Accent4 8 2 2 2 5" xfId="19310" xr:uid="{00000000-0005-0000-0000-00003D450000}"/>
    <cellStyle name="40% - Accent4 8 2 2 2 5 2" xfId="43142" xr:uid="{8A673428-B6A0-430B-9928-E0EE4C079F41}"/>
    <cellStyle name="40% - Accent4 8 2 2 2 6" xfId="27262" xr:uid="{0C869BDB-03B5-4D66-9990-747210FD744B}"/>
    <cellStyle name="40% - Accent4 8 2 2 2_Exh G" xfId="3164" xr:uid="{00000000-0005-0000-0000-00003E450000}"/>
    <cellStyle name="40% - Accent4 8 2 2 3" xfId="4208" xr:uid="{00000000-0005-0000-0000-00003F450000}"/>
    <cellStyle name="40% - Accent4 8 2 2 3 2" xfId="7800" xr:uid="{00000000-0005-0000-0000-000040450000}"/>
    <cellStyle name="40% - Accent4 8 2 2 3 2 2" xfId="15771" xr:uid="{00000000-0005-0000-0000-000041450000}"/>
    <cellStyle name="40% - Accent4 8 2 2 3 2 2 2" xfId="39613" xr:uid="{B81AB00A-29B9-40AD-B6EC-D005EBA3D2E6}"/>
    <cellStyle name="40% - Accent4 8 2 2 3 2 3" xfId="23717" xr:uid="{00000000-0005-0000-0000-000042450000}"/>
    <cellStyle name="40% - Accent4 8 2 2 3 2 3 2" xfId="47549" xr:uid="{A6626A31-58EA-4717-BF82-1B46ECC563E1}"/>
    <cellStyle name="40% - Accent4 8 2 2 3 2 4" xfId="31672" xr:uid="{96CB422E-7A79-489F-A3D4-AFC04B024C5B}"/>
    <cellStyle name="40% - Accent4 8 2 2 3 3" xfId="12233" xr:uid="{00000000-0005-0000-0000-000043450000}"/>
    <cellStyle name="40% - Accent4 8 2 2 3 3 2" xfId="36082" xr:uid="{13BAC058-5257-4C84-AD73-D326015E6E47}"/>
    <cellStyle name="40% - Accent4 8 2 2 3 4" xfId="20188" xr:uid="{00000000-0005-0000-0000-000044450000}"/>
    <cellStyle name="40% - Accent4 8 2 2 3 4 2" xfId="44020" xr:uid="{F50AC872-A1D4-4648-9723-6FC5A14FA68E}"/>
    <cellStyle name="40% - Accent4 8 2 2 3 5" xfId="28141" xr:uid="{701EB015-BA10-4046-A388-DAE2561D0CCF}"/>
    <cellStyle name="40% - Accent4 8 2 2 4" xfId="6028" xr:uid="{00000000-0005-0000-0000-000045450000}"/>
    <cellStyle name="40% - Accent4 8 2 2 4 2" xfId="14012" xr:uid="{00000000-0005-0000-0000-000046450000}"/>
    <cellStyle name="40% - Accent4 8 2 2 4 2 2" xfId="37855" xr:uid="{6388F98F-B305-4125-AFA0-2692934EC610}"/>
    <cellStyle name="40% - Accent4 8 2 2 4 3" xfId="21960" xr:uid="{00000000-0005-0000-0000-000047450000}"/>
    <cellStyle name="40% - Accent4 8 2 2 4 3 2" xfId="45792" xr:uid="{27888740-CA7E-4865-97B2-06D3B90F8179}"/>
    <cellStyle name="40% - Accent4 8 2 2 4 4" xfId="29914" xr:uid="{55E08951-9050-4EA5-8793-9DF22FC8133F}"/>
    <cellStyle name="40% - Accent4 8 2 2 5" xfId="9581" xr:uid="{00000000-0005-0000-0000-000048450000}"/>
    <cellStyle name="40% - Accent4 8 2 2 5 2" xfId="17539" xr:uid="{00000000-0005-0000-0000-000049450000}"/>
    <cellStyle name="40% - Accent4 8 2 2 5 2 2" xfId="41379" xr:uid="{9550600E-AF88-4840-A424-BABA5B568A98}"/>
    <cellStyle name="40% - Accent4 8 2 2 5 3" xfId="25483" xr:uid="{00000000-0005-0000-0000-00004A450000}"/>
    <cellStyle name="40% - Accent4 8 2 2 5 3 2" xfId="49315" xr:uid="{F1732DD0-603B-4849-8CB3-510EBFE587F7}"/>
    <cellStyle name="40% - Accent4 8 2 2 5 4" xfId="33438" xr:uid="{FB727978-6D2A-4ADF-8440-F9B4A6EC3972}"/>
    <cellStyle name="40% - Accent4 8 2 2 6" xfId="10477" xr:uid="{00000000-0005-0000-0000-00004B450000}"/>
    <cellStyle name="40% - Accent4 8 2 2 6 2" xfId="34326" xr:uid="{9DBDBF71-7FD1-4680-8A22-8DE537B34267}"/>
    <cellStyle name="40% - Accent4 8 2 2 7" xfId="18432" xr:uid="{00000000-0005-0000-0000-00004C450000}"/>
    <cellStyle name="40% - Accent4 8 2 2 7 2" xfId="42264" xr:uid="{BBD24A1F-4983-4597-82BB-DA72A07CABFD}"/>
    <cellStyle name="40% - Accent4 8 2 2 8" xfId="26384" xr:uid="{BE9353DE-FAE6-4852-B451-76D6EB2F716E}"/>
    <cellStyle name="40% - Accent4 8 2 2_Exh G" xfId="3163" xr:uid="{00000000-0005-0000-0000-00004D450000}"/>
    <cellStyle name="40% - Accent4 8 2 3" xfId="1556" xr:uid="{00000000-0005-0000-0000-00004E450000}"/>
    <cellStyle name="40% - Accent4 8 2 3 2" xfId="5086" xr:uid="{00000000-0005-0000-0000-00004F450000}"/>
    <cellStyle name="40% - Accent4 8 2 3 2 2" xfId="8677" xr:uid="{00000000-0005-0000-0000-000050450000}"/>
    <cellStyle name="40% - Accent4 8 2 3 2 2 2" xfId="16648" xr:uid="{00000000-0005-0000-0000-000051450000}"/>
    <cellStyle name="40% - Accent4 8 2 3 2 2 2 2" xfId="40490" xr:uid="{399012DB-A097-426E-8744-E81968FDFA3A}"/>
    <cellStyle name="40% - Accent4 8 2 3 2 2 3" xfId="24594" xr:uid="{00000000-0005-0000-0000-000052450000}"/>
    <cellStyle name="40% - Accent4 8 2 3 2 2 3 2" xfId="48426" xr:uid="{8F934FC3-8103-4FB5-A028-96517112D793}"/>
    <cellStyle name="40% - Accent4 8 2 3 2 2 4" xfId="32549" xr:uid="{9C4589EF-2166-4731-8031-5FA8B7686797}"/>
    <cellStyle name="40% - Accent4 8 2 3 2 3" xfId="13110" xr:uid="{00000000-0005-0000-0000-000053450000}"/>
    <cellStyle name="40% - Accent4 8 2 3 2 3 2" xfId="36959" xr:uid="{329A1390-AAE0-4AEF-9135-369277307E21}"/>
    <cellStyle name="40% - Accent4 8 2 3 2 4" xfId="21065" xr:uid="{00000000-0005-0000-0000-000054450000}"/>
    <cellStyle name="40% - Accent4 8 2 3 2 4 2" xfId="44897" xr:uid="{DA172A7E-ECDF-4CEF-BC4F-746604229D9F}"/>
    <cellStyle name="40% - Accent4 8 2 3 2 5" xfId="29018" xr:uid="{72F0DB2E-0DB1-4DC7-BB8F-46DAE0AAEB4B}"/>
    <cellStyle name="40% - Accent4 8 2 3 3" xfId="6918" xr:uid="{00000000-0005-0000-0000-000055450000}"/>
    <cellStyle name="40% - Accent4 8 2 3 3 2" xfId="14890" xr:uid="{00000000-0005-0000-0000-000056450000}"/>
    <cellStyle name="40% - Accent4 8 2 3 3 2 2" xfId="38732" xr:uid="{829D2012-0CF2-45FF-952B-D6550F9A9BF6}"/>
    <cellStyle name="40% - Accent4 8 2 3 3 3" xfId="22837" xr:uid="{00000000-0005-0000-0000-000057450000}"/>
    <cellStyle name="40% - Accent4 8 2 3 3 3 2" xfId="46669" xr:uid="{C35D2DC6-7255-4600-BF6B-F1BFB3072320}"/>
    <cellStyle name="40% - Accent4 8 2 3 3 4" xfId="30791" xr:uid="{2B4CD907-0103-4ECB-95A9-870A72B1FDC4}"/>
    <cellStyle name="40% - Accent4 8 2 3 4" xfId="11354" xr:uid="{00000000-0005-0000-0000-000058450000}"/>
    <cellStyle name="40% - Accent4 8 2 3 4 2" xfId="35203" xr:uid="{46F891A6-EE04-409B-8C6F-24883517FF20}"/>
    <cellStyle name="40% - Accent4 8 2 3 5" xfId="19309" xr:uid="{00000000-0005-0000-0000-000059450000}"/>
    <cellStyle name="40% - Accent4 8 2 3 5 2" xfId="43141" xr:uid="{7DF1225E-86B9-4028-A82D-7C432E938F0F}"/>
    <cellStyle name="40% - Accent4 8 2 3 6" xfId="27261" xr:uid="{A1A0F2A3-E4E2-432A-B060-549726544829}"/>
    <cellStyle name="40% - Accent4 8 2 3_Exh G" xfId="3165" xr:uid="{00000000-0005-0000-0000-00005A450000}"/>
    <cellStyle name="40% - Accent4 8 2 4" xfId="4207" xr:uid="{00000000-0005-0000-0000-00005B450000}"/>
    <cellStyle name="40% - Accent4 8 2 4 2" xfId="7799" xr:uid="{00000000-0005-0000-0000-00005C450000}"/>
    <cellStyle name="40% - Accent4 8 2 4 2 2" xfId="15770" xr:uid="{00000000-0005-0000-0000-00005D450000}"/>
    <cellStyle name="40% - Accent4 8 2 4 2 2 2" xfId="39612" xr:uid="{88CF437D-E0A4-42AC-9DA5-3A15C69244AA}"/>
    <cellStyle name="40% - Accent4 8 2 4 2 3" xfId="23716" xr:uid="{00000000-0005-0000-0000-00005E450000}"/>
    <cellStyle name="40% - Accent4 8 2 4 2 3 2" xfId="47548" xr:uid="{9B6E1727-0708-4954-9A62-89DCB09F63D1}"/>
    <cellStyle name="40% - Accent4 8 2 4 2 4" xfId="31671" xr:uid="{C4199A37-1C8C-43CA-A370-131984CD6441}"/>
    <cellStyle name="40% - Accent4 8 2 4 3" xfId="12232" xr:uid="{00000000-0005-0000-0000-00005F450000}"/>
    <cellStyle name="40% - Accent4 8 2 4 3 2" xfId="36081" xr:uid="{4AA5766C-ABDE-4670-ACB9-D84275C541EB}"/>
    <cellStyle name="40% - Accent4 8 2 4 4" xfId="20187" xr:uid="{00000000-0005-0000-0000-000060450000}"/>
    <cellStyle name="40% - Accent4 8 2 4 4 2" xfId="44019" xr:uid="{583CAB19-09E6-4D95-A65A-F9A7D1BD5F35}"/>
    <cellStyle name="40% - Accent4 8 2 4 5" xfId="28140" xr:uid="{18DB7927-E3DC-4125-8E07-2407BD283054}"/>
    <cellStyle name="40% - Accent4 8 2 5" xfId="6027" xr:uid="{00000000-0005-0000-0000-000061450000}"/>
    <cellStyle name="40% - Accent4 8 2 5 2" xfId="14011" xr:uid="{00000000-0005-0000-0000-000062450000}"/>
    <cellStyle name="40% - Accent4 8 2 5 2 2" xfId="37854" xr:uid="{EA74B6A7-0895-4E60-981F-E058A91452B4}"/>
    <cellStyle name="40% - Accent4 8 2 5 3" xfId="21959" xr:uid="{00000000-0005-0000-0000-000063450000}"/>
    <cellStyle name="40% - Accent4 8 2 5 3 2" xfId="45791" xr:uid="{33216E81-C266-4FBC-99A5-3D7D3528F47F}"/>
    <cellStyle name="40% - Accent4 8 2 5 4" xfId="29913" xr:uid="{313AD963-8AD8-48BF-AC93-E9545EEA492C}"/>
    <cellStyle name="40% - Accent4 8 2 6" xfId="9580" xr:uid="{00000000-0005-0000-0000-000064450000}"/>
    <cellStyle name="40% - Accent4 8 2 6 2" xfId="17538" xr:uid="{00000000-0005-0000-0000-000065450000}"/>
    <cellStyle name="40% - Accent4 8 2 6 2 2" xfId="41378" xr:uid="{F1AB66BA-674D-423D-AA3B-1FC7D78021A4}"/>
    <cellStyle name="40% - Accent4 8 2 6 3" xfId="25482" xr:uid="{00000000-0005-0000-0000-000066450000}"/>
    <cellStyle name="40% - Accent4 8 2 6 3 2" xfId="49314" xr:uid="{B83E857F-E98C-4817-95D9-2071449913EB}"/>
    <cellStyle name="40% - Accent4 8 2 6 4" xfId="33437" xr:uid="{AA571A04-63CA-4796-89A1-E8AC73EF7E3E}"/>
    <cellStyle name="40% - Accent4 8 2 7" xfId="10476" xr:uid="{00000000-0005-0000-0000-000067450000}"/>
    <cellStyle name="40% - Accent4 8 2 7 2" xfId="34325" xr:uid="{8B83EC6B-04B9-4D81-8482-556417904E54}"/>
    <cellStyle name="40% - Accent4 8 2 8" xfId="18431" xr:uid="{00000000-0005-0000-0000-000068450000}"/>
    <cellStyle name="40% - Accent4 8 2 8 2" xfId="42263" xr:uid="{796D857C-1C1E-4477-A4D7-6AD8AA77D73D}"/>
    <cellStyle name="40% - Accent4 8 2 9" xfId="26383" xr:uid="{7326000A-2C70-4960-97CF-8B2C65F85286}"/>
    <cellStyle name="40% - Accent4 8 2_Exh G" xfId="3162" xr:uid="{00000000-0005-0000-0000-000069450000}"/>
    <cellStyle name="40% - Accent4 8 3" xfId="530" xr:uid="{00000000-0005-0000-0000-00006A450000}"/>
    <cellStyle name="40% - Accent4 8 3 2" xfId="1558" xr:uid="{00000000-0005-0000-0000-00006B450000}"/>
    <cellStyle name="40% - Accent4 8 3 2 2" xfId="5088" xr:uid="{00000000-0005-0000-0000-00006C450000}"/>
    <cellStyle name="40% - Accent4 8 3 2 2 2" xfId="8679" xr:uid="{00000000-0005-0000-0000-00006D450000}"/>
    <cellStyle name="40% - Accent4 8 3 2 2 2 2" xfId="16650" xr:uid="{00000000-0005-0000-0000-00006E450000}"/>
    <cellStyle name="40% - Accent4 8 3 2 2 2 2 2" xfId="40492" xr:uid="{FBD69633-2C10-4495-8D80-8A0B3DBDFDFD}"/>
    <cellStyle name="40% - Accent4 8 3 2 2 2 3" xfId="24596" xr:uid="{00000000-0005-0000-0000-00006F450000}"/>
    <cellStyle name="40% - Accent4 8 3 2 2 2 3 2" xfId="48428" xr:uid="{95649342-0427-4E28-AE58-D2A9E034FB1B}"/>
    <cellStyle name="40% - Accent4 8 3 2 2 2 4" xfId="32551" xr:uid="{868B0A72-4A81-4900-9520-B615258B81FC}"/>
    <cellStyle name="40% - Accent4 8 3 2 2 3" xfId="13112" xr:uid="{00000000-0005-0000-0000-000070450000}"/>
    <cellStyle name="40% - Accent4 8 3 2 2 3 2" xfId="36961" xr:uid="{C67B5DEF-E348-4A41-8BBE-8F7D3E83DD6A}"/>
    <cellStyle name="40% - Accent4 8 3 2 2 4" xfId="21067" xr:uid="{00000000-0005-0000-0000-000071450000}"/>
    <cellStyle name="40% - Accent4 8 3 2 2 4 2" xfId="44899" xr:uid="{1690399B-B7FA-4FA0-A341-83332F530A59}"/>
    <cellStyle name="40% - Accent4 8 3 2 2 5" xfId="29020" xr:uid="{57D815CB-9446-4F1B-A802-071F7022752D}"/>
    <cellStyle name="40% - Accent4 8 3 2 3" xfId="6920" xr:uid="{00000000-0005-0000-0000-000072450000}"/>
    <cellStyle name="40% - Accent4 8 3 2 3 2" xfId="14892" xr:uid="{00000000-0005-0000-0000-000073450000}"/>
    <cellStyle name="40% - Accent4 8 3 2 3 2 2" xfId="38734" xr:uid="{9B50040F-ADC0-4836-9789-063A5ABD90F5}"/>
    <cellStyle name="40% - Accent4 8 3 2 3 3" xfId="22839" xr:uid="{00000000-0005-0000-0000-000074450000}"/>
    <cellStyle name="40% - Accent4 8 3 2 3 3 2" xfId="46671" xr:uid="{3FB33248-A9EC-4663-B6C0-1E225B2D4FD0}"/>
    <cellStyle name="40% - Accent4 8 3 2 3 4" xfId="30793" xr:uid="{F9071BD6-0949-4336-A270-809824B514BD}"/>
    <cellStyle name="40% - Accent4 8 3 2 4" xfId="11356" xr:uid="{00000000-0005-0000-0000-000075450000}"/>
    <cellStyle name="40% - Accent4 8 3 2 4 2" xfId="35205" xr:uid="{B51E7D07-8C18-42A6-BA86-B8C3446605BB}"/>
    <cellStyle name="40% - Accent4 8 3 2 5" xfId="19311" xr:uid="{00000000-0005-0000-0000-000076450000}"/>
    <cellStyle name="40% - Accent4 8 3 2 5 2" xfId="43143" xr:uid="{86E730A0-6BA5-41D7-A7A9-0BAB8C3FD96A}"/>
    <cellStyle name="40% - Accent4 8 3 2 6" xfId="27263" xr:uid="{092CF5E0-136B-4AA7-8F7D-7DFCB491C82C}"/>
    <cellStyle name="40% - Accent4 8 3 2_Exh G" xfId="3167" xr:uid="{00000000-0005-0000-0000-000077450000}"/>
    <cellStyle name="40% - Accent4 8 3 3" xfId="4209" xr:uid="{00000000-0005-0000-0000-000078450000}"/>
    <cellStyle name="40% - Accent4 8 3 3 2" xfId="7801" xr:uid="{00000000-0005-0000-0000-000079450000}"/>
    <cellStyle name="40% - Accent4 8 3 3 2 2" xfId="15772" xr:uid="{00000000-0005-0000-0000-00007A450000}"/>
    <cellStyle name="40% - Accent4 8 3 3 2 2 2" xfId="39614" xr:uid="{CEB54ED2-42F4-4F52-83D5-7CE50EEADBCB}"/>
    <cellStyle name="40% - Accent4 8 3 3 2 3" xfId="23718" xr:uid="{00000000-0005-0000-0000-00007B450000}"/>
    <cellStyle name="40% - Accent4 8 3 3 2 3 2" xfId="47550" xr:uid="{BD45AAB1-3030-4A7C-B24D-77B12C6E62E1}"/>
    <cellStyle name="40% - Accent4 8 3 3 2 4" xfId="31673" xr:uid="{FDC6ACFC-82F1-4BF4-9B1E-E5BBC79FDE5F}"/>
    <cellStyle name="40% - Accent4 8 3 3 3" xfId="12234" xr:uid="{00000000-0005-0000-0000-00007C450000}"/>
    <cellStyle name="40% - Accent4 8 3 3 3 2" xfId="36083" xr:uid="{8DDC9AB6-543A-466B-BD04-F299477DE516}"/>
    <cellStyle name="40% - Accent4 8 3 3 4" xfId="20189" xr:uid="{00000000-0005-0000-0000-00007D450000}"/>
    <cellStyle name="40% - Accent4 8 3 3 4 2" xfId="44021" xr:uid="{10F396F8-08D2-4E2C-AAF6-EA2A3F465C16}"/>
    <cellStyle name="40% - Accent4 8 3 3 5" xfId="28142" xr:uid="{5161F491-0A22-42FF-AAD9-DCE54661E633}"/>
    <cellStyle name="40% - Accent4 8 3 4" xfId="6029" xr:uid="{00000000-0005-0000-0000-00007E450000}"/>
    <cellStyle name="40% - Accent4 8 3 4 2" xfId="14013" xr:uid="{00000000-0005-0000-0000-00007F450000}"/>
    <cellStyle name="40% - Accent4 8 3 4 2 2" xfId="37856" xr:uid="{4F4E9D0F-88FC-4067-B043-FFC6A6E11DD9}"/>
    <cellStyle name="40% - Accent4 8 3 4 3" xfId="21961" xr:uid="{00000000-0005-0000-0000-000080450000}"/>
    <cellStyle name="40% - Accent4 8 3 4 3 2" xfId="45793" xr:uid="{10506705-B473-4B00-BF15-2D47B05144B2}"/>
    <cellStyle name="40% - Accent4 8 3 4 4" xfId="29915" xr:uid="{38DAA50E-47F7-439E-9F4E-E431312B5E20}"/>
    <cellStyle name="40% - Accent4 8 3 5" xfId="9582" xr:uid="{00000000-0005-0000-0000-000081450000}"/>
    <cellStyle name="40% - Accent4 8 3 5 2" xfId="17540" xr:uid="{00000000-0005-0000-0000-000082450000}"/>
    <cellStyle name="40% - Accent4 8 3 5 2 2" xfId="41380" xr:uid="{A002BB49-949D-455B-814D-C02F879E5899}"/>
    <cellStyle name="40% - Accent4 8 3 5 3" xfId="25484" xr:uid="{00000000-0005-0000-0000-000083450000}"/>
    <cellStyle name="40% - Accent4 8 3 5 3 2" xfId="49316" xr:uid="{852FF7F3-9651-43E7-BAF4-731DDBDD14A6}"/>
    <cellStyle name="40% - Accent4 8 3 5 4" xfId="33439" xr:uid="{A9B5DEF9-7656-4022-80DC-48769DD9DED0}"/>
    <cellStyle name="40% - Accent4 8 3 6" xfId="10478" xr:uid="{00000000-0005-0000-0000-000084450000}"/>
    <cellStyle name="40% - Accent4 8 3 6 2" xfId="34327" xr:uid="{E35AEEF3-57A7-4CE3-B6D7-CAF32C07244F}"/>
    <cellStyle name="40% - Accent4 8 3 7" xfId="18433" xr:uid="{00000000-0005-0000-0000-000085450000}"/>
    <cellStyle name="40% - Accent4 8 3 7 2" xfId="42265" xr:uid="{0A277DDF-5AC8-4342-92AF-4B01AED67FD8}"/>
    <cellStyle name="40% - Accent4 8 3 8" xfId="26385" xr:uid="{17462490-49E1-424E-B5C4-076DDB7B289B}"/>
    <cellStyle name="40% - Accent4 8 3_Exh G" xfId="3166" xr:uid="{00000000-0005-0000-0000-000086450000}"/>
    <cellStyle name="40% - Accent4 8 4" xfId="980" xr:uid="{00000000-0005-0000-0000-000087450000}"/>
    <cellStyle name="40% - Accent4 8 4 2" xfId="1897" xr:uid="{00000000-0005-0000-0000-000088450000}"/>
    <cellStyle name="40% - Accent4 8 4 2 2" xfId="5415" xr:uid="{00000000-0005-0000-0000-000089450000}"/>
    <cellStyle name="40% - Accent4 8 4 2 2 2" xfId="9006" xr:uid="{00000000-0005-0000-0000-00008A450000}"/>
    <cellStyle name="40% - Accent4 8 4 2 2 2 2" xfId="16977" xr:uid="{00000000-0005-0000-0000-00008B450000}"/>
    <cellStyle name="40% - Accent4 8 4 2 2 2 2 2" xfId="40819" xr:uid="{717C31E8-56C2-4BDA-A6B6-10C10638F355}"/>
    <cellStyle name="40% - Accent4 8 4 2 2 2 3" xfId="24923" xr:uid="{00000000-0005-0000-0000-00008C450000}"/>
    <cellStyle name="40% - Accent4 8 4 2 2 2 3 2" xfId="48755" xr:uid="{478037FB-AD5A-4DFF-AF82-B3495010F48A}"/>
    <cellStyle name="40% - Accent4 8 4 2 2 2 4" xfId="32878" xr:uid="{16F42D22-0F60-411D-87F0-02A7775CC6F3}"/>
    <cellStyle name="40% - Accent4 8 4 2 2 3" xfId="13439" xr:uid="{00000000-0005-0000-0000-00008D450000}"/>
    <cellStyle name="40% - Accent4 8 4 2 2 3 2" xfId="37288" xr:uid="{1DBC161B-1599-4F38-AC8A-03C98F77BDC7}"/>
    <cellStyle name="40% - Accent4 8 4 2 2 4" xfId="21394" xr:uid="{00000000-0005-0000-0000-00008E450000}"/>
    <cellStyle name="40% - Accent4 8 4 2 2 4 2" xfId="45226" xr:uid="{4B2C2F58-9044-4AE7-8980-55814E3279AE}"/>
    <cellStyle name="40% - Accent4 8 4 2 2 5" xfId="29347" xr:uid="{B527B74C-F0D5-4F57-81EC-2D8FB50A2224}"/>
    <cellStyle name="40% - Accent4 8 4 2 3" xfId="7247" xr:uid="{00000000-0005-0000-0000-00008F450000}"/>
    <cellStyle name="40% - Accent4 8 4 2 3 2" xfId="15219" xr:uid="{00000000-0005-0000-0000-000090450000}"/>
    <cellStyle name="40% - Accent4 8 4 2 3 2 2" xfId="39061" xr:uid="{4AC0C00E-5E63-4701-8098-012CD119DDDD}"/>
    <cellStyle name="40% - Accent4 8 4 2 3 3" xfId="23166" xr:uid="{00000000-0005-0000-0000-000091450000}"/>
    <cellStyle name="40% - Accent4 8 4 2 3 3 2" xfId="46998" xr:uid="{0DD164EA-9B04-4769-BD07-3464405D83CE}"/>
    <cellStyle name="40% - Accent4 8 4 2 3 4" xfId="31120" xr:uid="{F23AAD85-2AAB-4EA5-B372-75BD0F18D89A}"/>
    <cellStyle name="40% - Accent4 8 4 2 4" xfId="11683" xr:uid="{00000000-0005-0000-0000-000092450000}"/>
    <cellStyle name="40% - Accent4 8 4 2 4 2" xfId="35532" xr:uid="{8537C769-65BC-4D2F-BBF1-2754222D8600}"/>
    <cellStyle name="40% - Accent4 8 4 2 5" xfId="19638" xr:uid="{00000000-0005-0000-0000-000093450000}"/>
    <cellStyle name="40% - Accent4 8 4 2 5 2" xfId="43470" xr:uid="{3F7A2DE1-03C6-4A99-8E42-9AD9C06115E4}"/>
    <cellStyle name="40% - Accent4 8 4 2 6" xfId="27590" xr:uid="{1D8CC4AF-95CF-443A-8BC8-E4BCE95ECF95}"/>
    <cellStyle name="40% - Accent4 8 4 2_Exh G" xfId="3169" xr:uid="{00000000-0005-0000-0000-000094450000}"/>
    <cellStyle name="40% - Accent4 8 4 3" xfId="4536" xr:uid="{00000000-0005-0000-0000-000095450000}"/>
    <cellStyle name="40% - Accent4 8 4 3 2" xfId="8128" xr:uid="{00000000-0005-0000-0000-000096450000}"/>
    <cellStyle name="40% - Accent4 8 4 3 2 2" xfId="16099" xr:uid="{00000000-0005-0000-0000-000097450000}"/>
    <cellStyle name="40% - Accent4 8 4 3 2 2 2" xfId="39941" xr:uid="{3AE964E8-2C59-4C82-8B43-601E086D82BB}"/>
    <cellStyle name="40% - Accent4 8 4 3 2 3" xfId="24045" xr:uid="{00000000-0005-0000-0000-000098450000}"/>
    <cellStyle name="40% - Accent4 8 4 3 2 3 2" xfId="47877" xr:uid="{4DB4C03B-1E1B-4617-8136-C02D971EC6A7}"/>
    <cellStyle name="40% - Accent4 8 4 3 2 4" xfId="32000" xr:uid="{3CF140E9-0615-4179-924A-16AB2C7265A4}"/>
    <cellStyle name="40% - Accent4 8 4 3 3" xfId="12561" xr:uid="{00000000-0005-0000-0000-000099450000}"/>
    <cellStyle name="40% - Accent4 8 4 3 3 2" xfId="36410" xr:uid="{5DB9A37C-A8D8-4A70-B0DC-57DCE843C990}"/>
    <cellStyle name="40% - Accent4 8 4 3 4" xfId="20516" xr:uid="{00000000-0005-0000-0000-00009A450000}"/>
    <cellStyle name="40% - Accent4 8 4 3 4 2" xfId="44348" xr:uid="{71D29605-2E73-4844-8F09-D9C08F226AAE}"/>
    <cellStyle name="40% - Accent4 8 4 3 5" xfId="28469" xr:uid="{87F8708E-3A8D-4DCD-A34F-A3FF40D96169}"/>
    <cellStyle name="40% - Accent4 8 4 4" xfId="6366" xr:uid="{00000000-0005-0000-0000-00009B450000}"/>
    <cellStyle name="40% - Accent4 8 4 4 2" xfId="14341" xr:uid="{00000000-0005-0000-0000-00009C450000}"/>
    <cellStyle name="40% - Accent4 8 4 4 2 2" xfId="38183" xr:uid="{12184297-C4CD-4CF7-94A3-E29863D8A886}"/>
    <cellStyle name="40% - Accent4 8 4 4 3" xfId="22288" xr:uid="{00000000-0005-0000-0000-00009D450000}"/>
    <cellStyle name="40% - Accent4 8 4 4 3 2" xfId="46120" xr:uid="{D1354448-F2F9-4404-82FA-A64EFA6EAF9F}"/>
    <cellStyle name="40% - Accent4 8 4 4 4" xfId="30242" xr:uid="{0471B6B9-C9E1-4F5D-B349-21E85429D15D}"/>
    <cellStyle name="40% - Accent4 8 4 5" xfId="9909" xr:uid="{00000000-0005-0000-0000-00009E450000}"/>
    <cellStyle name="40% - Accent4 8 4 5 2" xfId="17867" xr:uid="{00000000-0005-0000-0000-00009F450000}"/>
    <cellStyle name="40% - Accent4 8 4 5 2 2" xfId="41707" xr:uid="{0A563557-A0D5-45D4-A95B-98094EC13E99}"/>
    <cellStyle name="40% - Accent4 8 4 5 3" xfId="25811" xr:uid="{00000000-0005-0000-0000-0000A0450000}"/>
    <cellStyle name="40% - Accent4 8 4 5 3 2" xfId="49643" xr:uid="{1DF0B3A2-1B14-4E35-9D6F-6C2E2A1DA8D5}"/>
    <cellStyle name="40% - Accent4 8 4 5 4" xfId="33766" xr:uid="{49DAAB0E-258C-4972-A78B-41A6C404CA9C}"/>
    <cellStyle name="40% - Accent4 8 4 6" xfId="10805" xr:uid="{00000000-0005-0000-0000-0000A1450000}"/>
    <cellStyle name="40% - Accent4 8 4 6 2" xfId="34654" xr:uid="{6DDD8FF0-0226-49C3-8290-C7F4CEEE8CA3}"/>
    <cellStyle name="40% - Accent4 8 4 7" xfId="18760" xr:uid="{00000000-0005-0000-0000-0000A2450000}"/>
    <cellStyle name="40% - Accent4 8 4 7 2" xfId="42592" xr:uid="{73AD43FA-C832-450E-972B-93B34192D2CE}"/>
    <cellStyle name="40% - Accent4 8 4 8" xfId="26712" xr:uid="{CCB9DFF0-4A98-4A8F-A3CA-E89094D93AAA}"/>
    <cellStyle name="40% - Accent4 8 4_Exh G" xfId="3168" xr:uid="{00000000-0005-0000-0000-0000A3450000}"/>
    <cellStyle name="40% - Accent4 8 5" xfId="1555" xr:uid="{00000000-0005-0000-0000-0000A4450000}"/>
    <cellStyle name="40% - Accent4 8 5 2" xfId="5085" xr:uid="{00000000-0005-0000-0000-0000A5450000}"/>
    <cellStyle name="40% - Accent4 8 5 2 2" xfId="8676" xr:uid="{00000000-0005-0000-0000-0000A6450000}"/>
    <cellStyle name="40% - Accent4 8 5 2 2 2" xfId="16647" xr:uid="{00000000-0005-0000-0000-0000A7450000}"/>
    <cellStyle name="40% - Accent4 8 5 2 2 2 2" xfId="40489" xr:uid="{A1B8E0C8-8CC5-43B4-9069-B45DCF13C5A1}"/>
    <cellStyle name="40% - Accent4 8 5 2 2 3" xfId="24593" xr:uid="{00000000-0005-0000-0000-0000A8450000}"/>
    <cellStyle name="40% - Accent4 8 5 2 2 3 2" xfId="48425" xr:uid="{3463EAAF-E29D-4517-AD74-E316184BF2B0}"/>
    <cellStyle name="40% - Accent4 8 5 2 2 4" xfId="32548" xr:uid="{8360C986-F3E3-4EFD-8E59-60B60CF50BD4}"/>
    <cellStyle name="40% - Accent4 8 5 2 3" xfId="13109" xr:uid="{00000000-0005-0000-0000-0000A9450000}"/>
    <cellStyle name="40% - Accent4 8 5 2 3 2" xfId="36958" xr:uid="{686A9B9A-4B3A-4B6B-A90B-7F8164F64009}"/>
    <cellStyle name="40% - Accent4 8 5 2 4" xfId="21064" xr:uid="{00000000-0005-0000-0000-0000AA450000}"/>
    <cellStyle name="40% - Accent4 8 5 2 4 2" xfId="44896" xr:uid="{7B1EFDCE-0DB0-46D8-BC8A-4F523DCCE1B3}"/>
    <cellStyle name="40% - Accent4 8 5 2 5" xfId="29017" xr:uid="{DE134D48-DCA3-43D4-B7AB-373DE87A07B2}"/>
    <cellStyle name="40% - Accent4 8 5 3" xfId="6917" xr:uid="{00000000-0005-0000-0000-0000AB450000}"/>
    <cellStyle name="40% - Accent4 8 5 3 2" xfId="14889" xr:uid="{00000000-0005-0000-0000-0000AC450000}"/>
    <cellStyle name="40% - Accent4 8 5 3 2 2" xfId="38731" xr:uid="{1E0EECB8-4C40-4CE8-BFE6-6DF92B5A7D7F}"/>
    <cellStyle name="40% - Accent4 8 5 3 3" xfId="22836" xr:uid="{00000000-0005-0000-0000-0000AD450000}"/>
    <cellStyle name="40% - Accent4 8 5 3 3 2" xfId="46668" xr:uid="{72CC70BF-2D38-418B-8201-140C2AE2FAAF}"/>
    <cellStyle name="40% - Accent4 8 5 3 4" xfId="30790" xr:uid="{C83D2A2B-653E-4689-BC00-2E48D80B3A05}"/>
    <cellStyle name="40% - Accent4 8 5 4" xfId="11353" xr:uid="{00000000-0005-0000-0000-0000AE450000}"/>
    <cellStyle name="40% - Accent4 8 5 4 2" xfId="35202" xr:uid="{436FDCAD-BB36-466B-BACA-0ECB13961DE7}"/>
    <cellStyle name="40% - Accent4 8 5 5" xfId="19308" xr:uid="{00000000-0005-0000-0000-0000AF450000}"/>
    <cellStyle name="40% - Accent4 8 5 5 2" xfId="43140" xr:uid="{603C77B6-DC2E-4258-9376-66CB9A175A29}"/>
    <cellStyle name="40% - Accent4 8 5 6" xfId="27260" xr:uid="{F70A87E6-2CAB-47DA-AC36-EF687F3F6D3D}"/>
    <cellStyle name="40% - Accent4 8 5_Exh G" xfId="3170" xr:uid="{00000000-0005-0000-0000-0000B0450000}"/>
    <cellStyle name="40% - Accent4 8 6" xfId="4206" xr:uid="{00000000-0005-0000-0000-0000B1450000}"/>
    <cellStyle name="40% - Accent4 8 6 2" xfId="7798" xr:uid="{00000000-0005-0000-0000-0000B2450000}"/>
    <cellStyle name="40% - Accent4 8 6 2 2" xfId="15769" xr:uid="{00000000-0005-0000-0000-0000B3450000}"/>
    <cellStyle name="40% - Accent4 8 6 2 2 2" xfId="39611" xr:uid="{312D6232-C1CA-4489-A180-22B549BECFE8}"/>
    <cellStyle name="40% - Accent4 8 6 2 3" xfId="23715" xr:uid="{00000000-0005-0000-0000-0000B4450000}"/>
    <cellStyle name="40% - Accent4 8 6 2 3 2" xfId="47547" xr:uid="{3A805146-F215-4DC1-842D-FF01F43C0230}"/>
    <cellStyle name="40% - Accent4 8 6 2 4" xfId="31670" xr:uid="{422D4F9A-7301-4B46-8039-2DBE4C7FA040}"/>
    <cellStyle name="40% - Accent4 8 6 3" xfId="12231" xr:uid="{00000000-0005-0000-0000-0000B5450000}"/>
    <cellStyle name="40% - Accent4 8 6 3 2" xfId="36080" xr:uid="{C3CDF426-5DBE-4075-AC3D-63D4B28A3A54}"/>
    <cellStyle name="40% - Accent4 8 6 4" xfId="20186" xr:uid="{00000000-0005-0000-0000-0000B6450000}"/>
    <cellStyle name="40% - Accent4 8 6 4 2" xfId="44018" xr:uid="{43B86B56-AFFF-4F07-A00D-898C6FCAB479}"/>
    <cellStyle name="40% - Accent4 8 6 5" xfId="28139" xr:uid="{D867B786-3D88-41EB-AEA7-C5B005B0830E}"/>
    <cellStyle name="40% - Accent4 8 7" xfId="6026" xr:uid="{00000000-0005-0000-0000-0000B7450000}"/>
    <cellStyle name="40% - Accent4 8 7 2" xfId="14010" xr:uid="{00000000-0005-0000-0000-0000B8450000}"/>
    <cellStyle name="40% - Accent4 8 7 2 2" xfId="37853" xr:uid="{B5530241-9564-4ECE-B2F3-E6FC82E62733}"/>
    <cellStyle name="40% - Accent4 8 7 3" xfId="21958" xr:uid="{00000000-0005-0000-0000-0000B9450000}"/>
    <cellStyle name="40% - Accent4 8 7 3 2" xfId="45790" xr:uid="{C6D96F88-1CA3-4D41-816E-63CE7E6AD5D8}"/>
    <cellStyle name="40% - Accent4 8 7 4" xfId="29912" xr:uid="{EADB8E71-3D98-4C51-80DD-FABDFF776313}"/>
    <cellStyle name="40% - Accent4 8 8" xfId="9579" xr:uid="{00000000-0005-0000-0000-0000BA450000}"/>
    <cellStyle name="40% - Accent4 8 8 2" xfId="17537" xr:uid="{00000000-0005-0000-0000-0000BB450000}"/>
    <cellStyle name="40% - Accent4 8 8 2 2" xfId="41377" xr:uid="{9462839D-8033-4B69-9C8B-9C14DA0C3757}"/>
    <cellStyle name="40% - Accent4 8 8 3" xfId="25481" xr:uid="{00000000-0005-0000-0000-0000BC450000}"/>
    <cellStyle name="40% - Accent4 8 8 3 2" xfId="49313" xr:uid="{C12869DE-B763-48CE-9DB3-3A41A3E6E104}"/>
    <cellStyle name="40% - Accent4 8 8 4" xfId="33436" xr:uid="{CEB03480-1497-469B-963A-E6E29B893B24}"/>
    <cellStyle name="40% - Accent4 8 9" xfId="10475" xr:uid="{00000000-0005-0000-0000-0000BD450000}"/>
    <cellStyle name="40% - Accent4 8 9 2" xfId="34324" xr:uid="{EDBB1430-1C79-4D12-B18E-9293A1B57366}"/>
    <cellStyle name="40% - Accent4 8_Exh G" xfId="3161" xr:uid="{00000000-0005-0000-0000-0000BE450000}"/>
    <cellStyle name="40% - Accent4 9" xfId="531" xr:uid="{00000000-0005-0000-0000-0000BF450000}"/>
    <cellStyle name="40% - Accent4 9 10" xfId="18434" xr:uid="{00000000-0005-0000-0000-0000C0450000}"/>
    <cellStyle name="40% - Accent4 9 10 2" xfId="42266" xr:uid="{F9ACD835-D801-4C53-87B9-F08240D108D1}"/>
    <cellStyle name="40% - Accent4 9 11" xfId="26386" xr:uid="{A16D65C6-DFDF-40AA-8DB8-CE9284A2FCAC}"/>
    <cellStyle name="40% - Accent4 9 2" xfId="532" xr:uid="{00000000-0005-0000-0000-0000C1450000}"/>
    <cellStyle name="40% - Accent4 9 2 2" xfId="533" xr:uid="{00000000-0005-0000-0000-0000C2450000}"/>
    <cellStyle name="40% - Accent4 9 2 2 2" xfId="1561" xr:uid="{00000000-0005-0000-0000-0000C3450000}"/>
    <cellStyle name="40% - Accent4 9 2 2 2 2" xfId="5091" xr:uid="{00000000-0005-0000-0000-0000C4450000}"/>
    <cellStyle name="40% - Accent4 9 2 2 2 2 2" xfId="8682" xr:uid="{00000000-0005-0000-0000-0000C5450000}"/>
    <cellStyle name="40% - Accent4 9 2 2 2 2 2 2" xfId="16653" xr:uid="{00000000-0005-0000-0000-0000C6450000}"/>
    <cellStyle name="40% - Accent4 9 2 2 2 2 2 2 2" xfId="40495" xr:uid="{F3DC5868-1C23-42B6-9682-ED69D4D10B13}"/>
    <cellStyle name="40% - Accent4 9 2 2 2 2 2 3" xfId="24599" xr:uid="{00000000-0005-0000-0000-0000C7450000}"/>
    <cellStyle name="40% - Accent4 9 2 2 2 2 2 3 2" xfId="48431" xr:uid="{52057548-0C53-4B87-A3E3-9ECA5E5628A7}"/>
    <cellStyle name="40% - Accent4 9 2 2 2 2 2 4" xfId="32554" xr:uid="{1364FCB9-C5F7-426B-B206-9F38AA33C240}"/>
    <cellStyle name="40% - Accent4 9 2 2 2 2 3" xfId="13115" xr:uid="{00000000-0005-0000-0000-0000C8450000}"/>
    <cellStyle name="40% - Accent4 9 2 2 2 2 3 2" xfId="36964" xr:uid="{7E515DAF-CEDE-45FD-BDC3-91F0CC768528}"/>
    <cellStyle name="40% - Accent4 9 2 2 2 2 4" xfId="21070" xr:uid="{00000000-0005-0000-0000-0000C9450000}"/>
    <cellStyle name="40% - Accent4 9 2 2 2 2 4 2" xfId="44902" xr:uid="{03149A34-15B5-46BF-A313-4CE2B6444D07}"/>
    <cellStyle name="40% - Accent4 9 2 2 2 2 5" xfId="29023" xr:uid="{32A0C035-C4AA-48B9-8DAB-04EDAB8E622E}"/>
    <cellStyle name="40% - Accent4 9 2 2 2 3" xfId="6923" xr:uid="{00000000-0005-0000-0000-0000CA450000}"/>
    <cellStyle name="40% - Accent4 9 2 2 2 3 2" xfId="14895" xr:uid="{00000000-0005-0000-0000-0000CB450000}"/>
    <cellStyle name="40% - Accent4 9 2 2 2 3 2 2" xfId="38737" xr:uid="{51A118D4-4173-43FC-97AA-83AD2D128BB1}"/>
    <cellStyle name="40% - Accent4 9 2 2 2 3 3" xfId="22842" xr:uid="{00000000-0005-0000-0000-0000CC450000}"/>
    <cellStyle name="40% - Accent4 9 2 2 2 3 3 2" xfId="46674" xr:uid="{3EB6F56B-D8EB-410D-A681-996D52942B52}"/>
    <cellStyle name="40% - Accent4 9 2 2 2 3 4" xfId="30796" xr:uid="{4D27049E-179E-4F6E-A9EC-FD5CE457FCD4}"/>
    <cellStyle name="40% - Accent4 9 2 2 2 4" xfId="11359" xr:uid="{00000000-0005-0000-0000-0000CD450000}"/>
    <cellStyle name="40% - Accent4 9 2 2 2 4 2" xfId="35208" xr:uid="{686BD776-C2AF-4E01-95B2-D95868CFC264}"/>
    <cellStyle name="40% - Accent4 9 2 2 2 5" xfId="19314" xr:uid="{00000000-0005-0000-0000-0000CE450000}"/>
    <cellStyle name="40% - Accent4 9 2 2 2 5 2" xfId="43146" xr:uid="{9D2D9A84-39D1-4F0F-859F-3BB631554739}"/>
    <cellStyle name="40% - Accent4 9 2 2 2 6" xfId="27266" xr:uid="{A459E301-9D59-406D-ADB0-664DE46B415C}"/>
    <cellStyle name="40% - Accent4 9 2 2 2_Exh G" xfId="3174" xr:uid="{00000000-0005-0000-0000-0000CF450000}"/>
    <cellStyle name="40% - Accent4 9 2 2 3" xfId="4212" xr:uid="{00000000-0005-0000-0000-0000D0450000}"/>
    <cellStyle name="40% - Accent4 9 2 2 3 2" xfId="7804" xr:uid="{00000000-0005-0000-0000-0000D1450000}"/>
    <cellStyle name="40% - Accent4 9 2 2 3 2 2" xfId="15775" xr:uid="{00000000-0005-0000-0000-0000D2450000}"/>
    <cellStyle name="40% - Accent4 9 2 2 3 2 2 2" xfId="39617" xr:uid="{6B25C532-23F5-4DA4-BF84-A2CEB10F19C5}"/>
    <cellStyle name="40% - Accent4 9 2 2 3 2 3" xfId="23721" xr:uid="{00000000-0005-0000-0000-0000D3450000}"/>
    <cellStyle name="40% - Accent4 9 2 2 3 2 3 2" xfId="47553" xr:uid="{E50F7716-BF59-4155-B724-9E23E8853293}"/>
    <cellStyle name="40% - Accent4 9 2 2 3 2 4" xfId="31676" xr:uid="{68857DD4-63CC-4A57-B4E9-FD02DC8DBF07}"/>
    <cellStyle name="40% - Accent4 9 2 2 3 3" xfId="12237" xr:uid="{00000000-0005-0000-0000-0000D4450000}"/>
    <cellStyle name="40% - Accent4 9 2 2 3 3 2" xfId="36086" xr:uid="{C4566F31-EE48-4F16-8D70-7B9087052BBE}"/>
    <cellStyle name="40% - Accent4 9 2 2 3 4" xfId="20192" xr:uid="{00000000-0005-0000-0000-0000D5450000}"/>
    <cellStyle name="40% - Accent4 9 2 2 3 4 2" xfId="44024" xr:uid="{DAFDE464-F1D1-4392-98E1-BF42128C0B83}"/>
    <cellStyle name="40% - Accent4 9 2 2 3 5" xfId="28145" xr:uid="{7728DDE6-4467-47A7-BB78-8126880B66DA}"/>
    <cellStyle name="40% - Accent4 9 2 2 4" xfId="6032" xr:uid="{00000000-0005-0000-0000-0000D6450000}"/>
    <cellStyle name="40% - Accent4 9 2 2 4 2" xfId="14016" xr:uid="{00000000-0005-0000-0000-0000D7450000}"/>
    <cellStyle name="40% - Accent4 9 2 2 4 2 2" xfId="37859" xr:uid="{EB1B98A8-4F4F-480B-A801-551A5782762C}"/>
    <cellStyle name="40% - Accent4 9 2 2 4 3" xfId="21964" xr:uid="{00000000-0005-0000-0000-0000D8450000}"/>
    <cellStyle name="40% - Accent4 9 2 2 4 3 2" xfId="45796" xr:uid="{391EEBF4-B1F3-430E-B788-CF311F304DEA}"/>
    <cellStyle name="40% - Accent4 9 2 2 4 4" xfId="29918" xr:uid="{ED86455C-EAE4-4E42-9881-7031E74C1CBC}"/>
    <cellStyle name="40% - Accent4 9 2 2 5" xfId="9585" xr:uid="{00000000-0005-0000-0000-0000D9450000}"/>
    <cellStyle name="40% - Accent4 9 2 2 5 2" xfId="17543" xr:uid="{00000000-0005-0000-0000-0000DA450000}"/>
    <cellStyle name="40% - Accent4 9 2 2 5 2 2" xfId="41383" xr:uid="{AE2B174A-1528-4AA2-A6A8-417BBA36A2D9}"/>
    <cellStyle name="40% - Accent4 9 2 2 5 3" xfId="25487" xr:uid="{00000000-0005-0000-0000-0000DB450000}"/>
    <cellStyle name="40% - Accent4 9 2 2 5 3 2" xfId="49319" xr:uid="{BECC102F-9B34-4184-957F-18586887D3FA}"/>
    <cellStyle name="40% - Accent4 9 2 2 5 4" xfId="33442" xr:uid="{6E195903-3C59-4B93-A7FD-B4F6E9791AB5}"/>
    <cellStyle name="40% - Accent4 9 2 2 6" xfId="10481" xr:uid="{00000000-0005-0000-0000-0000DC450000}"/>
    <cellStyle name="40% - Accent4 9 2 2 6 2" xfId="34330" xr:uid="{B69A2EB7-1812-496F-AC42-6ADBBEFFA713}"/>
    <cellStyle name="40% - Accent4 9 2 2 7" xfId="18436" xr:uid="{00000000-0005-0000-0000-0000DD450000}"/>
    <cellStyle name="40% - Accent4 9 2 2 7 2" xfId="42268" xr:uid="{A5F23778-3DA0-4FFE-8A83-FB80EF596FFF}"/>
    <cellStyle name="40% - Accent4 9 2 2 8" xfId="26388" xr:uid="{205551B2-8674-4AAB-9B7A-CD7FCABBC13B}"/>
    <cellStyle name="40% - Accent4 9 2 2_Exh G" xfId="3173" xr:uid="{00000000-0005-0000-0000-0000DE450000}"/>
    <cellStyle name="40% - Accent4 9 2 3" xfId="1560" xr:uid="{00000000-0005-0000-0000-0000DF450000}"/>
    <cellStyle name="40% - Accent4 9 2 3 2" xfId="5090" xr:uid="{00000000-0005-0000-0000-0000E0450000}"/>
    <cellStyle name="40% - Accent4 9 2 3 2 2" xfId="8681" xr:uid="{00000000-0005-0000-0000-0000E1450000}"/>
    <cellStyle name="40% - Accent4 9 2 3 2 2 2" xfId="16652" xr:uid="{00000000-0005-0000-0000-0000E2450000}"/>
    <cellStyle name="40% - Accent4 9 2 3 2 2 2 2" xfId="40494" xr:uid="{A49AD422-00EE-478C-A68C-E296C11A90E6}"/>
    <cellStyle name="40% - Accent4 9 2 3 2 2 3" xfId="24598" xr:uid="{00000000-0005-0000-0000-0000E3450000}"/>
    <cellStyle name="40% - Accent4 9 2 3 2 2 3 2" xfId="48430" xr:uid="{8A54A110-DE04-4D5C-A9EA-6F261BABA999}"/>
    <cellStyle name="40% - Accent4 9 2 3 2 2 4" xfId="32553" xr:uid="{977B4B48-C20C-418C-BE92-0FA68C5A1289}"/>
    <cellStyle name="40% - Accent4 9 2 3 2 3" xfId="13114" xr:uid="{00000000-0005-0000-0000-0000E4450000}"/>
    <cellStyle name="40% - Accent4 9 2 3 2 3 2" xfId="36963" xr:uid="{A0854B80-B779-463D-9DC5-0E630C4578DC}"/>
    <cellStyle name="40% - Accent4 9 2 3 2 4" xfId="21069" xr:uid="{00000000-0005-0000-0000-0000E5450000}"/>
    <cellStyle name="40% - Accent4 9 2 3 2 4 2" xfId="44901" xr:uid="{A1A56C77-9205-4496-9A1A-3127469602ED}"/>
    <cellStyle name="40% - Accent4 9 2 3 2 5" xfId="29022" xr:uid="{7F84FB0C-4F9D-4284-85A1-DEF84A50A853}"/>
    <cellStyle name="40% - Accent4 9 2 3 3" xfId="6922" xr:uid="{00000000-0005-0000-0000-0000E6450000}"/>
    <cellStyle name="40% - Accent4 9 2 3 3 2" xfId="14894" xr:uid="{00000000-0005-0000-0000-0000E7450000}"/>
    <cellStyle name="40% - Accent4 9 2 3 3 2 2" xfId="38736" xr:uid="{908829F0-DD82-44BE-9C6C-1A4E80EE612F}"/>
    <cellStyle name="40% - Accent4 9 2 3 3 3" xfId="22841" xr:uid="{00000000-0005-0000-0000-0000E8450000}"/>
    <cellStyle name="40% - Accent4 9 2 3 3 3 2" xfId="46673" xr:uid="{4877084F-7078-40A0-A0F2-6748439BB995}"/>
    <cellStyle name="40% - Accent4 9 2 3 3 4" xfId="30795" xr:uid="{6BCE5470-8855-4413-9596-934E771F5CC1}"/>
    <cellStyle name="40% - Accent4 9 2 3 4" xfId="11358" xr:uid="{00000000-0005-0000-0000-0000E9450000}"/>
    <cellStyle name="40% - Accent4 9 2 3 4 2" xfId="35207" xr:uid="{ED5B5398-5364-4540-8BFE-5337FED02C16}"/>
    <cellStyle name="40% - Accent4 9 2 3 5" xfId="19313" xr:uid="{00000000-0005-0000-0000-0000EA450000}"/>
    <cellStyle name="40% - Accent4 9 2 3 5 2" xfId="43145" xr:uid="{DDE14DB2-2FA1-46CF-A4BD-B894EDFE6B81}"/>
    <cellStyle name="40% - Accent4 9 2 3 6" xfId="27265" xr:uid="{9C78C028-D751-425B-81CE-2D13704CC7B7}"/>
    <cellStyle name="40% - Accent4 9 2 3_Exh G" xfId="3175" xr:uid="{00000000-0005-0000-0000-0000EB450000}"/>
    <cellStyle name="40% - Accent4 9 2 4" xfId="4211" xr:uid="{00000000-0005-0000-0000-0000EC450000}"/>
    <cellStyle name="40% - Accent4 9 2 4 2" xfId="7803" xr:uid="{00000000-0005-0000-0000-0000ED450000}"/>
    <cellStyle name="40% - Accent4 9 2 4 2 2" xfId="15774" xr:uid="{00000000-0005-0000-0000-0000EE450000}"/>
    <cellStyle name="40% - Accent4 9 2 4 2 2 2" xfId="39616" xr:uid="{7A27B800-8F7C-4E2B-A8F0-8A808825038B}"/>
    <cellStyle name="40% - Accent4 9 2 4 2 3" xfId="23720" xr:uid="{00000000-0005-0000-0000-0000EF450000}"/>
    <cellStyle name="40% - Accent4 9 2 4 2 3 2" xfId="47552" xr:uid="{CC43ACAA-4F62-4CA4-8E63-55530E320B56}"/>
    <cellStyle name="40% - Accent4 9 2 4 2 4" xfId="31675" xr:uid="{511E5712-C39B-4870-9FF6-F35F4651419E}"/>
    <cellStyle name="40% - Accent4 9 2 4 3" xfId="12236" xr:uid="{00000000-0005-0000-0000-0000F0450000}"/>
    <cellStyle name="40% - Accent4 9 2 4 3 2" xfId="36085" xr:uid="{1EE9D85B-924D-435A-A4BE-CDBFFC2C4610}"/>
    <cellStyle name="40% - Accent4 9 2 4 4" xfId="20191" xr:uid="{00000000-0005-0000-0000-0000F1450000}"/>
    <cellStyle name="40% - Accent4 9 2 4 4 2" xfId="44023" xr:uid="{C8CB06CE-3B1F-4FB9-8244-CCB377231304}"/>
    <cellStyle name="40% - Accent4 9 2 4 5" xfId="28144" xr:uid="{7EAF76C0-1F7F-4EF3-B90B-F4C047D35A19}"/>
    <cellStyle name="40% - Accent4 9 2 5" xfId="6031" xr:uid="{00000000-0005-0000-0000-0000F2450000}"/>
    <cellStyle name="40% - Accent4 9 2 5 2" xfId="14015" xr:uid="{00000000-0005-0000-0000-0000F3450000}"/>
    <cellStyle name="40% - Accent4 9 2 5 2 2" xfId="37858" xr:uid="{95F68D56-A4A0-459E-B0B7-DE38B6908D34}"/>
    <cellStyle name="40% - Accent4 9 2 5 3" xfId="21963" xr:uid="{00000000-0005-0000-0000-0000F4450000}"/>
    <cellStyle name="40% - Accent4 9 2 5 3 2" xfId="45795" xr:uid="{5B97E927-4635-41E8-B803-6F9303FF4193}"/>
    <cellStyle name="40% - Accent4 9 2 5 4" xfId="29917" xr:uid="{256331E3-BB61-4E1A-A963-F3D40C7DFD3C}"/>
    <cellStyle name="40% - Accent4 9 2 6" xfId="9584" xr:uid="{00000000-0005-0000-0000-0000F5450000}"/>
    <cellStyle name="40% - Accent4 9 2 6 2" xfId="17542" xr:uid="{00000000-0005-0000-0000-0000F6450000}"/>
    <cellStyle name="40% - Accent4 9 2 6 2 2" xfId="41382" xr:uid="{DCEDD45B-6F05-4F6B-B486-483765B7FD24}"/>
    <cellStyle name="40% - Accent4 9 2 6 3" xfId="25486" xr:uid="{00000000-0005-0000-0000-0000F7450000}"/>
    <cellStyle name="40% - Accent4 9 2 6 3 2" xfId="49318" xr:uid="{AE6986C2-41DE-4DC0-9E87-F04DCBB3FD7A}"/>
    <cellStyle name="40% - Accent4 9 2 6 4" xfId="33441" xr:uid="{4C95A074-5CE8-4683-8CCF-DE3901133EBD}"/>
    <cellStyle name="40% - Accent4 9 2 7" xfId="10480" xr:uid="{00000000-0005-0000-0000-0000F8450000}"/>
    <cellStyle name="40% - Accent4 9 2 7 2" xfId="34329" xr:uid="{00D14DF5-FEDB-466C-BCF5-1B778578BCC7}"/>
    <cellStyle name="40% - Accent4 9 2 8" xfId="18435" xr:uid="{00000000-0005-0000-0000-0000F9450000}"/>
    <cellStyle name="40% - Accent4 9 2 8 2" xfId="42267" xr:uid="{24AFB4DD-AC10-431F-BB5D-9F3AB254B093}"/>
    <cellStyle name="40% - Accent4 9 2 9" xfId="26387" xr:uid="{55D12E52-096E-46A7-9C0A-5E31A5FADFBA}"/>
    <cellStyle name="40% - Accent4 9 2_Exh G" xfId="3172" xr:uid="{00000000-0005-0000-0000-0000FA450000}"/>
    <cellStyle name="40% - Accent4 9 3" xfId="534" xr:uid="{00000000-0005-0000-0000-0000FB450000}"/>
    <cellStyle name="40% - Accent4 9 3 2" xfId="1562" xr:uid="{00000000-0005-0000-0000-0000FC450000}"/>
    <cellStyle name="40% - Accent4 9 3 2 2" xfId="5092" xr:uid="{00000000-0005-0000-0000-0000FD450000}"/>
    <cellStyle name="40% - Accent4 9 3 2 2 2" xfId="8683" xr:uid="{00000000-0005-0000-0000-0000FE450000}"/>
    <cellStyle name="40% - Accent4 9 3 2 2 2 2" xfId="16654" xr:uid="{00000000-0005-0000-0000-0000FF450000}"/>
    <cellStyle name="40% - Accent4 9 3 2 2 2 2 2" xfId="40496" xr:uid="{F6E4C7D8-2CBB-4D33-9FEF-2B7404F177AC}"/>
    <cellStyle name="40% - Accent4 9 3 2 2 2 3" xfId="24600" xr:uid="{00000000-0005-0000-0000-000000460000}"/>
    <cellStyle name="40% - Accent4 9 3 2 2 2 3 2" xfId="48432" xr:uid="{863C73CB-E910-4E3B-8D10-E0F65C278726}"/>
    <cellStyle name="40% - Accent4 9 3 2 2 2 4" xfId="32555" xr:uid="{4A93B51B-CB82-474D-95E9-FE1FB5BDC67D}"/>
    <cellStyle name="40% - Accent4 9 3 2 2 3" xfId="13116" xr:uid="{00000000-0005-0000-0000-000001460000}"/>
    <cellStyle name="40% - Accent4 9 3 2 2 3 2" xfId="36965" xr:uid="{BE7A8458-C342-4EB6-94FC-779891703E6A}"/>
    <cellStyle name="40% - Accent4 9 3 2 2 4" xfId="21071" xr:uid="{00000000-0005-0000-0000-000002460000}"/>
    <cellStyle name="40% - Accent4 9 3 2 2 4 2" xfId="44903" xr:uid="{6E588575-2405-4962-BF5C-F4AA972F596E}"/>
    <cellStyle name="40% - Accent4 9 3 2 2 5" xfId="29024" xr:uid="{477D7B3C-0944-425C-85F3-144CBF6A4904}"/>
    <cellStyle name="40% - Accent4 9 3 2 3" xfId="6924" xr:uid="{00000000-0005-0000-0000-000003460000}"/>
    <cellStyle name="40% - Accent4 9 3 2 3 2" xfId="14896" xr:uid="{00000000-0005-0000-0000-000004460000}"/>
    <cellStyle name="40% - Accent4 9 3 2 3 2 2" xfId="38738" xr:uid="{5CE99865-F603-47F5-9F04-0BBFDF457E1F}"/>
    <cellStyle name="40% - Accent4 9 3 2 3 3" xfId="22843" xr:uid="{00000000-0005-0000-0000-000005460000}"/>
    <cellStyle name="40% - Accent4 9 3 2 3 3 2" xfId="46675" xr:uid="{1901E70E-4C49-4F54-A3C5-1B202527A810}"/>
    <cellStyle name="40% - Accent4 9 3 2 3 4" xfId="30797" xr:uid="{7B38994B-0706-4170-AD24-157D3BC2D2EB}"/>
    <cellStyle name="40% - Accent4 9 3 2 4" xfId="11360" xr:uid="{00000000-0005-0000-0000-000006460000}"/>
    <cellStyle name="40% - Accent4 9 3 2 4 2" xfId="35209" xr:uid="{DAD9C4FD-F23F-44A1-A904-F7E8B462D76B}"/>
    <cellStyle name="40% - Accent4 9 3 2 5" xfId="19315" xr:uid="{00000000-0005-0000-0000-000007460000}"/>
    <cellStyle name="40% - Accent4 9 3 2 5 2" xfId="43147" xr:uid="{38C33DC3-0D46-4036-81A7-D231FFB43D20}"/>
    <cellStyle name="40% - Accent4 9 3 2 6" xfId="27267" xr:uid="{4E343AC9-0ACC-48DE-A4C8-75B23663D857}"/>
    <cellStyle name="40% - Accent4 9 3 2_Exh G" xfId="3177" xr:uid="{00000000-0005-0000-0000-000008460000}"/>
    <cellStyle name="40% - Accent4 9 3 3" xfId="4213" xr:uid="{00000000-0005-0000-0000-000009460000}"/>
    <cellStyle name="40% - Accent4 9 3 3 2" xfId="7805" xr:uid="{00000000-0005-0000-0000-00000A460000}"/>
    <cellStyle name="40% - Accent4 9 3 3 2 2" xfId="15776" xr:uid="{00000000-0005-0000-0000-00000B460000}"/>
    <cellStyle name="40% - Accent4 9 3 3 2 2 2" xfId="39618" xr:uid="{CEFBEC0F-D27F-44D3-8438-E560D7BE948C}"/>
    <cellStyle name="40% - Accent4 9 3 3 2 3" xfId="23722" xr:uid="{00000000-0005-0000-0000-00000C460000}"/>
    <cellStyle name="40% - Accent4 9 3 3 2 3 2" xfId="47554" xr:uid="{4C37F22F-A508-4904-B4CB-6AA25844B7F3}"/>
    <cellStyle name="40% - Accent4 9 3 3 2 4" xfId="31677" xr:uid="{2DE8BC41-605C-4C51-910C-34A46536A8C8}"/>
    <cellStyle name="40% - Accent4 9 3 3 3" xfId="12238" xr:uid="{00000000-0005-0000-0000-00000D460000}"/>
    <cellStyle name="40% - Accent4 9 3 3 3 2" xfId="36087" xr:uid="{40C1D963-23C8-4C13-B5DD-36864A11450E}"/>
    <cellStyle name="40% - Accent4 9 3 3 4" xfId="20193" xr:uid="{00000000-0005-0000-0000-00000E460000}"/>
    <cellStyle name="40% - Accent4 9 3 3 4 2" xfId="44025" xr:uid="{0E3946AD-65D3-4672-8108-E16EC935FC39}"/>
    <cellStyle name="40% - Accent4 9 3 3 5" xfId="28146" xr:uid="{2A0D454D-2E66-4137-A644-8A644D55F203}"/>
    <cellStyle name="40% - Accent4 9 3 4" xfId="6033" xr:uid="{00000000-0005-0000-0000-00000F460000}"/>
    <cellStyle name="40% - Accent4 9 3 4 2" xfId="14017" xr:uid="{00000000-0005-0000-0000-000010460000}"/>
    <cellStyle name="40% - Accent4 9 3 4 2 2" xfId="37860" xr:uid="{39EDEAB2-4EE3-4A27-B80D-F8B111262EC0}"/>
    <cellStyle name="40% - Accent4 9 3 4 3" xfId="21965" xr:uid="{00000000-0005-0000-0000-000011460000}"/>
    <cellStyle name="40% - Accent4 9 3 4 3 2" xfId="45797" xr:uid="{368BCEE7-96AB-4012-B095-F07E15CA1846}"/>
    <cellStyle name="40% - Accent4 9 3 4 4" xfId="29919" xr:uid="{76DAF6B3-9478-4B51-8523-8123B19C4A8D}"/>
    <cellStyle name="40% - Accent4 9 3 5" xfId="9586" xr:uid="{00000000-0005-0000-0000-000012460000}"/>
    <cellStyle name="40% - Accent4 9 3 5 2" xfId="17544" xr:uid="{00000000-0005-0000-0000-000013460000}"/>
    <cellStyle name="40% - Accent4 9 3 5 2 2" xfId="41384" xr:uid="{40558A74-8AA2-497D-AF60-5062F1161762}"/>
    <cellStyle name="40% - Accent4 9 3 5 3" xfId="25488" xr:uid="{00000000-0005-0000-0000-000014460000}"/>
    <cellStyle name="40% - Accent4 9 3 5 3 2" xfId="49320" xr:uid="{B9F39794-189F-4214-B509-6B7B7E8F4EBD}"/>
    <cellStyle name="40% - Accent4 9 3 5 4" xfId="33443" xr:uid="{30A4F888-7C78-4D75-819E-F030D6737B99}"/>
    <cellStyle name="40% - Accent4 9 3 6" xfId="10482" xr:uid="{00000000-0005-0000-0000-000015460000}"/>
    <cellStyle name="40% - Accent4 9 3 6 2" xfId="34331" xr:uid="{41EA65EB-6715-4AB1-8C86-E4D85596E042}"/>
    <cellStyle name="40% - Accent4 9 3 7" xfId="18437" xr:uid="{00000000-0005-0000-0000-000016460000}"/>
    <cellStyle name="40% - Accent4 9 3 7 2" xfId="42269" xr:uid="{66B7F4B1-481C-4D45-95F1-55D7B9E1096F}"/>
    <cellStyle name="40% - Accent4 9 3 8" xfId="26389" xr:uid="{B4F57FD9-0E3E-4A09-A52E-3C6571B06F8E}"/>
    <cellStyle name="40% - Accent4 9 3_Exh G" xfId="3176" xr:uid="{00000000-0005-0000-0000-000017460000}"/>
    <cellStyle name="40% - Accent4 9 4" xfId="981" xr:uid="{00000000-0005-0000-0000-000018460000}"/>
    <cellStyle name="40% - Accent4 9 4 2" xfId="1898" xr:uid="{00000000-0005-0000-0000-000019460000}"/>
    <cellStyle name="40% - Accent4 9 4 2 2" xfId="5416" xr:uid="{00000000-0005-0000-0000-00001A460000}"/>
    <cellStyle name="40% - Accent4 9 4 2 2 2" xfId="9007" xr:uid="{00000000-0005-0000-0000-00001B460000}"/>
    <cellStyle name="40% - Accent4 9 4 2 2 2 2" xfId="16978" xr:uid="{00000000-0005-0000-0000-00001C460000}"/>
    <cellStyle name="40% - Accent4 9 4 2 2 2 2 2" xfId="40820" xr:uid="{F81B094A-70C0-408E-8CD1-E04FE93121AF}"/>
    <cellStyle name="40% - Accent4 9 4 2 2 2 3" xfId="24924" xr:uid="{00000000-0005-0000-0000-00001D460000}"/>
    <cellStyle name="40% - Accent4 9 4 2 2 2 3 2" xfId="48756" xr:uid="{51261670-318B-4150-9446-0A44DCBC96AB}"/>
    <cellStyle name="40% - Accent4 9 4 2 2 2 4" xfId="32879" xr:uid="{498E7726-EA7A-431E-8873-624E7B660C23}"/>
    <cellStyle name="40% - Accent4 9 4 2 2 3" xfId="13440" xr:uid="{00000000-0005-0000-0000-00001E460000}"/>
    <cellStyle name="40% - Accent4 9 4 2 2 3 2" xfId="37289" xr:uid="{96F42CF8-05BD-4B39-8C11-32B933866BC2}"/>
    <cellStyle name="40% - Accent4 9 4 2 2 4" xfId="21395" xr:uid="{00000000-0005-0000-0000-00001F460000}"/>
    <cellStyle name="40% - Accent4 9 4 2 2 4 2" xfId="45227" xr:uid="{511C3B9A-8CE4-468D-A684-6DB1FA9C7E97}"/>
    <cellStyle name="40% - Accent4 9 4 2 2 5" xfId="29348" xr:uid="{269409D8-BB32-485C-BE1C-32B75A49E04F}"/>
    <cellStyle name="40% - Accent4 9 4 2 3" xfId="7248" xr:uid="{00000000-0005-0000-0000-000020460000}"/>
    <cellStyle name="40% - Accent4 9 4 2 3 2" xfId="15220" xr:uid="{00000000-0005-0000-0000-000021460000}"/>
    <cellStyle name="40% - Accent4 9 4 2 3 2 2" xfId="39062" xr:uid="{31D35961-80B7-4B59-865F-292728A9C336}"/>
    <cellStyle name="40% - Accent4 9 4 2 3 3" xfId="23167" xr:uid="{00000000-0005-0000-0000-000022460000}"/>
    <cellStyle name="40% - Accent4 9 4 2 3 3 2" xfId="46999" xr:uid="{A98414D3-D47F-4679-A2C5-FFC4B9959BD4}"/>
    <cellStyle name="40% - Accent4 9 4 2 3 4" xfId="31121" xr:uid="{3958832A-DBA6-43AC-BDCB-9359A4C72518}"/>
    <cellStyle name="40% - Accent4 9 4 2 4" xfId="11684" xr:uid="{00000000-0005-0000-0000-000023460000}"/>
    <cellStyle name="40% - Accent4 9 4 2 4 2" xfId="35533" xr:uid="{DF75770D-2E1C-48ED-B251-45FE34BB0292}"/>
    <cellStyle name="40% - Accent4 9 4 2 5" xfId="19639" xr:uid="{00000000-0005-0000-0000-000024460000}"/>
    <cellStyle name="40% - Accent4 9 4 2 5 2" xfId="43471" xr:uid="{7C0CC221-4A37-42BE-A8D2-4FC822465B79}"/>
    <cellStyle name="40% - Accent4 9 4 2 6" xfId="27591" xr:uid="{69EBCF3A-9BCA-46D8-9012-FB88B07D5D98}"/>
    <cellStyle name="40% - Accent4 9 4 2_Exh G" xfId="3179" xr:uid="{00000000-0005-0000-0000-000025460000}"/>
    <cellStyle name="40% - Accent4 9 4 3" xfId="4537" xr:uid="{00000000-0005-0000-0000-000026460000}"/>
    <cellStyle name="40% - Accent4 9 4 3 2" xfId="8129" xr:uid="{00000000-0005-0000-0000-000027460000}"/>
    <cellStyle name="40% - Accent4 9 4 3 2 2" xfId="16100" xr:uid="{00000000-0005-0000-0000-000028460000}"/>
    <cellStyle name="40% - Accent4 9 4 3 2 2 2" xfId="39942" xr:uid="{414EB6E4-7C42-48D2-B811-87E6CE1CF8ED}"/>
    <cellStyle name="40% - Accent4 9 4 3 2 3" xfId="24046" xr:uid="{00000000-0005-0000-0000-000029460000}"/>
    <cellStyle name="40% - Accent4 9 4 3 2 3 2" xfId="47878" xr:uid="{3A12DC10-6AC7-45DE-876A-5A32421415BF}"/>
    <cellStyle name="40% - Accent4 9 4 3 2 4" xfId="32001" xr:uid="{CCDFB54F-D3E7-4B27-BBD5-54A2E6CFFA97}"/>
    <cellStyle name="40% - Accent4 9 4 3 3" xfId="12562" xr:uid="{00000000-0005-0000-0000-00002A460000}"/>
    <cellStyle name="40% - Accent4 9 4 3 3 2" xfId="36411" xr:uid="{C9918D3A-F789-4E98-B69A-0FBC4EA6A9BF}"/>
    <cellStyle name="40% - Accent4 9 4 3 4" xfId="20517" xr:uid="{00000000-0005-0000-0000-00002B460000}"/>
    <cellStyle name="40% - Accent4 9 4 3 4 2" xfId="44349" xr:uid="{209B5AB2-C186-4C15-840C-B86D77089BF9}"/>
    <cellStyle name="40% - Accent4 9 4 3 5" xfId="28470" xr:uid="{A5C09C57-1655-49EF-9A0E-FC60373F89C6}"/>
    <cellStyle name="40% - Accent4 9 4 4" xfId="6367" xr:uid="{00000000-0005-0000-0000-00002C460000}"/>
    <cellStyle name="40% - Accent4 9 4 4 2" xfId="14342" xr:uid="{00000000-0005-0000-0000-00002D460000}"/>
    <cellStyle name="40% - Accent4 9 4 4 2 2" xfId="38184" xr:uid="{223A9117-62A0-46D5-9D0F-751C7DDA89C7}"/>
    <cellStyle name="40% - Accent4 9 4 4 3" xfId="22289" xr:uid="{00000000-0005-0000-0000-00002E460000}"/>
    <cellStyle name="40% - Accent4 9 4 4 3 2" xfId="46121" xr:uid="{0625CD5A-47FD-44AB-9EB2-B799544354C8}"/>
    <cellStyle name="40% - Accent4 9 4 4 4" xfId="30243" xr:uid="{CB3924FE-18BD-4CE3-A54D-D4F00E1D618F}"/>
    <cellStyle name="40% - Accent4 9 4 5" xfId="9910" xr:uid="{00000000-0005-0000-0000-00002F460000}"/>
    <cellStyle name="40% - Accent4 9 4 5 2" xfId="17868" xr:uid="{00000000-0005-0000-0000-000030460000}"/>
    <cellStyle name="40% - Accent4 9 4 5 2 2" xfId="41708" xr:uid="{DD16FFCA-E63D-4525-9536-3F8A1B8D10F5}"/>
    <cellStyle name="40% - Accent4 9 4 5 3" xfId="25812" xr:uid="{00000000-0005-0000-0000-000031460000}"/>
    <cellStyle name="40% - Accent4 9 4 5 3 2" xfId="49644" xr:uid="{7C4FFC26-064F-4497-9F6D-9DBE59643D56}"/>
    <cellStyle name="40% - Accent4 9 4 5 4" xfId="33767" xr:uid="{639A7245-AA5E-4765-BB9D-076B6FE61C5D}"/>
    <cellStyle name="40% - Accent4 9 4 6" xfId="10806" xr:uid="{00000000-0005-0000-0000-000032460000}"/>
    <cellStyle name="40% - Accent4 9 4 6 2" xfId="34655" xr:uid="{1A0D6687-95DB-4AA5-9DEA-C57CFE01B107}"/>
    <cellStyle name="40% - Accent4 9 4 7" xfId="18761" xr:uid="{00000000-0005-0000-0000-000033460000}"/>
    <cellStyle name="40% - Accent4 9 4 7 2" xfId="42593" xr:uid="{D39A76B0-8916-458B-BA3E-32C5D9762B75}"/>
    <cellStyle name="40% - Accent4 9 4 8" xfId="26713" xr:uid="{A84994A0-C489-4E3B-9F04-0D203F350F85}"/>
    <cellStyle name="40% - Accent4 9 4_Exh G" xfId="3178" xr:uid="{00000000-0005-0000-0000-000034460000}"/>
    <cellStyle name="40% - Accent4 9 5" xfId="1559" xr:uid="{00000000-0005-0000-0000-000035460000}"/>
    <cellStyle name="40% - Accent4 9 5 2" xfId="5089" xr:uid="{00000000-0005-0000-0000-000036460000}"/>
    <cellStyle name="40% - Accent4 9 5 2 2" xfId="8680" xr:uid="{00000000-0005-0000-0000-000037460000}"/>
    <cellStyle name="40% - Accent4 9 5 2 2 2" xfId="16651" xr:uid="{00000000-0005-0000-0000-000038460000}"/>
    <cellStyle name="40% - Accent4 9 5 2 2 2 2" xfId="40493" xr:uid="{52BB24A3-B974-4B75-8C7D-C5D47EC2F9ED}"/>
    <cellStyle name="40% - Accent4 9 5 2 2 3" xfId="24597" xr:uid="{00000000-0005-0000-0000-000039460000}"/>
    <cellStyle name="40% - Accent4 9 5 2 2 3 2" xfId="48429" xr:uid="{93A2858F-1EEB-4A35-9B57-CDD6B5456170}"/>
    <cellStyle name="40% - Accent4 9 5 2 2 4" xfId="32552" xr:uid="{3BF8DF36-8B1C-47D3-84EB-EA44BFF99163}"/>
    <cellStyle name="40% - Accent4 9 5 2 3" xfId="13113" xr:uid="{00000000-0005-0000-0000-00003A460000}"/>
    <cellStyle name="40% - Accent4 9 5 2 3 2" xfId="36962" xr:uid="{77AC53C1-D322-467A-91C6-70E8FA806471}"/>
    <cellStyle name="40% - Accent4 9 5 2 4" xfId="21068" xr:uid="{00000000-0005-0000-0000-00003B460000}"/>
    <cellStyle name="40% - Accent4 9 5 2 4 2" xfId="44900" xr:uid="{31FC8647-11F3-4CE2-A682-3C9DCE441B88}"/>
    <cellStyle name="40% - Accent4 9 5 2 5" xfId="29021" xr:uid="{B2BB409C-095C-48B9-AE80-AF7164EFEEC9}"/>
    <cellStyle name="40% - Accent4 9 5 3" xfId="6921" xr:uid="{00000000-0005-0000-0000-00003C460000}"/>
    <cellStyle name="40% - Accent4 9 5 3 2" xfId="14893" xr:uid="{00000000-0005-0000-0000-00003D460000}"/>
    <cellStyle name="40% - Accent4 9 5 3 2 2" xfId="38735" xr:uid="{0149FB87-530C-40D3-9A9F-5EA6E308AEB9}"/>
    <cellStyle name="40% - Accent4 9 5 3 3" xfId="22840" xr:uid="{00000000-0005-0000-0000-00003E460000}"/>
    <cellStyle name="40% - Accent4 9 5 3 3 2" xfId="46672" xr:uid="{B11B660D-E09A-4A99-B998-FEDCD110C2F8}"/>
    <cellStyle name="40% - Accent4 9 5 3 4" xfId="30794" xr:uid="{255613A0-7271-46D5-A266-81095E8152B8}"/>
    <cellStyle name="40% - Accent4 9 5 4" xfId="11357" xr:uid="{00000000-0005-0000-0000-00003F460000}"/>
    <cellStyle name="40% - Accent4 9 5 4 2" xfId="35206" xr:uid="{D5EA5B03-3246-43E4-8D47-FBB04846CF55}"/>
    <cellStyle name="40% - Accent4 9 5 5" xfId="19312" xr:uid="{00000000-0005-0000-0000-000040460000}"/>
    <cellStyle name="40% - Accent4 9 5 5 2" xfId="43144" xr:uid="{C5F31A89-899C-4058-8FD5-E8D044028165}"/>
    <cellStyle name="40% - Accent4 9 5 6" xfId="27264" xr:uid="{11022CE6-E959-44EF-8161-041FACBBE109}"/>
    <cellStyle name="40% - Accent4 9 5_Exh G" xfId="3180" xr:uid="{00000000-0005-0000-0000-000041460000}"/>
    <cellStyle name="40% - Accent4 9 6" xfId="4210" xr:uid="{00000000-0005-0000-0000-000042460000}"/>
    <cellStyle name="40% - Accent4 9 6 2" xfId="7802" xr:uid="{00000000-0005-0000-0000-000043460000}"/>
    <cellStyle name="40% - Accent4 9 6 2 2" xfId="15773" xr:uid="{00000000-0005-0000-0000-000044460000}"/>
    <cellStyle name="40% - Accent4 9 6 2 2 2" xfId="39615" xr:uid="{CC919A9E-1C0A-4B1C-BF44-54966C82564D}"/>
    <cellStyle name="40% - Accent4 9 6 2 3" xfId="23719" xr:uid="{00000000-0005-0000-0000-000045460000}"/>
    <cellStyle name="40% - Accent4 9 6 2 3 2" xfId="47551" xr:uid="{45ED0D18-8C1B-4E6C-8E1B-C63BAD19D1A0}"/>
    <cellStyle name="40% - Accent4 9 6 2 4" xfId="31674" xr:uid="{BE292ADE-9E94-4B0C-9236-E3A9E0D0F949}"/>
    <cellStyle name="40% - Accent4 9 6 3" xfId="12235" xr:uid="{00000000-0005-0000-0000-000046460000}"/>
    <cellStyle name="40% - Accent4 9 6 3 2" xfId="36084" xr:uid="{62FA1F96-C0E7-4765-B06E-F0A979A871EE}"/>
    <cellStyle name="40% - Accent4 9 6 4" xfId="20190" xr:uid="{00000000-0005-0000-0000-000047460000}"/>
    <cellStyle name="40% - Accent4 9 6 4 2" xfId="44022" xr:uid="{194F3556-24EE-46D3-A73C-EB6375303C3D}"/>
    <cellStyle name="40% - Accent4 9 6 5" xfId="28143" xr:uid="{CEDD5FB6-5F41-4BF4-964E-B64FB21F4F9D}"/>
    <cellStyle name="40% - Accent4 9 7" xfId="6030" xr:uid="{00000000-0005-0000-0000-000048460000}"/>
    <cellStyle name="40% - Accent4 9 7 2" xfId="14014" xr:uid="{00000000-0005-0000-0000-000049460000}"/>
    <cellStyle name="40% - Accent4 9 7 2 2" xfId="37857" xr:uid="{888F3AD7-7E9E-4BAC-AA52-371274A3B331}"/>
    <cellStyle name="40% - Accent4 9 7 3" xfId="21962" xr:uid="{00000000-0005-0000-0000-00004A460000}"/>
    <cellStyle name="40% - Accent4 9 7 3 2" xfId="45794" xr:uid="{51AC3365-1F57-4159-8DE0-83077351E805}"/>
    <cellStyle name="40% - Accent4 9 7 4" xfId="29916" xr:uid="{0E6F5862-ACBC-4AEB-9B90-629FEA8A9B53}"/>
    <cellStyle name="40% - Accent4 9 8" xfId="9583" xr:uid="{00000000-0005-0000-0000-00004B460000}"/>
    <cellStyle name="40% - Accent4 9 8 2" xfId="17541" xr:uid="{00000000-0005-0000-0000-00004C460000}"/>
    <cellStyle name="40% - Accent4 9 8 2 2" xfId="41381" xr:uid="{436FFC10-9E6D-4E45-9A22-F50FF86B4799}"/>
    <cellStyle name="40% - Accent4 9 8 3" xfId="25485" xr:uid="{00000000-0005-0000-0000-00004D460000}"/>
    <cellStyle name="40% - Accent4 9 8 3 2" xfId="49317" xr:uid="{07755CC3-872D-4CB8-9AF9-9B811D326683}"/>
    <cellStyle name="40% - Accent4 9 8 4" xfId="33440" xr:uid="{7B23DCC4-74BC-4651-9BF5-823E15048983}"/>
    <cellStyle name="40% - Accent4 9 9" xfId="10479" xr:uid="{00000000-0005-0000-0000-00004E460000}"/>
    <cellStyle name="40% - Accent4 9 9 2" xfId="34328" xr:uid="{9E6F37D5-133C-46E1-9926-52BC327410BD}"/>
    <cellStyle name="40% - Accent4 9_Exh G" xfId="3171" xr:uid="{00000000-0005-0000-0000-00004F460000}"/>
    <cellStyle name="40% - Accent5" xfId="49705" builtinId="47" customBuiltin="1"/>
    <cellStyle name="40% - Accent5 10" xfId="535" xr:uid="{00000000-0005-0000-0000-000050460000}"/>
    <cellStyle name="40% - Accent5 10 10" xfId="18438" xr:uid="{00000000-0005-0000-0000-000051460000}"/>
    <cellStyle name="40% - Accent5 10 10 2" xfId="42270" xr:uid="{BA838A2C-3A47-45FC-8E91-6A49EA69538C}"/>
    <cellStyle name="40% - Accent5 10 11" xfId="26390" xr:uid="{73FE6463-66FE-4152-9FD2-4A24BBAE8FD7}"/>
    <cellStyle name="40% - Accent5 10 2" xfId="536" xr:uid="{00000000-0005-0000-0000-000052460000}"/>
    <cellStyle name="40% - Accent5 10 2 2" xfId="537" xr:uid="{00000000-0005-0000-0000-000053460000}"/>
    <cellStyle name="40% - Accent5 10 2 2 2" xfId="1565" xr:uid="{00000000-0005-0000-0000-000054460000}"/>
    <cellStyle name="40% - Accent5 10 2 2 2 2" xfId="5095" xr:uid="{00000000-0005-0000-0000-000055460000}"/>
    <cellStyle name="40% - Accent5 10 2 2 2 2 2" xfId="8686" xr:uid="{00000000-0005-0000-0000-000056460000}"/>
    <cellStyle name="40% - Accent5 10 2 2 2 2 2 2" xfId="16657" xr:uid="{00000000-0005-0000-0000-000057460000}"/>
    <cellStyle name="40% - Accent5 10 2 2 2 2 2 2 2" xfId="40499" xr:uid="{2B5B945D-FEA2-4271-AF05-3C3FD823E52E}"/>
    <cellStyle name="40% - Accent5 10 2 2 2 2 2 3" xfId="24603" xr:uid="{00000000-0005-0000-0000-000058460000}"/>
    <cellStyle name="40% - Accent5 10 2 2 2 2 2 3 2" xfId="48435" xr:uid="{3C360ACF-92DE-4804-BBB2-8FA898E22783}"/>
    <cellStyle name="40% - Accent5 10 2 2 2 2 2 4" xfId="32558" xr:uid="{D06E4815-4457-4580-B4FA-45F2219D7B8D}"/>
    <cellStyle name="40% - Accent5 10 2 2 2 2 3" xfId="13119" xr:uid="{00000000-0005-0000-0000-000059460000}"/>
    <cellStyle name="40% - Accent5 10 2 2 2 2 3 2" xfId="36968" xr:uid="{A70F78BE-516E-442F-8DC3-4CDC51572ADD}"/>
    <cellStyle name="40% - Accent5 10 2 2 2 2 4" xfId="21074" xr:uid="{00000000-0005-0000-0000-00005A460000}"/>
    <cellStyle name="40% - Accent5 10 2 2 2 2 4 2" xfId="44906" xr:uid="{11A941E8-63F1-4F2B-8D9C-1EA6CD44CA23}"/>
    <cellStyle name="40% - Accent5 10 2 2 2 2 5" xfId="29027" xr:uid="{EB11D66F-4B29-48EF-AC9E-F680A853C9C8}"/>
    <cellStyle name="40% - Accent5 10 2 2 2 3" xfId="6927" xr:uid="{00000000-0005-0000-0000-00005B460000}"/>
    <cellStyle name="40% - Accent5 10 2 2 2 3 2" xfId="14899" xr:uid="{00000000-0005-0000-0000-00005C460000}"/>
    <cellStyle name="40% - Accent5 10 2 2 2 3 2 2" xfId="38741" xr:uid="{14030607-2415-442F-9F11-F97B19B1D306}"/>
    <cellStyle name="40% - Accent5 10 2 2 2 3 3" xfId="22846" xr:uid="{00000000-0005-0000-0000-00005D460000}"/>
    <cellStyle name="40% - Accent5 10 2 2 2 3 3 2" xfId="46678" xr:uid="{DE941C70-2761-456E-94E3-5617190E2DF3}"/>
    <cellStyle name="40% - Accent5 10 2 2 2 3 4" xfId="30800" xr:uid="{9D24A180-E443-41F5-9619-74A96E1C42A2}"/>
    <cellStyle name="40% - Accent5 10 2 2 2 4" xfId="11363" xr:uid="{00000000-0005-0000-0000-00005E460000}"/>
    <cellStyle name="40% - Accent5 10 2 2 2 4 2" xfId="35212" xr:uid="{C279D018-2D61-43F9-8AA8-DC216CDBEB8E}"/>
    <cellStyle name="40% - Accent5 10 2 2 2 5" xfId="19318" xr:uid="{00000000-0005-0000-0000-00005F460000}"/>
    <cellStyle name="40% - Accent5 10 2 2 2 5 2" xfId="43150" xr:uid="{D9F225BB-C2C5-49F5-98F2-C2C87093CA9B}"/>
    <cellStyle name="40% - Accent5 10 2 2 2 6" xfId="27270" xr:uid="{9B426F5A-F36C-4994-AC2B-A28A796880E8}"/>
    <cellStyle name="40% - Accent5 10 2 2 2_Exh G" xfId="3184" xr:uid="{00000000-0005-0000-0000-000060460000}"/>
    <cellStyle name="40% - Accent5 10 2 2 3" xfId="4216" xr:uid="{00000000-0005-0000-0000-000061460000}"/>
    <cellStyle name="40% - Accent5 10 2 2 3 2" xfId="7808" xr:uid="{00000000-0005-0000-0000-000062460000}"/>
    <cellStyle name="40% - Accent5 10 2 2 3 2 2" xfId="15779" xr:uid="{00000000-0005-0000-0000-000063460000}"/>
    <cellStyle name="40% - Accent5 10 2 2 3 2 2 2" xfId="39621" xr:uid="{E5B86D96-D93A-4CA8-AE1D-4106634D39F8}"/>
    <cellStyle name="40% - Accent5 10 2 2 3 2 3" xfId="23725" xr:uid="{00000000-0005-0000-0000-000064460000}"/>
    <cellStyle name="40% - Accent5 10 2 2 3 2 3 2" xfId="47557" xr:uid="{02B699E1-738F-4B46-BE17-AD6630F9470D}"/>
    <cellStyle name="40% - Accent5 10 2 2 3 2 4" xfId="31680" xr:uid="{A2B108D4-2C0D-496D-9316-E46C22A5D667}"/>
    <cellStyle name="40% - Accent5 10 2 2 3 3" xfId="12241" xr:uid="{00000000-0005-0000-0000-000065460000}"/>
    <cellStyle name="40% - Accent5 10 2 2 3 3 2" xfId="36090" xr:uid="{CD7B06D8-EB80-43AD-BB13-00081F6BE2D8}"/>
    <cellStyle name="40% - Accent5 10 2 2 3 4" xfId="20196" xr:uid="{00000000-0005-0000-0000-000066460000}"/>
    <cellStyle name="40% - Accent5 10 2 2 3 4 2" xfId="44028" xr:uid="{09BCD9B9-4CCF-4865-85CE-D65A3FD58576}"/>
    <cellStyle name="40% - Accent5 10 2 2 3 5" xfId="28149" xr:uid="{C87D8B93-BB0D-458C-99D6-E83FC021E72E}"/>
    <cellStyle name="40% - Accent5 10 2 2 4" xfId="6036" xr:uid="{00000000-0005-0000-0000-000067460000}"/>
    <cellStyle name="40% - Accent5 10 2 2 4 2" xfId="14020" xr:uid="{00000000-0005-0000-0000-000068460000}"/>
    <cellStyle name="40% - Accent5 10 2 2 4 2 2" xfId="37863" xr:uid="{2B5B717D-2E10-49FF-B706-26DD1566CA4C}"/>
    <cellStyle name="40% - Accent5 10 2 2 4 3" xfId="21968" xr:uid="{00000000-0005-0000-0000-000069460000}"/>
    <cellStyle name="40% - Accent5 10 2 2 4 3 2" xfId="45800" xr:uid="{9BE3C27A-DAA2-42AE-A31B-3AA4D194B651}"/>
    <cellStyle name="40% - Accent5 10 2 2 4 4" xfId="29922" xr:uid="{C021681E-C251-4170-B622-2C0C0F29EC7D}"/>
    <cellStyle name="40% - Accent5 10 2 2 5" xfId="9589" xr:uid="{00000000-0005-0000-0000-00006A460000}"/>
    <cellStyle name="40% - Accent5 10 2 2 5 2" xfId="17547" xr:uid="{00000000-0005-0000-0000-00006B460000}"/>
    <cellStyle name="40% - Accent5 10 2 2 5 2 2" xfId="41387" xr:uid="{25246432-D4BF-4526-9FE7-1E0646D31FC1}"/>
    <cellStyle name="40% - Accent5 10 2 2 5 3" xfId="25491" xr:uid="{00000000-0005-0000-0000-00006C460000}"/>
    <cellStyle name="40% - Accent5 10 2 2 5 3 2" xfId="49323" xr:uid="{218DED90-ADC5-4E82-B1E2-DB589A0A0289}"/>
    <cellStyle name="40% - Accent5 10 2 2 5 4" xfId="33446" xr:uid="{3352E44C-2B2D-42A0-9D5E-4AA703721BE6}"/>
    <cellStyle name="40% - Accent5 10 2 2 6" xfId="10485" xr:uid="{00000000-0005-0000-0000-00006D460000}"/>
    <cellStyle name="40% - Accent5 10 2 2 6 2" xfId="34334" xr:uid="{8FD1C79F-7942-4268-94C3-E0B7B5A21981}"/>
    <cellStyle name="40% - Accent5 10 2 2 7" xfId="18440" xr:uid="{00000000-0005-0000-0000-00006E460000}"/>
    <cellStyle name="40% - Accent5 10 2 2 7 2" xfId="42272" xr:uid="{0780C1B1-6D64-40A8-A46A-72B9E6285B83}"/>
    <cellStyle name="40% - Accent5 10 2 2 8" xfId="26392" xr:uid="{D84CAC2A-32A2-4470-965A-8AF115911B8E}"/>
    <cellStyle name="40% - Accent5 10 2 2_Exh G" xfId="3183" xr:uid="{00000000-0005-0000-0000-00006F460000}"/>
    <cellStyle name="40% - Accent5 10 2 3" xfId="1564" xr:uid="{00000000-0005-0000-0000-000070460000}"/>
    <cellStyle name="40% - Accent5 10 2 3 2" xfId="5094" xr:uid="{00000000-0005-0000-0000-000071460000}"/>
    <cellStyle name="40% - Accent5 10 2 3 2 2" xfId="8685" xr:uid="{00000000-0005-0000-0000-000072460000}"/>
    <cellStyle name="40% - Accent5 10 2 3 2 2 2" xfId="16656" xr:uid="{00000000-0005-0000-0000-000073460000}"/>
    <cellStyle name="40% - Accent5 10 2 3 2 2 2 2" xfId="40498" xr:uid="{9339E809-AD63-45EF-895C-BD7CDBBEA3A0}"/>
    <cellStyle name="40% - Accent5 10 2 3 2 2 3" xfId="24602" xr:uid="{00000000-0005-0000-0000-000074460000}"/>
    <cellStyle name="40% - Accent5 10 2 3 2 2 3 2" xfId="48434" xr:uid="{2DE2AD5F-0EA5-41A3-A978-4C8616025F47}"/>
    <cellStyle name="40% - Accent5 10 2 3 2 2 4" xfId="32557" xr:uid="{09891999-69DB-47A1-95EF-735621D56383}"/>
    <cellStyle name="40% - Accent5 10 2 3 2 3" xfId="13118" xr:uid="{00000000-0005-0000-0000-000075460000}"/>
    <cellStyle name="40% - Accent5 10 2 3 2 3 2" xfId="36967" xr:uid="{D34DFB48-A558-47B2-B2E5-E327459E99B0}"/>
    <cellStyle name="40% - Accent5 10 2 3 2 4" xfId="21073" xr:uid="{00000000-0005-0000-0000-000076460000}"/>
    <cellStyle name="40% - Accent5 10 2 3 2 4 2" xfId="44905" xr:uid="{2AC6A5D2-813A-4F6D-B726-83123AE787EF}"/>
    <cellStyle name="40% - Accent5 10 2 3 2 5" xfId="29026" xr:uid="{52F1263E-F4A6-475D-9EE5-1375FFC83263}"/>
    <cellStyle name="40% - Accent5 10 2 3 3" xfId="6926" xr:uid="{00000000-0005-0000-0000-000077460000}"/>
    <cellStyle name="40% - Accent5 10 2 3 3 2" xfId="14898" xr:uid="{00000000-0005-0000-0000-000078460000}"/>
    <cellStyle name="40% - Accent5 10 2 3 3 2 2" xfId="38740" xr:uid="{BAA072FF-9F1F-47F4-9094-FD9114C6FB33}"/>
    <cellStyle name="40% - Accent5 10 2 3 3 3" xfId="22845" xr:uid="{00000000-0005-0000-0000-000079460000}"/>
    <cellStyle name="40% - Accent5 10 2 3 3 3 2" xfId="46677" xr:uid="{565292EB-7E61-411C-AD86-D0ECCE99A9BE}"/>
    <cellStyle name="40% - Accent5 10 2 3 3 4" xfId="30799" xr:uid="{90ED16CA-5C58-4DB2-8359-898B65F0EFCA}"/>
    <cellStyle name="40% - Accent5 10 2 3 4" xfId="11362" xr:uid="{00000000-0005-0000-0000-00007A460000}"/>
    <cellStyle name="40% - Accent5 10 2 3 4 2" xfId="35211" xr:uid="{B2AB67C0-430D-4945-9798-B0B2FD177DC2}"/>
    <cellStyle name="40% - Accent5 10 2 3 5" xfId="19317" xr:uid="{00000000-0005-0000-0000-00007B460000}"/>
    <cellStyle name="40% - Accent5 10 2 3 5 2" xfId="43149" xr:uid="{8844FCFA-D8FD-4D58-A871-0A0880C3A494}"/>
    <cellStyle name="40% - Accent5 10 2 3 6" xfId="27269" xr:uid="{834EC497-4C61-47E8-98A2-9252D40A7527}"/>
    <cellStyle name="40% - Accent5 10 2 3_Exh G" xfId="3185" xr:uid="{00000000-0005-0000-0000-00007C460000}"/>
    <cellStyle name="40% - Accent5 10 2 4" xfId="4215" xr:uid="{00000000-0005-0000-0000-00007D460000}"/>
    <cellStyle name="40% - Accent5 10 2 4 2" xfId="7807" xr:uid="{00000000-0005-0000-0000-00007E460000}"/>
    <cellStyle name="40% - Accent5 10 2 4 2 2" xfId="15778" xr:uid="{00000000-0005-0000-0000-00007F460000}"/>
    <cellStyle name="40% - Accent5 10 2 4 2 2 2" xfId="39620" xr:uid="{1D2235C8-7FEE-4764-8E84-66C6E5A1F60E}"/>
    <cellStyle name="40% - Accent5 10 2 4 2 3" xfId="23724" xr:uid="{00000000-0005-0000-0000-000080460000}"/>
    <cellStyle name="40% - Accent5 10 2 4 2 3 2" xfId="47556" xr:uid="{AFEA1545-4886-4129-94C9-2CFAE8DA4196}"/>
    <cellStyle name="40% - Accent5 10 2 4 2 4" xfId="31679" xr:uid="{D7F3B4AC-53E2-4E15-9A5B-5D5BBF2FD5D2}"/>
    <cellStyle name="40% - Accent5 10 2 4 3" xfId="12240" xr:uid="{00000000-0005-0000-0000-000081460000}"/>
    <cellStyle name="40% - Accent5 10 2 4 3 2" xfId="36089" xr:uid="{6FD98329-BD3F-4FFB-8EE8-B83C5DD6EFC5}"/>
    <cellStyle name="40% - Accent5 10 2 4 4" xfId="20195" xr:uid="{00000000-0005-0000-0000-000082460000}"/>
    <cellStyle name="40% - Accent5 10 2 4 4 2" xfId="44027" xr:uid="{1BCECD69-F670-4F8A-9FC8-70325866AF11}"/>
    <cellStyle name="40% - Accent5 10 2 4 5" xfId="28148" xr:uid="{BC305112-D90C-489C-97BD-9ECA78B26042}"/>
    <cellStyle name="40% - Accent5 10 2 5" xfId="6035" xr:uid="{00000000-0005-0000-0000-000083460000}"/>
    <cellStyle name="40% - Accent5 10 2 5 2" xfId="14019" xr:uid="{00000000-0005-0000-0000-000084460000}"/>
    <cellStyle name="40% - Accent5 10 2 5 2 2" xfId="37862" xr:uid="{C338F710-DFC3-4BCA-8368-9EABE2C8BBE3}"/>
    <cellStyle name="40% - Accent5 10 2 5 3" xfId="21967" xr:uid="{00000000-0005-0000-0000-000085460000}"/>
    <cellStyle name="40% - Accent5 10 2 5 3 2" xfId="45799" xr:uid="{A7FD4110-292F-4757-8793-861949B1911C}"/>
    <cellStyle name="40% - Accent5 10 2 5 4" xfId="29921" xr:uid="{D57A0726-6C06-4681-A335-7F9171E8594A}"/>
    <cellStyle name="40% - Accent5 10 2 6" xfId="9588" xr:uid="{00000000-0005-0000-0000-000086460000}"/>
    <cellStyle name="40% - Accent5 10 2 6 2" xfId="17546" xr:uid="{00000000-0005-0000-0000-000087460000}"/>
    <cellStyle name="40% - Accent5 10 2 6 2 2" xfId="41386" xr:uid="{B4ACC24A-43E2-477E-AD14-CD08BE63D643}"/>
    <cellStyle name="40% - Accent5 10 2 6 3" xfId="25490" xr:uid="{00000000-0005-0000-0000-000088460000}"/>
    <cellStyle name="40% - Accent5 10 2 6 3 2" xfId="49322" xr:uid="{A23ED8BA-D4FE-4605-B61B-D330AD5311FA}"/>
    <cellStyle name="40% - Accent5 10 2 6 4" xfId="33445" xr:uid="{CE0294F0-5934-4170-A522-86FE90D353A6}"/>
    <cellStyle name="40% - Accent5 10 2 7" xfId="10484" xr:uid="{00000000-0005-0000-0000-000089460000}"/>
    <cellStyle name="40% - Accent5 10 2 7 2" xfId="34333" xr:uid="{5E0EE47C-CE96-433E-84F0-A01427813F48}"/>
    <cellStyle name="40% - Accent5 10 2 8" xfId="18439" xr:uid="{00000000-0005-0000-0000-00008A460000}"/>
    <cellStyle name="40% - Accent5 10 2 8 2" xfId="42271" xr:uid="{99AA2FF6-E2BF-4B7C-B2C9-D5B3006E3E39}"/>
    <cellStyle name="40% - Accent5 10 2 9" xfId="26391" xr:uid="{69188F28-5D65-4B37-A2A3-E09ED6B92AF8}"/>
    <cellStyle name="40% - Accent5 10 2_Exh G" xfId="3182" xr:uid="{00000000-0005-0000-0000-00008B460000}"/>
    <cellStyle name="40% - Accent5 10 3" xfId="538" xr:uid="{00000000-0005-0000-0000-00008C460000}"/>
    <cellStyle name="40% - Accent5 10 3 2" xfId="1566" xr:uid="{00000000-0005-0000-0000-00008D460000}"/>
    <cellStyle name="40% - Accent5 10 3 2 2" xfId="5096" xr:uid="{00000000-0005-0000-0000-00008E460000}"/>
    <cellStyle name="40% - Accent5 10 3 2 2 2" xfId="8687" xr:uid="{00000000-0005-0000-0000-00008F460000}"/>
    <cellStyle name="40% - Accent5 10 3 2 2 2 2" xfId="16658" xr:uid="{00000000-0005-0000-0000-000090460000}"/>
    <cellStyle name="40% - Accent5 10 3 2 2 2 2 2" xfId="40500" xr:uid="{EF3492DE-3B22-4944-B1CA-B814984DF19D}"/>
    <cellStyle name="40% - Accent5 10 3 2 2 2 3" xfId="24604" xr:uid="{00000000-0005-0000-0000-000091460000}"/>
    <cellStyle name="40% - Accent5 10 3 2 2 2 3 2" xfId="48436" xr:uid="{0EA950FE-FC2D-4122-B077-E14F20E0B2D9}"/>
    <cellStyle name="40% - Accent5 10 3 2 2 2 4" xfId="32559" xr:uid="{1E148BE1-CCAB-43F1-AAC7-2AC75A7CE7B0}"/>
    <cellStyle name="40% - Accent5 10 3 2 2 3" xfId="13120" xr:uid="{00000000-0005-0000-0000-000092460000}"/>
    <cellStyle name="40% - Accent5 10 3 2 2 3 2" xfId="36969" xr:uid="{B6EEF9C6-E881-4CB6-A892-B1ED5AFBBBCE}"/>
    <cellStyle name="40% - Accent5 10 3 2 2 4" xfId="21075" xr:uid="{00000000-0005-0000-0000-000093460000}"/>
    <cellStyle name="40% - Accent5 10 3 2 2 4 2" xfId="44907" xr:uid="{1A9842AF-F26D-4170-8175-B77D0C18913E}"/>
    <cellStyle name="40% - Accent5 10 3 2 2 5" xfId="29028" xr:uid="{6ED64B40-529F-4933-93AA-9748C37A7632}"/>
    <cellStyle name="40% - Accent5 10 3 2 3" xfId="6928" xr:uid="{00000000-0005-0000-0000-000094460000}"/>
    <cellStyle name="40% - Accent5 10 3 2 3 2" xfId="14900" xr:uid="{00000000-0005-0000-0000-000095460000}"/>
    <cellStyle name="40% - Accent5 10 3 2 3 2 2" xfId="38742" xr:uid="{F049826F-DBAC-46FD-96CD-F75972AA564A}"/>
    <cellStyle name="40% - Accent5 10 3 2 3 3" xfId="22847" xr:uid="{00000000-0005-0000-0000-000096460000}"/>
    <cellStyle name="40% - Accent5 10 3 2 3 3 2" xfId="46679" xr:uid="{54E908C8-7D2C-4A63-BF81-900D697CEF17}"/>
    <cellStyle name="40% - Accent5 10 3 2 3 4" xfId="30801" xr:uid="{4DE98BC5-EF48-46B1-BB39-7B3992386A3B}"/>
    <cellStyle name="40% - Accent5 10 3 2 4" xfId="11364" xr:uid="{00000000-0005-0000-0000-000097460000}"/>
    <cellStyle name="40% - Accent5 10 3 2 4 2" xfId="35213" xr:uid="{33658157-A43B-4C42-B9BE-F54BDA2D9CA6}"/>
    <cellStyle name="40% - Accent5 10 3 2 5" xfId="19319" xr:uid="{00000000-0005-0000-0000-000098460000}"/>
    <cellStyle name="40% - Accent5 10 3 2 5 2" xfId="43151" xr:uid="{7C5F9323-2F47-4D2B-AB8A-6A9FD1A2CACB}"/>
    <cellStyle name="40% - Accent5 10 3 2 6" xfId="27271" xr:uid="{11CF74C3-6BBD-4CC1-89EE-B246250505F6}"/>
    <cellStyle name="40% - Accent5 10 3 2_Exh G" xfId="3187" xr:uid="{00000000-0005-0000-0000-000099460000}"/>
    <cellStyle name="40% - Accent5 10 3 3" xfId="4217" xr:uid="{00000000-0005-0000-0000-00009A460000}"/>
    <cellStyle name="40% - Accent5 10 3 3 2" xfId="7809" xr:uid="{00000000-0005-0000-0000-00009B460000}"/>
    <cellStyle name="40% - Accent5 10 3 3 2 2" xfId="15780" xr:uid="{00000000-0005-0000-0000-00009C460000}"/>
    <cellStyle name="40% - Accent5 10 3 3 2 2 2" xfId="39622" xr:uid="{7F2B577C-2FC5-4C8C-A20C-1CF2495D485B}"/>
    <cellStyle name="40% - Accent5 10 3 3 2 3" xfId="23726" xr:uid="{00000000-0005-0000-0000-00009D460000}"/>
    <cellStyle name="40% - Accent5 10 3 3 2 3 2" xfId="47558" xr:uid="{E597007B-B62C-445F-8FD6-20B9C0CFCAD6}"/>
    <cellStyle name="40% - Accent5 10 3 3 2 4" xfId="31681" xr:uid="{224F9587-2AF8-4055-BDA4-26F514BE3703}"/>
    <cellStyle name="40% - Accent5 10 3 3 3" xfId="12242" xr:uid="{00000000-0005-0000-0000-00009E460000}"/>
    <cellStyle name="40% - Accent5 10 3 3 3 2" xfId="36091" xr:uid="{9F560C71-739C-414A-8946-E4A4D33968CC}"/>
    <cellStyle name="40% - Accent5 10 3 3 4" xfId="20197" xr:uid="{00000000-0005-0000-0000-00009F460000}"/>
    <cellStyle name="40% - Accent5 10 3 3 4 2" xfId="44029" xr:uid="{C3006F5C-7CA3-4D38-B390-E0ABCFE500D3}"/>
    <cellStyle name="40% - Accent5 10 3 3 5" xfId="28150" xr:uid="{072A9843-8F2F-424B-AB78-2717DDB48E7B}"/>
    <cellStyle name="40% - Accent5 10 3 4" xfId="6037" xr:uid="{00000000-0005-0000-0000-0000A0460000}"/>
    <cellStyle name="40% - Accent5 10 3 4 2" xfId="14021" xr:uid="{00000000-0005-0000-0000-0000A1460000}"/>
    <cellStyle name="40% - Accent5 10 3 4 2 2" xfId="37864" xr:uid="{AAD08CB7-0BEB-49BA-828B-2D6A567DB5AA}"/>
    <cellStyle name="40% - Accent5 10 3 4 3" xfId="21969" xr:uid="{00000000-0005-0000-0000-0000A2460000}"/>
    <cellStyle name="40% - Accent5 10 3 4 3 2" xfId="45801" xr:uid="{4C07C249-DE65-497D-8DED-409979596251}"/>
    <cellStyle name="40% - Accent5 10 3 4 4" xfId="29923" xr:uid="{CF9E6994-2EFB-4309-8BA4-CE49D7165896}"/>
    <cellStyle name="40% - Accent5 10 3 5" xfId="9590" xr:uid="{00000000-0005-0000-0000-0000A3460000}"/>
    <cellStyle name="40% - Accent5 10 3 5 2" xfId="17548" xr:uid="{00000000-0005-0000-0000-0000A4460000}"/>
    <cellStyle name="40% - Accent5 10 3 5 2 2" xfId="41388" xr:uid="{50232A1A-C5CE-40F0-9050-6B1FB73475C9}"/>
    <cellStyle name="40% - Accent5 10 3 5 3" xfId="25492" xr:uid="{00000000-0005-0000-0000-0000A5460000}"/>
    <cellStyle name="40% - Accent5 10 3 5 3 2" xfId="49324" xr:uid="{6915C1F4-F563-42EA-B64D-54CE6E718713}"/>
    <cellStyle name="40% - Accent5 10 3 5 4" xfId="33447" xr:uid="{0E916411-CF80-49BA-848F-74A79BB59315}"/>
    <cellStyle name="40% - Accent5 10 3 6" xfId="10486" xr:uid="{00000000-0005-0000-0000-0000A6460000}"/>
    <cellStyle name="40% - Accent5 10 3 6 2" xfId="34335" xr:uid="{E107B0AC-EFBB-48EF-8231-7819F50F305E}"/>
    <cellStyle name="40% - Accent5 10 3 7" xfId="18441" xr:uid="{00000000-0005-0000-0000-0000A7460000}"/>
    <cellStyle name="40% - Accent5 10 3 7 2" xfId="42273" xr:uid="{115A5D1C-75E5-4BA2-A438-9A2FAF6EC537}"/>
    <cellStyle name="40% - Accent5 10 3 8" xfId="26393" xr:uid="{87F37DDF-A042-4B70-8660-EBF117CF7BD6}"/>
    <cellStyle name="40% - Accent5 10 3_Exh G" xfId="3186" xr:uid="{00000000-0005-0000-0000-0000A8460000}"/>
    <cellStyle name="40% - Accent5 10 4" xfId="982" xr:uid="{00000000-0005-0000-0000-0000A9460000}"/>
    <cellStyle name="40% - Accent5 10 5" xfId="1563" xr:uid="{00000000-0005-0000-0000-0000AA460000}"/>
    <cellStyle name="40% - Accent5 10 5 2" xfId="5093" xr:uid="{00000000-0005-0000-0000-0000AB460000}"/>
    <cellStyle name="40% - Accent5 10 5 2 2" xfId="8684" xr:uid="{00000000-0005-0000-0000-0000AC460000}"/>
    <cellStyle name="40% - Accent5 10 5 2 2 2" xfId="16655" xr:uid="{00000000-0005-0000-0000-0000AD460000}"/>
    <cellStyle name="40% - Accent5 10 5 2 2 2 2" xfId="40497" xr:uid="{8965E675-5737-491B-8B5E-6633F2F40D2F}"/>
    <cellStyle name="40% - Accent5 10 5 2 2 3" xfId="24601" xr:uid="{00000000-0005-0000-0000-0000AE460000}"/>
    <cellStyle name="40% - Accent5 10 5 2 2 3 2" xfId="48433" xr:uid="{FCCCA224-7842-463D-895C-6BA08194F7A4}"/>
    <cellStyle name="40% - Accent5 10 5 2 2 4" xfId="32556" xr:uid="{54F3D839-6C14-4FD4-84BC-AAF40A88F2EA}"/>
    <cellStyle name="40% - Accent5 10 5 2 3" xfId="13117" xr:uid="{00000000-0005-0000-0000-0000AF460000}"/>
    <cellStyle name="40% - Accent5 10 5 2 3 2" xfId="36966" xr:uid="{F29F429C-EDB3-4DC1-A63B-48CA34CFB3DA}"/>
    <cellStyle name="40% - Accent5 10 5 2 4" xfId="21072" xr:uid="{00000000-0005-0000-0000-0000B0460000}"/>
    <cellStyle name="40% - Accent5 10 5 2 4 2" xfId="44904" xr:uid="{A8DD2A40-C222-45A0-B25D-9ABC2A79E946}"/>
    <cellStyle name="40% - Accent5 10 5 2 5" xfId="29025" xr:uid="{806F582C-14B5-4C23-B397-11BEA6C5B29A}"/>
    <cellStyle name="40% - Accent5 10 5 3" xfId="6925" xr:uid="{00000000-0005-0000-0000-0000B1460000}"/>
    <cellStyle name="40% - Accent5 10 5 3 2" xfId="14897" xr:uid="{00000000-0005-0000-0000-0000B2460000}"/>
    <cellStyle name="40% - Accent5 10 5 3 2 2" xfId="38739" xr:uid="{DF16DDDD-143E-421C-A19B-FB0A6E867583}"/>
    <cellStyle name="40% - Accent5 10 5 3 3" xfId="22844" xr:uid="{00000000-0005-0000-0000-0000B3460000}"/>
    <cellStyle name="40% - Accent5 10 5 3 3 2" xfId="46676" xr:uid="{E730B923-9EF1-49D9-8BB0-61CAD7CDFBBC}"/>
    <cellStyle name="40% - Accent5 10 5 3 4" xfId="30798" xr:uid="{F69B21A4-E215-4826-98D8-1706FC3DB5D0}"/>
    <cellStyle name="40% - Accent5 10 5 4" xfId="11361" xr:uid="{00000000-0005-0000-0000-0000B4460000}"/>
    <cellStyle name="40% - Accent5 10 5 4 2" xfId="35210" xr:uid="{5EA02C89-7107-4250-9C14-EEB1C503559D}"/>
    <cellStyle name="40% - Accent5 10 5 5" xfId="19316" xr:uid="{00000000-0005-0000-0000-0000B5460000}"/>
    <cellStyle name="40% - Accent5 10 5 5 2" xfId="43148" xr:uid="{D8043410-E94D-407B-90B1-1B075EAF18E7}"/>
    <cellStyle name="40% - Accent5 10 5 6" xfId="27268" xr:uid="{370A09A1-1D7A-4511-8112-5A3267C493D8}"/>
    <cellStyle name="40% - Accent5 10 5_Exh G" xfId="3188" xr:uid="{00000000-0005-0000-0000-0000B6460000}"/>
    <cellStyle name="40% - Accent5 10 6" xfId="4214" xr:uid="{00000000-0005-0000-0000-0000B7460000}"/>
    <cellStyle name="40% - Accent5 10 6 2" xfId="7806" xr:uid="{00000000-0005-0000-0000-0000B8460000}"/>
    <cellStyle name="40% - Accent5 10 6 2 2" xfId="15777" xr:uid="{00000000-0005-0000-0000-0000B9460000}"/>
    <cellStyle name="40% - Accent5 10 6 2 2 2" xfId="39619" xr:uid="{F0611331-89FB-4D0B-BA6C-909FD7E7FA26}"/>
    <cellStyle name="40% - Accent5 10 6 2 3" xfId="23723" xr:uid="{00000000-0005-0000-0000-0000BA460000}"/>
    <cellStyle name="40% - Accent5 10 6 2 3 2" xfId="47555" xr:uid="{501E14EE-E67B-4BC8-A884-28A8F1D94BAB}"/>
    <cellStyle name="40% - Accent5 10 6 2 4" xfId="31678" xr:uid="{86E5002C-4339-4E80-A8ED-18C365C312E1}"/>
    <cellStyle name="40% - Accent5 10 6 3" xfId="12239" xr:uid="{00000000-0005-0000-0000-0000BB460000}"/>
    <cellStyle name="40% - Accent5 10 6 3 2" xfId="36088" xr:uid="{059518C5-798B-49A1-AA06-4A3576DCD9C1}"/>
    <cellStyle name="40% - Accent5 10 6 4" xfId="20194" xr:uid="{00000000-0005-0000-0000-0000BC460000}"/>
    <cellStyle name="40% - Accent5 10 6 4 2" xfId="44026" xr:uid="{69773F4C-5618-4F0E-905D-FD4C8F17109D}"/>
    <cellStyle name="40% - Accent5 10 6 5" xfId="28147" xr:uid="{6B9F65A9-70E7-453C-AA6F-9551352FAD1E}"/>
    <cellStyle name="40% - Accent5 10 7" xfId="6034" xr:uid="{00000000-0005-0000-0000-0000BD460000}"/>
    <cellStyle name="40% - Accent5 10 7 2" xfId="14018" xr:uid="{00000000-0005-0000-0000-0000BE460000}"/>
    <cellStyle name="40% - Accent5 10 7 2 2" xfId="37861" xr:uid="{7BD1709C-5B24-40FA-B15F-E40870C84250}"/>
    <cellStyle name="40% - Accent5 10 7 3" xfId="21966" xr:uid="{00000000-0005-0000-0000-0000BF460000}"/>
    <cellStyle name="40% - Accent5 10 7 3 2" xfId="45798" xr:uid="{7D8B9CAB-E9BF-4F0D-AD99-AB76B4F6B7B3}"/>
    <cellStyle name="40% - Accent5 10 7 4" xfId="29920" xr:uid="{C75B79A4-9753-4E86-830C-D49BA8FDF4B2}"/>
    <cellStyle name="40% - Accent5 10 8" xfId="9587" xr:uid="{00000000-0005-0000-0000-0000C0460000}"/>
    <cellStyle name="40% - Accent5 10 8 2" xfId="17545" xr:uid="{00000000-0005-0000-0000-0000C1460000}"/>
    <cellStyle name="40% - Accent5 10 8 2 2" xfId="41385" xr:uid="{C5365C85-39E5-4EDD-A383-1059369D4506}"/>
    <cellStyle name="40% - Accent5 10 8 3" xfId="25489" xr:uid="{00000000-0005-0000-0000-0000C2460000}"/>
    <cellStyle name="40% - Accent5 10 8 3 2" xfId="49321" xr:uid="{14A9E215-D527-42EF-8D3B-80067AD16A61}"/>
    <cellStyle name="40% - Accent5 10 8 4" xfId="33444" xr:uid="{4D443645-C5A6-4FE6-BA53-F0DE3397AF13}"/>
    <cellStyle name="40% - Accent5 10 9" xfId="10483" xr:uid="{00000000-0005-0000-0000-0000C3460000}"/>
    <cellStyle name="40% - Accent5 10 9 2" xfId="34332" xr:uid="{46CF48D4-1599-400B-B815-75F45E31A9F1}"/>
    <cellStyle name="40% - Accent5 10_Exh G" xfId="3181" xr:uid="{00000000-0005-0000-0000-0000C4460000}"/>
    <cellStyle name="40% - Accent5 11" xfId="539" xr:uid="{00000000-0005-0000-0000-0000C5460000}"/>
    <cellStyle name="40% - Accent5 11 10" xfId="26394" xr:uid="{DF0395CA-27A9-4744-87FA-66BD3374EE84}"/>
    <cellStyle name="40% - Accent5 11 2" xfId="540" xr:uid="{00000000-0005-0000-0000-0000C6460000}"/>
    <cellStyle name="40% - Accent5 11 2 2" xfId="541" xr:uid="{00000000-0005-0000-0000-0000C7460000}"/>
    <cellStyle name="40% - Accent5 11 2 2 2" xfId="1569" xr:uid="{00000000-0005-0000-0000-0000C8460000}"/>
    <cellStyle name="40% - Accent5 11 2 2 2 2" xfId="5099" xr:uid="{00000000-0005-0000-0000-0000C9460000}"/>
    <cellStyle name="40% - Accent5 11 2 2 2 2 2" xfId="8690" xr:uid="{00000000-0005-0000-0000-0000CA460000}"/>
    <cellStyle name="40% - Accent5 11 2 2 2 2 2 2" xfId="16661" xr:uid="{00000000-0005-0000-0000-0000CB460000}"/>
    <cellStyle name="40% - Accent5 11 2 2 2 2 2 2 2" xfId="40503" xr:uid="{87D70DD4-CF8E-4CD1-BC29-67747864FC32}"/>
    <cellStyle name="40% - Accent5 11 2 2 2 2 2 3" xfId="24607" xr:uid="{00000000-0005-0000-0000-0000CC460000}"/>
    <cellStyle name="40% - Accent5 11 2 2 2 2 2 3 2" xfId="48439" xr:uid="{B3EEF002-F345-480E-AA12-2F4A109D12D8}"/>
    <cellStyle name="40% - Accent5 11 2 2 2 2 2 4" xfId="32562" xr:uid="{62932B58-9BC0-4E9A-8E2C-33F4DF4D412D}"/>
    <cellStyle name="40% - Accent5 11 2 2 2 2 3" xfId="13123" xr:uid="{00000000-0005-0000-0000-0000CD460000}"/>
    <cellStyle name="40% - Accent5 11 2 2 2 2 3 2" xfId="36972" xr:uid="{C084B9E3-8613-4396-837F-932EB443619C}"/>
    <cellStyle name="40% - Accent5 11 2 2 2 2 4" xfId="21078" xr:uid="{00000000-0005-0000-0000-0000CE460000}"/>
    <cellStyle name="40% - Accent5 11 2 2 2 2 4 2" xfId="44910" xr:uid="{C1CE1B98-1E4C-413E-AAFB-02AAF9547038}"/>
    <cellStyle name="40% - Accent5 11 2 2 2 2 5" xfId="29031" xr:uid="{94C7EAE2-32B5-4658-A1C5-F807EDDBBE4B}"/>
    <cellStyle name="40% - Accent5 11 2 2 2 3" xfId="6931" xr:uid="{00000000-0005-0000-0000-0000CF460000}"/>
    <cellStyle name="40% - Accent5 11 2 2 2 3 2" xfId="14903" xr:uid="{00000000-0005-0000-0000-0000D0460000}"/>
    <cellStyle name="40% - Accent5 11 2 2 2 3 2 2" xfId="38745" xr:uid="{D492234A-9D6C-4EE8-9B62-0345E292A516}"/>
    <cellStyle name="40% - Accent5 11 2 2 2 3 3" xfId="22850" xr:uid="{00000000-0005-0000-0000-0000D1460000}"/>
    <cellStyle name="40% - Accent5 11 2 2 2 3 3 2" xfId="46682" xr:uid="{5E516FDE-C89F-46A3-8B63-7BECCC5CEE20}"/>
    <cellStyle name="40% - Accent5 11 2 2 2 3 4" xfId="30804" xr:uid="{DC032245-38DE-45CA-8430-C7CEF9395633}"/>
    <cellStyle name="40% - Accent5 11 2 2 2 4" xfId="11367" xr:uid="{00000000-0005-0000-0000-0000D2460000}"/>
    <cellStyle name="40% - Accent5 11 2 2 2 4 2" xfId="35216" xr:uid="{A612D27F-60C6-4FEE-B366-2FCA83FF6814}"/>
    <cellStyle name="40% - Accent5 11 2 2 2 5" xfId="19322" xr:uid="{00000000-0005-0000-0000-0000D3460000}"/>
    <cellStyle name="40% - Accent5 11 2 2 2 5 2" xfId="43154" xr:uid="{6F411D75-924C-4235-A3E9-753B065BC727}"/>
    <cellStyle name="40% - Accent5 11 2 2 2 6" xfId="27274" xr:uid="{F2195153-21B2-4AC2-A8C0-9403462D1880}"/>
    <cellStyle name="40% - Accent5 11 2 2 2_Exh G" xfId="3192" xr:uid="{00000000-0005-0000-0000-0000D4460000}"/>
    <cellStyle name="40% - Accent5 11 2 2 3" xfId="4220" xr:uid="{00000000-0005-0000-0000-0000D5460000}"/>
    <cellStyle name="40% - Accent5 11 2 2 3 2" xfId="7812" xr:uid="{00000000-0005-0000-0000-0000D6460000}"/>
    <cellStyle name="40% - Accent5 11 2 2 3 2 2" xfId="15783" xr:uid="{00000000-0005-0000-0000-0000D7460000}"/>
    <cellStyle name="40% - Accent5 11 2 2 3 2 2 2" xfId="39625" xr:uid="{CDCA0FAB-F840-4379-A344-2332AE102C6B}"/>
    <cellStyle name="40% - Accent5 11 2 2 3 2 3" xfId="23729" xr:uid="{00000000-0005-0000-0000-0000D8460000}"/>
    <cellStyle name="40% - Accent5 11 2 2 3 2 3 2" xfId="47561" xr:uid="{9DD1DF54-C7C3-48E6-8404-36C227256ED8}"/>
    <cellStyle name="40% - Accent5 11 2 2 3 2 4" xfId="31684" xr:uid="{30BC121C-91D2-4422-A45A-A6FE8EB2438A}"/>
    <cellStyle name="40% - Accent5 11 2 2 3 3" xfId="12245" xr:uid="{00000000-0005-0000-0000-0000D9460000}"/>
    <cellStyle name="40% - Accent5 11 2 2 3 3 2" xfId="36094" xr:uid="{B9FAE286-30D0-4C91-96A3-94F2D71D2BB2}"/>
    <cellStyle name="40% - Accent5 11 2 2 3 4" xfId="20200" xr:uid="{00000000-0005-0000-0000-0000DA460000}"/>
    <cellStyle name="40% - Accent5 11 2 2 3 4 2" xfId="44032" xr:uid="{C38890E0-0CD1-4291-9886-57C19CD8F2F3}"/>
    <cellStyle name="40% - Accent5 11 2 2 3 5" xfId="28153" xr:uid="{67CB94F2-E27E-49F7-95C3-5CC40C2AEBC2}"/>
    <cellStyle name="40% - Accent5 11 2 2 4" xfId="6040" xr:uid="{00000000-0005-0000-0000-0000DB460000}"/>
    <cellStyle name="40% - Accent5 11 2 2 4 2" xfId="14024" xr:uid="{00000000-0005-0000-0000-0000DC460000}"/>
    <cellStyle name="40% - Accent5 11 2 2 4 2 2" xfId="37867" xr:uid="{7CAE8FC4-5323-45F7-900C-66CAFAF3B233}"/>
    <cellStyle name="40% - Accent5 11 2 2 4 3" xfId="21972" xr:uid="{00000000-0005-0000-0000-0000DD460000}"/>
    <cellStyle name="40% - Accent5 11 2 2 4 3 2" xfId="45804" xr:uid="{AE5EF0BF-7745-4219-BB68-C0648A1DE3CF}"/>
    <cellStyle name="40% - Accent5 11 2 2 4 4" xfId="29926" xr:uid="{2EE6D550-EBCB-4D54-9718-E503DB38F805}"/>
    <cellStyle name="40% - Accent5 11 2 2 5" xfId="9593" xr:uid="{00000000-0005-0000-0000-0000DE460000}"/>
    <cellStyle name="40% - Accent5 11 2 2 5 2" xfId="17551" xr:uid="{00000000-0005-0000-0000-0000DF460000}"/>
    <cellStyle name="40% - Accent5 11 2 2 5 2 2" xfId="41391" xr:uid="{4380FAB0-878C-421B-9929-2DCADA7B6DAD}"/>
    <cellStyle name="40% - Accent5 11 2 2 5 3" xfId="25495" xr:uid="{00000000-0005-0000-0000-0000E0460000}"/>
    <cellStyle name="40% - Accent5 11 2 2 5 3 2" xfId="49327" xr:uid="{0B766BED-4C8E-44A9-864A-377FA340C4B7}"/>
    <cellStyle name="40% - Accent5 11 2 2 5 4" xfId="33450" xr:uid="{503DBFCD-2B9D-4A2C-A88E-F6E983CE992C}"/>
    <cellStyle name="40% - Accent5 11 2 2 6" xfId="10489" xr:uid="{00000000-0005-0000-0000-0000E1460000}"/>
    <cellStyle name="40% - Accent5 11 2 2 6 2" xfId="34338" xr:uid="{FEFCB2AD-2174-4D58-B889-2C3B39244DAB}"/>
    <cellStyle name="40% - Accent5 11 2 2 7" xfId="18444" xr:uid="{00000000-0005-0000-0000-0000E2460000}"/>
    <cellStyle name="40% - Accent5 11 2 2 7 2" xfId="42276" xr:uid="{3E2C0B87-C366-4C61-B32A-FDBD12FEE886}"/>
    <cellStyle name="40% - Accent5 11 2 2 8" xfId="26396" xr:uid="{8155BA91-47F9-487E-A66A-08551E0EE97A}"/>
    <cellStyle name="40% - Accent5 11 2 2_Exh G" xfId="3191" xr:uid="{00000000-0005-0000-0000-0000E3460000}"/>
    <cellStyle name="40% - Accent5 11 2 3" xfId="1568" xr:uid="{00000000-0005-0000-0000-0000E4460000}"/>
    <cellStyle name="40% - Accent5 11 2 3 2" xfId="5098" xr:uid="{00000000-0005-0000-0000-0000E5460000}"/>
    <cellStyle name="40% - Accent5 11 2 3 2 2" xfId="8689" xr:uid="{00000000-0005-0000-0000-0000E6460000}"/>
    <cellStyle name="40% - Accent5 11 2 3 2 2 2" xfId="16660" xr:uid="{00000000-0005-0000-0000-0000E7460000}"/>
    <cellStyle name="40% - Accent5 11 2 3 2 2 2 2" xfId="40502" xr:uid="{5F122AFC-4CDA-4FE9-9E85-2D51BF765BA5}"/>
    <cellStyle name="40% - Accent5 11 2 3 2 2 3" xfId="24606" xr:uid="{00000000-0005-0000-0000-0000E8460000}"/>
    <cellStyle name="40% - Accent5 11 2 3 2 2 3 2" xfId="48438" xr:uid="{C027FDA2-6255-473E-92CC-1A45F960BF2C}"/>
    <cellStyle name="40% - Accent5 11 2 3 2 2 4" xfId="32561" xr:uid="{B3933FDE-31A6-4BA0-BAAD-57E9E74875E0}"/>
    <cellStyle name="40% - Accent5 11 2 3 2 3" xfId="13122" xr:uid="{00000000-0005-0000-0000-0000E9460000}"/>
    <cellStyle name="40% - Accent5 11 2 3 2 3 2" xfId="36971" xr:uid="{02D0E5FD-21E5-46F3-B58B-46D077950F7F}"/>
    <cellStyle name="40% - Accent5 11 2 3 2 4" xfId="21077" xr:uid="{00000000-0005-0000-0000-0000EA460000}"/>
    <cellStyle name="40% - Accent5 11 2 3 2 4 2" xfId="44909" xr:uid="{566DDE19-3828-4D17-8F86-09177B56A556}"/>
    <cellStyle name="40% - Accent5 11 2 3 2 5" xfId="29030" xr:uid="{17175C61-3416-43CB-8EB4-A7F73B38FCD4}"/>
    <cellStyle name="40% - Accent5 11 2 3 3" xfId="6930" xr:uid="{00000000-0005-0000-0000-0000EB460000}"/>
    <cellStyle name="40% - Accent5 11 2 3 3 2" xfId="14902" xr:uid="{00000000-0005-0000-0000-0000EC460000}"/>
    <cellStyle name="40% - Accent5 11 2 3 3 2 2" xfId="38744" xr:uid="{323A1E43-A662-4D6B-8875-E3F6388F9798}"/>
    <cellStyle name="40% - Accent5 11 2 3 3 3" xfId="22849" xr:uid="{00000000-0005-0000-0000-0000ED460000}"/>
    <cellStyle name="40% - Accent5 11 2 3 3 3 2" xfId="46681" xr:uid="{D08816BE-CAEB-4A6C-B56F-35AF69B9615F}"/>
    <cellStyle name="40% - Accent5 11 2 3 3 4" xfId="30803" xr:uid="{CAB80A9F-4EEC-46DD-BB77-801B09CD4F5E}"/>
    <cellStyle name="40% - Accent5 11 2 3 4" xfId="11366" xr:uid="{00000000-0005-0000-0000-0000EE460000}"/>
    <cellStyle name="40% - Accent5 11 2 3 4 2" xfId="35215" xr:uid="{76552331-98D7-4DFD-BD65-90098247E955}"/>
    <cellStyle name="40% - Accent5 11 2 3 5" xfId="19321" xr:uid="{00000000-0005-0000-0000-0000EF460000}"/>
    <cellStyle name="40% - Accent5 11 2 3 5 2" xfId="43153" xr:uid="{E678FE18-22CD-400B-8F2E-9F37CFC68260}"/>
    <cellStyle name="40% - Accent5 11 2 3 6" xfId="27273" xr:uid="{8CC546D6-C8AE-468C-900E-0484E55B959E}"/>
    <cellStyle name="40% - Accent5 11 2 3_Exh G" xfId="3193" xr:uid="{00000000-0005-0000-0000-0000F0460000}"/>
    <cellStyle name="40% - Accent5 11 2 4" xfId="4219" xr:uid="{00000000-0005-0000-0000-0000F1460000}"/>
    <cellStyle name="40% - Accent5 11 2 4 2" xfId="7811" xr:uid="{00000000-0005-0000-0000-0000F2460000}"/>
    <cellStyle name="40% - Accent5 11 2 4 2 2" xfId="15782" xr:uid="{00000000-0005-0000-0000-0000F3460000}"/>
    <cellStyle name="40% - Accent5 11 2 4 2 2 2" xfId="39624" xr:uid="{B4883671-DFA5-44DC-9890-8E198245C2AA}"/>
    <cellStyle name="40% - Accent5 11 2 4 2 3" xfId="23728" xr:uid="{00000000-0005-0000-0000-0000F4460000}"/>
    <cellStyle name="40% - Accent5 11 2 4 2 3 2" xfId="47560" xr:uid="{2FE12DA0-7F13-4BCD-AB2B-B0A3378686D5}"/>
    <cellStyle name="40% - Accent5 11 2 4 2 4" xfId="31683" xr:uid="{FAE8357F-C612-4745-B91F-9A686F9247D2}"/>
    <cellStyle name="40% - Accent5 11 2 4 3" xfId="12244" xr:uid="{00000000-0005-0000-0000-0000F5460000}"/>
    <cellStyle name="40% - Accent5 11 2 4 3 2" xfId="36093" xr:uid="{A4650AFA-B32E-4C88-B9D2-CEDD983F1282}"/>
    <cellStyle name="40% - Accent5 11 2 4 4" xfId="20199" xr:uid="{00000000-0005-0000-0000-0000F6460000}"/>
    <cellStyle name="40% - Accent5 11 2 4 4 2" xfId="44031" xr:uid="{1E6F66BB-E112-4810-9950-B512FCF2D968}"/>
    <cellStyle name="40% - Accent5 11 2 4 5" xfId="28152" xr:uid="{6A0C8578-A5FB-452B-AEFF-5A7A819504D6}"/>
    <cellStyle name="40% - Accent5 11 2 5" xfId="6039" xr:uid="{00000000-0005-0000-0000-0000F7460000}"/>
    <cellStyle name="40% - Accent5 11 2 5 2" xfId="14023" xr:uid="{00000000-0005-0000-0000-0000F8460000}"/>
    <cellStyle name="40% - Accent5 11 2 5 2 2" xfId="37866" xr:uid="{AA8A4B1F-21BF-4648-9AC9-70C9090AFC17}"/>
    <cellStyle name="40% - Accent5 11 2 5 3" xfId="21971" xr:uid="{00000000-0005-0000-0000-0000F9460000}"/>
    <cellStyle name="40% - Accent5 11 2 5 3 2" xfId="45803" xr:uid="{FA0DC221-21FB-4EA6-8041-1A3696A2D33D}"/>
    <cellStyle name="40% - Accent5 11 2 5 4" xfId="29925" xr:uid="{AD9DB1B1-514E-4E3A-B395-5B6E3DE9672A}"/>
    <cellStyle name="40% - Accent5 11 2 6" xfId="9592" xr:uid="{00000000-0005-0000-0000-0000FA460000}"/>
    <cellStyle name="40% - Accent5 11 2 6 2" xfId="17550" xr:uid="{00000000-0005-0000-0000-0000FB460000}"/>
    <cellStyle name="40% - Accent5 11 2 6 2 2" xfId="41390" xr:uid="{570377AE-8226-40EC-9515-1C4020699C68}"/>
    <cellStyle name="40% - Accent5 11 2 6 3" xfId="25494" xr:uid="{00000000-0005-0000-0000-0000FC460000}"/>
    <cellStyle name="40% - Accent5 11 2 6 3 2" xfId="49326" xr:uid="{DE49C795-817B-4A20-9DFA-A2BC69A5FDAB}"/>
    <cellStyle name="40% - Accent5 11 2 6 4" xfId="33449" xr:uid="{156011E4-8E41-4598-8EDC-6F1D61CCCF94}"/>
    <cellStyle name="40% - Accent5 11 2 7" xfId="10488" xr:uid="{00000000-0005-0000-0000-0000FD460000}"/>
    <cellStyle name="40% - Accent5 11 2 7 2" xfId="34337" xr:uid="{B75B79CE-0548-4827-B6E0-414CD8BD627C}"/>
    <cellStyle name="40% - Accent5 11 2 8" xfId="18443" xr:uid="{00000000-0005-0000-0000-0000FE460000}"/>
    <cellStyle name="40% - Accent5 11 2 8 2" xfId="42275" xr:uid="{8E81B319-04CB-4404-8282-58A5875F9E12}"/>
    <cellStyle name="40% - Accent5 11 2 9" xfId="26395" xr:uid="{DAC74C23-8153-49DA-A27E-485380919981}"/>
    <cellStyle name="40% - Accent5 11 2_Exh G" xfId="3190" xr:uid="{00000000-0005-0000-0000-0000FF460000}"/>
    <cellStyle name="40% - Accent5 11 3" xfId="542" xr:uid="{00000000-0005-0000-0000-000000470000}"/>
    <cellStyle name="40% - Accent5 11 3 2" xfId="1570" xr:uid="{00000000-0005-0000-0000-000001470000}"/>
    <cellStyle name="40% - Accent5 11 3 2 2" xfId="5100" xr:uid="{00000000-0005-0000-0000-000002470000}"/>
    <cellStyle name="40% - Accent5 11 3 2 2 2" xfId="8691" xr:uid="{00000000-0005-0000-0000-000003470000}"/>
    <cellStyle name="40% - Accent5 11 3 2 2 2 2" xfId="16662" xr:uid="{00000000-0005-0000-0000-000004470000}"/>
    <cellStyle name="40% - Accent5 11 3 2 2 2 2 2" xfId="40504" xr:uid="{FDEDE2AA-D4AD-41CB-80E9-6DF03ECEB170}"/>
    <cellStyle name="40% - Accent5 11 3 2 2 2 3" xfId="24608" xr:uid="{00000000-0005-0000-0000-000005470000}"/>
    <cellStyle name="40% - Accent5 11 3 2 2 2 3 2" xfId="48440" xr:uid="{C5770127-66C6-4AAC-9AF1-917F585C2139}"/>
    <cellStyle name="40% - Accent5 11 3 2 2 2 4" xfId="32563" xr:uid="{34BCFAD0-4DA7-40B4-8B5B-891065B9AF0F}"/>
    <cellStyle name="40% - Accent5 11 3 2 2 3" xfId="13124" xr:uid="{00000000-0005-0000-0000-000006470000}"/>
    <cellStyle name="40% - Accent5 11 3 2 2 3 2" xfId="36973" xr:uid="{1145F904-EAEE-407E-B2BC-4619DFCC83F3}"/>
    <cellStyle name="40% - Accent5 11 3 2 2 4" xfId="21079" xr:uid="{00000000-0005-0000-0000-000007470000}"/>
    <cellStyle name="40% - Accent5 11 3 2 2 4 2" xfId="44911" xr:uid="{5FFB294B-2028-491C-B3FF-F36178B2F569}"/>
    <cellStyle name="40% - Accent5 11 3 2 2 5" xfId="29032" xr:uid="{76DEDFA0-ECCE-4DB7-BF15-7E689C24D9E0}"/>
    <cellStyle name="40% - Accent5 11 3 2 3" xfId="6932" xr:uid="{00000000-0005-0000-0000-000008470000}"/>
    <cellStyle name="40% - Accent5 11 3 2 3 2" xfId="14904" xr:uid="{00000000-0005-0000-0000-000009470000}"/>
    <cellStyle name="40% - Accent5 11 3 2 3 2 2" xfId="38746" xr:uid="{B0C88987-3C30-499F-9370-2550E2536A63}"/>
    <cellStyle name="40% - Accent5 11 3 2 3 3" xfId="22851" xr:uid="{00000000-0005-0000-0000-00000A470000}"/>
    <cellStyle name="40% - Accent5 11 3 2 3 3 2" xfId="46683" xr:uid="{F2BEA498-A5FA-43E1-8F01-4F41D0785FBF}"/>
    <cellStyle name="40% - Accent5 11 3 2 3 4" xfId="30805" xr:uid="{4CA4FED5-AE92-4872-B455-6F43D81E8024}"/>
    <cellStyle name="40% - Accent5 11 3 2 4" xfId="11368" xr:uid="{00000000-0005-0000-0000-00000B470000}"/>
    <cellStyle name="40% - Accent5 11 3 2 4 2" xfId="35217" xr:uid="{833F77DA-1F4A-4276-A41C-F58D10FF7161}"/>
    <cellStyle name="40% - Accent5 11 3 2 5" xfId="19323" xr:uid="{00000000-0005-0000-0000-00000C470000}"/>
    <cellStyle name="40% - Accent5 11 3 2 5 2" xfId="43155" xr:uid="{5F2B6E82-F2D6-4B73-9C35-79882D9C2E5D}"/>
    <cellStyle name="40% - Accent5 11 3 2 6" xfId="27275" xr:uid="{3CC240E7-D9C6-4135-9C5C-A3FD28DF9C37}"/>
    <cellStyle name="40% - Accent5 11 3 2_Exh G" xfId="3195" xr:uid="{00000000-0005-0000-0000-00000D470000}"/>
    <cellStyle name="40% - Accent5 11 3 3" xfId="4221" xr:uid="{00000000-0005-0000-0000-00000E470000}"/>
    <cellStyle name="40% - Accent5 11 3 3 2" xfId="7813" xr:uid="{00000000-0005-0000-0000-00000F470000}"/>
    <cellStyle name="40% - Accent5 11 3 3 2 2" xfId="15784" xr:uid="{00000000-0005-0000-0000-000010470000}"/>
    <cellStyle name="40% - Accent5 11 3 3 2 2 2" xfId="39626" xr:uid="{3741CAA8-B161-4472-B915-2BC0E3928ED9}"/>
    <cellStyle name="40% - Accent5 11 3 3 2 3" xfId="23730" xr:uid="{00000000-0005-0000-0000-000011470000}"/>
    <cellStyle name="40% - Accent5 11 3 3 2 3 2" xfId="47562" xr:uid="{31E7207F-B9AB-4EDC-85A1-99DBAD5F913F}"/>
    <cellStyle name="40% - Accent5 11 3 3 2 4" xfId="31685" xr:uid="{E867CDCD-7E1E-4B6E-9C12-F3ED3BE73BEB}"/>
    <cellStyle name="40% - Accent5 11 3 3 3" xfId="12246" xr:uid="{00000000-0005-0000-0000-000012470000}"/>
    <cellStyle name="40% - Accent5 11 3 3 3 2" xfId="36095" xr:uid="{1B479749-DA7E-4473-AEC5-7022B43787A3}"/>
    <cellStyle name="40% - Accent5 11 3 3 4" xfId="20201" xr:uid="{00000000-0005-0000-0000-000013470000}"/>
    <cellStyle name="40% - Accent5 11 3 3 4 2" xfId="44033" xr:uid="{64606208-17EA-4015-A10E-2A59673BFDFC}"/>
    <cellStyle name="40% - Accent5 11 3 3 5" xfId="28154" xr:uid="{C85C0EF6-5208-4E07-9EF1-ED3FEB67DB66}"/>
    <cellStyle name="40% - Accent5 11 3 4" xfId="6041" xr:uid="{00000000-0005-0000-0000-000014470000}"/>
    <cellStyle name="40% - Accent5 11 3 4 2" xfId="14025" xr:uid="{00000000-0005-0000-0000-000015470000}"/>
    <cellStyle name="40% - Accent5 11 3 4 2 2" xfId="37868" xr:uid="{88393049-0F45-4D58-AB9E-4E50EFD4259F}"/>
    <cellStyle name="40% - Accent5 11 3 4 3" xfId="21973" xr:uid="{00000000-0005-0000-0000-000016470000}"/>
    <cellStyle name="40% - Accent5 11 3 4 3 2" xfId="45805" xr:uid="{AEE2259A-3995-4F26-A843-29093D4EF273}"/>
    <cellStyle name="40% - Accent5 11 3 4 4" xfId="29927" xr:uid="{1A1B2956-C148-4B0A-8667-4FCA3DF586CD}"/>
    <cellStyle name="40% - Accent5 11 3 5" xfId="9594" xr:uid="{00000000-0005-0000-0000-000017470000}"/>
    <cellStyle name="40% - Accent5 11 3 5 2" xfId="17552" xr:uid="{00000000-0005-0000-0000-000018470000}"/>
    <cellStyle name="40% - Accent5 11 3 5 2 2" xfId="41392" xr:uid="{9B87F03D-CA61-45EA-AC3F-5FFFEC39CE1C}"/>
    <cellStyle name="40% - Accent5 11 3 5 3" xfId="25496" xr:uid="{00000000-0005-0000-0000-000019470000}"/>
    <cellStyle name="40% - Accent5 11 3 5 3 2" xfId="49328" xr:uid="{98F270F3-CA36-4B27-A5D2-B3FFC2B77C52}"/>
    <cellStyle name="40% - Accent5 11 3 5 4" xfId="33451" xr:uid="{182D263A-1D9E-49AC-A446-201D34971779}"/>
    <cellStyle name="40% - Accent5 11 3 6" xfId="10490" xr:uid="{00000000-0005-0000-0000-00001A470000}"/>
    <cellStyle name="40% - Accent5 11 3 6 2" xfId="34339" xr:uid="{6B25B131-5281-428C-85F1-4C333711A2F9}"/>
    <cellStyle name="40% - Accent5 11 3 7" xfId="18445" xr:uid="{00000000-0005-0000-0000-00001B470000}"/>
    <cellStyle name="40% - Accent5 11 3 7 2" xfId="42277" xr:uid="{F391BCFF-240C-4887-8381-531D464DCEE9}"/>
    <cellStyle name="40% - Accent5 11 3 8" xfId="26397" xr:uid="{DCAB1E6A-55D3-464D-9C9B-161DEE7C3AF2}"/>
    <cellStyle name="40% - Accent5 11 3_Exh G" xfId="3194" xr:uid="{00000000-0005-0000-0000-00001C470000}"/>
    <cellStyle name="40% - Accent5 11 4" xfId="1567" xr:uid="{00000000-0005-0000-0000-00001D470000}"/>
    <cellStyle name="40% - Accent5 11 4 2" xfId="5097" xr:uid="{00000000-0005-0000-0000-00001E470000}"/>
    <cellStyle name="40% - Accent5 11 4 2 2" xfId="8688" xr:uid="{00000000-0005-0000-0000-00001F470000}"/>
    <cellStyle name="40% - Accent5 11 4 2 2 2" xfId="16659" xr:uid="{00000000-0005-0000-0000-000020470000}"/>
    <cellStyle name="40% - Accent5 11 4 2 2 2 2" xfId="40501" xr:uid="{58390E9A-5942-4A7B-ADC0-083C8A2E0E46}"/>
    <cellStyle name="40% - Accent5 11 4 2 2 3" xfId="24605" xr:uid="{00000000-0005-0000-0000-000021470000}"/>
    <cellStyle name="40% - Accent5 11 4 2 2 3 2" xfId="48437" xr:uid="{E581EC22-A9D6-48AF-BBEC-A299B7369A4E}"/>
    <cellStyle name="40% - Accent5 11 4 2 2 4" xfId="32560" xr:uid="{141E827A-9793-4787-9C07-200B01B2CD85}"/>
    <cellStyle name="40% - Accent5 11 4 2 3" xfId="13121" xr:uid="{00000000-0005-0000-0000-000022470000}"/>
    <cellStyle name="40% - Accent5 11 4 2 3 2" xfId="36970" xr:uid="{8E516D7D-B4AD-440F-9380-BF6EDBE030F6}"/>
    <cellStyle name="40% - Accent5 11 4 2 4" xfId="21076" xr:uid="{00000000-0005-0000-0000-000023470000}"/>
    <cellStyle name="40% - Accent5 11 4 2 4 2" xfId="44908" xr:uid="{6419478D-BC65-4BC1-B130-BD67E04986CC}"/>
    <cellStyle name="40% - Accent5 11 4 2 5" xfId="29029" xr:uid="{71071C57-E21E-4F0B-9A90-BB7F262CF748}"/>
    <cellStyle name="40% - Accent5 11 4 3" xfId="6929" xr:uid="{00000000-0005-0000-0000-000024470000}"/>
    <cellStyle name="40% - Accent5 11 4 3 2" xfId="14901" xr:uid="{00000000-0005-0000-0000-000025470000}"/>
    <cellStyle name="40% - Accent5 11 4 3 2 2" xfId="38743" xr:uid="{A4FB17E1-AE54-440D-9EEB-A40D6C1D44E7}"/>
    <cellStyle name="40% - Accent5 11 4 3 3" xfId="22848" xr:uid="{00000000-0005-0000-0000-000026470000}"/>
    <cellStyle name="40% - Accent5 11 4 3 3 2" xfId="46680" xr:uid="{14656D5A-B63B-450F-B248-CED1CC770172}"/>
    <cellStyle name="40% - Accent5 11 4 3 4" xfId="30802" xr:uid="{5BD25B87-5891-48A6-8299-D661F3647ED1}"/>
    <cellStyle name="40% - Accent5 11 4 4" xfId="11365" xr:uid="{00000000-0005-0000-0000-000027470000}"/>
    <cellStyle name="40% - Accent5 11 4 4 2" xfId="35214" xr:uid="{BFF585BC-A8E1-4E66-9E0D-8895BA888D08}"/>
    <cellStyle name="40% - Accent5 11 4 5" xfId="19320" xr:uid="{00000000-0005-0000-0000-000028470000}"/>
    <cellStyle name="40% - Accent5 11 4 5 2" xfId="43152" xr:uid="{2645EC8A-F274-4688-B964-2F3534F240C6}"/>
    <cellStyle name="40% - Accent5 11 4 6" xfId="27272" xr:uid="{55C3812B-4011-44D3-BC1B-3D4988B6AC45}"/>
    <cellStyle name="40% - Accent5 11 4_Exh G" xfId="3196" xr:uid="{00000000-0005-0000-0000-000029470000}"/>
    <cellStyle name="40% - Accent5 11 5" xfId="4218" xr:uid="{00000000-0005-0000-0000-00002A470000}"/>
    <cellStyle name="40% - Accent5 11 5 2" xfId="7810" xr:uid="{00000000-0005-0000-0000-00002B470000}"/>
    <cellStyle name="40% - Accent5 11 5 2 2" xfId="15781" xr:uid="{00000000-0005-0000-0000-00002C470000}"/>
    <cellStyle name="40% - Accent5 11 5 2 2 2" xfId="39623" xr:uid="{ADD26833-6BD5-43B0-86DA-30337FB713EF}"/>
    <cellStyle name="40% - Accent5 11 5 2 3" xfId="23727" xr:uid="{00000000-0005-0000-0000-00002D470000}"/>
    <cellStyle name="40% - Accent5 11 5 2 3 2" xfId="47559" xr:uid="{C8F485E7-7496-495E-BE79-0A89D0B91FFC}"/>
    <cellStyle name="40% - Accent5 11 5 2 4" xfId="31682" xr:uid="{7C767A0A-80A7-48CA-B913-C2B55257FD46}"/>
    <cellStyle name="40% - Accent5 11 5 3" xfId="12243" xr:uid="{00000000-0005-0000-0000-00002E470000}"/>
    <cellStyle name="40% - Accent5 11 5 3 2" xfId="36092" xr:uid="{0704F48C-3AAA-4F5E-8725-A7F7BC81305C}"/>
    <cellStyle name="40% - Accent5 11 5 4" xfId="20198" xr:uid="{00000000-0005-0000-0000-00002F470000}"/>
    <cellStyle name="40% - Accent5 11 5 4 2" xfId="44030" xr:uid="{B2757285-5FD0-455D-9709-3E870E59905C}"/>
    <cellStyle name="40% - Accent5 11 5 5" xfId="28151" xr:uid="{E429FDB7-7695-4040-89F4-D530414AE2F4}"/>
    <cellStyle name="40% - Accent5 11 6" xfId="6038" xr:uid="{00000000-0005-0000-0000-000030470000}"/>
    <cellStyle name="40% - Accent5 11 6 2" xfId="14022" xr:uid="{00000000-0005-0000-0000-000031470000}"/>
    <cellStyle name="40% - Accent5 11 6 2 2" xfId="37865" xr:uid="{CCEF83AF-B3D9-4865-A74F-860A027FE37A}"/>
    <cellStyle name="40% - Accent5 11 6 3" xfId="21970" xr:uid="{00000000-0005-0000-0000-000032470000}"/>
    <cellStyle name="40% - Accent5 11 6 3 2" xfId="45802" xr:uid="{3A65C9E2-E9A5-4DC4-9CD3-49F2FE5AFDBA}"/>
    <cellStyle name="40% - Accent5 11 6 4" xfId="29924" xr:uid="{8ED1A469-8EFA-486A-AD47-FD218263A4CD}"/>
    <cellStyle name="40% - Accent5 11 7" xfId="9591" xr:uid="{00000000-0005-0000-0000-000033470000}"/>
    <cellStyle name="40% - Accent5 11 7 2" xfId="17549" xr:uid="{00000000-0005-0000-0000-000034470000}"/>
    <cellStyle name="40% - Accent5 11 7 2 2" xfId="41389" xr:uid="{26D3DDBF-9396-424D-B0D0-CEDB3A94D859}"/>
    <cellStyle name="40% - Accent5 11 7 3" xfId="25493" xr:uid="{00000000-0005-0000-0000-000035470000}"/>
    <cellStyle name="40% - Accent5 11 7 3 2" xfId="49325" xr:uid="{6449B5B6-A968-4DBE-9555-AAFA24CD21DC}"/>
    <cellStyle name="40% - Accent5 11 7 4" xfId="33448" xr:uid="{47EC1EA6-CDC7-4DC6-916C-402B8E62614C}"/>
    <cellStyle name="40% - Accent5 11 8" xfId="10487" xr:uid="{00000000-0005-0000-0000-000036470000}"/>
    <cellStyle name="40% - Accent5 11 8 2" xfId="34336" xr:uid="{717EDED1-D6CA-4B6E-B310-00723BE4FCB4}"/>
    <cellStyle name="40% - Accent5 11 9" xfId="18442" xr:uid="{00000000-0005-0000-0000-000037470000}"/>
    <cellStyle name="40% - Accent5 11 9 2" xfId="42274" xr:uid="{FB7F5788-7C00-4029-AE29-5BE4D6AA981D}"/>
    <cellStyle name="40% - Accent5 11_Exh G" xfId="3189" xr:uid="{00000000-0005-0000-0000-000038470000}"/>
    <cellStyle name="40% - Accent5 12" xfId="543" xr:uid="{00000000-0005-0000-0000-000039470000}"/>
    <cellStyle name="40% - Accent5 12 10" xfId="26398" xr:uid="{336F495B-B830-4FA4-BA9D-DDFF4B2DBB29}"/>
    <cellStyle name="40% - Accent5 12 2" xfId="544" xr:uid="{00000000-0005-0000-0000-00003A470000}"/>
    <cellStyle name="40% - Accent5 12 2 2" xfId="545" xr:uid="{00000000-0005-0000-0000-00003B470000}"/>
    <cellStyle name="40% - Accent5 12 2 2 2" xfId="1573" xr:uid="{00000000-0005-0000-0000-00003C470000}"/>
    <cellStyle name="40% - Accent5 12 2 2 2 2" xfId="5103" xr:uid="{00000000-0005-0000-0000-00003D470000}"/>
    <cellStyle name="40% - Accent5 12 2 2 2 2 2" xfId="8694" xr:uid="{00000000-0005-0000-0000-00003E470000}"/>
    <cellStyle name="40% - Accent5 12 2 2 2 2 2 2" xfId="16665" xr:uid="{00000000-0005-0000-0000-00003F470000}"/>
    <cellStyle name="40% - Accent5 12 2 2 2 2 2 2 2" xfId="40507" xr:uid="{D51D16A8-68EB-48D4-A346-D7178E12973B}"/>
    <cellStyle name="40% - Accent5 12 2 2 2 2 2 3" xfId="24611" xr:uid="{00000000-0005-0000-0000-000040470000}"/>
    <cellStyle name="40% - Accent5 12 2 2 2 2 2 3 2" xfId="48443" xr:uid="{B84EEB26-BD8F-4159-89DB-9C865976D8C4}"/>
    <cellStyle name="40% - Accent5 12 2 2 2 2 2 4" xfId="32566" xr:uid="{ABE2E986-4CF0-410C-9C00-399DEE78C4E3}"/>
    <cellStyle name="40% - Accent5 12 2 2 2 2 3" xfId="13127" xr:uid="{00000000-0005-0000-0000-000041470000}"/>
    <cellStyle name="40% - Accent5 12 2 2 2 2 3 2" xfId="36976" xr:uid="{502BB000-B953-4B5A-98B9-CA997198FB91}"/>
    <cellStyle name="40% - Accent5 12 2 2 2 2 4" xfId="21082" xr:uid="{00000000-0005-0000-0000-000042470000}"/>
    <cellStyle name="40% - Accent5 12 2 2 2 2 4 2" xfId="44914" xr:uid="{F6275A40-801A-49FB-A60A-4DE0E21216D7}"/>
    <cellStyle name="40% - Accent5 12 2 2 2 2 5" xfId="29035" xr:uid="{500A0C2F-45BA-4B45-96AC-C37377066D79}"/>
    <cellStyle name="40% - Accent5 12 2 2 2 3" xfId="6935" xr:uid="{00000000-0005-0000-0000-000043470000}"/>
    <cellStyle name="40% - Accent5 12 2 2 2 3 2" xfId="14907" xr:uid="{00000000-0005-0000-0000-000044470000}"/>
    <cellStyle name="40% - Accent5 12 2 2 2 3 2 2" xfId="38749" xr:uid="{8A853357-77DA-435C-875D-344858D58A91}"/>
    <cellStyle name="40% - Accent5 12 2 2 2 3 3" xfId="22854" xr:uid="{00000000-0005-0000-0000-000045470000}"/>
    <cellStyle name="40% - Accent5 12 2 2 2 3 3 2" xfId="46686" xr:uid="{67AE4E57-0DE7-4105-9075-A16703A01879}"/>
    <cellStyle name="40% - Accent5 12 2 2 2 3 4" xfId="30808" xr:uid="{2E0FBCE2-FC53-4169-838A-B742D19F3732}"/>
    <cellStyle name="40% - Accent5 12 2 2 2 4" xfId="11371" xr:uid="{00000000-0005-0000-0000-000046470000}"/>
    <cellStyle name="40% - Accent5 12 2 2 2 4 2" xfId="35220" xr:uid="{92C1671C-100B-4DBE-9A7D-87CC7AA9EEB5}"/>
    <cellStyle name="40% - Accent5 12 2 2 2 5" xfId="19326" xr:uid="{00000000-0005-0000-0000-000047470000}"/>
    <cellStyle name="40% - Accent5 12 2 2 2 5 2" xfId="43158" xr:uid="{CB8C5966-6C54-45F7-8D35-608C0A82FDA9}"/>
    <cellStyle name="40% - Accent5 12 2 2 2 6" xfId="27278" xr:uid="{0A045DE5-EC0E-4105-BA02-8DC1F507AE50}"/>
    <cellStyle name="40% - Accent5 12 2 2 2_Exh G" xfId="3200" xr:uid="{00000000-0005-0000-0000-000048470000}"/>
    <cellStyle name="40% - Accent5 12 2 2 3" xfId="4224" xr:uid="{00000000-0005-0000-0000-000049470000}"/>
    <cellStyle name="40% - Accent5 12 2 2 3 2" xfId="7816" xr:uid="{00000000-0005-0000-0000-00004A470000}"/>
    <cellStyle name="40% - Accent5 12 2 2 3 2 2" xfId="15787" xr:uid="{00000000-0005-0000-0000-00004B470000}"/>
    <cellStyle name="40% - Accent5 12 2 2 3 2 2 2" xfId="39629" xr:uid="{0B6BE0EB-B0CA-4FA5-9AC0-CC7B30C4F824}"/>
    <cellStyle name="40% - Accent5 12 2 2 3 2 3" xfId="23733" xr:uid="{00000000-0005-0000-0000-00004C470000}"/>
    <cellStyle name="40% - Accent5 12 2 2 3 2 3 2" xfId="47565" xr:uid="{F8207240-6FCF-4CDB-BDAD-90E9477522FA}"/>
    <cellStyle name="40% - Accent5 12 2 2 3 2 4" xfId="31688" xr:uid="{69EF7EC1-0FE3-408C-8601-62A1FF8B8B95}"/>
    <cellStyle name="40% - Accent5 12 2 2 3 3" xfId="12249" xr:uid="{00000000-0005-0000-0000-00004D470000}"/>
    <cellStyle name="40% - Accent5 12 2 2 3 3 2" xfId="36098" xr:uid="{468AC5DE-F1EC-452A-BD4B-8B0ED06AF32C}"/>
    <cellStyle name="40% - Accent5 12 2 2 3 4" xfId="20204" xr:uid="{00000000-0005-0000-0000-00004E470000}"/>
    <cellStyle name="40% - Accent5 12 2 2 3 4 2" xfId="44036" xr:uid="{A42C8F9E-3228-421B-A1D4-CBAC8CA0EEC5}"/>
    <cellStyle name="40% - Accent5 12 2 2 3 5" xfId="28157" xr:uid="{5D60BC7F-B87E-4E82-9985-18C49FC71181}"/>
    <cellStyle name="40% - Accent5 12 2 2 4" xfId="6044" xr:uid="{00000000-0005-0000-0000-00004F470000}"/>
    <cellStyle name="40% - Accent5 12 2 2 4 2" xfId="14028" xr:uid="{00000000-0005-0000-0000-000050470000}"/>
    <cellStyle name="40% - Accent5 12 2 2 4 2 2" xfId="37871" xr:uid="{97E41C51-7C0E-4273-99E4-8541473A6331}"/>
    <cellStyle name="40% - Accent5 12 2 2 4 3" xfId="21976" xr:uid="{00000000-0005-0000-0000-000051470000}"/>
    <cellStyle name="40% - Accent5 12 2 2 4 3 2" xfId="45808" xr:uid="{D258CBA0-B1A6-42DF-B8D6-75D012348572}"/>
    <cellStyle name="40% - Accent5 12 2 2 4 4" xfId="29930" xr:uid="{DCD8D722-19CD-420A-9D3E-4F65792B864E}"/>
    <cellStyle name="40% - Accent5 12 2 2 5" xfId="9597" xr:uid="{00000000-0005-0000-0000-000052470000}"/>
    <cellStyle name="40% - Accent5 12 2 2 5 2" xfId="17555" xr:uid="{00000000-0005-0000-0000-000053470000}"/>
    <cellStyle name="40% - Accent5 12 2 2 5 2 2" xfId="41395" xr:uid="{85A2E381-F3D1-4557-A136-0B27FF1192DB}"/>
    <cellStyle name="40% - Accent5 12 2 2 5 3" xfId="25499" xr:uid="{00000000-0005-0000-0000-000054470000}"/>
    <cellStyle name="40% - Accent5 12 2 2 5 3 2" xfId="49331" xr:uid="{573DE9CF-17CC-411E-AE54-F4ADF8F751BD}"/>
    <cellStyle name="40% - Accent5 12 2 2 5 4" xfId="33454" xr:uid="{E6934644-DBD2-4D11-BC0B-86EF6C3C14DC}"/>
    <cellStyle name="40% - Accent5 12 2 2 6" xfId="10493" xr:uid="{00000000-0005-0000-0000-000055470000}"/>
    <cellStyle name="40% - Accent5 12 2 2 6 2" xfId="34342" xr:uid="{D7A6B891-3B9C-489A-9AC0-066C9A3815AC}"/>
    <cellStyle name="40% - Accent5 12 2 2 7" xfId="18448" xr:uid="{00000000-0005-0000-0000-000056470000}"/>
    <cellStyle name="40% - Accent5 12 2 2 7 2" xfId="42280" xr:uid="{7A0A7C1E-B8A3-4F96-AAB3-374038E5E30B}"/>
    <cellStyle name="40% - Accent5 12 2 2 8" xfId="26400" xr:uid="{C6EF4915-4228-4ACB-81DC-43A28BC40654}"/>
    <cellStyle name="40% - Accent5 12 2 2_Exh G" xfId="3199" xr:uid="{00000000-0005-0000-0000-000057470000}"/>
    <cellStyle name="40% - Accent5 12 2 3" xfId="1572" xr:uid="{00000000-0005-0000-0000-000058470000}"/>
    <cellStyle name="40% - Accent5 12 2 3 2" xfId="5102" xr:uid="{00000000-0005-0000-0000-000059470000}"/>
    <cellStyle name="40% - Accent5 12 2 3 2 2" xfId="8693" xr:uid="{00000000-0005-0000-0000-00005A470000}"/>
    <cellStyle name="40% - Accent5 12 2 3 2 2 2" xfId="16664" xr:uid="{00000000-0005-0000-0000-00005B470000}"/>
    <cellStyle name="40% - Accent5 12 2 3 2 2 2 2" xfId="40506" xr:uid="{0792DDF0-55B0-4F24-BD65-2902B1F82015}"/>
    <cellStyle name="40% - Accent5 12 2 3 2 2 3" xfId="24610" xr:uid="{00000000-0005-0000-0000-00005C470000}"/>
    <cellStyle name="40% - Accent5 12 2 3 2 2 3 2" xfId="48442" xr:uid="{4FAC2F7D-D396-4DB6-90BF-5A624C6DF763}"/>
    <cellStyle name="40% - Accent5 12 2 3 2 2 4" xfId="32565" xr:uid="{BA44A926-5DB6-472F-8246-0792F7048603}"/>
    <cellStyle name="40% - Accent5 12 2 3 2 3" xfId="13126" xr:uid="{00000000-0005-0000-0000-00005D470000}"/>
    <cellStyle name="40% - Accent5 12 2 3 2 3 2" xfId="36975" xr:uid="{9214EE4A-2D18-47BC-A082-306B631A5200}"/>
    <cellStyle name="40% - Accent5 12 2 3 2 4" xfId="21081" xr:uid="{00000000-0005-0000-0000-00005E470000}"/>
    <cellStyle name="40% - Accent5 12 2 3 2 4 2" xfId="44913" xr:uid="{F3F3E5D2-0CAD-42BF-B992-18BAE31DEA59}"/>
    <cellStyle name="40% - Accent5 12 2 3 2 5" xfId="29034" xr:uid="{953170EB-C500-492F-A5C7-7845207D203C}"/>
    <cellStyle name="40% - Accent5 12 2 3 3" xfId="6934" xr:uid="{00000000-0005-0000-0000-00005F470000}"/>
    <cellStyle name="40% - Accent5 12 2 3 3 2" xfId="14906" xr:uid="{00000000-0005-0000-0000-000060470000}"/>
    <cellStyle name="40% - Accent5 12 2 3 3 2 2" xfId="38748" xr:uid="{69099C34-549F-4735-B2C3-5A414B90567E}"/>
    <cellStyle name="40% - Accent5 12 2 3 3 3" xfId="22853" xr:uid="{00000000-0005-0000-0000-000061470000}"/>
    <cellStyle name="40% - Accent5 12 2 3 3 3 2" xfId="46685" xr:uid="{F75323A5-BCCD-46FA-9E86-DC73D6C4CB7E}"/>
    <cellStyle name="40% - Accent5 12 2 3 3 4" xfId="30807" xr:uid="{DED38CD4-E1B0-4FA5-9A52-4CA2692DC31E}"/>
    <cellStyle name="40% - Accent5 12 2 3 4" xfId="11370" xr:uid="{00000000-0005-0000-0000-000062470000}"/>
    <cellStyle name="40% - Accent5 12 2 3 4 2" xfId="35219" xr:uid="{10C93015-B7CE-4FC0-9829-8E1B0829A80A}"/>
    <cellStyle name="40% - Accent5 12 2 3 5" xfId="19325" xr:uid="{00000000-0005-0000-0000-000063470000}"/>
    <cellStyle name="40% - Accent5 12 2 3 5 2" xfId="43157" xr:uid="{ECDE2AEF-CF46-4C2E-81BC-CC0683E1B72A}"/>
    <cellStyle name="40% - Accent5 12 2 3 6" xfId="27277" xr:uid="{43AC6519-F919-4B3D-BDF1-9ED37A9D0C26}"/>
    <cellStyle name="40% - Accent5 12 2 3_Exh G" xfId="3201" xr:uid="{00000000-0005-0000-0000-000064470000}"/>
    <cellStyle name="40% - Accent5 12 2 4" xfId="4223" xr:uid="{00000000-0005-0000-0000-000065470000}"/>
    <cellStyle name="40% - Accent5 12 2 4 2" xfId="7815" xr:uid="{00000000-0005-0000-0000-000066470000}"/>
    <cellStyle name="40% - Accent5 12 2 4 2 2" xfId="15786" xr:uid="{00000000-0005-0000-0000-000067470000}"/>
    <cellStyle name="40% - Accent5 12 2 4 2 2 2" xfId="39628" xr:uid="{BF0A633C-76DA-427D-9F0A-C9903DD1A1A7}"/>
    <cellStyle name="40% - Accent5 12 2 4 2 3" xfId="23732" xr:uid="{00000000-0005-0000-0000-000068470000}"/>
    <cellStyle name="40% - Accent5 12 2 4 2 3 2" xfId="47564" xr:uid="{B65540F5-D654-401D-9FE9-A6C143C57576}"/>
    <cellStyle name="40% - Accent5 12 2 4 2 4" xfId="31687" xr:uid="{E6D70ECE-742A-40C9-9A09-96AA4A4148D2}"/>
    <cellStyle name="40% - Accent5 12 2 4 3" xfId="12248" xr:uid="{00000000-0005-0000-0000-000069470000}"/>
    <cellStyle name="40% - Accent5 12 2 4 3 2" xfId="36097" xr:uid="{C6BFBF13-3107-4282-BD9E-75C9EF27CB0D}"/>
    <cellStyle name="40% - Accent5 12 2 4 4" xfId="20203" xr:uid="{00000000-0005-0000-0000-00006A470000}"/>
    <cellStyle name="40% - Accent5 12 2 4 4 2" xfId="44035" xr:uid="{0E5F032D-6FD7-4B27-B94E-4606679ECED1}"/>
    <cellStyle name="40% - Accent5 12 2 4 5" xfId="28156" xr:uid="{D090F501-335C-4DF8-8EE6-BB8254577B56}"/>
    <cellStyle name="40% - Accent5 12 2 5" xfId="6043" xr:uid="{00000000-0005-0000-0000-00006B470000}"/>
    <cellStyle name="40% - Accent5 12 2 5 2" xfId="14027" xr:uid="{00000000-0005-0000-0000-00006C470000}"/>
    <cellStyle name="40% - Accent5 12 2 5 2 2" xfId="37870" xr:uid="{E6582BC2-0E9F-49A4-A3EC-FD8BA510158F}"/>
    <cellStyle name="40% - Accent5 12 2 5 3" xfId="21975" xr:uid="{00000000-0005-0000-0000-00006D470000}"/>
    <cellStyle name="40% - Accent5 12 2 5 3 2" xfId="45807" xr:uid="{3ABDE116-D41B-4935-A0BE-05E12E76D2A7}"/>
    <cellStyle name="40% - Accent5 12 2 5 4" xfId="29929" xr:uid="{D76E45EE-CBD8-4CC0-91B1-BBF47FC96F36}"/>
    <cellStyle name="40% - Accent5 12 2 6" xfId="9596" xr:uid="{00000000-0005-0000-0000-00006E470000}"/>
    <cellStyle name="40% - Accent5 12 2 6 2" xfId="17554" xr:uid="{00000000-0005-0000-0000-00006F470000}"/>
    <cellStyle name="40% - Accent5 12 2 6 2 2" xfId="41394" xr:uid="{6D3B59AF-0E89-4B6A-8120-3C30F040D334}"/>
    <cellStyle name="40% - Accent5 12 2 6 3" xfId="25498" xr:uid="{00000000-0005-0000-0000-000070470000}"/>
    <cellStyle name="40% - Accent5 12 2 6 3 2" xfId="49330" xr:uid="{4A87D718-962E-429E-84E9-144CE80BCB27}"/>
    <cellStyle name="40% - Accent5 12 2 6 4" xfId="33453" xr:uid="{424AF4FF-A234-402A-AA22-731C1D7C8E3A}"/>
    <cellStyle name="40% - Accent5 12 2 7" xfId="10492" xr:uid="{00000000-0005-0000-0000-000071470000}"/>
    <cellStyle name="40% - Accent5 12 2 7 2" xfId="34341" xr:uid="{315B3C34-37B2-485B-BD9C-24CE2A9EC38B}"/>
    <cellStyle name="40% - Accent5 12 2 8" xfId="18447" xr:uid="{00000000-0005-0000-0000-000072470000}"/>
    <cellStyle name="40% - Accent5 12 2 8 2" xfId="42279" xr:uid="{9C00E763-19D7-47BE-8BBB-52E0277FC1F6}"/>
    <cellStyle name="40% - Accent5 12 2 9" xfId="26399" xr:uid="{BB0BDDF1-65D8-482C-864B-0C981D86AFEE}"/>
    <cellStyle name="40% - Accent5 12 2_Exh G" xfId="3198" xr:uid="{00000000-0005-0000-0000-000073470000}"/>
    <cellStyle name="40% - Accent5 12 3" xfId="546" xr:uid="{00000000-0005-0000-0000-000074470000}"/>
    <cellStyle name="40% - Accent5 12 3 2" xfId="1574" xr:uid="{00000000-0005-0000-0000-000075470000}"/>
    <cellStyle name="40% - Accent5 12 3 2 2" xfId="5104" xr:uid="{00000000-0005-0000-0000-000076470000}"/>
    <cellStyle name="40% - Accent5 12 3 2 2 2" xfId="8695" xr:uid="{00000000-0005-0000-0000-000077470000}"/>
    <cellStyle name="40% - Accent5 12 3 2 2 2 2" xfId="16666" xr:uid="{00000000-0005-0000-0000-000078470000}"/>
    <cellStyle name="40% - Accent5 12 3 2 2 2 2 2" xfId="40508" xr:uid="{0EA3D574-CE89-42AA-9E1F-4EDE4745D1D3}"/>
    <cellStyle name="40% - Accent5 12 3 2 2 2 3" xfId="24612" xr:uid="{00000000-0005-0000-0000-000079470000}"/>
    <cellStyle name="40% - Accent5 12 3 2 2 2 3 2" xfId="48444" xr:uid="{0E3E7F5F-B280-473C-93D4-46DD0432FE84}"/>
    <cellStyle name="40% - Accent5 12 3 2 2 2 4" xfId="32567" xr:uid="{A3A77F75-563F-49D0-B370-7AA53A7F8C81}"/>
    <cellStyle name="40% - Accent5 12 3 2 2 3" xfId="13128" xr:uid="{00000000-0005-0000-0000-00007A470000}"/>
    <cellStyle name="40% - Accent5 12 3 2 2 3 2" xfId="36977" xr:uid="{6E47F1A6-0B3A-4D93-B148-9A93991FACF9}"/>
    <cellStyle name="40% - Accent5 12 3 2 2 4" xfId="21083" xr:uid="{00000000-0005-0000-0000-00007B470000}"/>
    <cellStyle name="40% - Accent5 12 3 2 2 4 2" xfId="44915" xr:uid="{8B23A816-FBC2-4472-8F73-7EAE240AFBAF}"/>
    <cellStyle name="40% - Accent5 12 3 2 2 5" xfId="29036" xr:uid="{19E705A6-A352-4FC0-88AE-443FB45F4841}"/>
    <cellStyle name="40% - Accent5 12 3 2 3" xfId="6936" xr:uid="{00000000-0005-0000-0000-00007C470000}"/>
    <cellStyle name="40% - Accent5 12 3 2 3 2" xfId="14908" xr:uid="{00000000-0005-0000-0000-00007D470000}"/>
    <cellStyle name="40% - Accent5 12 3 2 3 2 2" xfId="38750" xr:uid="{C8A0A92A-598F-42E4-BF7D-9C7DE3B260D5}"/>
    <cellStyle name="40% - Accent5 12 3 2 3 3" xfId="22855" xr:uid="{00000000-0005-0000-0000-00007E470000}"/>
    <cellStyle name="40% - Accent5 12 3 2 3 3 2" xfId="46687" xr:uid="{A431C93C-9BAC-43D5-A020-8524F77CB851}"/>
    <cellStyle name="40% - Accent5 12 3 2 3 4" xfId="30809" xr:uid="{6B7A844B-259C-4026-84C4-DECAC554DB3E}"/>
    <cellStyle name="40% - Accent5 12 3 2 4" xfId="11372" xr:uid="{00000000-0005-0000-0000-00007F470000}"/>
    <cellStyle name="40% - Accent5 12 3 2 4 2" xfId="35221" xr:uid="{F679B4B3-9095-4962-9FDF-6C82231CD66E}"/>
    <cellStyle name="40% - Accent5 12 3 2 5" xfId="19327" xr:uid="{00000000-0005-0000-0000-000080470000}"/>
    <cellStyle name="40% - Accent5 12 3 2 5 2" xfId="43159" xr:uid="{04543A9A-F238-4DFB-B0B3-312052385D14}"/>
    <cellStyle name="40% - Accent5 12 3 2 6" xfId="27279" xr:uid="{4C10A618-4F66-4A28-A3FA-03C3C00DA598}"/>
    <cellStyle name="40% - Accent5 12 3 2_Exh G" xfId="3203" xr:uid="{00000000-0005-0000-0000-000081470000}"/>
    <cellStyle name="40% - Accent5 12 3 3" xfId="4225" xr:uid="{00000000-0005-0000-0000-000082470000}"/>
    <cellStyle name="40% - Accent5 12 3 3 2" xfId="7817" xr:uid="{00000000-0005-0000-0000-000083470000}"/>
    <cellStyle name="40% - Accent5 12 3 3 2 2" xfId="15788" xr:uid="{00000000-0005-0000-0000-000084470000}"/>
    <cellStyle name="40% - Accent5 12 3 3 2 2 2" xfId="39630" xr:uid="{1D8181FB-6361-4F78-8F63-35B4849DF9F4}"/>
    <cellStyle name="40% - Accent5 12 3 3 2 3" xfId="23734" xr:uid="{00000000-0005-0000-0000-000085470000}"/>
    <cellStyle name="40% - Accent5 12 3 3 2 3 2" xfId="47566" xr:uid="{E41B5C8E-4742-4722-8C7D-A8A4B72B0E7D}"/>
    <cellStyle name="40% - Accent5 12 3 3 2 4" xfId="31689" xr:uid="{7AAA5E02-6BA5-48BF-A291-5392066584AE}"/>
    <cellStyle name="40% - Accent5 12 3 3 3" xfId="12250" xr:uid="{00000000-0005-0000-0000-000086470000}"/>
    <cellStyle name="40% - Accent5 12 3 3 3 2" xfId="36099" xr:uid="{66BE07DC-D9E6-4710-A6AD-CED0986CBE21}"/>
    <cellStyle name="40% - Accent5 12 3 3 4" xfId="20205" xr:uid="{00000000-0005-0000-0000-000087470000}"/>
    <cellStyle name="40% - Accent5 12 3 3 4 2" xfId="44037" xr:uid="{068F7D37-5A53-436A-896A-09813C8E156A}"/>
    <cellStyle name="40% - Accent5 12 3 3 5" xfId="28158" xr:uid="{EDD4B5D5-3509-43CB-B860-A898364D7696}"/>
    <cellStyle name="40% - Accent5 12 3 4" xfId="6045" xr:uid="{00000000-0005-0000-0000-000088470000}"/>
    <cellStyle name="40% - Accent5 12 3 4 2" xfId="14029" xr:uid="{00000000-0005-0000-0000-000089470000}"/>
    <cellStyle name="40% - Accent5 12 3 4 2 2" xfId="37872" xr:uid="{AF273667-4EB3-4CDC-956D-BA3803663794}"/>
    <cellStyle name="40% - Accent5 12 3 4 3" xfId="21977" xr:uid="{00000000-0005-0000-0000-00008A470000}"/>
    <cellStyle name="40% - Accent5 12 3 4 3 2" xfId="45809" xr:uid="{0E8CEBA6-A290-4E3F-B546-1E9900E8BC31}"/>
    <cellStyle name="40% - Accent5 12 3 4 4" xfId="29931" xr:uid="{F26AEAFA-0814-407E-9562-1BFA72FF0474}"/>
    <cellStyle name="40% - Accent5 12 3 5" xfId="9598" xr:uid="{00000000-0005-0000-0000-00008B470000}"/>
    <cellStyle name="40% - Accent5 12 3 5 2" xfId="17556" xr:uid="{00000000-0005-0000-0000-00008C470000}"/>
    <cellStyle name="40% - Accent5 12 3 5 2 2" xfId="41396" xr:uid="{54232B7B-FDEB-4877-A234-679DCD473239}"/>
    <cellStyle name="40% - Accent5 12 3 5 3" xfId="25500" xr:uid="{00000000-0005-0000-0000-00008D470000}"/>
    <cellStyle name="40% - Accent5 12 3 5 3 2" xfId="49332" xr:uid="{62F8C9D0-7EBC-4CF3-9421-E6EFD62A1557}"/>
    <cellStyle name="40% - Accent5 12 3 5 4" xfId="33455" xr:uid="{F18C3CB2-A22B-44A1-8187-8D73C1A760FA}"/>
    <cellStyle name="40% - Accent5 12 3 6" xfId="10494" xr:uid="{00000000-0005-0000-0000-00008E470000}"/>
    <cellStyle name="40% - Accent5 12 3 6 2" xfId="34343" xr:uid="{50D86A82-46FC-4C3E-8227-F12DADB9F73B}"/>
    <cellStyle name="40% - Accent5 12 3 7" xfId="18449" xr:uid="{00000000-0005-0000-0000-00008F470000}"/>
    <cellStyle name="40% - Accent5 12 3 7 2" xfId="42281" xr:uid="{66B7871A-29FA-441F-92CD-8723D09B3F7D}"/>
    <cellStyle name="40% - Accent5 12 3 8" xfId="26401" xr:uid="{CAAA6FA9-90B3-466F-8BBD-A70D2DE99B01}"/>
    <cellStyle name="40% - Accent5 12 3_Exh G" xfId="3202" xr:uid="{00000000-0005-0000-0000-000090470000}"/>
    <cellStyle name="40% - Accent5 12 4" xfId="1571" xr:uid="{00000000-0005-0000-0000-000091470000}"/>
    <cellStyle name="40% - Accent5 12 4 2" xfId="5101" xr:uid="{00000000-0005-0000-0000-000092470000}"/>
    <cellStyle name="40% - Accent5 12 4 2 2" xfId="8692" xr:uid="{00000000-0005-0000-0000-000093470000}"/>
    <cellStyle name="40% - Accent5 12 4 2 2 2" xfId="16663" xr:uid="{00000000-0005-0000-0000-000094470000}"/>
    <cellStyle name="40% - Accent5 12 4 2 2 2 2" xfId="40505" xr:uid="{43EB4B10-6615-4B29-A8AD-B1501BDDA3F4}"/>
    <cellStyle name="40% - Accent5 12 4 2 2 3" xfId="24609" xr:uid="{00000000-0005-0000-0000-000095470000}"/>
    <cellStyle name="40% - Accent5 12 4 2 2 3 2" xfId="48441" xr:uid="{5570FDEF-BE17-4662-B12B-81435FA694CD}"/>
    <cellStyle name="40% - Accent5 12 4 2 2 4" xfId="32564" xr:uid="{123E9076-8BD1-4302-8874-E1C847E1366D}"/>
    <cellStyle name="40% - Accent5 12 4 2 3" xfId="13125" xr:uid="{00000000-0005-0000-0000-000096470000}"/>
    <cellStyle name="40% - Accent5 12 4 2 3 2" xfId="36974" xr:uid="{E3B753DA-DF11-4AB9-BAB2-1FEA73E5D447}"/>
    <cellStyle name="40% - Accent5 12 4 2 4" xfId="21080" xr:uid="{00000000-0005-0000-0000-000097470000}"/>
    <cellStyle name="40% - Accent5 12 4 2 4 2" xfId="44912" xr:uid="{15C49184-5D19-4441-8967-43B9DD662562}"/>
    <cellStyle name="40% - Accent5 12 4 2 5" xfId="29033" xr:uid="{AF805FA0-82FA-4BA6-AF5C-E8E00C766666}"/>
    <cellStyle name="40% - Accent5 12 4 3" xfId="6933" xr:uid="{00000000-0005-0000-0000-000098470000}"/>
    <cellStyle name="40% - Accent5 12 4 3 2" xfId="14905" xr:uid="{00000000-0005-0000-0000-000099470000}"/>
    <cellStyle name="40% - Accent5 12 4 3 2 2" xfId="38747" xr:uid="{FDA672E6-A245-4844-9E05-71553DBF7D6E}"/>
    <cellStyle name="40% - Accent5 12 4 3 3" xfId="22852" xr:uid="{00000000-0005-0000-0000-00009A470000}"/>
    <cellStyle name="40% - Accent5 12 4 3 3 2" xfId="46684" xr:uid="{83A29DAE-B116-4917-8E42-D1AAEA513B32}"/>
    <cellStyle name="40% - Accent5 12 4 3 4" xfId="30806" xr:uid="{63019CA6-086E-4582-84B2-B2BA9D63D9E2}"/>
    <cellStyle name="40% - Accent5 12 4 4" xfId="11369" xr:uid="{00000000-0005-0000-0000-00009B470000}"/>
    <cellStyle name="40% - Accent5 12 4 4 2" xfId="35218" xr:uid="{E93D12BF-5150-4729-BC66-BBF9DE566F2B}"/>
    <cellStyle name="40% - Accent5 12 4 5" xfId="19324" xr:uid="{00000000-0005-0000-0000-00009C470000}"/>
    <cellStyle name="40% - Accent5 12 4 5 2" xfId="43156" xr:uid="{E6C52364-ACEA-4AC2-9552-D795EFC4FE4E}"/>
    <cellStyle name="40% - Accent5 12 4 6" xfId="27276" xr:uid="{44A25FE6-FBFC-45FD-B0C8-C73B53FF9AE0}"/>
    <cellStyle name="40% - Accent5 12 4_Exh G" xfId="3204" xr:uid="{00000000-0005-0000-0000-00009D470000}"/>
    <cellStyle name="40% - Accent5 12 5" xfId="4222" xr:uid="{00000000-0005-0000-0000-00009E470000}"/>
    <cellStyle name="40% - Accent5 12 5 2" xfId="7814" xr:uid="{00000000-0005-0000-0000-00009F470000}"/>
    <cellStyle name="40% - Accent5 12 5 2 2" xfId="15785" xr:uid="{00000000-0005-0000-0000-0000A0470000}"/>
    <cellStyle name="40% - Accent5 12 5 2 2 2" xfId="39627" xr:uid="{C0620690-1B84-4E16-9034-2B2127059F98}"/>
    <cellStyle name="40% - Accent5 12 5 2 3" xfId="23731" xr:uid="{00000000-0005-0000-0000-0000A1470000}"/>
    <cellStyle name="40% - Accent5 12 5 2 3 2" xfId="47563" xr:uid="{E80EFABE-2502-48E5-9E09-E52E098468A8}"/>
    <cellStyle name="40% - Accent5 12 5 2 4" xfId="31686" xr:uid="{FDF800AF-3EF8-4182-A948-C7696B3D9321}"/>
    <cellStyle name="40% - Accent5 12 5 3" xfId="12247" xr:uid="{00000000-0005-0000-0000-0000A2470000}"/>
    <cellStyle name="40% - Accent5 12 5 3 2" xfId="36096" xr:uid="{1575D0D9-9395-4DBB-A178-1D46E4957F79}"/>
    <cellStyle name="40% - Accent5 12 5 4" xfId="20202" xr:uid="{00000000-0005-0000-0000-0000A3470000}"/>
    <cellStyle name="40% - Accent5 12 5 4 2" xfId="44034" xr:uid="{071CC15F-DA8B-4B48-9489-58E12F1EF830}"/>
    <cellStyle name="40% - Accent5 12 5 5" xfId="28155" xr:uid="{0851DB4A-FF5E-4B81-B609-86518CC87D24}"/>
    <cellStyle name="40% - Accent5 12 6" xfId="6042" xr:uid="{00000000-0005-0000-0000-0000A4470000}"/>
    <cellStyle name="40% - Accent5 12 6 2" xfId="14026" xr:uid="{00000000-0005-0000-0000-0000A5470000}"/>
    <cellStyle name="40% - Accent5 12 6 2 2" xfId="37869" xr:uid="{817CA95F-BA25-43F4-9FD3-ED7A880F2562}"/>
    <cellStyle name="40% - Accent5 12 6 3" xfId="21974" xr:uid="{00000000-0005-0000-0000-0000A6470000}"/>
    <cellStyle name="40% - Accent5 12 6 3 2" xfId="45806" xr:uid="{FBC757FA-121C-4D9D-BE66-E6DF28E6397C}"/>
    <cellStyle name="40% - Accent5 12 6 4" xfId="29928" xr:uid="{57342FE7-93A6-4BBA-96A4-5E596EC7D513}"/>
    <cellStyle name="40% - Accent5 12 7" xfId="9595" xr:uid="{00000000-0005-0000-0000-0000A7470000}"/>
    <cellStyle name="40% - Accent5 12 7 2" xfId="17553" xr:uid="{00000000-0005-0000-0000-0000A8470000}"/>
    <cellStyle name="40% - Accent5 12 7 2 2" xfId="41393" xr:uid="{8CE20386-1087-42C1-AECD-28F78149D916}"/>
    <cellStyle name="40% - Accent5 12 7 3" xfId="25497" xr:uid="{00000000-0005-0000-0000-0000A9470000}"/>
    <cellStyle name="40% - Accent5 12 7 3 2" xfId="49329" xr:uid="{8186C7DD-E8FC-48C6-B5AF-6B0B1A764939}"/>
    <cellStyle name="40% - Accent5 12 7 4" xfId="33452" xr:uid="{44CF69A7-E870-4A60-BD3A-AABB83332537}"/>
    <cellStyle name="40% - Accent5 12 8" xfId="10491" xr:uid="{00000000-0005-0000-0000-0000AA470000}"/>
    <cellStyle name="40% - Accent5 12 8 2" xfId="34340" xr:uid="{F707B20E-D59F-4DBA-9EEB-50D5C76CC917}"/>
    <cellStyle name="40% - Accent5 12 9" xfId="18446" xr:uid="{00000000-0005-0000-0000-0000AB470000}"/>
    <cellStyle name="40% - Accent5 12 9 2" xfId="42278" xr:uid="{781823E9-23B2-4B70-ADE7-FC7FC3FC32E1}"/>
    <cellStyle name="40% - Accent5 12_Exh G" xfId="3197" xr:uid="{00000000-0005-0000-0000-0000AC470000}"/>
    <cellStyle name="40% - Accent5 13" xfId="547" xr:uid="{00000000-0005-0000-0000-0000AD470000}"/>
    <cellStyle name="40% - Accent5 13 10" xfId="26402" xr:uid="{BFB301D9-84D3-49E2-AA84-A89CFB907F53}"/>
    <cellStyle name="40% - Accent5 13 2" xfId="548" xr:uid="{00000000-0005-0000-0000-0000AE470000}"/>
    <cellStyle name="40% - Accent5 13 2 2" xfId="549" xr:uid="{00000000-0005-0000-0000-0000AF470000}"/>
    <cellStyle name="40% - Accent5 13 2 2 2" xfId="1577" xr:uid="{00000000-0005-0000-0000-0000B0470000}"/>
    <cellStyle name="40% - Accent5 13 2 2 2 2" xfId="5107" xr:uid="{00000000-0005-0000-0000-0000B1470000}"/>
    <cellStyle name="40% - Accent5 13 2 2 2 2 2" xfId="8698" xr:uid="{00000000-0005-0000-0000-0000B2470000}"/>
    <cellStyle name="40% - Accent5 13 2 2 2 2 2 2" xfId="16669" xr:uid="{00000000-0005-0000-0000-0000B3470000}"/>
    <cellStyle name="40% - Accent5 13 2 2 2 2 2 2 2" xfId="40511" xr:uid="{ADD99BE3-4417-4558-BF14-3C69B12CFA0C}"/>
    <cellStyle name="40% - Accent5 13 2 2 2 2 2 3" xfId="24615" xr:uid="{00000000-0005-0000-0000-0000B4470000}"/>
    <cellStyle name="40% - Accent5 13 2 2 2 2 2 3 2" xfId="48447" xr:uid="{06ED0A8B-DBF2-468C-AF42-5EFA471104DA}"/>
    <cellStyle name="40% - Accent5 13 2 2 2 2 2 4" xfId="32570" xr:uid="{8CEF3F59-55B6-4BF3-BD03-ABC9CAC0E524}"/>
    <cellStyle name="40% - Accent5 13 2 2 2 2 3" xfId="13131" xr:uid="{00000000-0005-0000-0000-0000B5470000}"/>
    <cellStyle name="40% - Accent5 13 2 2 2 2 3 2" xfId="36980" xr:uid="{486EFBD5-D674-4079-A87D-2E5020EE72F4}"/>
    <cellStyle name="40% - Accent5 13 2 2 2 2 4" xfId="21086" xr:uid="{00000000-0005-0000-0000-0000B6470000}"/>
    <cellStyle name="40% - Accent5 13 2 2 2 2 4 2" xfId="44918" xr:uid="{BCFFEDB4-B936-46C1-AE1A-86701D1B3ADF}"/>
    <cellStyle name="40% - Accent5 13 2 2 2 2 5" xfId="29039" xr:uid="{A0DC2768-17F4-4B5A-848C-C56A53A30F97}"/>
    <cellStyle name="40% - Accent5 13 2 2 2 3" xfId="6939" xr:uid="{00000000-0005-0000-0000-0000B7470000}"/>
    <cellStyle name="40% - Accent5 13 2 2 2 3 2" xfId="14911" xr:uid="{00000000-0005-0000-0000-0000B8470000}"/>
    <cellStyle name="40% - Accent5 13 2 2 2 3 2 2" xfId="38753" xr:uid="{6F09708C-BC92-4045-9C3A-39F064AAAEE9}"/>
    <cellStyle name="40% - Accent5 13 2 2 2 3 3" xfId="22858" xr:uid="{00000000-0005-0000-0000-0000B9470000}"/>
    <cellStyle name="40% - Accent5 13 2 2 2 3 3 2" xfId="46690" xr:uid="{C603E46C-C56F-4639-BF83-35F0BAEECDA5}"/>
    <cellStyle name="40% - Accent5 13 2 2 2 3 4" xfId="30812" xr:uid="{90DA003A-F8B2-4E11-AF47-ABEEE0D9317A}"/>
    <cellStyle name="40% - Accent5 13 2 2 2 4" xfId="11375" xr:uid="{00000000-0005-0000-0000-0000BA470000}"/>
    <cellStyle name="40% - Accent5 13 2 2 2 4 2" xfId="35224" xr:uid="{5F4C4FE9-60D7-4A39-A644-20812BFB013D}"/>
    <cellStyle name="40% - Accent5 13 2 2 2 5" xfId="19330" xr:uid="{00000000-0005-0000-0000-0000BB470000}"/>
    <cellStyle name="40% - Accent5 13 2 2 2 5 2" xfId="43162" xr:uid="{FF028250-AEC2-41A7-AA36-7D447EAA1372}"/>
    <cellStyle name="40% - Accent5 13 2 2 2 6" xfId="27282" xr:uid="{B187467A-EF16-4D6E-B7BA-72048B9F8252}"/>
    <cellStyle name="40% - Accent5 13 2 2 2_Exh G" xfId="3208" xr:uid="{00000000-0005-0000-0000-0000BC470000}"/>
    <cellStyle name="40% - Accent5 13 2 2 3" xfId="4228" xr:uid="{00000000-0005-0000-0000-0000BD470000}"/>
    <cellStyle name="40% - Accent5 13 2 2 3 2" xfId="7820" xr:uid="{00000000-0005-0000-0000-0000BE470000}"/>
    <cellStyle name="40% - Accent5 13 2 2 3 2 2" xfId="15791" xr:uid="{00000000-0005-0000-0000-0000BF470000}"/>
    <cellStyle name="40% - Accent5 13 2 2 3 2 2 2" xfId="39633" xr:uid="{2961AF7C-DF08-44C6-BFDB-1EC9C1909EB9}"/>
    <cellStyle name="40% - Accent5 13 2 2 3 2 3" xfId="23737" xr:uid="{00000000-0005-0000-0000-0000C0470000}"/>
    <cellStyle name="40% - Accent5 13 2 2 3 2 3 2" xfId="47569" xr:uid="{656475EF-B078-4F10-A58B-3C6AF88C2B69}"/>
    <cellStyle name="40% - Accent5 13 2 2 3 2 4" xfId="31692" xr:uid="{C025F7FC-C4B1-497E-95D7-8E7312ED8005}"/>
    <cellStyle name="40% - Accent5 13 2 2 3 3" xfId="12253" xr:uid="{00000000-0005-0000-0000-0000C1470000}"/>
    <cellStyle name="40% - Accent5 13 2 2 3 3 2" xfId="36102" xr:uid="{352B227D-7B44-4E6B-B3B8-52CDA1118DD6}"/>
    <cellStyle name="40% - Accent5 13 2 2 3 4" xfId="20208" xr:uid="{00000000-0005-0000-0000-0000C2470000}"/>
    <cellStyle name="40% - Accent5 13 2 2 3 4 2" xfId="44040" xr:uid="{C64DAFA0-C849-40A1-A939-82772CCF0019}"/>
    <cellStyle name="40% - Accent5 13 2 2 3 5" xfId="28161" xr:uid="{19B2F137-324C-41B4-884C-EFE4377932EF}"/>
    <cellStyle name="40% - Accent5 13 2 2 4" xfId="6048" xr:uid="{00000000-0005-0000-0000-0000C3470000}"/>
    <cellStyle name="40% - Accent5 13 2 2 4 2" xfId="14032" xr:uid="{00000000-0005-0000-0000-0000C4470000}"/>
    <cellStyle name="40% - Accent5 13 2 2 4 2 2" xfId="37875" xr:uid="{D7902EC4-8930-4047-83EB-204769C45F81}"/>
    <cellStyle name="40% - Accent5 13 2 2 4 3" xfId="21980" xr:uid="{00000000-0005-0000-0000-0000C5470000}"/>
    <cellStyle name="40% - Accent5 13 2 2 4 3 2" xfId="45812" xr:uid="{0F01B63D-1D86-4081-A61D-D8E472367AB5}"/>
    <cellStyle name="40% - Accent5 13 2 2 4 4" xfId="29934" xr:uid="{4A3A4C49-510F-47A0-8A07-B4D2A5FD7250}"/>
    <cellStyle name="40% - Accent5 13 2 2 5" xfId="9601" xr:uid="{00000000-0005-0000-0000-0000C6470000}"/>
    <cellStyle name="40% - Accent5 13 2 2 5 2" xfId="17559" xr:uid="{00000000-0005-0000-0000-0000C7470000}"/>
    <cellStyle name="40% - Accent5 13 2 2 5 2 2" xfId="41399" xr:uid="{5621A833-15F4-4B3D-8A23-B056BF50A8F5}"/>
    <cellStyle name="40% - Accent5 13 2 2 5 3" xfId="25503" xr:uid="{00000000-0005-0000-0000-0000C8470000}"/>
    <cellStyle name="40% - Accent5 13 2 2 5 3 2" xfId="49335" xr:uid="{5FE13412-2CD3-4E83-A852-17F72496A0AC}"/>
    <cellStyle name="40% - Accent5 13 2 2 5 4" xfId="33458" xr:uid="{D3BF3740-6E51-4255-8E3E-4BC38D89472D}"/>
    <cellStyle name="40% - Accent5 13 2 2 6" xfId="10497" xr:uid="{00000000-0005-0000-0000-0000C9470000}"/>
    <cellStyle name="40% - Accent5 13 2 2 6 2" xfId="34346" xr:uid="{598B8187-1FE7-4A87-A3B6-3FCEFAA600FD}"/>
    <cellStyle name="40% - Accent5 13 2 2 7" xfId="18452" xr:uid="{00000000-0005-0000-0000-0000CA470000}"/>
    <cellStyle name="40% - Accent5 13 2 2 7 2" xfId="42284" xr:uid="{D6617115-EBCF-44D8-9314-BF32A0FBCB29}"/>
    <cellStyle name="40% - Accent5 13 2 2 8" xfId="26404" xr:uid="{548F97CB-13D7-4F3B-A7BE-CE3296C80AF3}"/>
    <cellStyle name="40% - Accent5 13 2 2_Exh G" xfId="3207" xr:uid="{00000000-0005-0000-0000-0000CB470000}"/>
    <cellStyle name="40% - Accent5 13 2 3" xfId="1576" xr:uid="{00000000-0005-0000-0000-0000CC470000}"/>
    <cellStyle name="40% - Accent5 13 2 3 2" xfId="5106" xr:uid="{00000000-0005-0000-0000-0000CD470000}"/>
    <cellStyle name="40% - Accent5 13 2 3 2 2" xfId="8697" xr:uid="{00000000-0005-0000-0000-0000CE470000}"/>
    <cellStyle name="40% - Accent5 13 2 3 2 2 2" xfId="16668" xr:uid="{00000000-0005-0000-0000-0000CF470000}"/>
    <cellStyle name="40% - Accent5 13 2 3 2 2 2 2" xfId="40510" xr:uid="{D11BB89F-B79A-4496-AAF4-FA950DE53675}"/>
    <cellStyle name="40% - Accent5 13 2 3 2 2 3" xfId="24614" xr:uid="{00000000-0005-0000-0000-0000D0470000}"/>
    <cellStyle name="40% - Accent5 13 2 3 2 2 3 2" xfId="48446" xr:uid="{EFB148E1-ACCB-4C7D-A7A4-39A5C5F54231}"/>
    <cellStyle name="40% - Accent5 13 2 3 2 2 4" xfId="32569" xr:uid="{C939BB9E-8706-40F1-938E-0FB881A8DAF7}"/>
    <cellStyle name="40% - Accent5 13 2 3 2 3" xfId="13130" xr:uid="{00000000-0005-0000-0000-0000D1470000}"/>
    <cellStyle name="40% - Accent5 13 2 3 2 3 2" xfId="36979" xr:uid="{1D8A46C4-53F6-435F-BD2B-945E813BE6DE}"/>
    <cellStyle name="40% - Accent5 13 2 3 2 4" xfId="21085" xr:uid="{00000000-0005-0000-0000-0000D2470000}"/>
    <cellStyle name="40% - Accent5 13 2 3 2 4 2" xfId="44917" xr:uid="{2E145F5F-A099-4859-931E-D9E273C6659E}"/>
    <cellStyle name="40% - Accent5 13 2 3 2 5" xfId="29038" xr:uid="{15438D8A-9786-40D5-8FF2-DD6E133B45D2}"/>
    <cellStyle name="40% - Accent5 13 2 3 3" xfId="6938" xr:uid="{00000000-0005-0000-0000-0000D3470000}"/>
    <cellStyle name="40% - Accent5 13 2 3 3 2" xfId="14910" xr:uid="{00000000-0005-0000-0000-0000D4470000}"/>
    <cellStyle name="40% - Accent5 13 2 3 3 2 2" xfId="38752" xr:uid="{9D41F908-6334-4FC7-98E6-9FA02B95E22A}"/>
    <cellStyle name="40% - Accent5 13 2 3 3 3" xfId="22857" xr:uid="{00000000-0005-0000-0000-0000D5470000}"/>
    <cellStyle name="40% - Accent5 13 2 3 3 3 2" xfId="46689" xr:uid="{4A85D395-1EDC-40A3-A180-5D1BB28060F8}"/>
    <cellStyle name="40% - Accent5 13 2 3 3 4" xfId="30811" xr:uid="{1165B577-B527-4A42-9982-D3727AC333A4}"/>
    <cellStyle name="40% - Accent5 13 2 3 4" xfId="11374" xr:uid="{00000000-0005-0000-0000-0000D6470000}"/>
    <cellStyle name="40% - Accent5 13 2 3 4 2" xfId="35223" xr:uid="{5368B034-111D-4EEF-A751-1C5BEACD0BF8}"/>
    <cellStyle name="40% - Accent5 13 2 3 5" xfId="19329" xr:uid="{00000000-0005-0000-0000-0000D7470000}"/>
    <cellStyle name="40% - Accent5 13 2 3 5 2" xfId="43161" xr:uid="{78F11AB5-EFCD-4FB2-88BC-3522C2B29641}"/>
    <cellStyle name="40% - Accent5 13 2 3 6" xfId="27281" xr:uid="{1AB7B175-5585-4011-BB3F-209C22BB0D0E}"/>
    <cellStyle name="40% - Accent5 13 2 3_Exh G" xfId="3209" xr:uid="{00000000-0005-0000-0000-0000D8470000}"/>
    <cellStyle name="40% - Accent5 13 2 4" xfId="4227" xr:uid="{00000000-0005-0000-0000-0000D9470000}"/>
    <cellStyle name="40% - Accent5 13 2 4 2" xfId="7819" xr:uid="{00000000-0005-0000-0000-0000DA470000}"/>
    <cellStyle name="40% - Accent5 13 2 4 2 2" xfId="15790" xr:uid="{00000000-0005-0000-0000-0000DB470000}"/>
    <cellStyle name="40% - Accent5 13 2 4 2 2 2" xfId="39632" xr:uid="{3DF3C94D-D70C-4ADD-9EAE-EA80A41E7EF6}"/>
    <cellStyle name="40% - Accent5 13 2 4 2 3" xfId="23736" xr:uid="{00000000-0005-0000-0000-0000DC470000}"/>
    <cellStyle name="40% - Accent5 13 2 4 2 3 2" xfId="47568" xr:uid="{CB18DCB1-E1CF-4B24-8F64-9296357B5868}"/>
    <cellStyle name="40% - Accent5 13 2 4 2 4" xfId="31691" xr:uid="{B06901F6-74E7-4198-8E3E-E2B2BE74273B}"/>
    <cellStyle name="40% - Accent5 13 2 4 3" xfId="12252" xr:uid="{00000000-0005-0000-0000-0000DD470000}"/>
    <cellStyle name="40% - Accent5 13 2 4 3 2" xfId="36101" xr:uid="{F7E53F64-FB34-45E3-8CFE-BFDBF24F2ABA}"/>
    <cellStyle name="40% - Accent5 13 2 4 4" xfId="20207" xr:uid="{00000000-0005-0000-0000-0000DE470000}"/>
    <cellStyle name="40% - Accent5 13 2 4 4 2" xfId="44039" xr:uid="{7B841145-33D6-476D-ACA5-AF85CC213532}"/>
    <cellStyle name="40% - Accent5 13 2 4 5" xfId="28160" xr:uid="{9DA3E369-7B99-46EE-9D8E-5908ABF57F56}"/>
    <cellStyle name="40% - Accent5 13 2 5" xfId="6047" xr:uid="{00000000-0005-0000-0000-0000DF470000}"/>
    <cellStyle name="40% - Accent5 13 2 5 2" xfId="14031" xr:uid="{00000000-0005-0000-0000-0000E0470000}"/>
    <cellStyle name="40% - Accent5 13 2 5 2 2" xfId="37874" xr:uid="{06080BC1-3529-4A87-90E8-28AAD4C9958D}"/>
    <cellStyle name="40% - Accent5 13 2 5 3" xfId="21979" xr:uid="{00000000-0005-0000-0000-0000E1470000}"/>
    <cellStyle name="40% - Accent5 13 2 5 3 2" xfId="45811" xr:uid="{7279CFB6-FB6B-4C63-9C31-A9E7BAD6B9D0}"/>
    <cellStyle name="40% - Accent5 13 2 5 4" xfId="29933" xr:uid="{085E9E05-1659-4FFA-94A7-347F89A7D304}"/>
    <cellStyle name="40% - Accent5 13 2 6" xfId="9600" xr:uid="{00000000-0005-0000-0000-0000E2470000}"/>
    <cellStyle name="40% - Accent5 13 2 6 2" xfId="17558" xr:uid="{00000000-0005-0000-0000-0000E3470000}"/>
    <cellStyle name="40% - Accent5 13 2 6 2 2" xfId="41398" xr:uid="{6EC8A234-8CAC-4592-B14C-343D15C1A58A}"/>
    <cellStyle name="40% - Accent5 13 2 6 3" xfId="25502" xr:uid="{00000000-0005-0000-0000-0000E4470000}"/>
    <cellStyle name="40% - Accent5 13 2 6 3 2" xfId="49334" xr:uid="{F66568D8-2016-4925-9A87-232D21E7C7D4}"/>
    <cellStyle name="40% - Accent5 13 2 6 4" xfId="33457" xr:uid="{254B46CC-098A-4893-B032-903897FB8B06}"/>
    <cellStyle name="40% - Accent5 13 2 7" xfId="10496" xr:uid="{00000000-0005-0000-0000-0000E5470000}"/>
    <cellStyle name="40% - Accent5 13 2 7 2" xfId="34345" xr:uid="{3F7DB59C-BE81-4723-B0FF-9B1C12453892}"/>
    <cellStyle name="40% - Accent5 13 2 8" xfId="18451" xr:uid="{00000000-0005-0000-0000-0000E6470000}"/>
    <cellStyle name="40% - Accent5 13 2 8 2" xfId="42283" xr:uid="{F7DCA92E-103F-45DF-9157-E89E99A70C3C}"/>
    <cellStyle name="40% - Accent5 13 2 9" xfId="26403" xr:uid="{B7EAC5AE-15BE-4127-B9DC-537891DA2852}"/>
    <cellStyle name="40% - Accent5 13 2_Exh G" xfId="3206" xr:uid="{00000000-0005-0000-0000-0000E7470000}"/>
    <cellStyle name="40% - Accent5 13 3" xfId="550" xr:uid="{00000000-0005-0000-0000-0000E8470000}"/>
    <cellStyle name="40% - Accent5 13 3 2" xfId="1578" xr:uid="{00000000-0005-0000-0000-0000E9470000}"/>
    <cellStyle name="40% - Accent5 13 3 2 2" xfId="5108" xr:uid="{00000000-0005-0000-0000-0000EA470000}"/>
    <cellStyle name="40% - Accent5 13 3 2 2 2" xfId="8699" xr:uid="{00000000-0005-0000-0000-0000EB470000}"/>
    <cellStyle name="40% - Accent5 13 3 2 2 2 2" xfId="16670" xr:uid="{00000000-0005-0000-0000-0000EC470000}"/>
    <cellStyle name="40% - Accent5 13 3 2 2 2 2 2" xfId="40512" xr:uid="{E33F46B7-B20C-442F-8AE1-83AA6B5A7372}"/>
    <cellStyle name="40% - Accent5 13 3 2 2 2 3" xfId="24616" xr:uid="{00000000-0005-0000-0000-0000ED470000}"/>
    <cellStyle name="40% - Accent5 13 3 2 2 2 3 2" xfId="48448" xr:uid="{0E6BCEF9-A5D3-499D-87D6-43F6EDB486C3}"/>
    <cellStyle name="40% - Accent5 13 3 2 2 2 4" xfId="32571" xr:uid="{FDACDFF1-F128-4B2F-8EFD-FE01E477591E}"/>
    <cellStyle name="40% - Accent5 13 3 2 2 3" xfId="13132" xr:uid="{00000000-0005-0000-0000-0000EE470000}"/>
    <cellStyle name="40% - Accent5 13 3 2 2 3 2" xfId="36981" xr:uid="{87AC4B9D-4315-4C23-B14C-BE7A6453DCF4}"/>
    <cellStyle name="40% - Accent5 13 3 2 2 4" xfId="21087" xr:uid="{00000000-0005-0000-0000-0000EF470000}"/>
    <cellStyle name="40% - Accent5 13 3 2 2 4 2" xfId="44919" xr:uid="{6D184E13-7C15-459E-9C84-65FBDAEE9208}"/>
    <cellStyle name="40% - Accent5 13 3 2 2 5" xfId="29040" xr:uid="{6BD4D913-8378-4298-B7E4-D3883A3E4B9D}"/>
    <cellStyle name="40% - Accent5 13 3 2 3" xfId="6940" xr:uid="{00000000-0005-0000-0000-0000F0470000}"/>
    <cellStyle name="40% - Accent5 13 3 2 3 2" xfId="14912" xr:uid="{00000000-0005-0000-0000-0000F1470000}"/>
    <cellStyle name="40% - Accent5 13 3 2 3 2 2" xfId="38754" xr:uid="{C7CC1FE3-F08E-4AF9-AF35-A27D0564B065}"/>
    <cellStyle name="40% - Accent5 13 3 2 3 3" xfId="22859" xr:uid="{00000000-0005-0000-0000-0000F2470000}"/>
    <cellStyle name="40% - Accent5 13 3 2 3 3 2" xfId="46691" xr:uid="{88E72F4B-A692-4895-B2C0-2F16108A0ED8}"/>
    <cellStyle name="40% - Accent5 13 3 2 3 4" xfId="30813" xr:uid="{C45C040C-EBC6-4D4C-B3ED-B97645E3B548}"/>
    <cellStyle name="40% - Accent5 13 3 2 4" xfId="11376" xr:uid="{00000000-0005-0000-0000-0000F3470000}"/>
    <cellStyle name="40% - Accent5 13 3 2 4 2" xfId="35225" xr:uid="{1E519BC6-5221-4A1A-B493-B3A1F681E561}"/>
    <cellStyle name="40% - Accent5 13 3 2 5" xfId="19331" xr:uid="{00000000-0005-0000-0000-0000F4470000}"/>
    <cellStyle name="40% - Accent5 13 3 2 5 2" xfId="43163" xr:uid="{8827940A-EF11-48F6-9A3B-831D5F62DB8B}"/>
    <cellStyle name="40% - Accent5 13 3 2 6" xfId="27283" xr:uid="{16CC7AD7-4C1C-4960-980E-F89D458ABE5B}"/>
    <cellStyle name="40% - Accent5 13 3 2_Exh G" xfId="3211" xr:uid="{00000000-0005-0000-0000-0000F5470000}"/>
    <cellStyle name="40% - Accent5 13 3 3" xfId="4229" xr:uid="{00000000-0005-0000-0000-0000F6470000}"/>
    <cellStyle name="40% - Accent5 13 3 3 2" xfId="7821" xr:uid="{00000000-0005-0000-0000-0000F7470000}"/>
    <cellStyle name="40% - Accent5 13 3 3 2 2" xfId="15792" xr:uid="{00000000-0005-0000-0000-0000F8470000}"/>
    <cellStyle name="40% - Accent5 13 3 3 2 2 2" xfId="39634" xr:uid="{12A07E43-D683-4617-9979-CB2E16F07D69}"/>
    <cellStyle name="40% - Accent5 13 3 3 2 3" xfId="23738" xr:uid="{00000000-0005-0000-0000-0000F9470000}"/>
    <cellStyle name="40% - Accent5 13 3 3 2 3 2" xfId="47570" xr:uid="{CE7C1DD7-788F-4CC5-90C7-550AA04BAB3C}"/>
    <cellStyle name="40% - Accent5 13 3 3 2 4" xfId="31693" xr:uid="{755C46B8-7FED-41C9-BC5F-7EAAE35FF261}"/>
    <cellStyle name="40% - Accent5 13 3 3 3" xfId="12254" xr:uid="{00000000-0005-0000-0000-0000FA470000}"/>
    <cellStyle name="40% - Accent5 13 3 3 3 2" xfId="36103" xr:uid="{F0309F37-FC9F-4FA9-BC52-7EE8E309CAD9}"/>
    <cellStyle name="40% - Accent5 13 3 3 4" xfId="20209" xr:uid="{00000000-0005-0000-0000-0000FB470000}"/>
    <cellStyle name="40% - Accent5 13 3 3 4 2" xfId="44041" xr:uid="{FDC16BD7-D62E-45FF-B1C0-66F6A2331CC6}"/>
    <cellStyle name="40% - Accent5 13 3 3 5" xfId="28162" xr:uid="{510BBAA8-C01B-4799-8B05-D3A17141481C}"/>
    <cellStyle name="40% - Accent5 13 3 4" xfId="6049" xr:uid="{00000000-0005-0000-0000-0000FC470000}"/>
    <cellStyle name="40% - Accent5 13 3 4 2" xfId="14033" xr:uid="{00000000-0005-0000-0000-0000FD470000}"/>
    <cellStyle name="40% - Accent5 13 3 4 2 2" xfId="37876" xr:uid="{C58DB04D-0DD6-4AC1-BFCF-21B250F529A3}"/>
    <cellStyle name="40% - Accent5 13 3 4 3" xfId="21981" xr:uid="{00000000-0005-0000-0000-0000FE470000}"/>
    <cellStyle name="40% - Accent5 13 3 4 3 2" xfId="45813" xr:uid="{E501C25C-771E-4540-8FE2-B8FEB6BF28EB}"/>
    <cellStyle name="40% - Accent5 13 3 4 4" xfId="29935" xr:uid="{2C00396C-6888-46A2-BD13-CBBFBCF58F9B}"/>
    <cellStyle name="40% - Accent5 13 3 5" xfId="9602" xr:uid="{00000000-0005-0000-0000-0000FF470000}"/>
    <cellStyle name="40% - Accent5 13 3 5 2" xfId="17560" xr:uid="{00000000-0005-0000-0000-000000480000}"/>
    <cellStyle name="40% - Accent5 13 3 5 2 2" xfId="41400" xr:uid="{A7B0B5AD-F666-4415-B469-B008F65550B7}"/>
    <cellStyle name="40% - Accent5 13 3 5 3" xfId="25504" xr:uid="{00000000-0005-0000-0000-000001480000}"/>
    <cellStyle name="40% - Accent5 13 3 5 3 2" xfId="49336" xr:uid="{0C2CFA7E-61BD-4AFA-9EF2-3551083455DB}"/>
    <cellStyle name="40% - Accent5 13 3 5 4" xfId="33459" xr:uid="{EA00F89A-3925-4CE7-84CC-542132AA7311}"/>
    <cellStyle name="40% - Accent5 13 3 6" xfId="10498" xr:uid="{00000000-0005-0000-0000-000002480000}"/>
    <cellStyle name="40% - Accent5 13 3 6 2" xfId="34347" xr:uid="{8C04ED57-BD05-4A34-B7EB-154715C27E81}"/>
    <cellStyle name="40% - Accent5 13 3 7" xfId="18453" xr:uid="{00000000-0005-0000-0000-000003480000}"/>
    <cellStyle name="40% - Accent5 13 3 7 2" xfId="42285" xr:uid="{68ADCD49-ED40-498F-BFDD-E9619CFDA3CF}"/>
    <cellStyle name="40% - Accent5 13 3 8" xfId="26405" xr:uid="{5F74B6ED-9755-40F1-8C59-2E1F45D93D1C}"/>
    <cellStyle name="40% - Accent5 13 3_Exh G" xfId="3210" xr:uid="{00000000-0005-0000-0000-000004480000}"/>
    <cellStyle name="40% - Accent5 13 4" xfId="1575" xr:uid="{00000000-0005-0000-0000-000005480000}"/>
    <cellStyle name="40% - Accent5 13 4 2" xfId="5105" xr:uid="{00000000-0005-0000-0000-000006480000}"/>
    <cellStyle name="40% - Accent5 13 4 2 2" xfId="8696" xr:uid="{00000000-0005-0000-0000-000007480000}"/>
    <cellStyle name="40% - Accent5 13 4 2 2 2" xfId="16667" xr:uid="{00000000-0005-0000-0000-000008480000}"/>
    <cellStyle name="40% - Accent5 13 4 2 2 2 2" xfId="40509" xr:uid="{6026485B-11D8-4260-812D-D950AF43F160}"/>
    <cellStyle name="40% - Accent5 13 4 2 2 3" xfId="24613" xr:uid="{00000000-0005-0000-0000-000009480000}"/>
    <cellStyle name="40% - Accent5 13 4 2 2 3 2" xfId="48445" xr:uid="{0D346858-43A5-4DB2-A08B-B35B7F496FEF}"/>
    <cellStyle name="40% - Accent5 13 4 2 2 4" xfId="32568" xr:uid="{381CF093-EC99-43FE-AAEF-4450EDDF3FCF}"/>
    <cellStyle name="40% - Accent5 13 4 2 3" xfId="13129" xr:uid="{00000000-0005-0000-0000-00000A480000}"/>
    <cellStyle name="40% - Accent5 13 4 2 3 2" xfId="36978" xr:uid="{B0D43B69-E60F-4BC6-92DF-6F7C505B6A47}"/>
    <cellStyle name="40% - Accent5 13 4 2 4" xfId="21084" xr:uid="{00000000-0005-0000-0000-00000B480000}"/>
    <cellStyle name="40% - Accent5 13 4 2 4 2" xfId="44916" xr:uid="{77A31E92-3872-4177-A2A3-1836D1043D93}"/>
    <cellStyle name="40% - Accent5 13 4 2 5" xfId="29037" xr:uid="{599EEA5B-FC48-46B9-9F4D-80271469FFCB}"/>
    <cellStyle name="40% - Accent5 13 4 3" xfId="6937" xr:uid="{00000000-0005-0000-0000-00000C480000}"/>
    <cellStyle name="40% - Accent5 13 4 3 2" xfId="14909" xr:uid="{00000000-0005-0000-0000-00000D480000}"/>
    <cellStyle name="40% - Accent5 13 4 3 2 2" xfId="38751" xr:uid="{EA628DBD-0D6D-417E-A536-5F88A8496FA0}"/>
    <cellStyle name="40% - Accent5 13 4 3 3" xfId="22856" xr:uid="{00000000-0005-0000-0000-00000E480000}"/>
    <cellStyle name="40% - Accent5 13 4 3 3 2" xfId="46688" xr:uid="{5A85FFF4-B580-46CE-AC82-979AF678E672}"/>
    <cellStyle name="40% - Accent5 13 4 3 4" xfId="30810" xr:uid="{532EE7FE-AC52-4184-8E01-1D81B9BEDEFB}"/>
    <cellStyle name="40% - Accent5 13 4 4" xfId="11373" xr:uid="{00000000-0005-0000-0000-00000F480000}"/>
    <cellStyle name="40% - Accent5 13 4 4 2" xfId="35222" xr:uid="{8657837F-F041-4D39-8461-E3DC4768D88E}"/>
    <cellStyle name="40% - Accent5 13 4 5" xfId="19328" xr:uid="{00000000-0005-0000-0000-000010480000}"/>
    <cellStyle name="40% - Accent5 13 4 5 2" xfId="43160" xr:uid="{6AFFD67B-DB67-4A66-B0C3-907124CB4723}"/>
    <cellStyle name="40% - Accent5 13 4 6" xfId="27280" xr:uid="{0D97A5A7-4B63-44DA-860E-2739D48FAE26}"/>
    <cellStyle name="40% - Accent5 13 4_Exh G" xfId="3212" xr:uid="{00000000-0005-0000-0000-000011480000}"/>
    <cellStyle name="40% - Accent5 13 5" xfId="4226" xr:uid="{00000000-0005-0000-0000-000012480000}"/>
    <cellStyle name="40% - Accent5 13 5 2" xfId="7818" xr:uid="{00000000-0005-0000-0000-000013480000}"/>
    <cellStyle name="40% - Accent5 13 5 2 2" xfId="15789" xr:uid="{00000000-0005-0000-0000-000014480000}"/>
    <cellStyle name="40% - Accent5 13 5 2 2 2" xfId="39631" xr:uid="{2F0EB797-71C4-472D-B3EB-9E607ECAB22F}"/>
    <cellStyle name="40% - Accent5 13 5 2 3" xfId="23735" xr:uid="{00000000-0005-0000-0000-000015480000}"/>
    <cellStyle name="40% - Accent5 13 5 2 3 2" xfId="47567" xr:uid="{9ECDF7B1-5AFC-4D52-8A53-5EB9C02AF5DC}"/>
    <cellStyle name="40% - Accent5 13 5 2 4" xfId="31690" xr:uid="{795F9026-2E26-40D7-AF90-EDD0B149F57B}"/>
    <cellStyle name="40% - Accent5 13 5 3" xfId="12251" xr:uid="{00000000-0005-0000-0000-000016480000}"/>
    <cellStyle name="40% - Accent5 13 5 3 2" xfId="36100" xr:uid="{BD107BCF-78EB-4A9C-855E-4B6965849B86}"/>
    <cellStyle name="40% - Accent5 13 5 4" xfId="20206" xr:uid="{00000000-0005-0000-0000-000017480000}"/>
    <cellStyle name="40% - Accent5 13 5 4 2" xfId="44038" xr:uid="{9D0D3D16-E100-437B-8EA2-CB59DD372DBA}"/>
    <cellStyle name="40% - Accent5 13 5 5" xfId="28159" xr:uid="{B9CCC364-0687-40A5-8237-185A7F9E5154}"/>
    <cellStyle name="40% - Accent5 13 6" xfId="6046" xr:uid="{00000000-0005-0000-0000-000018480000}"/>
    <cellStyle name="40% - Accent5 13 6 2" xfId="14030" xr:uid="{00000000-0005-0000-0000-000019480000}"/>
    <cellStyle name="40% - Accent5 13 6 2 2" xfId="37873" xr:uid="{507465C1-4B05-4DC6-A3AA-9983DC9309ED}"/>
    <cellStyle name="40% - Accent5 13 6 3" xfId="21978" xr:uid="{00000000-0005-0000-0000-00001A480000}"/>
    <cellStyle name="40% - Accent5 13 6 3 2" xfId="45810" xr:uid="{6FD98AF1-1140-45BD-908E-C4990F34756C}"/>
    <cellStyle name="40% - Accent5 13 6 4" xfId="29932" xr:uid="{84D79516-36DD-461D-9B48-7096C2E163DF}"/>
    <cellStyle name="40% - Accent5 13 7" xfId="9599" xr:uid="{00000000-0005-0000-0000-00001B480000}"/>
    <cellStyle name="40% - Accent5 13 7 2" xfId="17557" xr:uid="{00000000-0005-0000-0000-00001C480000}"/>
    <cellStyle name="40% - Accent5 13 7 2 2" xfId="41397" xr:uid="{9A6967E7-DC0F-47E9-A251-4432B997DA21}"/>
    <cellStyle name="40% - Accent5 13 7 3" xfId="25501" xr:uid="{00000000-0005-0000-0000-00001D480000}"/>
    <cellStyle name="40% - Accent5 13 7 3 2" xfId="49333" xr:uid="{3D90CEC4-618B-4BB4-9A13-438AA28A5D7E}"/>
    <cellStyle name="40% - Accent5 13 7 4" xfId="33456" xr:uid="{2EE329E5-9D49-4C5F-839D-46C9AC3DEAB8}"/>
    <cellStyle name="40% - Accent5 13 8" xfId="10495" xr:uid="{00000000-0005-0000-0000-00001E480000}"/>
    <cellStyle name="40% - Accent5 13 8 2" xfId="34344" xr:uid="{9A174B23-B4A5-4FB8-B59E-5B7CE3B66A6D}"/>
    <cellStyle name="40% - Accent5 13 9" xfId="18450" xr:uid="{00000000-0005-0000-0000-00001F480000}"/>
    <cellStyle name="40% - Accent5 13 9 2" xfId="42282" xr:uid="{54937CD3-2720-417F-BB62-6955966C69A6}"/>
    <cellStyle name="40% - Accent5 13_Exh G" xfId="3205" xr:uid="{00000000-0005-0000-0000-000020480000}"/>
    <cellStyle name="40% - Accent5 14" xfId="551" xr:uid="{00000000-0005-0000-0000-000021480000}"/>
    <cellStyle name="40% - Accent5 14 2" xfId="552" xr:uid="{00000000-0005-0000-0000-000022480000}"/>
    <cellStyle name="40% - Accent5 14 2 2" xfId="1580" xr:uid="{00000000-0005-0000-0000-000023480000}"/>
    <cellStyle name="40% - Accent5 14 2 2 2" xfId="5110" xr:uid="{00000000-0005-0000-0000-000024480000}"/>
    <cellStyle name="40% - Accent5 14 2 2 2 2" xfId="8701" xr:uid="{00000000-0005-0000-0000-000025480000}"/>
    <cellStyle name="40% - Accent5 14 2 2 2 2 2" xfId="16672" xr:uid="{00000000-0005-0000-0000-000026480000}"/>
    <cellStyle name="40% - Accent5 14 2 2 2 2 2 2" xfId="40514" xr:uid="{A87DA275-A6FD-477D-AA34-663F87A82386}"/>
    <cellStyle name="40% - Accent5 14 2 2 2 2 3" xfId="24618" xr:uid="{00000000-0005-0000-0000-000027480000}"/>
    <cellStyle name="40% - Accent5 14 2 2 2 2 3 2" xfId="48450" xr:uid="{86FF2831-04C1-491B-8579-E592E921A987}"/>
    <cellStyle name="40% - Accent5 14 2 2 2 2 4" xfId="32573" xr:uid="{B4624719-D5AE-495A-91E8-64D22B73AF10}"/>
    <cellStyle name="40% - Accent5 14 2 2 2 3" xfId="13134" xr:uid="{00000000-0005-0000-0000-000028480000}"/>
    <cellStyle name="40% - Accent5 14 2 2 2 3 2" xfId="36983" xr:uid="{24EA8D00-284C-4419-9FA5-9BB268D091F9}"/>
    <cellStyle name="40% - Accent5 14 2 2 2 4" xfId="21089" xr:uid="{00000000-0005-0000-0000-000029480000}"/>
    <cellStyle name="40% - Accent5 14 2 2 2 4 2" xfId="44921" xr:uid="{023EAF22-065C-45FA-A99E-EFEEF4A10E8E}"/>
    <cellStyle name="40% - Accent5 14 2 2 2 5" xfId="29042" xr:uid="{7CFEB8A0-3BBC-482A-AFB0-0CCE69476C79}"/>
    <cellStyle name="40% - Accent5 14 2 2 3" xfId="6942" xr:uid="{00000000-0005-0000-0000-00002A480000}"/>
    <cellStyle name="40% - Accent5 14 2 2 3 2" xfId="14914" xr:uid="{00000000-0005-0000-0000-00002B480000}"/>
    <cellStyle name="40% - Accent5 14 2 2 3 2 2" xfId="38756" xr:uid="{27CFACA1-9FA2-4E4F-85A0-0483161E1510}"/>
    <cellStyle name="40% - Accent5 14 2 2 3 3" xfId="22861" xr:uid="{00000000-0005-0000-0000-00002C480000}"/>
    <cellStyle name="40% - Accent5 14 2 2 3 3 2" xfId="46693" xr:uid="{1C9EA9AC-624E-46E5-BFC2-3F27B4F12718}"/>
    <cellStyle name="40% - Accent5 14 2 2 3 4" xfId="30815" xr:uid="{2BFC518A-506C-4471-98A2-C812551A99A9}"/>
    <cellStyle name="40% - Accent5 14 2 2 4" xfId="11378" xr:uid="{00000000-0005-0000-0000-00002D480000}"/>
    <cellStyle name="40% - Accent5 14 2 2 4 2" xfId="35227" xr:uid="{EE96FC44-908D-4051-B42E-BF26061DAB7B}"/>
    <cellStyle name="40% - Accent5 14 2 2 5" xfId="19333" xr:uid="{00000000-0005-0000-0000-00002E480000}"/>
    <cellStyle name="40% - Accent5 14 2 2 5 2" xfId="43165" xr:uid="{FBA24AE3-AB93-4502-B336-6ECFA87092F7}"/>
    <cellStyle name="40% - Accent5 14 2 2 6" xfId="27285" xr:uid="{B90FA1E4-9250-4342-8454-51BF83E5F4AA}"/>
    <cellStyle name="40% - Accent5 14 2 2_Exh G" xfId="3215" xr:uid="{00000000-0005-0000-0000-00002F480000}"/>
    <cellStyle name="40% - Accent5 14 2 3" xfId="4231" xr:uid="{00000000-0005-0000-0000-000030480000}"/>
    <cellStyle name="40% - Accent5 14 2 3 2" xfId="7823" xr:uid="{00000000-0005-0000-0000-000031480000}"/>
    <cellStyle name="40% - Accent5 14 2 3 2 2" xfId="15794" xr:uid="{00000000-0005-0000-0000-000032480000}"/>
    <cellStyle name="40% - Accent5 14 2 3 2 2 2" xfId="39636" xr:uid="{FD995432-4496-40D0-9177-85C0AEE114F4}"/>
    <cellStyle name="40% - Accent5 14 2 3 2 3" xfId="23740" xr:uid="{00000000-0005-0000-0000-000033480000}"/>
    <cellStyle name="40% - Accent5 14 2 3 2 3 2" xfId="47572" xr:uid="{615A4F72-A0CC-4190-80E2-C21F643289A3}"/>
    <cellStyle name="40% - Accent5 14 2 3 2 4" xfId="31695" xr:uid="{F9866643-7F58-43E4-B312-304E18D426C0}"/>
    <cellStyle name="40% - Accent5 14 2 3 3" xfId="12256" xr:uid="{00000000-0005-0000-0000-000034480000}"/>
    <cellStyle name="40% - Accent5 14 2 3 3 2" xfId="36105" xr:uid="{F40A3C03-0584-42F9-8A3A-9532A00C1F9E}"/>
    <cellStyle name="40% - Accent5 14 2 3 4" xfId="20211" xr:uid="{00000000-0005-0000-0000-000035480000}"/>
    <cellStyle name="40% - Accent5 14 2 3 4 2" xfId="44043" xr:uid="{05DC8586-A7A2-4263-8578-B4C7BD013ACE}"/>
    <cellStyle name="40% - Accent5 14 2 3 5" xfId="28164" xr:uid="{4AC21D15-F104-45B6-A153-640C02637F2D}"/>
    <cellStyle name="40% - Accent5 14 2 4" xfId="6051" xr:uid="{00000000-0005-0000-0000-000036480000}"/>
    <cellStyle name="40% - Accent5 14 2 4 2" xfId="14035" xr:uid="{00000000-0005-0000-0000-000037480000}"/>
    <cellStyle name="40% - Accent5 14 2 4 2 2" xfId="37878" xr:uid="{F9FA3D82-071B-4566-A5E7-EAE4AD6784CE}"/>
    <cellStyle name="40% - Accent5 14 2 4 3" xfId="21983" xr:uid="{00000000-0005-0000-0000-000038480000}"/>
    <cellStyle name="40% - Accent5 14 2 4 3 2" xfId="45815" xr:uid="{6E4BF537-6A6A-4559-B199-093F4D70E937}"/>
    <cellStyle name="40% - Accent5 14 2 4 4" xfId="29937" xr:uid="{D6E7F337-33FA-40CD-8483-A6325B859C6D}"/>
    <cellStyle name="40% - Accent5 14 2 5" xfId="9604" xr:uid="{00000000-0005-0000-0000-000039480000}"/>
    <cellStyle name="40% - Accent5 14 2 5 2" xfId="17562" xr:uid="{00000000-0005-0000-0000-00003A480000}"/>
    <cellStyle name="40% - Accent5 14 2 5 2 2" xfId="41402" xr:uid="{85CF1D77-AAE2-4EC6-ACE1-B3D5FCCF701D}"/>
    <cellStyle name="40% - Accent5 14 2 5 3" xfId="25506" xr:uid="{00000000-0005-0000-0000-00003B480000}"/>
    <cellStyle name="40% - Accent5 14 2 5 3 2" xfId="49338" xr:uid="{785B3C0F-D037-4713-8C60-4110BF1C12C3}"/>
    <cellStyle name="40% - Accent5 14 2 5 4" xfId="33461" xr:uid="{EE70ACF3-F9C4-489A-B2BA-3CA6D0878059}"/>
    <cellStyle name="40% - Accent5 14 2 6" xfId="10500" xr:uid="{00000000-0005-0000-0000-00003C480000}"/>
    <cellStyle name="40% - Accent5 14 2 6 2" xfId="34349" xr:uid="{5D97B6F2-C263-4ED5-AF26-5777CFA08C4E}"/>
    <cellStyle name="40% - Accent5 14 2 7" xfId="18455" xr:uid="{00000000-0005-0000-0000-00003D480000}"/>
    <cellStyle name="40% - Accent5 14 2 7 2" xfId="42287" xr:uid="{6368DA63-EFBD-4DB3-987F-D5B113DC0665}"/>
    <cellStyle name="40% - Accent5 14 2 8" xfId="26407" xr:uid="{7EDF2FC4-AFC9-4E87-AC98-90869DC3BAB2}"/>
    <cellStyle name="40% - Accent5 14 2_Exh G" xfId="3214" xr:uid="{00000000-0005-0000-0000-00003E480000}"/>
    <cellStyle name="40% - Accent5 14 3" xfId="1579" xr:uid="{00000000-0005-0000-0000-00003F480000}"/>
    <cellStyle name="40% - Accent5 14 3 2" xfId="5109" xr:uid="{00000000-0005-0000-0000-000040480000}"/>
    <cellStyle name="40% - Accent5 14 3 2 2" xfId="8700" xr:uid="{00000000-0005-0000-0000-000041480000}"/>
    <cellStyle name="40% - Accent5 14 3 2 2 2" xfId="16671" xr:uid="{00000000-0005-0000-0000-000042480000}"/>
    <cellStyle name="40% - Accent5 14 3 2 2 2 2" xfId="40513" xr:uid="{750095DA-3982-45E8-93D8-B454BD4290FF}"/>
    <cellStyle name="40% - Accent5 14 3 2 2 3" xfId="24617" xr:uid="{00000000-0005-0000-0000-000043480000}"/>
    <cellStyle name="40% - Accent5 14 3 2 2 3 2" xfId="48449" xr:uid="{FEF20280-883E-4942-B8FF-3D6D8D0A4DE3}"/>
    <cellStyle name="40% - Accent5 14 3 2 2 4" xfId="32572" xr:uid="{07CDACED-87C1-4696-BBE0-E6C405763BFA}"/>
    <cellStyle name="40% - Accent5 14 3 2 3" xfId="13133" xr:uid="{00000000-0005-0000-0000-000044480000}"/>
    <cellStyle name="40% - Accent5 14 3 2 3 2" xfId="36982" xr:uid="{4CCEAA05-DF26-418C-9FBC-F5D546F84BD1}"/>
    <cellStyle name="40% - Accent5 14 3 2 4" xfId="21088" xr:uid="{00000000-0005-0000-0000-000045480000}"/>
    <cellStyle name="40% - Accent5 14 3 2 4 2" xfId="44920" xr:uid="{19406633-C36F-4178-B1E6-2398F7E0EC01}"/>
    <cellStyle name="40% - Accent5 14 3 2 5" xfId="29041" xr:uid="{BD896F32-D481-4756-A234-615325C20067}"/>
    <cellStyle name="40% - Accent5 14 3 3" xfId="6941" xr:uid="{00000000-0005-0000-0000-000046480000}"/>
    <cellStyle name="40% - Accent5 14 3 3 2" xfId="14913" xr:uid="{00000000-0005-0000-0000-000047480000}"/>
    <cellStyle name="40% - Accent5 14 3 3 2 2" xfId="38755" xr:uid="{94A74396-FDB7-473E-89E9-03BF121F87CA}"/>
    <cellStyle name="40% - Accent5 14 3 3 3" xfId="22860" xr:uid="{00000000-0005-0000-0000-000048480000}"/>
    <cellStyle name="40% - Accent5 14 3 3 3 2" xfId="46692" xr:uid="{86D10B7E-A105-491C-9C87-688F677DBADA}"/>
    <cellStyle name="40% - Accent5 14 3 3 4" xfId="30814" xr:uid="{7FF8EA9D-F132-4D50-B07F-AD901800B79C}"/>
    <cellStyle name="40% - Accent5 14 3 4" xfId="11377" xr:uid="{00000000-0005-0000-0000-000049480000}"/>
    <cellStyle name="40% - Accent5 14 3 4 2" xfId="35226" xr:uid="{6EF648C2-D6FC-488C-BE3F-C779E187B160}"/>
    <cellStyle name="40% - Accent5 14 3 5" xfId="19332" xr:uid="{00000000-0005-0000-0000-00004A480000}"/>
    <cellStyle name="40% - Accent5 14 3 5 2" xfId="43164" xr:uid="{71FB03BA-7C7F-4A37-9EEF-4C385458F6C5}"/>
    <cellStyle name="40% - Accent5 14 3 6" xfId="27284" xr:uid="{C84D9CA0-F656-419C-8C57-BFC682313BD4}"/>
    <cellStyle name="40% - Accent5 14 3_Exh G" xfId="3216" xr:uid="{00000000-0005-0000-0000-00004B480000}"/>
    <cellStyle name="40% - Accent5 14 4" xfId="4230" xr:uid="{00000000-0005-0000-0000-00004C480000}"/>
    <cellStyle name="40% - Accent5 14 4 2" xfId="7822" xr:uid="{00000000-0005-0000-0000-00004D480000}"/>
    <cellStyle name="40% - Accent5 14 4 2 2" xfId="15793" xr:uid="{00000000-0005-0000-0000-00004E480000}"/>
    <cellStyle name="40% - Accent5 14 4 2 2 2" xfId="39635" xr:uid="{3DD39047-C37E-4FB9-8C23-E94F5515CA3E}"/>
    <cellStyle name="40% - Accent5 14 4 2 3" xfId="23739" xr:uid="{00000000-0005-0000-0000-00004F480000}"/>
    <cellStyle name="40% - Accent5 14 4 2 3 2" xfId="47571" xr:uid="{4D074174-2CBD-4783-A8C3-796BA4C93A34}"/>
    <cellStyle name="40% - Accent5 14 4 2 4" xfId="31694" xr:uid="{ED8F8004-8940-4A9A-8FE7-2CC0C5D3FB57}"/>
    <cellStyle name="40% - Accent5 14 4 3" xfId="12255" xr:uid="{00000000-0005-0000-0000-000050480000}"/>
    <cellStyle name="40% - Accent5 14 4 3 2" xfId="36104" xr:uid="{796C0E3A-0F30-462D-A9C9-BA19049FBE1D}"/>
    <cellStyle name="40% - Accent5 14 4 4" xfId="20210" xr:uid="{00000000-0005-0000-0000-000051480000}"/>
    <cellStyle name="40% - Accent5 14 4 4 2" xfId="44042" xr:uid="{85825F04-6F21-4E5D-9684-F9AD307EF14F}"/>
    <cellStyle name="40% - Accent5 14 4 5" xfId="28163" xr:uid="{E6D96C1F-FB9D-4FE4-9672-76301D705F6D}"/>
    <cellStyle name="40% - Accent5 14 5" xfId="6050" xr:uid="{00000000-0005-0000-0000-000052480000}"/>
    <cellStyle name="40% - Accent5 14 5 2" xfId="14034" xr:uid="{00000000-0005-0000-0000-000053480000}"/>
    <cellStyle name="40% - Accent5 14 5 2 2" xfId="37877" xr:uid="{D2C80E67-EC5B-4AF9-8180-6B6E125E960F}"/>
    <cellStyle name="40% - Accent5 14 5 3" xfId="21982" xr:uid="{00000000-0005-0000-0000-000054480000}"/>
    <cellStyle name="40% - Accent5 14 5 3 2" xfId="45814" xr:uid="{FF7E6320-4DE0-4358-8F76-86241937CEE4}"/>
    <cellStyle name="40% - Accent5 14 5 4" xfId="29936" xr:uid="{AE0785BA-AB09-43E8-B6EC-DEF97DD8F99F}"/>
    <cellStyle name="40% - Accent5 14 6" xfId="9603" xr:uid="{00000000-0005-0000-0000-000055480000}"/>
    <cellStyle name="40% - Accent5 14 6 2" xfId="17561" xr:uid="{00000000-0005-0000-0000-000056480000}"/>
    <cellStyle name="40% - Accent5 14 6 2 2" xfId="41401" xr:uid="{2822B855-01D6-4989-AF95-D9E9840F5D3B}"/>
    <cellStyle name="40% - Accent5 14 6 3" xfId="25505" xr:uid="{00000000-0005-0000-0000-000057480000}"/>
    <cellStyle name="40% - Accent5 14 6 3 2" xfId="49337" xr:uid="{5C6E1640-6CCE-4B64-81C1-2DD64F77FEDE}"/>
    <cellStyle name="40% - Accent5 14 6 4" xfId="33460" xr:uid="{3AC2138F-84A3-46E0-8340-B30448D473FD}"/>
    <cellStyle name="40% - Accent5 14 7" xfId="10499" xr:uid="{00000000-0005-0000-0000-000058480000}"/>
    <cellStyle name="40% - Accent5 14 7 2" xfId="34348" xr:uid="{B497E19D-7455-4419-AA92-B4B603197FB4}"/>
    <cellStyle name="40% - Accent5 14 8" xfId="18454" xr:uid="{00000000-0005-0000-0000-000059480000}"/>
    <cellStyle name="40% - Accent5 14 8 2" xfId="42286" xr:uid="{6AF802AF-1134-4E26-A0BB-E14CAA31328F}"/>
    <cellStyle name="40% - Accent5 14 9" xfId="26406" xr:uid="{D097E555-9A22-4B54-9571-174349FA46B4}"/>
    <cellStyle name="40% - Accent5 14_Exh G" xfId="3213" xr:uid="{00000000-0005-0000-0000-00005A480000}"/>
    <cellStyle name="40% - Accent5 15" xfId="553" xr:uid="{00000000-0005-0000-0000-00005B480000}"/>
    <cellStyle name="40% - Accent5 15 2" xfId="1581" xr:uid="{00000000-0005-0000-0000-00005C480000}"/>
    <cellStyle name="40% - Accent5 15 2 2" xfId="5111" xr:uid="{00000000-0005-0000-0000-00005D480000}"/>
    <cellStyle name="40% - Accent5 15 2 2 2" xfId="8702" xr:uid="{00000000-0005-0000-0000-00005E480000}"/>
    <cellStyle name="40% - Accent5 15 2 2 2 2" xfId="16673" xr:uid="{00000000-0005-0000-0000-00005F480000}"/>
    <cellStyle name="40% - Accent5 15 2 2 2 2 2" xfId="40515" xr:uid="{45B59297-50D7-49A9-82CA-CCA8BF1AAB22}"/>
    <cellStyle name="40% - Accent5 15 2 2 2 3" xfId="24619" xr:uid="{00000000-0005-0000-0000-000060480000}"/>
    <cellStyle name="40% - Accent5 15 2 2 2 3 2" xfId="48451" xr:uid="{AEC0F3B4-C6A3-4CB3-B499-C1DB4FAF5587}"/>
    <cellStyle name="40% - Accent5 15 2 2 2 4" xfId="32574" xr:uid="{D539FB9B-31D6-4641-954D-23435643E371}"/>
    <cellStyle name="40% - Accent5 15 2 2 3" xfId="13135" xr:uid="{00000000-0005-0000-0000-000061480000}"/>
    <cellStyle name="40% - Accent5 15 2 2 3 2" xfId="36984" xr:uid="{90C5664B-9C71-4FB3-8E00-08CB2D4CAB0F}"/>
    <cellStyle name="40% - Accent5 15 2 2 4" xfId="21090" xr:uid="{00000000-0005-0000-0000-000062480000}"/>
    <cellStyle name="40% - Accent5 15 2 2 4 2" xfId="44922" xr:uid="{AE150F2F-CE5B-4EF7-8BB7-58EA72BB1B2F}"/>
    <cellStyle name="40% - Accent5 15 2 2 5" xfId="29043" xr:uid="{C2B562DF-609A-4C46-AAC3-01A1D09A03AF}"/>
    <cellStyle name="40% - Accent5 15 2 3" xfId="6943" xr:uid="{00000000-0005-0000-0000-000063480000}"/>
    <cellStyle name="40% - Accent5 15 2 3 2" xfId="14915" xr:uid="{00000000-0005-0000-0000-000064480000}"/>
    <cellStyle name="40% - Accent5 15 2 3 2 2" xfId="38757" xr:uid="{6898D225-6453-48CC-9200-998C21204D52}"/>
    <cellStyle name="40% - Accent5 15 2 3 3" xfId="22862" xr:uid="{00000000-0005-0000-0000-000065480000}"/>
    <cellStyle name="40% - Accent5 15 2 3 3 2" xfId="46694" xr:uid="{162B9526-02DD-4573-B5DB-5C038F9A72A3}"/>
    <cellStyle name="40% - Accent5 15 2 3 4" xfId="30816" xr:uid="{7C90351E-44DF-49B6-B85E-DA50FFB8AA5A}"/>
    <cellStyle name="40% - Accent5 15 2 4" xfId="11379" xr:uid="{00000000-0005-0000-0000-000066480000}"/>
    <cellStyle name="40% - Accent5 15 2 4 2" xfId="35228" xr:uid="{D5607D04-167B-4A28-952B-ADE83B353874}"/>
    <cellStyle name="40% - Accent5 15 2 5" xfId="19334" xr:uid="{00000000-0005-0000-0000-000067480000}"/>
    <cellStyle name="40% - Accent5 15 2 5 2" xfId="43166" xr:uid="{9051E1E1-C070-46B1-9B20-02B8EB952050}"/>
    <cellStyle name="40% - Accent5 15 2 6" xfId="27286" xr:uid="{C294F8EF-D74A-4156-8822-E3A534A22A47}"/>
    <cellStyle name="40% - Accent5 15 2_Exh G" xfId="3218" xr:uid="{00000000-0005-0000-0000-000068480000}"/>
    <cellStyle name="40% - Accent5 15 3" xfId="4232" xr:uid="{00000000-0005-0000-0000-000069480000}"/>
    <cellStyle name="40% - Accent5 15 3 2" xfId="7824" xr:uid="{00000000-0005-0000-0000-00006A480000}"/>
    <cellStyle name="40% - Accent5 15 3 2 2" xfId="15795" xr:uid="{00000000-0005-0000-0000-00006B480000}"/>
    <cellStyle name="40% - Accent5 15 3 2 2 2" xfId="39637" xr:uid="{DC9CAE94-BE60-4BA1-AEAC-B891D63A237B}"/>
    <cellStyle name="40% - Accent5 15 3 2 3" xfId="23741" xr:uid="{00000000-0005-0000-0000-00006C480000}"/>
    <cellStyle name="40% - Accent5 15 3 2 3 2" xfId="47573" xr:uid="{8544B9FB-4A24-4788-B1D1-24689E0E1A59}"/>
    <cellStyle name="40% - Accent5 15 3 2 4" xfId="31696" xr:uid="{95D5525A-D4D5-4330-B10A-15446A041285}"/>
    <cellStyle name="40% - Accent5 15 3 3" xfId="12257" xr:uid="{00000000-0005-0000-0000-00006D480000}"/>
    <cellStyle name="40% - Accent5 15 3 3 2" xfId="36106" xr:uid="{5FF12F6D-5E52-47AE-9382-59AF093887F9}"/>
    <cellStyle name="40% - Accent5 15 3 4" xfId="20212" xr:uid="{00000000-0005-0000-0000-00006E480000}"/>
    <cellStyle name="40% - Accent5 15 3 4 2" xfId="44044" xr:uid="{B6183ECA-0A96-4397-9EB6-90CBF1375F7B}"/>
    <cellStyle name="40% - Accent5 15 3 5" xfId="28165" xr:uid="{B4E9B403-4BBC-4261-B951-090A88B71CE9}"/>
    <cellStyle name="40% - Accent5 15 4" xfId="6052" xr:uid="{00000000-0005-0000-0000-00006F480000}"/>
    <cellStyle name="40% - Accent5 15 4 2" xfId="14036" xr:uid="{00000000-0005-0000-0000-000070480000}"/>
    <cellStyle name="40% - Accent5 15 4 2 2" xfId="37879" xr:uid="{7FAE242B-1844-4972-B83B-43DCC4130ED9}"/>
    <cellStyle name="40% - Accent5 15 4 3" xfId="21984" xr:uid="{00000000-0005-0000-0000-000071480000}"/>
    <cellStyle name="40% - Accent5 15 4 3 2" xfId="45816" xr:uid="{73407971-4BBB-4EB9-AB5E-D283C3052321}"/>
    <cellStyle name="40% - Accent5 15 4 4" xfId="29938" xr:uid="{8808C4DA-A7FA-40DE-BD3C-10CB5D7D7E40}"/>
    <cellStyle name="40% - Accent5 15 5" xfId="9605" xr:uid="{00000000-0005-0000-0000-000072480000}"/>
    <cellStyle name="40% - Accent5 15 5 2" xfId="17563" xr:uid="{00000000-0005-0000-0000-000073480000}"/>
    <cellStyle name="40% - Accent5 15 5 2 2" xfId="41403" xr:uid="{18555CDD-3FF3-44A4-8372-FE5D914F4C5D}"/>
    <cellStyle name="40% - Accent5 15 5 3" xfId="25507" xr:uid="{00000000-0005-0000-0000-000074480000}"/>
    <cellStyle name="40% - Accent5 15 5 3 2" xfId="49339" xr:uid="{3EC61B75-FF6F-49F8-B00C-02060EE78D27}"/>
    <cellStyle name="40% - Accent5 15 5 4" xfId="33462" xr:uid="{CCF733DD-0ACC-4F1B-984F-F6C053CBD867}"/>
    <cellStyle name="40% - Accent5 15 6" xfId="10501" xr:uid="{00000000-0005-0000-0000-000075480000}"/>
    <cellStyle name="40% - Accent5 15 6 2" xfId="34350" xr:uid="{87F4ACC6-8A1C-4B7A-9770-4C49172EC9D3}"/>
    <cellStyle name="40% - Accent5 15 7" xfId="18456" xr:uid="{00000000-0005-0000-0000-000076480000}"/>
    <cellStyle name="40% - Accent5 15 7 2" xfId="42288" xr:uid="{64BECFFA-2B19-4B2B-AA3F-BF9023471057}"/>
    <cellStyle name="40% - Accent5 15 8" xfId="26408" xr:uid="{561C6C99-A82F-4A5B-8B13-DA1C554A364C}"/>
    <cellStyle name="40% - Accent5 15_Exh G" xfId="3217" xr:uid="{00000000-0005-0000-0000-000077480000}"/>
    <cellStyle name="40% - Accent5 16" xfId="853" xr:uid="{00000000-0005-0000-0000-000078480000}"/>
    <cellStyle name="40% - Accent5 16 2" xfId="1792" xr:uid="{00000000-0005-0000-0000-000079480000}"/>
    <cellStyle name="40% - Accent5 16 2 2" xfId="5313" xr:uid="{00000000-0005-0000-0000-00007A480000}"/>
    <cellStyle name="40% - Accent5 16 2 2 2" xfId="8904" xr:uid="{00000000-0005-0000-0000-00007B480000}"/>
    <cellStyle name="40% - Accent5 16 2 2 2 2" xfId="16875" xr:uid="{00000000-0005-0000-0000-00007C480000}"/>
    <cellStyle name="40% - Accent5 16 2 2 2 2 2" xfId="40717" xr:uid="{3A543201-E7B4-4AE1-AE09-B5572860F3B0}"/>
    <cellStyle name="40% - Accent5 16 2 2 2 3" xfId="24821" xr:uid="{00000000-0005-0000-0000-00007D480000}"/>
    <cellStyle name="40% - Accent5 16 2 2 2 3 2" xfId="48653" xr:uid="{B4BCD252-2B0E-4CEB-B8B6-9077BF7BE679}"/>
    <cellStyle name="40% - Accent5 16 2 2 2 4" xfId="32776" xr:uid="{6B70DB41-1BED-4BC3-BF82-76F3A247BAC9}"/>
    <cellStyle name="40% - Accent5 16 2 2 3" xfId="13337" xr:uid="{00000000-0005-0000-0000-00007E480000}"/>
    <cellStyle name="40% - Accent5 16 2 2 3 2" xfId="37186" xr:uid="{1DFF1A0B-0799-4D1A-A724-A830305DC6AA}"/>
    <cellStyle name="40% - Accent5 16 2 2 4" xfId="21292" xr:uid="{00000000-0005-0000-0000-00007F480000}"/>
    <cellStyle name="40% - Accent5 16 2 2 4 2" xfId="45124" xr:uid="{E2A0ED0C-BD0F-4BDC-BBB8-D1F7AD9BDA60}"/>
    <cellStyle name="40% - Accent5 16 2 2 5" xfId="29245" xr:uid="{9B21965A-0C7F-4F06-A33E-FB59FEA53644}"/>
    <cellStyle name="40% - Accent5 16 2 3" xfId="7145" xr:uid="{00000000-0005-0000-0000-000080480000}"/>
    <cellStyle name="40% - Accent5 16 2 3 2" xfId="15117" xr:uid="{00000000-0005-0000-0000-000081480000}"/>
    <cellStyle name="40% - Accent5 16 2 3 2 2" xfId="38959" xr:uid="{ED2F3203-EE32-41A1-8AFD-47C37014143B}"/>
    <cellStyle name="40% - Accent5 16 2 3 3" xfId="23064" xr:uid="{00000000-0005-0000-0000-000082480000}"/>
    <cellStyle name="40% - Accent5 16 2 3 3 2" xfId="46896" xr:uid="{483A81ED-277D-4EA1-A4FF-F00528E28D98}"/>
    <cellStyle name="40% - Accent5 16 2 3 4" xfId="31018" xr:uid="{D7009866-6D46-48B5-B7E0-335B856AAD64}"/>
    <cellStyle name="40% - Accent5 16 2 4" xfId="11581" xr:uid="{00000000-0005-0000-0000-000083480000}"/>
    <cellStyle name="40% - Accent5 16 2 4 2" xfId="35430" xr:uid="{947A51BC-71E0-4F90-B0B2-F6A389B42130}"/>
    <cellStyle name="40% - Accent5 16 2 5" xfId="19536" xr:uid="{00000000-0005-0000-0000-000084480000}"/>
    <cellStyle name="40% - Accent5 16 2 5 2" xfId="43368" xr:uid="{E8CADE72-9093-49CD-B862-27D4995105D0}"/>
    <cellStyle name="40% - Accent5 16 2 6" xfId="27488" xr:uid="{B75A51DF-84A0-4ED0-A0D3-253305B3572E}"/>
    <cellStyle name="40% - Accent5 16 2_Exh G" xfId="3220" xr:uid="{00000000-0005-0000-0000-000085480000}"/>
    <cellStyle name="40% - Accent5 16 3" xfId="4434" xr:uid="{00000000-0005-0000-0000-000086480000}"/>
    <cellStyle name="40% - Accent5 16 3 2" xfId="8026" xr:uid="{00000000-0005-0000-0000-000087480000}"/>
    <cellStyle name="40% - Accent5 16 3 2 2" xfId="15997" xr:uid="{00000000-0005-0000-0000-000088480000}"/>
    <cellStyle name="40% - Accent5 16 3 2 2 2" xfId="39839" xr:uid="{3222F8A7-7AB6-436A-B03B-233AE6C94E24}"/>
    <cellStyle name="40% - Accent5 16 3 2 3" xfId="23943" xr:uid="{00000000-0005-0000-0000-000089480000}"/>
    <cellStyle name="40% - Accent5 16 3 2 3 2" xfId="47775" xr:uid="{4E79650E-66BD-45F1-8376-5E23643AA111}"/>
    <cellStyle name="40% - Accent5 16 3 2 4" xfId="31898" xr:uid="{5A38635D-8A6E-4865-967E-E040F1415591}"/>
    <cellStyle name="40% - Accent5 16 3 3" xfId="12459" xr:uid="{00000000-0005-0000-0000-00008A480000}"/>
    <cellStyle name="40% - Accent5 16 3 3 2" xfId="36308" xr:uid="{BA18D0F4-90D0-409E-A4AF-D757AAB7BC95}"/>
    <cellStyle name="40% - Accent5 16 3 4" xfId="20414" xr:uid="{00000000-0005-0000-0000-00008B480000}"/>
    <cellStyle name="40% - Accent5 16 3 4 2" xfId="44246" xr:uid="{CF79851B-7D17-450E-B126-3CF6EC5D33C7}"/>
    <cellStyle name="40% - Accent5 16 3 5" xfId="28367" xr:uid="{4CCDD801-6BD0-453B-AEEF-EF58EF04E06C}"/>
    <cellStyle name="40% - Accent5 16 4" xfId="6264" xr:uid="{00000000-0005-0000-0000-00008C480000}"/>
    <cellStyle name="40% - Accent5 16 4 2" xfId="14239" xr:uid="{00000000-0005-0000-0000-00008D480000}"/>
    <cellStyle name="40% - Accent5 16 4 2 2" xfId="38081" xr:uid="{97C306EE-9BBF-47FF-9391-9BDE4F7371E9}"/>
    <cellStyle name="40% - Accent5 16 4 3" xfId="22186" xr:uid="{00000000-0005-0000-0000-00008E480000}"/>
    <cellStyle name="40% - Accent5 16 4 3 2" xfId="46018" xr:uid="{CC20F582-241D-42BC-8DA8-ACD6603483DB}"/>
    <cellStyle name="40% - Accent5 16 4 4" xfId="30140" xr:uid="{2E3B2E84-88CE-44EF-ACC9-5866309190C6}"/>
    <cellStyle name="40% - Accent5 16 5" xfId="9807" xr:uid="{00000000-0005-0000-0000-00008F480000}"/>
    <cellStyle name="40% - Accent5 16 5 2" xfId="17765" xr:uid="{00000000-0005-0000-0000-000090480000}"/>
    <cellStyle name="40% - Accent5 16 5 2 2" xfId="41605" xr:uid="{91F412A6-2C4A-45C5-B413-8CD43D495674}"/>
    <cellStyle name="40% - Accent5 16 5 3" xfId="25709" xr:uid="{00000000-0005-0000-0000-000091480000}"/>
    <cellStyle name="40% - Accent5 16 5 3 2" xfId="49541" xr:uid="{026C7D0F-08F0-4B01-BEB6-E13148599EC1}"/>
    <cellStyle name="40% - Accent5 16 5 4" xfId="33664" xr:uid="{5F67E43C-662E-4ABB-B343-6FB4A2045AEF}"/>
    <cellStyle name="40% - Accent5 16 6" xfId="10703" xr:uid="{00000000-0005-0000-0000-000092480000}"/>
    <cellStyle name="40% - Accent5 16 6 2" xfId="34552" xr:uid="{0CFA5871-4D49-43E0-B1A8-42F7F4690494}"/>
    <cellStyle name="40% - Accent5 16 7" xfId="18658" xr:uid="{00000000-0005-0000-0000-000093480000}"/>
    <cellStyle name="40% - Accent5 16 7 2" xfId="42490" xr:uid="{52124083-5C3A-4B56-A428-391342AAB3C4}"/>
    <cellStyle name="40% - Accent5 16 8" xfId="26610" xr:uid="{C0536E24-EAAB-43C4-A594-DD9AABCDB339}"/>
    <cellStyle name="40% - Accent5 16_Exh G" xfId="3219" xr:uid="{00000000-0005-0000-0000-000094480000}"/>
    <cellStyle name="40% - Accent5 17" xfId="49803" xr:uid="{99DE8CAF-EB84-4B39-9AD5-47FE7C321F29}"/>
    <cellStyle name="40% - Accent5 2" xfId="554" xr:uid="{00000000-0005-0000-0000-000095480000}"/>
    <cellStyle name="40% - Accent5 2 10" xfId="18457" xr:uid="{00000000-0005-0000-0000-000096480000}"/>
    <cellStyle name="40% - Accent5 2 10 2" xfId="42289" xr:uid="{A34EA5A1-7CE8-4D57-9EBD-D1E967452D74}"/>
    <cellStyle name="40% - Accent5 2 11" xfId="26409" xr:uid="{396EDF36-962F-4777-B011-EF85C564C412}"/>
    <cellStyle name="40% - Accent5 2 12" xfId="49788" xr:uid="{3FC80A06-80CE-4E62-B198-8C88D52433E7}"/>
    <cellStyle name="40% - Accent5 2 13" xfId="49816" xr:uid="{349A4023-ABC3-430F-A2CF-620CC5436BCF}"/>
    <cellStyle name="40% - Accent5 2 2" xfId="555" xr:uid="{00000000-0005-0000-0000-000097480000}"/>
    <cellStyle name="40% - Accent5 2 2 10" xfId="26410" xr:uid="{3588C593-35E6-43F0-AF21-20A253CC32D6}"/>
    <cellStyle name="40% - Accent5 2 2 2" xfId="556" xr:uid="{00000000-0005-0000-0000-000098480000}"/>
    <cellStyle name="40% - Accent5 2 2 2 2" xfId="1584" xr:uid="{00000000-0005-0000-0000-000099480000}"/>
    <cellStyle name="40% - Accent5 2 2 2 2 2" xfId="5114" xr:uid="{00000000-0005-0000-0000-00009A480000}"/>
    <cellStyle name="40% - Accent5 2 2 2 2 2 2" xfId="8705" xr:uid="{00000000-0005-0000-0000-00009B480000}"/>
    <cellStyle name="40% - Accent5 2 2 2 2 2 2 2" xfId="16676" xr:uid="{00000000-0005-0000-0000-00009C480000}"/>
    <cellStyle name="40% - Accent5 2 2 2 2 2 2 2 2" xfId="40518" xr:uid="{9C3DD8D3-0286-4EEC-B3DD-3E8213EDB12B}"/>
    <cellStyle name="40% - Accent5 2 2 2 2 2 2 3" xfId="24622" xr:uid="{00000000-0005-0000-0000-00009D480000}"/>
    <cellStyle name="40% - Accent5 2 2 2 2 2 2 3 2" xfId="48454" xr:uid="{D68BF65E-8655-488B-BA9B-CD7B093FC145}"/>
    <cellStyle name="40% - Accent5 2 2 2 2 2 2 4" xfId="32577" xr:uid="{6938FEEB-4861-4936-BEC7-A970C8C709BA}"/>
    <cellStyle name="40% - Accent5 2 2 2 2 2 3" xfId="13138" xr:uid="{00000000-0005-0000-0000-00009E480000}"/>
    <cellStyle name="40% - Accent5 2 2 2 2 2 3 2" xfId="36987" xr:uid="{A8C71695-0E3A-40FD-B6E5-AA2BE0285466}"/>
    <cellStyle name="40% - Accent5 2 2 2 2 2 4" xfId="21093" xr:uid="{00000000-0005-0000-0000-00009F480000}"/>
    <cellStyle name="40% - Accent5 2 2 2 2 2 4 2" xfId="44925" xr:uid="{A1B62697-58D4-4EA8-BC93-0269F4E3447C}"/>
    <cellStyle name="40% - Accent5 2 2 2 2 2 5" xfId="29046" xr:uid="{57A92F44-7991-40D6-8707-8F671BA18E9B}"/>
    <cellStyle name="40% - Accent5 2 2 2 2 3" xfId="6946" xr:uid="{00000000-0005-0000-0000-0000A0480000}"/>
    <cellStyle name="40% - Accent5 2 2 2 2 3 2" xfId="14918" xr:uid="{00000000-0005-0000-0000-0000A1480000}"/>
    <cellStyle name="40% - Accent5 2 2 2 2 3 2 2" xfId="38760" xr:uid="{AB915F0C-8E35-4F6C-A71D-58DD0438FADE}"/>
    <cellStyle name="40% - Accent5 2 2 2 2 3 3" xfId="22865" xr:uid="{00000000-0005-0000-0000-0000A2480000}"/>
    <cellStyle name="40% - Accent5 2 2 2 2 3 3 2" xfId="46697" xr:uid="{CF91C743-A9EA-4D1B-B7F8-CADF39B608C7}"/>
    <cellStyle name="40% - Accent5 2 2 2 2 3 4" xfId="30819" xr:uid="{2C531F78-0720-4A99-BD0F-A225510050AD}"/>
    <cellStyle name="40% - Accent5 2 2 2 2 4" xfId="11382" xr:uid="{00000000-0005-0000-0000-0000A3480000}"/>
    <cellStyle name="40% - Accent5 2 2 2 2 4 2" xfId="35231" xr:uid="{1E07348E-35B3-4A3B-8A3C-71FD835ECC45}"/>
    <cellStyle name="40% - Accent5 2 2 2 2 5" xfId="19337" xr:uid="{00000000-0005-0000-0000-0000A4480000}"/>
    <cellStyle name="40% - Accent5 2 2 2 2 5 2" xfId="43169" xr:uid="{12A0B604-CAB7-45B5-968E-3D4A8B664EFE}"/>
    <cellStyle name="40% - Accent5 2 2 2 2 6" xfId="27289" xr:uid="{E772B36C-8A9A-4D11-8CDA-3FA289BE2699}"/>
    <cellStyle name="40% - Accent5 2 2 2 2_Exh G" xfId="3224" xr:uid="{00000000-0005-0000-0000-0000A5480000}"/>
    <cellStyle name="40% - Accent5 2 2 2 3" xfId="4235" xr:uid="{00000000-0005-0000-0000-0000A6480000}"/>
    <cellStyle name="40% - Accent5 2 2 2 3 2" xfId="7827" xr:uid="{00000000-0005-0000-0000-0000A7480000}"/>
    <cellStyle name="40% - Accent5 2 2 2 3 2 2" xfId="15798" xr:uid="{00000000-0005-0000-0000-0000A8480000}"/>
    <cellStyle name="40% - Accent5 2 2 2 3 2 2 2" xfId="39640" xr:uid="{76AD2368-A125-49AA-8ABA-E75CD65514A5}"/>
    <cellStyle name="40% - Accent5 2 2 2 3 2 3" xfId="23744" xr:uid="{00000000-0005-0000-0000-0000A9480000}"/>
    <cellStyle name="40% - Accent5 2 2 2 3 2 3 2" xfId="47576" xr:uid="{DE4E5EB2-F67D-4742-A412-4175054E4B59}"/>
    <cellStyle name="40% - Accent5 2 2 2 3 2 4" xfId="31699" xr:uid="{011ACB49-798F-454A-8FA2-728DDE8AFA52}"/>
    <cellStyle name="40% - Accent5 2 2 2 3 3" xfId="12260" xr:uid="{00000000-0005-0000-0000-0000AA480000}"/>
    <cellStyle name="40% - Accent5 2 2 2 3 3 2" xfId="36109" xr:uid="{D8D4B208-40E5-4D51-9552-1210D0604EFA}"/>
    <cellStyle name="40% - Accent5 2 2 2 3 4" xfId="20215" xr:uid="{00000000-0005-0000-0000-0000AB480000}"/>
    <cellStyle name="40% - Accent5 2 2 2 3 4 2" xfId="44047" xr:uid="{4380C50E-A548-4191-B337-3BBD9BF9D72E}"/>
    <cellStyle name="40% - Accent5 2 2 2 3 5" xfId="28168" xr:uid="{E6E834E0-A3BB-467B-B1CD-158989B82DC2}"/>
    <cellStyle name="40% - Accent5 2 2 2 4" xfId="6055" xr:uid="{00000000-0005-0000-0000-0000AC480000}"/>
    <cellStyle name="40% - Accent5 2 2 2 4 2" xfId="14039" xr:uid="{00000000-0005-0000-0000-0000AD480000}"/>
    <cellStyle name="40% - Accent5 2 2 2 4 2 2" xfId="37882" xr:uid="{A268CAF4-BDBA-4000-B8D5-97B2DECC8579}"/>
    <cellStyle name="40% - Accent5 2 2 2 4 3" xfId="21987" xr:uid="{00000000-0005-0000-0000-0000AE480000}"/>
    <cellStyle name="40% - Accent5 2 2 2 4 3 2" xfId="45819" xr:uid="{17C9C45F-41B9-431F-AFDA-3D963C848621}"/>
    <cellStyle name="40% - Accent5 2 2 2 4 4" xfId="29941" xr:uid="{A9020FEE-9594-4C8A-A585-65867E9336DF}"/>
    <cellStyle name="40% - Accent5 2 2 2 5" xfId="9608" xr:uid="{00000000-0005-0000-0000-0000AF480000}"/>
    <cellStyle name="40% - Accent5 2 2 2 5 2" xfId="17566" xr:uid="{00000000-0005-0000-0000-0000B0480000}"/>
    <cellStyle name="40% - Accent5 2 2 2 5 2 2" xfId="41406" xr:uid="{E12FB27B-A397-4EA5-B960-6132F2396A40}"/>
    <cellStyle name="40% - Accent5 2 2 2 5 3" xfId="25510" xr:uid="{00000000-0005-0000-0000-0000B1480000}"/>
    <cellStyle name="40% - Accent5 2 2 2 5 3 2" xfId="49342" xr:uid="{026BA472-28CA-41B4-B720-E426439ED774}"/>
    <cellStyle name="40% - Accent5 2 2 2 5 4" xfId="33465" xr:uid="{56833549-F6E5-45D2-90B7-615AF506BB13}"/>
    <cellStyle name="40% - Accent5 2 2 2 6" xfId="10504" xr:uid="{00000000-0005-0000-0000-0000B2480000}"/>
    <cellStyle name="40% - Accent5 2 2 2 6 2" xfId="34353" xr:uid="{A2AEAAA2-C3BF-4EA1-A934-7C036EF175B4}"/>
    <cellStyle name="40% - Accent5 2 2 2 7" xfId="18459" xr:uid="{00000000-0005-0000-0000-0000B3480000}"/>
    <cellStyle name="40% - Accent5 2 2 2 7 2" xfId="42291" xr:uid="{CCD185D2-5D4F-4B2D-8E20-C52927D05608}"/>
    <cellStyle name="40% - Accent5 2 2 2 8" xfId="26411" xr:uid="{B904C3B7-66A5-4A60-A8FC-1378ABDCD16D}"/>
    <cellStyle name="40% - Accent5 2 2 2_Exh G" xfId="3223" xr:uid="{00000000-0005-0000-0000-0000B4480000}"/>
    <cellStyle name="40% - Accent5 2 2 3" xfId="984" xr:uid="{00000000-0005-0000-0000-0000B5480000}"/>
    <cellStyle name="40% - Accent5 2 2 3 2" xfId="1900" xr:uid="{00000000-0005-0000-0000-0000B6480000}"/>
    <cellStyle name="40% - Accent5 2 2 3 2 2" xfId="5418" xr:uid="{00000000-0005-0000-0000-0000B7480000}"/>
    <cellStyle name="40% - Accent5 2 2 3 2 2 2" xfId="9009" xr:uid="{00000000-0005-0000-0000-0000B8480000}"/>
    <cellStyle name="40% - Accent5 2 2 3 2 2 2 2" xfId="16980" xr:uid="{00000000-0005-0000-0000-0000B9480000}"/>
    <cellStyle name="40% - Accent5 2 2 3 2 2 2 2 2" xfId="40822" xr:uid="{DBB28B72-81AD-4D61-B9EE-3F65F3B6B3B1}"/>
    <cellStyle name="40% - Accent5 2 2 3 2 2 2 3" xfId="24926" xr:uid="{00000000-0005-0000-0000-0000BA480000}"/>
    <cellStyle name="40% - Accent5 2 2 3 2 2 2 3 2" xfId="48758" xr:uid="{322297E3-E1B3-4952-AEB8-F1985461739A}"/>
    <cellStyle name="40% - Accent5 2 2 3 2 2 2 4" xfId="32881" xr:uid="{46499BC7-8968-47E1-90EC-A38048BF7404}"/>
    <cellStyle name="40% - Accent5 2 2 3 2 2 3" xfId="13442" xr:uid="{00000000-0005-0000-0000-0000BB480000}"/>
    <cellStyle name="40% - Accent5 2 2 3 2 2 3 2" xfId="37291" xr:uid="{39DD4591-A161-46BD-83A9-F5D2FA99343C}"/>
    <cellStyle name="40% - Accent5 2 2 3 2 2 4" xfId="21397" xr:uid="{00000000-0005-0000-0000-0000BC480000}"/>
    <cellStyle name="40% - Accent5 2 2 3 2 2 4 2" xfId="45229" xr:uid="{A0D8E1B9-D02F-4137-B218-BCA1113EE08E}"/>
    <cellStyle name="40% - Accent5 2 2 3 2 2 5" xfId="29350" xr:uid="{156BC1A4-765E-4AA9-AE87-00368E29F34A}"/>
    <cellStyle name="40% - Accent5 2 2 3 2 3" xfId="7250" xr:uid="{00000000-0005-0000-0000-0000BD480000}"/>
    <cellStyle name="40% - Accent5 2 2 3 2 3 2" xfId="15222" xr:uid="{00000000-0005-0000-0000-0000BE480000}"/>
    <cellStyle name="40% - Accent5 2 2 3 2 3 2 2" xfId="39064" xr:uid="{01E36FD4-B13B-487C-900C-45397C42104A}"/>
    <cellStyle name="40% - Accent5 2 2 3 2 3 3" xfId="23169" xr:uid="{00000000-0005-0000-0000-0000BF480000}"/>
    <cellStyle name="40% - Accent5 2 2 3 2 3 3 2" xfId="47001" xr:uid="{58C511D1-C204-47A1-8A1A-0248D8B8EC7A}"/>
    <cellStyle name="40% - Accent5 2 2 3 2 3 4" xfId="31123" xr:uid="{B8F3C77E-0E70-4E53-AEF5-A6420FB6DAF1}"/>
    <cellStyle name="40% - Accent5 2 2 3 2 4" xfId="11686" xr:uid="{00000000-0005-0000-0000-0000C0480000}"/>
    <cellStyle name="40% - Accent5 2 2 3 2 4 2" xfId="35535" xr:uid="{D176C7D1-C2F1-4F08-BBB7-9C3CFC725060}"/>
    <cellStyle name="40% - Accent5 2 2 3 2 5" xfId="19641" xr:uid="{00000000-0005-0000-0000-0000C1480000}"/>
    <cellStyle name="40% - Accent5 2 2 3 2 5 2" xfId="43473" xr:uid="{629CFFD8-FA40-4660-A0F1-CD139B9B1509}"/>
    <cellStyle name="40% - Accent5 2 2 3 2 6" xfId="27593" xr:uid="{0902A8A4-B12C-48DA-B5E8-2C30A757E03B}"/>
    <cellStyle name="40% - Accent5 2 2 3 2_Exh G" xfId="3226" xr:uid="{00000000-0005-0000-0000-0000C2480000}"/>
    <cellStyle name="40% - Accent5 2 2 3 3" xfId="4539" xr:uid="{00000000-0005-0000-0000-0000C3480000}"/>
    <cellStyle name="40% - Accent5 2 2 3 3 2" xfId="8131" xr:uid="{00000000-0005-0000-0000-0000C4480000}"/>
    <cellStyle name="40% - Accent5 2 2 3 3 2 2" xfId="16102" xr:uid="{00000000-0005-0000-0000-0000C5480000}"/>
    <cellStyle name="40% - Accent5 2 2 3 3 2 2 2" xfId="39944" xr:uid="{EE099D0A-90E9-4F14-9812-A0817DBAC1C3}"/>
    <cellStyle name="40% - Accent5 2 2 3 3 2 3" xfId="24048" xr:uid="{00000000-0005-0000-0000-0000C6480000}"/>
    <cellStyle name="40% - Accent5 2 2 3 3 2 3 2" xfId="47880" xr:uid="{ECB6F151-1678-4071-B97E-726DA09A370F}"/>
    <cellStyle name="40% - Accent5 2 2 3 3 2 4" xfId="32003" xr:uid="{296A20F6-2FAB-452B-9E05-C767A1CF13E2}"/>
    <cellStyle name="40% - Accent5 2 2 3 3 3" xfId="12564" xr:uid="{00000000-0005-0000-0000-0000C7480000}"/>
    <cellStyle name="40% - Accent5 2 2 3 3 3 2" xfId="36413" xr:uid="{CAEB651B-3885-46BD-B368-FA0E5638907E}"/>
    <cellStyle name="40% - Accent5 2 2 3 3 4" xfId="20519" xr:uid="{00000000-0005-0000-0000-0000C8480000}"/>
    <cellStyle name="40% - Accent5 2 2 3 3 4 2" xfId="44351" xr:uid="{10BFC67F-1EF4-4F27-AFFC-B240B1D4A45C}"/>
    <cellStyle name="40% - Accent5 2 2 3 3 5" xfId="28472" xr:uid="{0E872EAF-DFB6-4CA0-B909-921C76F7CDB8}"/>
    <cellStyle name="40% - Accent5 2 2 3 4" xfId="6369" xr:uid="{00000000-0005-0000-0000-0000C9480000}"/>
    <cellStyle name="40% - Accent5 2 2 3 4 2" xfId="14344" xr:uid="{00000000-0005-0000-0000-0000CA480000}"/>
    <cellStyle name="40% - Accent5 2 2 3 4 2 2" xfId="38186" xr:uid="{3A05DD94-6D40-4E53-864D-FA74ED518B9A}"/>
    <cellStyle name="40% - Accent5 2 2 3 4 3" xfId="22291" xr:uid="{00000000-0005-0000-0000-0000CB480000}"/>
    <cellStyle name="40% - Accent5 2 2 3 4 3 2" xfId="46123" xr:uid="{3CC98061-761C-4FAE-B94F-2423AADB3B44}"/>
    <cellStyle name="40% - Accent5 2 2 3 4 4" xfId="30245" xr:uid="{628F9254-6E35-4608-8FBB-360A8F894FB1}"/>
    <cellStyle name="40% - Accent5 2 2 3 5" xfId="9912" xr:uid="{00000000-0005-0000-0000-0000CC480000}"/>
    <cellStyle name="40% - Accent5 2 2 3 5 2" xfId="17870" xr:uid="{00000000-0005-0000-0000-0000CD480000}"/>
    <cellStyle name="40% - Accent5 2 2 3 5 2 2" xfId="41710" xr:uid="{F87A266E-0F37-452B-BA41-6BB13AE77241}"/>
    <cellStyle name="40% - Accent5 2 2 3 5 3" xfId="25814" xr:uid="{00000000-0005-0000-0000-0000CE480000}"/>
    <cellStyle name="40% - Accent5 2 2 3 5 3 2" xfId="49646" xr:uid="{AAD086C0-F0F5-44C1-B3A8-365B8B68A1DD}"/>
    <cellStyle name="40% - Accent5 2 2 3 5 4" xfId="33769" xr:uid="{507EDED8-8BC4-47B4-B6A0-919C780A6CCD}"/>
    <cellStyle name="40% - Accent5 2 2 3 6" xfId="10808" xr:uid="{00000000-0005-0000-0000-0000CF480000}"/>
    <cellStyle name="40% - Accent5 2 2 3 6 2" xfId="34657" xr:uid="{FC503E6E-83FC-481A-A249-ADFDA098647C}"/>
    <cellStyle name="40% - Accent5 2 2 3 7" xfId="18763" xr:uid="{00000000-0005-0000-0000-0000D0480000}"/>
    <cellStyle name="40% - Accent5 2 2 3 7 2" xfId="42595" xr:uid="{0CD448B3-8AB3-481A-8989-68B7CFC59DBA}"/>
    <cellStyle name="40% - Accent5 2 2 3 8" xfId="26715" xr:uid="{AA260A63-0977-4E12-965B-E08806DBE3A6}"/>
    <cellStyle name="40% - Accent5 2 2 3_Exh G" xfId="3225" xr:uid="{00000000-0005-0000-0000-0000D1480000}"/>
    <cellStyle name="40% - Accent5 2 2 4" xfId="1583" xr:uid="{00000000-0005-0000-0000-0000D2480000}"/>
    <cellStyle name="40% - Accent5 2 2 4 2" xfId="5113" xr:uid="{00000000-0005-0000-0000-0000D3480000}"/>
    <cellStyle name="40% - Accent5 2 2 4 2 2" xfId="8704" xr:uid="{00000000-0005-0000-0000-0000D4480000}"/>
    <cellStyle name="40% - Accent5 2 2 4 2 2 2" xfId="16675" xr:uid="{00000000-0005-0000-0000-0000D5480000}"/>
    <cellStyle name="40% - Accent5 2 2 4 2 2 2 2" xfId="40517" xr:uid="{F75550CF-B7E4-4B7D-B2A2-B35CA19D1C8D}"/>
    <cellStyle name="40% - Accent5 2 2 4 2 2 3" xfId="24621" xr:uid="{00000000-0005-0000-0000-0000D6480000}"/>
    <cellStyle name="40% - Accent5 2 2 4 2 2 3 2" xfId="48453" xr:uid="{0ED22470-6836-4EB4-AC63-2AEEE5970006}"/>
    <cellStyle name="40% - Accent5 2 2 4 2 2 4" xfId="32576" xr:uid="{FE5C75A0-2E65-4D06-8ECF-087789F30D97}"/>
    <cellStyle name="40% - Accent5 2 2 4 2 3" xfId="13137" xr:uid="{00000000-0005-0000-0000-0000D7480000}"/>
    <cellStyle name="40% - Accent5 2 2 4 2 3 2" xfId="36986" xr:uid="{8097C01A-89F3-4D95-9319-7416AD3EE564}"/>
    <cellStyle name="40% - Accent5 2 2 4 2 4" xfId="21092" xr:uid="{00000000-0005-0000-0000-0000D8480000}"/>
    <cellStyle name="40% - Accent5 2 2 4 2 4 2" xfId="44924" xr:uid="{D14519F6-E3DA-4EB6-8814-9ACD7FFF64C8}"/>
    <cellStyle name="40% - Accent5 2 2 4 2 5" xfId="29045" xr:uid="{D504A5D4-E813-4397-88A3-593A68EEAE8B}"/>
    <cellStyle name="40% - Accent5 2 2 4 3" xfId="6945" xr:uid="{00000000-0005-0000-0000-0000D9480000}"/>
    <cellStyle name="40% - Accent5 2 2 4 3 2" xfId="14917" xr:uid="{00000000-0005-0000-0000-0000DA480000}"/>
    <cellStyle name="40% - Accent5 2 2 4 3 2 2" xfId="38759" xr:uid="{149FE942-4760-49ED-B7B5-103202838926}"/>
    <cellStyle name="40% - Accent5 2 2 4 3 3" xfId="22864" xr:uid="{00000000-0005-0000-0000-0000DB480000}"/>
    <cellStyle name="40% - Accent5 2 2 4 3 3 2" xfId="46696" xr:uid="{5946E843-B60E-4FCC-A8BE-2E5998AE3023}"/>
    <cellStyle name="40% - Accent5 2 2 4 3 4" xfId="30818" xr:uid="{2E782D9D-6879-4D0D-BCBD-C85791DB0176}"/>
    <cellStyle name="40% - Accent5 2 2 4 4" xfId="11381" xr:uid="{00000000-0005-0000-0000-0000DC480000}"/>
    <cellStyle name="40% - Accent5 2 2 4 4 2" xfId="35230" xr:uid="{A7B25BF7-4D4D-4547-B627-BC7193D1192E}"/>
    <cellStyle name="40% - Accent5 2 2 4 5" xfId="19336" xr:uid="{00000000-0005-0000-0000-0000DD480000}"/>
    <cellStyle name="40% - Accent5 2 2 4 5 2" xfId="43168" xr:uid="{DAFA34F0-EC07-4B8D-917F-7B8E2DDFDD8A}"/>
    <cellStyle name="40% - Accent5 2 2 4 6" xfId="27288" xr:uid="{322222B1-5109-429E-9750-0E420523A6C6}"/>
    <cellStyle name="40% - Accent5 2 2 4_Exh G" xfId="3227" xr:uid="{00000000-0005-0000-0000-0000DE480000}"/>
    <cellStyle name="40% - Accent5 2 2 5" xfId="4234" xr:uid="{00000000-0005-0000-0000-0000DF480000}"/>
    <cellStyle name="40% - Accent5 2 2 5 2" xfId="7826" xr:uid="{00000000-0005-0000-0000-0000E0480000}"/>
    <cellStyle name="40% - Accent5 2 2 5 2 2" xfId="15797" xr:uid="{00000000-0005-0000-0000-0000E1480000}"/>
    <cellStyle name="40% - Accent5 2 2 5 2 2 2" xfId="39639" xr:uid="{15378BF8-AAA5-4BA8-9D49-3F1AFA163710}"/>
    <cellStyle name="40% - Accent5 2 2 5 2 3" xfId="23743" xr:uid="{00000000-0005-0000-0000-0000E2480000}"/>
    <cellStyle name="40% - Accent5 2 2 5 2 3 2" xfId="47575" xr:uid="{3EB191A9-5463-4B1B-B1EC-6D3AA74D2A5E}"/>
    <cellStyle name="40% - Accent5 2 2 5 2 4" xfId="31698" xr:uid="{D87BDA7F-8466-4896-AF40-B7F96781FEAD}"/>
    <cellStyle name="40% - Accent5 2 2 5 3" xfId="12259" xr:uid="{00000000-0005-0000-0000-0000E3480000}"/>
    <cellStyle name="40% - Accent5 2 2 5 3 2" xfId="36108" xr:uid="{1F094A9E-7381-469B-BDAD-497867D4A6B4}"/>
    <cellStyle name="40% - Accent5 2 2 5 4" xfId="20214" xr:uid="{00000000-0005-0000-0000-0000E4480000}"/>
    <cellStyle name="40% - Accent5 2 2 5 4 2" xfId="44046" xr:uid="{E0F945ED-91E6-4617-A383-57F52DD3A71D}"/>
    <cellStyle name="40% - Accent5 2 2 5 5" xfId="28167" xr:uid="{614BDB01-7B36-4179-8F70-8D5B4F815F2F}"/>
    <cellStyle name="40% - Accent5 2 2 6" xfId="6054" xr:uid="{00000000-0005-0000-0000-0000E5480000}"/>
    <cellStyle name="40% - Accent5 2 2 6 2" xfId="14038" xr:uid="{00000000-0005-0000-0000-0000E6480000}"/>
    <cellStyle name="40% - Accent5 2 2 6 2 2" xfId="37881" xr:uid="{E94310C8-2DF8-4AC9-B4D7-99E2D5B3EE0F}"/>
    <cellStyle name="40% - Accent5 2 2 6 3" xfId="21986" xr:uid="{00000000-0005-0000-0000-0000E7480000}"/>
    <cellStyle name="40% - Accent5 2 2 6 3 2" xfId="45818" xr:uid="{355AF243-B774-4D95-98E4-8C42DA2D5845}"/>
    <cellStyle name="40% - Accent5 2 2 6 4" xfId="29940" xr:uid="{A5606489-1E17-447F-84C1-DE6F6F2288B6}"/>
    <cellStyle name="40% - Accent5 2 2 7" xfId="9607" xr:uid="{00000000-0005-0000-0000-0000E8480000}"/>
    <cellStyle name="40% - Accent5 2 2 7 2" xfId="17565" xr:uid="{00000000-0005-0000-0000-0000E9480000}"/>
    <cellStyle name="40% - Accent5 2 2 7 2 2" xfId="41405" xr:uid="{6332A41A-C0AA-431C-8313-6DD41F159596}"/>
    <cellStyle name="40% - Accent5 2 2 7 3" xfId="25509" xr:uid="{00000000-0005-0000-0000-0000EA480000}"/>
    <cellStyle name="40% - Accent5 2 2 7 3 2" xfId="49341" xr:uid="{8215D33E-DD6F-46DF-AE66-D43B30BF4ED4}"/>
    <cellStyle name="40% - Accent5 2 2 7 4" xfId="33464" xr:uid="{4FBBDD16-C195-440C-9F14-B268F7CAFAB5}"/>
    <cellStyle name="40% - Accent5 2 2 8" xfId="10503" xr:uid="{00000000-0005-0000-0000-0000EB480000}"/>
    <cellStyle name="40% - Accent5 2 2 8 2" xfId="34352" xr:uid="{2F82AD8E-0554-488A-B76F-A04D726BEBCC}"/>
    <cellStyle name="40% - Accent5 2 2 9" xfId="18458" xr:uid="{00000000-0005-0000-0000-0000EC480000}"/>
    <cellStyle name="40% - Accent5 2 2 9 2" xfId="42290" xr:uid="{0E348BB0-8EDB-46C7-8D9A-D950C7A9138E}"/>
    <cellStyle name="40% - Accent5 2 2_Exh G" xfId="3222" xr:uid="{00000000-0005-0000-0000-0000ED480000}"/>
    <cellStyle name="40% - Accent5 2 3" xfId="557" xr:uid="{00000000-0005-0000-0000-0000EE480000}"/>
    <cellStyle name="40% - Accent5 2 3 2" xfId="1585" xr:uid="{00000000-0005-0000-0000-0000EF480000}"/>
    <cellStyle name="40% - Accent5 2 3 2 2" xfId="5115" xr:uid="{00000000-0005-0000-0000-0000F0480000}"/>
    <cellStyle name="40% - Accent5 2 3 2 2 2" xfId="8706" xr:uid="{00000000-0005-0000-0000-0000F1480000}"/>
    <cellStyle name="40% - Accent5 2 3 2 2 2 2" xfId="16677" xr:uid="{00000000-0005-0000-0000-0000F2480000}"/>
    <cellStyle name="40% - Accent5 2 3 2 2 2 2 2" xfId="40519" xr:uid="{7BC58B71-ED89-4358-9C09-D06F8EAECE78}"/>
    <cellStyle name="40% - Accent5 2 3 2 2 2 3" xfId="24623" xr:uid="{00000000-0005-0000-0000-0000F3480000}"/>
    <cellStyle name="40% - Accent5 2 3 2 2 2 3 2" xfId="48455" xr:uid="{BD9955B6-D1FB-4185-87AE-196E519E9D47}"/>
    <cellStyle name="40% - Accent5 2 3 2 2 2 4" xfId="32578" xr:uid="{D850DA75-4AE1-48A9-B19C-036A40B2E442}"/>
    <cellStyle name="40% - Accent5 2 3 2 2 3" xfId="13139" xr:uid="{00000000-0005-0000-0000-0000F4480000}"/>
    <cellStyle name="40% - Accent5 2 3 2 2 3 2" xfId="36988" xr:uid="{8C3B32B8-723D-4E5D-B14F-E647A799451C}"/>
    <cellStyle name="40% - Accent5 2 3 2 2 4" xfId="21094" xr:uid="{00000000-0005-0000-0000-0000F5480000}"/>
    <cellStyle name="40% - Accent5 2 3 2 2 4 2" xfId="44926" xr:uid="{C82CA078-5EAE-440C-B8C5-B4934A1F3722}"/>
    <cellStyle name="40% - Accent5 2 3 2 2 5" xfId="29047" xr:uid="{C36FF37F-893A-45A5-9F3F-173840570ED4}"/>
    <cellStyle name="40% - Accent5 2 3 2 3" xfId="6947" xr:uid="{00000000-0005-0000-0000-0000F6480000}"/>
    <cellStyle name="40% - Accent5 2 3 2 3 2" xfId="14919" xr:uid="{00000000-0005-0000-0000-0000F7480000}"/>
    <cellStyle name="40% - Accent5 2 3 2 3 2 2" xfId="38761" xr:uid="{DCBCD38D-EB88-411B-95C6-A53885947C23}"/>
    <cellStyle name="40% - Accent5 2 3 2 3 3" xfId="22866" xr:uid="{00000000-0005-0000-0000-0000F8480000}"/>
    <cellStyle name="40% - Accent5 2 3 2 3 3 2" xfId="46698" xr:uid="{F355AD8E-DFCD-4F85-B231-125C6BC0B89F}"/>
    <cellStyle name="40% - Accent5 2 3 2 3 4" xfId="30820" xr:uid="{4A49A045-FC4A-43CE-B09E-B0CED0C3B54E}"/>
    <cellStyle name="40% - Accent5 2 3 2 4" xfId="11383" xr:uid="{00000000-0005-0000-0000-0000F9480000}"/>
    <cellStyle name="40% - Accent5 2 3 2 4 2" xfId="35232" xr:uid="{6DF3EFF6-3BC1-4195-A472-9718AC747E6D}"/>
    <cellStyle name="40% - Accent5 2 3 2 5" xfId="19338" xr:uid="{00000000-0005-0000-0000-0000FA480000}"/>
    <cellStyle name="40% - Accent5 2 3 2 5 2" xfId="43170" xr:uid="{47E8BBB5-E213-404B-8690-905890B39232}"/>
    <cellStyle name="40% - Accent5 2 3 2 6" xfId="27290" xr:uid="{558038B2-875C-41F5-9C69-D2262DB0EFD6}"/>
    <cellStyle name="40% - Accent5 2 3 2_Exh G" xfId="3229" xr:uid="{00000000-0005-0000-0000-0000FB480000}"/>
    <cellStyle name="40% - Accent5 2 3 3" xfId="4236" xr:uid="{00000000-0005-0000-0000-0000FC480000}"/>
    <cellStyle name="40% - Accent5 2 3 3 2" xfId="7828" xr:uid="{00000000-0005-0000-0000-0000FD480000}"/>
    <cellStyle name="40% - Accent5 2 3 3 2 2" xfId="15799" xr:uid="{00000000-0005-0000-0000-0000FE480000}"/>
    <cellStyle name="40% - Accent5 2 3 3 2 2 2" xfId="39641" xr:uid="{40B0F49C-C5B9-468C-B277-4D2B7454AF7F}"/>
    <cellStyle name="40% - Accent5 2 3 3 2 3" xfId="23745" xr:uid="{00000000-0005-0000-0000-0000FF480000}"/>
    <cellStyle name="40% - Accent5 2 3 3 2 3 2" xfId="47577" xr:uid="{ECCD6E83-5C28-400E-9587-391EDF228189}"/>
    <cellStyle name="40% - Accent5 2 3 3 2 4" xfId="31700" xr:uid="{F83C0F0D-A290-49B1-9734-8DCF4C1A9209}"/>
    <cellStyle name="40% - Accent5 2 3 3 3" xfId="12261" xr:uid="{00000000-0005-0000-0000-000000490000}"/>
    <cellStyle name="40% - Accent5 2 3 3 3 2" xfId="36110" xr:uid="{2A26661B-2A4D-4AB9-9A05-DECBB048C976}"/>
    <cellStyle name="40% - Accent5 2 3 3 4" xfId="20216" xr:uid="{00000000-0005-0000-0000-000001490000}"/>
    <cellStyle name="40% - Accent5 2 3 3 4 2" xfId="44048" xr:uid="{0158AB31-7F83-4FDB-8B99-66A56F38AB2F}"/>
    <cellStyle name="40% - Accent5 2 3 3 5" xfId="28169" xr:uid="{63EF5C4A-4112-4F56-B763-672BD399FE00}"/>
    <cellStyle name="40% - Accent5 2 3 4" xfId="6056" xr:uid="{00000000-0005-0000-0000-000002490000}"/>
    <cellStyle name="40% - Accent5 2 3 4 2" xfId="14040" xr:uid="{00000000-0005-0000-0000-000003490000}"/>
    <cellStyle name="40% - Accent5 2 3 4 2 2" xfId="37883" xr:uid="{B30CDE2E-4185-4F54-859D-D13941DD67B9}"/>
    <cellStyle name="40% - Accent5 2 3 4 3" xfId="21988" xr:uid="{00000000-0005-0000-0000-000004490000}"/>
    <cellStyle name="40% - Accent5 2 3 4 3 2" xfId="45820" xr:uid="{01AE56E4-4AD1-4029-A6D5-8384603A694E}"/>
    <cellStyle name="40% - Accent5 2 3 4 4" xfId="29942" xr:uid="{799EF060-8825-4EDA-942D-2F3637EB155A}"/>
    <cellStyle name="40% - Accent5 2 3 5" xfId="9609" xr:uid="{00000000-0005-0000-0000-000005490000}"/>
    <cellStyle name="40% - Accent5 2 3 5 2" xfId="17567" xr:uid="{00000000-0005-0000-0000-000006490000}"/>
    <cellStyle name="40% - Accent5 2 3 5 2 2" xfId="41407" xr:uid="{CC1635FD-7F91-4EAD-A6F4-2256F23D01C1}"/>
    <cellStyle name="40% - Accent5 2 3 5 3" xfId="25511" xr:uid="{00000000-0005-0000-0000-000007490000}"/>
    <cellStyle name="40% - Accent5 2 3 5 3 2" xfId="49343" xr:uid="{3B7C3908-0A7D-48DA-BD30-3A2885CFD144}"/>
    <cellStyle name="40% - Accent5 2 3 5 4" xfId="33466" xr:uid="{99396D01-DC92-4386-A68C-4510C8384DAB}"/>
    <cellStyle name="40% - Accent5 2 3 6" xfId="10505" xr:uid="{00000000-0005-0000-0000-000008490000}"/>
    <cellStyle name="40% - Accent5 2 3 6 2" xfId="34354" xr:uid="{BF4495B0-3135-457A-903C-EB4E1F901C72}"/>
    <cellStyle name="40% - Accent5 2 3 7" xfId="18460" xr:uid="{00000000-0005-0000-0000-000009490000}"/>
    <cellStyle name="40% - Accent5 2 3 7 2" xfId="42292" xr:uid="{25E88827-3D3E-4448-B179-6D42D60D0444}"/>
    <cellStyle name="40% - Accent5 2 3 8" xfId="26412" xr:uid="{1B6E437F-D441-4CA9-9855-76876B11BE1C}"/>
    <cellStyle name="40% - Accent5 2 3_Exh G" xfId="3228" xr:uid="{00000000-0005-0000-0000-00000A490000}"/>
    <cellStyle name="40% - Accent5 2 4" xfId="983" xr:uid="{00000000-0005-0000-0000-00000B490000}"/>
    <cellStyle name="40% - Accent5 2 4 2" xfId="1899" xr:uid="{00000000-0005-0000-0000-00000C490000}"/>
    <cellStyle name="40% - Accent5 2 4 2 2" xfId="5417" xr:uid="{00000000-0005-0000-0000-00000D490000}"/>
    <cellStyle name="40% - Accent5 2 4 2 2 2" xfId="9008" xr:uid="{00000000-0005-0000-0000-00000E490000}"/>
    <cellStyle name="40% - Accent5 2 4 2 2 2 2" xfId="16979" xr:uid="{00000000-0005-0000-0000-00000F490000}"/>
    <cellStyle name="40% - Accent5 2 4 2 2 2 2 2" xfId="40821" xr:uid="{88998099-052F-421B-A5B9-8E85235CA788}"/>
    <cellStyle name="40% - Accent5 2 4 2 2 2 3" xfId="24925" xr:uid="{00000000-0005-0000-0000-000010490000}"/>
    <cellStyle name="40% - Accent5 2 4 2 2 2 3 2" xfId="48757" xr:uid="{58FB272E-8FE5-4FD8-87F7-05D6133882C1}"/>
    <cellStyle name="40% - Accent5 2 4 2 2 2 4" xfId="32880" xr:uid="{CF85C60D-BAB0-407F-947E-779737C71E0D}"/>
    <cellStyle name="40% - Accent5 2 4 2 2 3" xfId="13441" xr:uid="{00000000-0005-0000-0000-000011490000}"/>
    <cellStyle name="40% - Accent5 2 4 2 2 3 2" xfId="37290" xr:uid="{F3FA8FAB-0CBB-4A69-91D5-D9CCACC4E54E}"/>
    <cellStyle name="40% - Accent5 2 4 2 2 4" xfId="21396" xr:uid="{00000000-0005-0000-0000-000012490000}"/>
    <cellStyle name="40% - Accent5 2 4 2 2 4 2" xfId="45228" xr:uid="{7B4F4CD0-6479-44E1-B392-9DCDCF680CFC}"/>
    <cellStyle name="40% - Accent5 2 4 2 2 5" xfId="29349" xr:uid="{E5986C95-F182-45D2-9D99-7A2859A758CF}"/>
    <cellStyle name="40% - Accent5 2 4 2 3" xfId="7249" xr:uid="{00000000-0005-0000-0000-000013490000}"/>
    <cellStyle name="40% - Accent5 2 4 2 3 2" xfId="15221" xr:uid="{00000000-0005-0000-0000-000014490000}"/>
    <cellStyle name="40% - Accent5 2 4 2 3 2 2" xfId="39063" xr:uid="{8A0BA720-8B5A-49A5-90D7-B191C93B509B}"/>
    <cellStyle name="40% - Accent5 2 4 2 3 3" xfId="23168" xr:uid="{00000000-0005-0000-0000-000015490000}"/>
    <cellStyle name="40% - Accent5 2 4 2 3 3 2" xfId="47000" xr:uid="{DC4FC618-442A-4646-8D95-C30CDF3D6531}"/>
    <cellStyle name="40% - Accent5 2 4 2 3 4" xfId="31122" xr:uid="{49FC9F4F-2F71-4B54-A55E-0E180D85A00A}"/>
    <cellStyle name="40% - Accent5 2 4 2 4" xfId="11685" xr:uid="{00000000-0005-0000-0000-000016490000}"/>
    <cellStyle name="40% - Accent5 2 4 2 4 2" xfId="35534" xr:uid="{5C82CFE5-9949-4C2E-970A-E21614A375C4}"/>
    <cellStyle name="40% - Accent5 2 4 2 5" xfId="19640" xr:uid="{00000000-0005-0000-0000-000017490000}"/>
    <cellStyle name="40% - Accent5 2 4 2 5 2" xfId="43472" xr:uid="{193BEBB5-6D6E-4FEF-9FD8-49B8DCE0CA99}"/>
    <cellStyle name="40% - Accent5 2 4 2 6" xfId="27592" xr:uid="{CC71EE76-3BD1-4EDB-A469-E5940BCAC2A2}"/>
    <cellStyle name="40% - Accent5 2 4 2_Exh G" xfId="3231" xr:uid="{00000000-0005-0000-0000-000018490000}"/>
    <cellStyle name="40% - Accent5 2 4 3" xfId="4538" xr:uid="{00000000-0005-0000-0000-000019490000}"/>
    <cellStyle name="40% - Accent5 2 4 3 2" xfId="8130" xr:uid="{00000000-0005-0000-0000-00001A490000}"/>
    <cellStyle name="40% - Accent5 2 4 3 2 2" xfId="16101" xr:uid="{00000000-0005-0000-0000-00001B490000}"/>
    <cellStyle name="40% - Accent5 2 4 3 2 2 2" xfId="39943" xr:uid="{0D25B6DA-D02A-4E0F-8985-267A2AB68AB4}"/>
    <cellStyle name="40% - Accent5 2 4 3 2 3" xfId="24047" xr:uid="{00000000-0005-0000-0000-00001C490000}"/>
    <cellStyle name="40% - Accent5 2 4 3 2 3 2" xfId="47879" xr:uid="{32ECD3DE-D224-4E96-AB48-35D372A3ED02}"/>
    <cellStyle name="40% - Accent5 2 4 3 2 4" xfId="32002" xr:uid="{9F420423-127C-455E-BBEA-9277AA0757D1}"/>
    <cellStyle name="40% - Accent5 2 4 3 3" xfId="12563" xr:uid="{00000000-0005-0000-0000-00001D490000}"/>
    <cellStyle name="40% - Accent5 2 4 3 3 2" xfId="36412" xr:uid="{77D79312-F0FC-4257-991C-C3C8AB1C893C}"/>
    <cellStyle name="40% - Accent5 2 4 3 4" xfId="20518" xr:uid="{00000000-0005-0000-0000-00001E490000}"/>
    <cellStyle name="40% - Accent5 2 4 3 4 2" xfId="44350" xr:uid="{1AE9A81E-EB2A-4DCD-B0EC-E4B8B3D6E2C1}"/>
    <cellStyle name="40% - Accent5 2 4 3 5" xfId="28471" xr:uid="{BA7747C2-FD1C-420B-8257-D00C278F6CAD}"/>
    <cellStyle name="40% - Accent5 2 4 4" xfId="6368" xr:uid="{00000000-0005-0000-0000-00001F490000}"/>
    <cellStyle name="40% - Accent5 2 4 4 2" xfId="14343" xr:uid="{00000000-0005-0000-0000-000020490000}"/>
    <cellStyle name="40% - Accent5 2 4 4 2 2" xfId="38185" xr:uid="{17A49A63-C75B-4E4E-9CD7-2A9570E3413F}"/>
    <cellStyle name="40% - Accent5 2 4 4 3" xfId="22290" xr:uid="{00000000-0005-0000-0000-000021490000}"/>
    <cellStyle name="40% - Accent5 2 4 4 3 2" xfId="46122" xr:uid="{A6C19DA7-D475-4BA3-96EB-D47A8EA34440}"/>
    <cellStyle name="40% - Accent5 2 4 4 4" xfId="30244" xr:uid="{EB24D4A3-6051-419A-AD21-9A7941F8E4B5}"/>
    <cellStyle name="40% - Accent5 2 4 5" xfId="9911" xr:uid="{00000000-0005-0000-0000-000022490000}"/>
    <cellStyle name="40% - Accent5 2 4 5 2" xfId="17869" xr:uid="{00000000-0005-0000-0000-000023490000}"/>
    <cellStyle name="40% - Accent5 2 4 5 2 2" xfId="41709" xr:uid="{BBA91EA1-40C1-433F-9D2B-A908C8756C9A}"/>
    <cellStyle name="40% - Accent5 2 4 5 3" xfId="25813" xr:uid="{00000000-0005-0000-0000-000024490000}"/>
    <cellStyle name="40% - Accent5 2 4 5 3 2" xfId="49645" xr:uid="{5046EF60-B0E1-4CD5-A756-218DB59971DF}"/>
    <cellStyle name="40% - Accent5 2 4 5 4" xfId="33768" xr:uid="{031348C2-8F42-49B8-A162-5F2733077F80}"/>
    <cellStyle name="40% - Accent5 2 4 6" xfId="10807" xr:uid="{00000000-0005-0000-0000-000025490000}"/>
    <cellStyle name="40% - Accent5 2 4 6 2" xfId="34656" xr:uid="{52C2C750-ADF6-488D-87C4-50C7C255AB92}"/>
    <cellStyle name="40% - Accent5 2 4 7" xfId="18762" xr:uid="{00000000-0005-0000-0000-000026490000}"/>
    <cellStyle name="40% - Accent5 2 4 7 2" xfId="42594" xr:uid="{17247BA5-A902-41C6-BD51-2E03FC7533FF}"/>
    <cellStyle name="40% - Accent5 2 4 8" xfId="26714" xr:uid="{396AC922-923C-4A63-AE75-A2AE2A5BE8E1}"/>
    <cellStyle name="40% - Accent5 2 4_Exh G" xfId="3230" xr:uid="{00000000-0005-0000-0000-000027490000}"/>
    <cellStyle name="40% - Accent5 2 5" xfId="1582" xr:uid="{00000000-0005-0000-0000-000028490000}"/>
    <cellStyle name="40% - Accent5 2 5 2" xfId="5112" xr:uid="{00000000-0005-0000-0000-000029490000}"/>
    <cellStyle name="40% - Accent5 2 5 2 2" xfId="8703" xr:uid="{00000000-0005-0000-0000-00002A490000}"/>
    <cellStyle name="40% - Accent5 2 5 2 2 2" xfId="16674" xr:uid="{00000000-0005-0000-0000-00002B490000}"/>
    <cellStyle name="40% - Accent5 2 5 2 2 2 2" xfId="40516" xr:uid="{3B0DB002-0730-4151-AFFA-550A295A8E8B}"/>
    <cellStyle name="40% - Accent5 2 5 2 2 3" xfId="24620" xr:uid="{00000000-0005-0000-0000-00002C490000}"/>
    <cellStyle name="40% - Accent5 2 5 2 2 3 2" xfId="48452" xr:uid="{AC604AAD-91C0-4F8D-976F-7AF861F5A12A}"/>
    <cellStyle name="40% - Accent5 2 5 2 2 4" xfId="32575" xr:uid="{200ADE2B-928E-4EED-982B-E2DF73F32DA6}"/>
    <cellStyle name="40% - Accent5 2 5 2 3" xfId="13136" xr:uid="{00000000-0005-0000-0000-00002D490000}"/>
    <cellStyle name="40% - Accent5 2 5 2 3 2" xfId="36985" xr:uid="{67114204-62B3-42A9-8851-15CCEB943E41}"/>
    <cellStyle name="40% - Accent5 2 5 2 4" xfId="21091" xr:uid="{00000000-0005-0000-0000-00002E490000}"/>
    <cellStyle name="40% - Accent5 2 5 2 4 2" xfId="44923" xr:uid="{1FA088E9-AA30-47CA-B978-DC0C3EFE2F33}"/>
    <cellStyle name="40% - Accent5 2 5 2 5" xfId="29044" xr:uid="{491DA366-1E4B-4F4C-8F65-CCFE98A7A58C}"/>
    <cellStyle name="40% - Accent5 2 5 3" xfId="6944" xr:uid="{00000000-0005-0000-0000-00002F490000}"/>
    <cellStyle name="40% - Accent5 2 5 3 2" xfId="14916" xr:uid="{00000000-0005-0000-0000-000030490000}"/>
    <cellStyle name="40% - Accent5 2 5 3 2 2" xfId="38758" xr:uid="{472DB92A-E2F9-405D-A92E-339AF9F6115D}"/>
    <cellStyle name="40% - Accent5 2 5 3 3" xfId="22863" xr:uid="{00000000-0005-0000-0000-000031490000}"/>
    <cellStyle name="40% - Accent5 2 5 3 3 2" xfId="46695" xr:uid="{3119A02B-AD47-4EB4-81B2-80FA1820CD6B}"/>
    <cellStyle name="40% - Accent5 2 5 3 4" xfId="30817" xr:uid="{92FE1EA2-F365-4337-BBE5-C2D5C7127CF6}"/>
    <cellStyle name="40% - Accent5 2 5 4" xfId="11380" xr:uid="{00000000-0005-0000-0000-000032490000}"/>
    <cellStyle name="40% - Accent5 2 5 4 2" xfId="35229" xr:uid="{4F4C9E5A-08C6-4A1D-AB3A-3192B61E6BAB}"/>
    <cellStyle name="40% - Accent5 2 5 5" xfId="19335" xr:uid="{00000000-0005-0000-0000-000033490000}"/>
    <cellStyle name="40% - Accent5 2 5 5 2" xfId="43167" xr:uid="{E1E82ADE-B3CD-4E9B-B685-B352A28E8442}"/>
    <cellStyle name="40% - Accent5 2 5 6" xfId="27287" xr:uid="{EC8CCFA6-BB1E-4CD8-8787-56CE4C7A5BCD}"/>
    <cellStyle name="40% - Accent5 2 5_Exh G" xfId="3232" xr:uid="{00000000-0005-0000-0000-000034490000}"/>
    <cellStyle name="40% - Accent5 2 6" xfId="4233" xr:uid="{00000000-0005-0000-0000-000035490000}"/>
    <cellStyle name="40% - Accent5 2 6 2" xfId="7825" xr:uid="{00000000-0005-0000-0000-000036490000}"/>
    <cellStyle name="40% - Accent5 2 6 2 2" xfId="15796" xr:uid="{00000000-0005-0000-0000-000037490000}"/>
    <cellStyle name="40% - Accent5 2 6 2 2 2" xfId="39638" xr:uid="{7E6A7D7B-B5C0-4775-8E50-0AF337D06FE2}"/>
    <cellStyle name="40% - Accent5 2 6 2 3" xfId="23742" xr:uid="{00000000-0005-0000-0000-000038490000}"/>
    <cellStyle name="40% - Accent5 2 6 2 3 2" xfId="47574" xr:uid="{94D49412-5591-49E2-8EA5-AF5795D2F314}"/>
    <cellStyle name="40% - Accent5 2 6 2 4" xfId="31697" xr:uid="{7FF9D320-35FC-450C-9F6F-4CEAE7C2D92A}"/>
    <cellStyle name="40% - Accent5 2 6 3" xfId="12258" xr:uid="{00000000-0005-0000-0000-000039490000}"/>
    <cellStyle name="40% - Accent5 2 6 3 2" xfId="36107" xr:uid="{EC368454-46B6-400F-A2B5-904A681A5126}"/>
    <cellStyle name="40% - Accent5 2 6 4" xfId="20213" xr:uid="{00000000-0005-0000-0000-00003A490000}"/>
    <cellStyle name="40% - Accent5 2 6 4 2" xfId="44045" xr:uid="{B4C8AC45-76BC-487F-854F-D4D39FB7F8E4}"/>
    <cellStyle name="40% - Accent5 2 6 5" xfId="28166" xr:uid="{A3D93899-34E3-4FC9-899D-615BA3959C6E}"/>
    <cellStyle name="40% - Accent5 2 7" xfId="6053" xr:uid="{00000000-0005-0000-0000-00003B490000}"/>
    <cellStyle name="40% - Accent5 2 7 2" xfId="14037" xr:uid="{00000000-0005-0000-0000-00003C490000}"/>
    <cellStyle name="40% - Accent5 2 7 2 2" xfId="37880" xr:uid="{7049CAFB-6135-4B08-B759-6B196CC66E3C}"/>
    <cellStyle name="40% - Accent5 2 7 3" xfId="21985" xr:uid="{00000000-0005-0000-0000-00003D490000}"/>
    <cellStyle name="40% - Accent5 2 7 3 2" xfId="45817" xr:uid="{8D886B8F-6A3E-4288-B4AD-9C68938BB71D}"/>
    <cellStyle name="40% - Accent5 2 7 4" xfId="29939" xr:uid="{9099EFD1-3294-47CB-97F7-CAE5ABAB86A2}"/>
    <cellStyle name="40% - Accent5 2 8" xfId="9606" xr:uid="{00000000-0005-0000-0000-00003E490000}"/>
    <cellStyle name="40% - Accent5 2 8 2" xfId="17564" xr:uid="{00000000-0005-0000-0000-00003F490000}"/>
    <cellStyle name="40% - Accent5 2 8 2 2" xfId="41404" xr:uid="{32848558-51C7-43CF-8799-68980509A962}"/>
    <cellStyle name="40% - Accent5 2 8 3" xfId="25508" xr:uid="{00000000-0005-0000-0000-000040490000}"/>
    <cellStyle name="40% - Accent5 2 8 3 2" xfId="49340" xr:uid="{A2947548-E4E1-4A29-BBE1-B99FB8AC916A}"/>
    <cellStyle name="40% - Accent5 2 8 4" xfId="33463" xr:uid="{2BAB52EA-E2CE-430B-825B-9CD9EE918A30}"/>
    <cellStyle name="40% - Accent5 2 9" xfId="10502" xr:uid="{00000000-0005-0000-0000-000041490000}"/>
    <cellStyle name="40% - Accent5 2 9 2" xfId="34351" xr:uid="{B54A00C2-1A39-419F-9D51-799CFBEA97AE}"/>
    <cellStyle name="40% - Accent5 2_Exh G" xfId="3221" xr:uid="{00000000-0005-0000-0000-000042490000}"/>
    <cellStyle name="40% - Accent5 3" xfId="558" xr:uid="{00000000-0005-0000-0000-000043490000}"/>
    <cellStyle name="40% - Accent5 3 10" xfId="18461" xr:uid="{00000000-0005-0000-0000-000044490000}"/>
    <cellStyle name="40% - Accent5 3 10 2" xfId="42293" xr:uid="{3FB34BD4-94A7-4425-8C57-631B7172742B}"/>
    <cellStyle name="40% - Accent5 3 11" xfId="26413" xr:uid="{8DAE3C7A-C5D2-4C1B-827A-58C99761C959}"/>
    <cellStyle name="40% - Accent5 3 12" xfId="49774" xr:uid="{E9067AC6-71D6-4C19-954F-52F030945BF8}"/>
    <cellStyle name="40% - Accent5 3 13" xfId="49828" xr:uid="{C3299C45-9F08-4EF2-89D0-E1082B118B35}"/>
    <cellStyle name="40% - Accent5 3 2" xfId="559" xr:uid="{00000000-0005-0000-0000-000045490000}"/>
    <cellStyle name="40% - Accent5 3 2 10" xfId="26414" xr:uid="{7B814252-5EEC-4B5B-BD95-F4342FB3C3FD}"/>
    <cellStyle name="40% - Accent5 3 2 2" xfId="560" xr:uid="{00000000-0005-0000-0000-000046490000}"/>
    <cellStyle name="40% - Accent5 3 2 2 2" xfId="1588" xr:uid="{00000000-0005-0000-0000-000047490000}"/>
    <cellStyle name="40% - Accent5 3 2 2 2 2" xfId="5118" xr:uid="{00000000-0005-0000-0000-000048490000}"/>
    <cellStyle name="40% - Accent5 3 2 2 2 2 2" xfId="8709" xr:uid="{00000000-0005-0000-0000-000049490000}"/>
    <cellStyle name="40% - Accent5 3 2 2 2 2 2 2" xfId="16680" xr:uid="{00000000-0005-0000-0000-00004A490000}"/>
    <cellStyle name="40% - Accent5 3 2 2 2 2 2 2 2" xfId="40522" xr:uid="{B397D40B-AB22-4875-873C-730835A578BB}"/>
    <cellStyle name="40% - Accent5 3 2 2 2 2 2 3" xfId="24626" xr:uid="{00000000-0005-0000-0000-00004B490000}"/>
    <cellStyle name="40% - Accent5 3 2 2 2 2 2 3 2" xfId="48458" xr:uid="{8351AB97-0421-44AD-81CD-D538A194F447}"/>
    <cellStyle name="40% - Accent5 3 2 2 2 2 2 4" xfId="32581" xr:uid="{6989F3CD-BA08-4F49-9A58-230676A46CF1}"/>
    <cellStyle name="40% - Accent5 3 2 2 2 2 3" xfId="13142" xr:uid="{00000000-0005-0000-0000-00004C490000}"/>
    <cellStyle name="40% - Accent5 3 2 2 2 2 3 2" xfId="36991" xr:uid="{BEF19DBA-C0CC-48F0-872C-80CF3A8ADE4F}"/>
    <cellStyle name="40% - Accent5 3 2 2 2 2 4" xfId="21097" xr:uid="{00000000-0005-0000-0000-00004D490000}"/>
    <cellStyle name="40% - Accent5 3 2 2 2 2 4 2" xfId="44929" xr:uid="{0FAE35A6-000E-4791-9343-571B134A3F53}"/>
    <cellStyle name="40% - Accent5 3 2 2 2 2 5" xfId="29050" xr:uid="{39A888CE-2D3B-490C-9A5E-0EACD3C785A3}"/>
    <cellStyle name="40% - Accent5 3 2 2 2 3" xfId="6950" xr:uid="{00000000-0005-0000-0000-00004E490000}"/>
    <cellStyle name="40% - Accent5 3 2 2 2 3 2" xfId="14922" xr:uid="{00000000-0005-0000-0000-00004F490000}"/>
    <cellStyle name="40% - Accent5 3 2 2 2 3 2 2" xfId="38764" xr:uid="{59505A89-4965-48E9-A0BD-77DB7E9B91F6}"/>
    <cellStyle name="40% - Accent5 3 2 2 2 3 3" xfId="22869" xr:uid="{00000000-0005-0000-0000-000050490000}"/>
    <cellStyle name="40% - Accent5 3 2 2 2 3 3 2" xfId="46701" xr:uid="{BFB3FDDE-F5E8-4A93-91A0-E21E8CC4F82F}"/>
    <cellStyle name="40% - Accent5 3 2 2 2 3 4" xfId="30823" xr:uid="{8F65B37F-C898-47E0-BC92-D246D226F251}"/>
    <cellStyle name="40% - Accent5 3 2 2 2 4" xfId="11386" xr:uid="{00000000-0005-0000-0000-000051490000}"/>
    <cellStyle name="40% - Accent5 3 2 2 2 4 2" xfId="35235" xr:uid="{B5645D20-07BB-4B32-A8B2-2B685181E2F8}"/>
    <cellStyle name="40% - Accent5 3 2 2 2 5" xfId="19341" xr:uid="{00000000-0005-0000-0000-000052490000}"/>
    <cellStyle name="40% - Accent5 3 2 2 2 5 2" xfId="43173" xr:uid="{E5102660-00E4-4D07-9A41-163082A577ED}"/>
    <cellStyle name="40% - Accent5 3 2 2 2 6" xfId="27293" xr:uid="{858BC5BB-D965-4B5B-A365-12927758ABAF}"/>
    <cellStyle name="40% - Accent5 3 2 2 2_Exh G" xfId="3236" xr:uid="{00000000-0005-0000-0000-000053490000}"/>
    <cellStyle name="40% - Accent5 3 2 2 3" xfId="4239" xr:uid="{00000000-0005-0000-0000-000054490000}"/>
    <cellStyle name="40% - Accent5 3 2 2 3 2" xfId="7831" xr:uid="{00000000-0005-0000-0000-000055490000}"/>
    <cellStyle name="40% - Accent5 3 2 2 3 2 2" xfId="15802" xr:uid="{00000000-0005-0000-0000-000056490000}"/>
    <cellStyle name="40% - Accent5 3 2 2 3 2 2 2" xfId="39644" xr:uid="{E18854FC-023A-4AA5-BB44-2189E924811A}"/>
    <cellStyle name="40% - Accent5 3 2 2 3 2 3" xfId="23748" xr:uid="{00000000-0005-0000-0000-000057490000}"/>
    <cellStyle name="40% - Accent5 3 2 2 3 2 3 2" xfId="47580" xr:uid="{7B574C5A-6798-489C-9298-A0F15CED3873}"/>
    <cellStyle name="40% - Accent5 3 2 2 3 2 4" xfId="31703" xr:uid="{9F26FA6A-98F7-4EAC-AA80-3714DF3654AE}"/>
    <cellStyle name="40% - Accent5 3 2 2 3 3" xfId="12264" xr:uid="{00000000-0005-0000-0000-000058490000}"/>
    <cellStyle name="40% - Accent5 3 2 2 3 3 2" xfId="36113" xr:uid="{43CDD49B-3177-473B-953F-E1658447EA44}"/>
    <cellStyle name="40% - Accent5 3 2 2 3 4" xfId="20219" xr:uid="{00000000-0005-0000-0000-000059490000}"/>
    <cellStyle name="40% - Accent5 3 2 2 3 4 2" xfId="44051" xr:uid="{BB75329B-BAF9-4C56-9C7A-2ACCEADE4C95}"/>
    <cellStyle name="40% - Accent5 3 2 2 3 5" xfId="28172" xr:uid="{3D1E5860-7333-4C20-8FA9-9F95F8E35308}"/>
    <cellStyle name="40% - Accent5 3 2 2 4" xfId="6059" xr:uid="{00000000-0005-0000-0000-00005A490000}"/>
    <cellStyle name="40% - Accent5 3 2 2 4 2" xfId="14043" xr:uid="{00000000-0005-0000-0000-00005B490000}"/>
    <cellStyle name="40% - Accent5 3 2 2 4 2 2" xfId="37886" xr:uid="{322D0C66-1316-40B6-AA76-F3AA4AFB19AE}"/>
    <cellStyle name="40% - Accent5 3 2 2 4 3" xfId="21991" xr:uid="{00000000-0005-0000-0000-00005C490000}"/>
    <cellStyle name="40% - Accent5 3 2 2 4 3 2" xfId="45823" xr:uid="{426F87CA-79AE-41DB-8AAF-AC838EE625CA}"/>
    <cellStyle name="40% - Accent5 3 2 2 4 4" xfId="29945" xr:uid="{B837AFF6-CA1C-4A73-8FF4-52552FA5C8A6}"/>
    <cellStyle name="40% - Accent5 3 2 2 5" xfId="9612" xr:uid="{00000000-0005-0000-0000-00005D490000}"/>
    <cellStyle name="40% - Accent5 3 2 2 5 2" xfId="17570" xr:uid="{00000000-0005-0000-0000-00005E490000}"/>
    <cellStyle name="40% - Accent5 3 2 2 5 2 2" xfId="41410" xr:uid="{69D8E8AA-291F-400E-9FDE-A46C73917892}"/>
    <cellStyle name="40% - Accent5 3 2 2 5 3" xfId="25514" xr:uid="{00000000-0005-0000-0000-00005F490000}"/>
    <cellStyle name="40% - Accent5 3 2 2 5 3 2" xfId="49346" xr:uid="{80B5DE84-D3FB-462F-AAD2-6FFFF5CD850D}"/>
    <cellStyle name="40% - Accent5 3 2 2 5 4" xfId="33469" xr:uid="{471F6474-1563-4F64-ADA5-EB4986AC3697}"/>
    <cellStyle name="40% - Accent5 3 2 2 6" xfId="10508" xr:uid="{00000000-0005-0000-0000-000060490000}"/>
    <cellStyle name="40% - Accent5 3 2 2 6 2" xfId="34357" xr:uid="{836459FF-6E88-4959-8B46-DCC910D4A3B2}"/>
    <cellStyle name="40% - Accent5 3 2 2 7" xfId="18463" xr:uid="{00000000-0005-0000-0000-000061490000}"/>
    <cellStyle name="40% - Accent5 3 2 2 7 2" xfId="42295" xr:uid="{64EB6177-327E-49CA-88A8-CA0E9C39BB5B}"/>
    <cellStyle name="40% - Accent5 3 2 2 8" xfId="26415" xr:uid="{458E6D4B-0551-4F96-9490-32EB83A75F2B}"/>
    <cellStyle name="40% - Accent5 3 2 2_Exh G" xfId="3235" xr:uid="{00000000-0005-0000-0000-000062490000}"/>
    <cellStyle name="40% - Accent5 3 2 3" xfId="986" xr:uid="{00000000-0005-0000-0000-000063490000}"/>
    <cellStyle name="40% - Accent5 3 2 3 2" xfId="1902" xr:uid="{00000000-0005-0000-0000-000064490000}"/>
    <cellStyle name="40% - Accent5 3 2 3 2 2" xfId="5420" xr:uid="{00000000-0005-0000-0000-000065490000}"/>
    <cellStyle name="40% - Accent5 3 2 3 2 2 2" xfId="9011" xr:uid="{00000000-0005-0000-0000-000066490000}"/>
    <cellStyle name="40% - Accent5 3 2 3 2 2 2 2" xfId="16982" xr:uid="{00000000-0005-0000-0000-000067490000}"/>
    <cellStyle name="40% - Accent5 3 2 3 2 2 2 2 2" xfId="40824" xr:uid="{6F2C3FC6-F486-4099-A103-C1F2F0989C80}"/>
    <cellStyle name="40% - Accent5 3 2 3 2 2 2 3" xfId="24928" xr:uid="{00000000-0005-0000-0000-000068490000}"/>
    <cellStyle name="40% - Accent5 3 2 3 2 2 2 3 2" xfId="48760" xr:uid="{8DCB7160-22F4-42CB-B451-7FC2DACFF42A}"/>
    <cellStyle name="40% - Accent5 3 2 3 2 2 2 4" xfId="32883" xr:uid="{391AE58E-9066-4F99-B1AF-5FB103544C8F}"/>
    <cellStyle name="40% - Accent5 3 2 3 2 2 3" xfId="13444" xr:uid="{00000000-0005-0000-0000-000069490000}"/>
    <cellStyle name="40% - Accent5 3 2 3 2 2 3 2" xfId="37293" xr:uid="{E5F5EC6B-02F9-42FF-ACA1-A53FC0EB09B0}"/>
    <cellStyle name="40% - Accent5 3 2 3 2 2 4" xfId="21399" xr:uid="{00000000-0005-0000-0000-00006A490000}"/>
    <cellStyle name="40% - Accent5 3 2 3 2 2 4 2" xfId="45231" xr:uid="{C5F7456C-91C3-4A38-89C5-8674456D0267}"/>
    <cellStyle name="40% - Accent5 3 2 3 2 2 5" xfId="29352" xr:uid="{FC1C0427-76F3-41D0-AE13-2AEF306BED3E}"/>
    <cellStyle name="40% - Accent5 3 2 3 2 3" xfId="7252" xr:uid="{00000000-0005-0000-0000-00006B490000}"/>
    <cellStyle name="40% - Accent5 3 2 3 2 3 2" xfId="15224" xr:uid="{00000000-0005-0000-0000-00006C490000}"/>
    <cellStyle name="40% - Accent5 3 2 3 2 3 2 2" xfId="39066" xr:uid="{1CC03A9D-FAE9-4621-ADDE-93D4B630EFC7}"/>
    <cellStyle name="40% - Accent5 3 2 3 2 3 3" xfId="23171" xr:uid="{00000000-0005-0000-0000-00006D490000}"/>
    <cellStyle name="40% - Accent5 3 2 3 2 3 3 2" xfId="47003" xr:uid="{6122694C-2DA5-4EF2-BAB0-528BA02069E3}"/>
    <cellStyle name="40% - Accent5 3 2 3 2 3 4" xfId="31125" xr:uid="{249EA4DB-C6FD-4233-A809-47CF696142FF}"/>
    <cellStyle name="40% - Accent5 3 2 3 2 4" xfId="11688" xr:uid="{00000000-0005-0000-0000-00006E490000}"/>
    <cellStyle name="40% - Accent5 3 2 3 2 4 2" xfId="35537" xr:uid="{F1DD6703-D732-4F68-8EBE-3CAAC958D6A6}"/>
    <cellStyle name="40% - Accent5 3 2 3 2 5" xfId="19643" xr:uid="{00000000-0005-0000-0000-00006F490000}"/>
    <cellStyle name="40% - Accent5 3 2 3 2 5 2" xfId="43475" xr:uid="{C63DED28-E64E-4348-87EF-EC06797F20A1}"/>
    <cellStyle name="40% - Accent5 3 2 3 2 6" xfId="27595" xr:uid="{CA509A94-197F-4B07-8AA5-C06A2669F559}"/>
    <cellStyle name="40% - Accent5 3 2 3 2_Exh G" xfId="3238" xr:uid="{00000000-0005-0000-0000-000070490000}"/>
    <cellStyle name="40% - Accent5 3 2 3 3" xfId="4541" xr:uid="{00000000-0005-0000-0000-000071490000}"/>
    <cellStyle name="40% - Accent5 3 2 3 3 2" xfId="8133" xr:uid="{00000000-0005-0000-0000-000072490000}"/>
    <cellStyle name="40% - Accent5 3 2 3 3 2 2" xfId="16104" xr:uid="{00000000-0005-0000-0000-000073490000}"/>
    <cellStyle name="40% - Accent5 3 2 3 3 2 2 2" xfId="39946" xr:uid="{B6B173F1-DE53-4DD2-A33D-9EA1E72474D4}"/>
    <cellStyle name="40% - Accent5 3 2 3 3 2 3" xfId="24050" xr:uid="{00000000-0005-0000-0000-000074490000}"/>
    <cellStyle name="40% - Accent5 3 2 3 3 2 3 2" xfId="47882" xr:uid="{B2B0132F-56CB-4399-B26A-9C77ED913B00}"/>
    <cellStyle name="40% - Accent5 3 2 3 3 2 4" xfId="32005" xr:uid="{D42CA7D7-7A9D-495B-9D21-06219B6A406B}"/>
    <cellStyle name="40% - Accent5 3 2 3 3 3" xfId="12566" xr:uid="{00000000-0005-0000-0000-000075490000}"/>
    <cellStyle name="40% - Accent5 3 2 3 3 3 2" xfId="36415" xr:uid="{E6E523DD-6084-4B33-B57E-10E3D0D10946}"/>
    <cellStyle name="40% - Accent5 3 2 3 3 4" xfId="20521" xr:uid="{00000000-0005-0000-0000-000076490000}"/>
    <cellStyle name="40% - Accent5 3 2 3 3 4 2" xfId="44353" xr:uid="{8A3E5ACC-9A0D-421F-96ED-73395ABB79A5}"/>
    <cellStyle name="40% - Accent5 3 2 3 3 5" xfId="28474" xr:uid="{3DAA20F7-7BFC-4A7F-B8A4-1A367EB1F616}"/>
    <cellStyle name="40% - Accent5 3 2 3 4" xfId="6371" xr:uid="{00000000-0005-0000-0000-000077490000}"/>
    <cellStyle name="40% - Accent5 3 2 3 4 2" xfId="14346" xr:uid="{00000000-0005-0000-0000-000078490000}"/>
    <cellStyle name="40% - Accent5 3 2 3 4 2 2" xfId="38188" xr:uid="{70CD3A87-3C7A-417A-8B80-A54C0771B03F}"/>
    <cellStyle name="40% - Accent5 3 2 3 4 3" xfId="22293" xr:uid="{00000000-0005-0000-0000-000079490000}"/>
    <cellStyle name="40% - Accent5 3 2 3 4 3 2" xfId="46125" xr:uid="{A9570CBB-D17D-4CDB-AEA4-25B9468B4AE9}"/>
    <cellStyle name="40% - Accent5 3 2 3 4 4" xfId="30247" xr:uid="{7DD94B46-E756-4E8D-B08D-C3DEAD6CAA54}"/>
    <cellStyle name="40% - Accent5 3 2 3 5" xfId="9914" xr:uid="{00000000-0005-0000-0000-00007A490000}"/>
    <cellStyle name="40% - Accent5 3 2 3 5 2" xfId="17872" xr:uid="{00000000-0005-0000-0000-00007B490000}"/>
    <cellStyle name="40% - Accent5 3 2 3 5 2 2" xfId="41712" xr:uid="{F3DE5ABF-1FE1-4493-873B-7CB74387491D}"/>
    <cellStyle name="40% - Accent5 3 2 3 5 3" xfId="25816" xr:uid="{00000000-0005-0000-0000-00007C490000}"/>
    <cellStyle name="40% - Accent5 3 2 3 5 3 2" xfId="49648" xr:uid="{06E5BDA0-0457-4AC4-A782-EC52D4B81F78}"/>
    <cellStyle name="40% - Accent5 3 2 3 5 4" xfId="33771" xr:uid="{DCFCC2FB-5F8B-40CE-86E8-33562EC741E2}"/>
    <cellStyle name="40% - Accent5 3 2 3 6" xfId="10810" xr:uid="{00000000-0005-0000-0000-00007D490000}"/>
    <cellStyle name="40% - Accent5 3 2 3 6 2" xfId="34659" xr:uid="{CDCFB336-45C1-46BE-84E3-8A6B0B437463}"/>
    <cellStyle name="40% - Accent5 3 2 3 7" xfId="18765" xr:uid="{00000000-0005-0000-0000-00007E490000}"/>
    <cellStyle name="40% - Accent5 3 2 3 7 2" xfId="42597" xr:uid="{E025382D-533B-4240-A58A-1185DAF3683B}"/>
    <cellStyle name="40% - Accent5 3 2 3 8" xfId="26717" xr:uid="{2DE5B835-2EAA-49CE-8B3D-A00BCCB174FB}"/>
    <cellStyle name="40% - Accent5 3 2 3_Exh G" xfId="3237" xr:uid="{00000000-0005-0000-0000-00007F490000}"/>
    <cellStyle name="40% - Accent5 3 2 4" xfId="1587" xr:uid="{00000000-0005-0000-0000-000080490000}"/>
    <cellStyle name="40% - Accent5 3 2 4 2" xfId="5117" xr:uid="{00000000-0005-0000-0000-000081490000}"/>
    <cellStyle name="40% - Accent5 3 2 4 2 2" xfId="8708" xr:uid="{00000000-0005-0000-0000-000082490000}"/>
    <cellStyle name="40% - Accent5 3 2 4 2 2 2" xfId="16679" xr:uid="{00000000-0005-0000-0000-000083490000}"/>
    <cellStyle name="40% - Accent5 3 2 4 2 2 2 2" xfId="40521" xr:uid="{DAF6A0D6-E371-4304-B765-5E1CE8ACA80B}"/>
    <cellStyle name="40% - Accent5 3 2 4 2 2 3" xfId="24625" xr:uid="{00000000-0005-0000-0000-000084490000}"/>
    <cellStyle name="40% - Accent5 3 2 4 2 2 3 2" xfId="48457" xr:uid="{6CE173FF-72D5-4B50-B998-C1CD39200893}"/>
    <cellStyle name="40% - Accent5 3 2 4 2 2 4" xfId="32580" xr:uid="{C7AC4A7F-EA76-4846-A83E-D526829B4CA8}"/>
    <cellStyle name="40% - Accent5 3 2 4 2 3" xfId="13141" xr:uid="{00000000-0005-0000-0000-000085490000}"/>
    <cellStyle name="40% - Accent5 3 2 4 2 3 2" xfId="36990" xr:uid="{20F3247B-2BDC-49ED-B306-0E2A687A043B}"/>
    <cellStyle name="40% - Accent5 3 2 4 2 4" xfId="21096" xr:uid="{00000000-0005-0000-0000-000086490000}"/>
    <cellStyle name="40% - Accent5 3 2 4 2 4 2" xfId="44928" xr:uid="{97FA55FE-21AF-496F-A074-1F658D0BE4C0}"/>
    <cellStyle name="40% - Accent5 3 2 4 2 5" xfId="29049" xr:uid="{7FF763B0-785D-4A2B-A699-EA754D2F1EBB}"/>
    <cellStyle name="40% - Accent5 3 2 4 3" xfId="6949" xr:uid="{00000000-0005-0000-0000-000087490000}"/>
    <cellStyle name="40% - Accent5 3 2 4 3 2" xfId="14921" xr:uid="{00000000-0005-0000-0000-000088490000}"/>
    <cellStyle name="40% - Accent5 3 2 4 3 2 2" xfId="38763" xr:uid="{96F8D3E5-0BBC-4E6E-A04A-CF91525B6B57}"/>
    <cellStyle name="40% - Accent5 3 2 4 3 3" xfId="22868" xr:uid="{00000000-0005-0000-0000-000089490000}"/>
    <cellStyle name="40% - Accent5 3 2 4 3 3 2" xfId="46700" xr:uid="{D5907A2B-013D-492E-AFC7-6A5CF9C0729A}"/>
    <cellStyle name="40% - Accent5 3 2 4 3 4" xfId="30822" xr:uid="{3ADDE03B-1A24-4D6D-8E2C-B57EDA014206}"/>
    <cellStyle name="40% - Accent5 3 2 4 4" xfId="11385" xr:uid="{00000000-0005-0000-0000-00008A490000}"/>
    <cellStyle name="40% - Accent5 3 2 4 4 2" xfId="35234" xr:uid="{CB3A45B8-9D1E-432A-9DE4-84AA48D0F32D}"/>
    <cellStyle name="40% - Accent5 3 2 4 5" xfId="19340" xr:uid="{00000000-0005-0000-0000-00008B490000}"/>
    <cellStyle name="40% - Accent5 3 2 4 5 2" xfId="43172" xr:uid="{103F34D3-A59D-41EF-826E-26A3CF041844}"/>
    <cellStyle name="40% - Accent5 3 2 4 6" xfId="27292" xr:uid="{63F79390-1F7C-496D-89A2-D44DFBC4810F}"/>
    <cellStyle name="40% - Accent5 3 2 4_Exh G" xfId="3239" xr:uid="{00000000-0005-0000-0000-00008C490000}"/>
    <cellStyle name="40% - Accent5 3 2 5" xfId="4238" xr:uid="{00000000-0005-0000-0000-00008D490000}"/>
    <cellStyle name="40% - Accent5 3 2 5 2" xfId="7830" xr:uid="{00000000-0005-0000-0000-00008E490000}"/>
    <cellStyle name="40% - Accent5 3 2 5 2 2" xfId="15801" xr:uid="{00000000-0005-0000-0000-00008F490000}"/>
    <cellStyle name="40% - Accent5 3 2 5 2 2 2" xfId="39643" xr:uid="{98F9EC58-4A1F-475C-A793-6520928D6E02}"/>
    <cellStyle name="40% - Accent5 3 2 5 2 3" xfId="23747" xr:uid="{00000000-0005-0000-0000-000090490000}"/>
    <cellStyle name="40% - Accent5 3 2 5 2 3 2" xfId="47579" xr:uid="{2A4EA217-6372-41A4-AB21-72FC720BC4B7}"/>
    <cellStyle name="40% - Accent5 3 2 5 2 4" xfId="31702" xr:uid="{8792AB7D-CA52-48FB-B049-142846917C52}"/>
    <cellStyle name="40% - Accent5 3 2 5 3" xfId="12263" xr:uid="{00000000-0005-0000-0000-000091490000}"/>
    <cellStyle name="40% - Accent5 3 2 5 3 2" xfId="36112" xr:uid="{B380F912-3A1E-4935-B608-AA940ADB59C4}"/>
    <cellStyle name="40% - Accent5 3 2 5 4" xfId="20218" xr:uid="{00000000-0005-0000-0000-000092490000}"/>
    <cellStyle name="40% - Accent5 3 2 5 4 2" xfId="44050" xr:uid="{B5C01967-A912-4772-B724-8299C9343F63}"/>
    <cellStyle name="40% - Accent5 3 2 5 5" xfId="28171" xr:uid="{77A9A251-C58D-4EBD-B02B-B849026AD7BF}"/>
    <cellStyle name="40% - Accent5 3 2 6" xfId="6058" xr:uid="{00000000-0005-0000-0000-000093490000}"/>
    <cellStyle name="40% - Accent5 3 2 6 2" xfId="14042" xr:uid="{00000000-0005-0000-0000-000094490000}"/>
    <cellStyle name="40% - Accent5 3 2 6 2 2" xfId="37885" xr:uid="{7DA0EFAB-0866-4269-87B2-F39A1BB4427D}"/>
    <cellStyle name="40% - Accent5 3 2 6 3" xfId="21990" xr:uid="{00000000-0005-0000-0000-000095490000}"/>
    <cellStyle name="40% - Accent5 3 2 6 3 2" xfId="45822" xr:uid="{0E4252A9-9823-4B8F-B76F-585B024F99FC}"/>
    <cellStyle name="40% - Accent5 3 2 6 4" xfId="29944" xr:uid="{1B6ED3B5-C8BD-4463-99DA-A27DBD85E24A}"/>
    <cellStyle name="40% - Accent5 3 2 7" xfId="9611" xr:uid="{00000000-0005-0000-0000-000096490000}"/>
    <cellStyle name="40% - Accent5 3 2 7 2" xfId="17569" xr:uid="{00000000-0005-0000-0000-000097490000}"/>
    <cellStyle name="40% - Accent5 3 2 7 2 2" xfId="41409" xr:uid="{AC1DA844-913E-4A9D-8235-8F647C4B3F69}"/>
    <cellStyle name="40% - Accent5 3 2 7 3" xfId="25513" xr:uid="{00000000-0005-0000-0000-000098490000}"/>
    <cellStyle name="40% - Accent5 3 2 7 3 2" xfId="49345" xr:uid="{5BBC48D7-7AB7-4C10-8372-28F2DDC33BC4}"/>
    <cellStyle name="40% - Accent5 3 2 7 4" xfId="33468" xr:uid="{268D7275-C659-4A6D-9DB6-01D625EF4228}"/>
    <cellStyle name="40% - Accent5 3 2 8" xfId="10507" xr:uid="{00000000-0005-0000-0000-000099490000}"/>
    <cellStyle name="40% - Accent5 3 2 8 2" xfId="34356" xr:uid="{CA871E3E-8ACF-446C-AF38-EA10F867DF8F}"/>
    <cellStyle name="40% - Accent5 3 2 9" xfId="18462" xr:uid="{00000000-0005-0000-0000-00009A490000}"/>
    <cellStyle name="40% - Accent5 3 2 9 2" xfId="42294" xr:uid="{09D1FAC3-394B-4BA6-AED4-D9A6E1D30CAA}"/>
    <cellStyle name="40% - Accent5 3 2_Exh G" xfId="3234" xr:uid="{00000000-0005-0000-0000-00009B490000}"/>
    <cellStyle name="40% - Accent5 3 3" xfId="561" xr:uid="{00000000-0005-0000-0000-00009C490000}"/>
    <cellStyle name="40% - Accent5 3 3 2" xfId="1589" xr:uid="{00000000-0005-0000-0000-00009D490000}"/>
    <cellStyle name="40% - Accent5 3 3 2 2" xfId="5119" xr:uid="{00000000-0005-0000-0000-00009E490000}"/>
    <cellStyle name="40% - Accent5 3 3 2 2 2" xfId="8710" xr:uid="{00000000-0005-0000-0000-00009F490000}"/>
    <cellStyle name="40% - Accent5 3 3 2 2 2 2" xfId="16681" xr:uid="{00000000-0005-0000-0000-0000A0490000}"/>
    <cellStyle name="40% - Accent5 3 3 2 2 2 2 2" xfId="40523" xr:uid="{87BAA6E8-6679-4757-925B-4A3D67A8618B}"/>
    <cellStyle name="40% - Accent5 3 3 2 2 2 3" xfId="24627" xr:uid="{00000000-0005-0000-0000-0000A1490000}"/>
    <cellStyle name="40% - Accent5 3 3 2 2 2 3 2" xfId="48459" xr:uid="{B53EAC3A-AD55-431D-B390-AA86EB774DC5}"/>
    <cellStyle name="40% - Accent5 3 3 2 2 2 4" xfId="32582" xr:uid="{B8D9DF22-233D-4DFF-B3A8-80F4E9754FBA}"/>
    <cellStyle name="40% - Accent5 3 3 2 2 3" xfId="13143" xr:uid="{00000000-0005-0000-0000-0000A2490000}"/>
    <cellStyle name="40% - Accent5 3 3 2 2 3 2" xfId="36992" xr:uid="{1A22F087-8BDC-47D2-BEA2-7AC885B582E7}"/>
    <cellStyle name="40% - Accent5 3 3 2 2 4" xfId="21098" xr:uid="{00000000-0005-0000-0000-0000A3490000}"/>
    <cellStyle name="40% - Accent5 3 3 2 2 4 2" xfId="44930" xr:uid="{8FB297C6-B4A5-474C-9A93-2BEEEB244035}"/>
    <cellStyle name="40% - Accent5 3 3 2 2 5" xfId="29051" xr:uid="{0F65A5D5-4377-40D2-9604-0826E81D61BC}"/>
    <cellStyle name="40% - Accent5 3 3 2 3" xfId="6951" xr:uid="{00000000-0005-0000-0000-0000A4490000}"/>
    <cellStyle name="40% - Accent5 3 3 2 3 2" xfId="14923" xr:uid="{00000000-0005-0000-0000-0000A5490000}"/>
    <cellStyle name="40% - Accent5 3 3 2 3 2 2" xfId="38765" xr:uid="{15ADC1FE-3DF4-4295-BC17-629A6C89D29B}"/>
    <cellStyle name="40% - Accent5 3 3 2 3 3" xfId="22870" xr:uid="{00000000-0005-0000-0000-0000A6490000}"/>
    <cellStyle name="40% - Accent5 3 3 2 3 3 2" xfId="46702" xr:uid="{0178221E-1ACD-48E2-B1AC-BEE95E09F79C}"/>
    <cellStyle name="40% - Accent5 3 3 2 3 4" xfId="30824" xr:uid="{0E432E74-5B14-42A9-82FF-4FEB8753B14C}"/>
    <cellStyle name="40% - Accent5 3 3 2 4" xfId="11387" xr:uid="{00000000-0005-0000-0000-0000A7490000}"/>
    <cellStyle name="40% - Accent5 3 3 2 4 2" xfId="35236" xr:uid="{E52A8E54-6892-420A-8935-10B4CA62A53F}"/>
    <cellStyle name="40% - Accent5 3 3 2 5" xfId="19342" xr:uid="{00000000-0005-0000-0000-0000A8490000}"/>
    <cellStyle name="40% - Accent5 3 3 2 5 2" xfId="43174" xr:uid="{05AEBC07-09A6-4428-AC26-8A6D94D7E33B}"/>
    <cellStyle name="40% - Accent5 3 3 2 6" xfId="27294" xr:uid="{2E3F9A87-95DA-4333-BC74-F2E30B86489D}"/>
    <cellStyle name="40% - Accent5 3 3 2_Exh G" xfId="3241" xr:uid="{00000000-0005-0000-0000-0000A9490000}"/>
    <cellStyle name="40% - Accent5 3 3 3" xfId="4240" xr:uid="{00000000-0005-0000-0000-0000AA490000}"/>
    <cellStyle name="40% - Accent5 3 3 3 2" xfId="7832" xr:uid="{00000000-0005-0000-0000-0000AB490000}"/>
    <cellStyle name="40% - Accent5 3 3 3 2 2" xfId="15803" xr:uid="{00000000-0005-0000-0000-0000AC490000}"/>
    <cellStyle name="40% - Accent5 3 3 3 2 2 2" xfId="39645" xr:uid="{89DA8947-082C-4D01-8A7E-2DB8CB5A85EE}"/>
    <cellStyle name="40% - Accent5 3 3 3 2 3" xfId="23749" xr:uid="{00000000-0005-0000-0000-0000AD490000}"/>
    <cellStyle name="40% - Accent5 3 3 3 2 3 2" xfId="47581" xr:uid="{DEFD0CBA-8BFA-4F79-92D3-D2B59F543009}"/>
    <cellStyle name="40% - Accent5 3 3 3 2 4" xfId="31704" xr:uid="{969205F7-D5E1-4ACE-980E-002CCADC8EE6}"/>
    <cellStyle name="40% - Accent5 3 3 3 3" xfId="12265" xr:uid="{00000000-0005-0000-0000-0000AE490000}"/>
    <cellStyle name="40% - Accent5 3 3 3 3 2" xfId="36114" xr:uid="{97D6EE6A-DC37-4B5F-843B-286CFBFB0F7F}"/>
    <cellStyle name="40% - Accent5 3 3 3 4" xfId="20220" xr:uid="{00000000-0005-0000-0000-0000AF490000}"/>
    <cellStyle name="40% - Accent5 3 3 3 4 2" xfId="44052" xr:uid="{63429705-017C-438F-BE3C-CE41DFEBCDB3}"/>
    <cellStyle name="40% - Accent5 3 3 3 5" xfId="28173" xr:uid="{FE2304B9-B5DD-4AE0-A475-3D15AB248585}"/>
    <cellStyle name="40% - Accent5 3 3 4" xfId="6060" xr:uid="{00000000-0005-0000-0000-0000B0490000}"/>
    <cellStyle name="40% - Accent5 3 3 4 2" xfId="14044" xr:uid="{00000000-0005-0000-0000-0000B1490000}"/>
    <cellStyle name="40% - Accent5 3 3 4 2 2" xfId="37887" xr:uid="{4A30A813-F1EF-4D96-A995-CDF1628687D1}"/>
    <cellStyle name="40% - Accent5 3 3 4 3" xfId="21992" xr:uid="{00000000-0005-0000-0000-0000B2490000}"/>
    <cellStyle name="40% - Accent5 3 3 4 3 2" xfId="45824" xr:uid="{18F2E630-3049-43F5-B4D9-228BCB500837}"/>
    <cellStyle name="40% - Accent5 3 3 4 4" xfId="29946" xr:uid="{D3C5786B-40B8-4AF9-BFC5-4C662EE9C659}"/>
    <cellStyle name="40% - Accent5 3 3 5" xfId="9613" xr:uid="{00000000-0005-0000-0000-0000B3490000}"/>
    <cellStyle name="40% - Accent5 3 3 5 2" xfId="17571" xr:uid="{00000000-0005-0000-0000-0000B4490000}"/>
    <cellStyle name="40% - Accent5 3 3 5 2 2" xfId="41411" xr:uid="{F1B02CED-26E0-498D-94F4-B98A737E5467}"/>
    <cellStyle name="40% - Accent5 3 3 5 3" xfId="25515" xr:uid="{00000000-0005-0000-0000-0000B5490000}"/>
    <cellStyle name="40% - Accent5 3 3 5 3 2" xfId="49347" xr:uid="{8085D5B1-109A-4BD3-8D18-C95F0ED33740}"/>
    <cellStyle name="40% - Accent5 3 3 5 4" xfId="33470" xr:uid="{1F277F19-148A-4E6E-A38B-6B76D5F23D31}"/>
    <cellStyle name="40% - Accent5 3 3 6" xfId="10509" xr:uid="{00000000-0005-0000-0000-0000B6490000}"/>
    <cellStyle name="40% - Accent5 3 3 6 2" xfId="34358" xr:uid="{B575BEC0-FD75-48FD-B77E-B60FC68598ED}"/>
    <cellStyle name="40% - Accent5 3 3 7" xfId="18464" xr:uid="{00000000-0005-0000-0000-0000B7490000}"/>
    <cellStyle name="40% - Accent5 3 3 7 2" xfId="42296" xr:uid="{FAE7FE11-05CA-43CA-BA5F-8D81290ECD63}"/>
    <cellStyle name="40% - Accent5 3 3 8" xfId="26416" xr:uid="{162FB753-12F5-4198-BD1F-C3E10B744E4C}"/>
    <cellStyle name="40% - Accent5 3 3_Exh G" xfId="3240" xr:uid="{00000000-0005-0000-0000-0000B8490000}"/>
    <cellStyle name="40% - Accent5 3 4" xfId="985" xr:uid="{00000000-0005-0000-0000-0000B9490000}"/>
    <cellStyle name="40% - Accent5 3 4 2" xfId="1901" xr:uid="{00000000-0005-0000-0000-0000BA490000}"/>
    <cellStyle name="40% - Accent5 3 4 2 2" xfId="5419" xr:uid="{00000000-0005-0000-0000-0000BB490000}"/>
    <cellStyle name="40% - Accent5 3 4 2 2 2" xfId="9010" xr:uid="{00000000-0005-0000-0000-0000BC490000}"/>
    <cellStyle name="40% - Accent5 3 4 2 2 2 2" xfId="16981" xr:uid="{00000000-0005-0000-0000-0000BD490000}"/>
    <cellStyle name="40% - Accent5 3 4 2 2 2 2 2" xfId="40823" xr:uid="{E74D49FE-1F9A-4DC2-9924-56D7B7486223}"/>
    <cellStyle name="40% - Accent5 3 4 2 2 2 3" xfId="24927" xr:uid="{00000000-0005-0000-0000-0000BE490000}"/>
    <cellStyle name="40% - Accent5 3 4 2 2 2 3 2" xfId="48759" xr:uid="{50D6694C-0B61-4239-8B56-A1C09DB273AD}"/>
    <cellStyle name="40% - Accent5 3 4 2 2 2 4" xfId="32882" xr:uid="{2A6DD492-BBFF-4EA7-B82F-F46AEA6B15A0}"/>
    <cellStyle name="40% - Accent5 3 4 2 2 3" xfId="13443" xr:uid="{00000000-0005-0000-0000-0000BF490000}"/>
    <cellStyle name="40% - Accent5 3 4 2 2 3 2" xfId="37292" xr:uid="{06EC4659-E0F0-4701-A356-4AA43A8D2848}"/>
    <cellStyle name="40% - Accent5 3 4 2 2 4" xfId="21398" xr:uid="{00000000-0005-0000-0000-0000C0490000}"/>
    <cellStyle name="40% - Accent5 3 4 2 2 4 2" xfId="45230" xr:uid="{58EF2731-33CE-41DF-B6C3-9BFA021B6286}"/>
    <cellStyle name="40% - Accent5 3 4 2 2 5" xfId="29351" xr:uid="{45B9331A-4558-48D6-8233-F0CD4659277A}"/>
    <cellStyle name="40% - Accent5 3 4 2 3" xfId="7251" xr:uid="{00000000-0005-0000-0000-0000C1490000}"/>
    <cellStyle name="40% - Accent5 3 4 2 3 2" xfId="15223" xr:uid="{00000000-0005-0000-0000-0000C2490000}"/>
    <cellStyle name="40% - Accent5 3 4 2 3 2 2" xfId="39065" xr:uid="{7CD40569-4E40-4058-83FB-D2294B66FA1A}"/>
    <cellStyle name="40% - Accent5 3 4 2 3 3" xfId="23170" xr:uid="{00000000-0005-0000-0000-0000C3490000}"/>
    <cellStyle name="40% - Accent5 3 4 2 3 3 2" xfId="47002" xr:uid="{D4D95F08-6B15-4AC3-AA70-E73EB22C8189}"/>
    <cellStyle name="40% - Accent5 3 4 2 3 4" xfId="31124" xr:uid="{33C74EB6-7DA8-4E0D-A886-42E95FECF38F}"/>
    <cellStyle name="40% - Accent5 3 4 2 4" xfId="11687" xr:uid="{00000000-0005-0000-0000-0000C4490000}"/>
    <cellStyle name="40% - Accent5 3 4 2 4 2" xfId="35536" xr:uid="{C8DA3702-4ACC-47A7-A484-2861E814E2AD}"/>
    <cellStyle name="40% - Accent5 3 4 2 5" xfId="19642" xr:uid="{00000000-0005-0000-0000-0000C5490000}"/>
    <cellStyle name="40% - Accent5 3 4 2 5 2" xfId="43474" xr:uid="{3BACBF3E-0160-4BCA-BAF5-E504EB8A5CC0}"/>
    <cellStyle name="40% - Accent5 3 4 2 6" xfId="27594" xr:uid="{EAD0D9B5-49AE-42EC-B5AD-30DA4178F6BB}"/>
    <cellStyle name="40% - Accent5 3 4 2_Exh G" xfId="3243" xr:uid="{00000000-0005-0000-0000-0000C6490000}"/>
    <cellStyle name="40% - Accent5 3 4 3" xfId="4540" xr:uid="{00000000-0005-0000-0000-0000C7490000}"/>
    <cellStyle name="40% - Accent5 3 4 3 2" xfId="8132" xr:uid="{00000000-0005-0000-0000-0000C8490000}"/>
    <cellStyle name="40% - Accent5 3 4 3 2 2" xfId="16103" xr:uid="{00000000-0005-0000-0000-0000C9490000}"/>
    <cellStyle name="40% - Accent5 3 4 3 2 2 2" xfId="39945" xr:uid="{DF910293-650A-4CEC-96AB-8685A4C5B001}"/>
    <cellStyle name="40% - Accent5 3 4 3 2 3" xfId="24049" xr:uid="{00000000-0005-0000-0000-0000CA490000}"/>
    <cellStyle name="40% - Accent5 3 4 3 2 3 2" xfId="47881" xr:uid="{430CF692-69FD-4163-9046-A0EA4D35FE6D}"/>
    <cellStyle name="40% - Accent5 3 4 3 2 4" xfId="32004" xr:uid="{24AB9931-BDB2-4596-AB04-96D104FC237B}"/>
    <cellStyle name="40% - Accent5 3 4 3 3" xfId="12565" xr:uid="{00000000-0005-0000-0000-0000CB490000}"/>
    <cellStyle name="40% - Accent5 3 4 3 3 2" xfId="36414" xr:uid="{8E991655-1719-4441-87DE-FEC06F9FB967}"/>
    <cellStyle name="40% - Accent5 3 4 3 4" xfId="20520" xr:uid="{00000000-0005-0000-0000-0000CC490000}"/>
    <cellStyle name="40% - Accent5 3 4 3 4 2" xfId="44352" xr:uid="{AE8EAE32-2D7C-4C6A-9B53-B06BD13DECE9}"/>
    <cellStyle name="40% - Accent5 3 4 3 5" xfId="28473" xr:uid="{20395252-9CA8-448D-8DEF-F31F1AB39DDF}"/>
    <cellStyle name="40% - Accent5 3 4 4" xfId="6370" xr:uid="{00000000-0005-0000-0000-0000CD490000}"/>
    <cellStyle name="40% - Accent5 3 4 4 2" xfId="14345" xr:uid="{00000000-0005-0000-0000-0000CE490000}"/>
    <cellStyle name="40% - Accent5 3 4 4 2 2" xfId="38187" xr:uid="{91194E62-0512-4681-AB2B-BED16FCB5535}"/>
    <cellStyle name="40% - Accent5 3 4 4 3" xfId="22292" xr:uid="{00000000-0005-0000-0000-0000CF490000}"/>
    <cellStyle name="40% - Accent5 3 4 4 3 2" xfId="46124" xr:uid="{881799BE-AE0A-4B07-BC9F-A73B314196C6}"/>
    <cellStyle name="40% - Accent5 3 4 4 4" xfId="30246" xr:uid="{EDDD6B99-7D29-4F90-ACE1-D5C518827618}"/>
    <cellStyle name="40% - Accent5 3 4 5" xfId="9913" xr:uid="{00000000-0005-0000-0000-0000D0490000}"/>
    <cellStyle name="40% - Accent5 3 4 5 2" xfId="17871" xr:uid="{00000000-0005-0000-0000-0000D1490000}"/>
    <cellStyle name="40% - Accent5 3 4 5 2 2" xfId="41711" xr:uid="{9B77FF2A-00FE-4385-B887-942A4F27F5FB}"/>
    <cellStyle name="40% - Accent5 3 4 5 3" xfId="25815" xr:uid="{00000000-0005-0000-0000-0000D2490000}"/>
    <cellStyle name="40% - Accent5 3 4 5 3 2" xfId="49647" xr:uid="{56136453-211C-4121-9520-6B1DB4938649}"/>
    <cellStyle name="40% - Accent5 3 4 5 4" xfId="33770" xr:uid="{615C3887-82CB-409B-8DD8-BA6D548F53D8}"/>
    <cellStyle name="40% - Accent5 3 4 6" xfId="10809" xr:uid="{00000000-0005-0000-0000-0000D3490000}"/>
    <cellStyle name="40% - Accent5 3 4 6 2" xfId="34658" xr:uid="{29484F6F-1723-45C0-AF0D-B2A8FDAD7BA7}"/>
    <cellStyle name="40% - Accent5 3 4 7" xfId="18764" xr:uid="{00000000-0005-0000-0000-0000D4490000}"/>
    <cellStyle name="40% - Accent5 3 4 7 2" xfId="42596" xr:uid="{317F2007-6539-4711-9F8D-49140294C532}"/>
    <cellStyle name="40% - Accent5 3 4 8" xfId="26716" xr:uid="{3CD2A999-3753-4EF0-9BAE-D284F09220E2}"/>
    <cellStyle name="40% - Accent5 3 4_Exh G" xfId="3242" xr:uid="{00000000-0005-0000-0000-0000D5490000}"/>
    <cellStyle name="40% - Accent5 3 5" xfId="1586" xr:uid="{00000000-0005-0000-0000-0000D6490000}"/>
    <cellStyle name="40% - Accent5 3 5 2" xfId="5116" xr:uid="{00000000-0005-0000-0000-0000D7490000}"/>
    <cellStyle name="40% - Accent5 3 5 2 2" xfId="8707" xr:uid="{00000000-0005-0000-0000-0000D8490000}"/>
    <cellStyle name="40% - Accent5 3 5 2 2 2" xfId="16678" xr:uid="{00000000-0005-0000-0000-0000D9490000}"/>
    <cellStyle name="40% - Accent5 3 5 2 2 2 2" xfId="40520" xr:uid="{FC409473-900F-4AED-BABB-5135A910109B}"/>
    <cellStyle name="40% - Accent5 3 5 2 2 3" xfId="24624" xr:uid="{00000000-0005-0000-0000-0000DA490000}"/>
    <cellStyle name="40% - Accent5 3 5 2 2 3 2" xfId="48456" xr:uid="{CDBD5878-2EA5-4964-BD4F-9FAB1087BB71}"/>
    <cellStyle name="40% - Accent5 3 5 2 2 4" xfId="32579" xr:uid="{703F0E77-F416-464D-9E4B-BB05D8329D80}"/>
    <cellStyle name="40% - Accent5 3 5 2 3" xfId="13140" xr:uid="{00000000-0005-0000-0000-0000DB490000}"/>
    <cellStyle name="40% - Accent5 3 5 2 3 2" xfId="36989" xr:uid="{7C51C6AD-0D28-4029-895D-1AEEEF065BE6}"/>
    <cellStyle name="40% - Accent5 3 5 2 4" xfId="21095" xr:uid="{00000000-0005-0000-0000-0000DC490000}"/>
    <cellStyle name="40% - Accent5 3 5 2 4 2" xfId="44927" xr:uid="{CDE13723-9AF7-4ED0-8172-F9BD274D32DB}"/>
    <cellStyle name="40% - Accent5 3 5 2 5" xfId="29048" xr:uid="{756ED1A9-FB0E-4748-BB50-E3EC7867299F}"/>
    <cellStyle name="40% - Accent5 3 5 3" xfId="6948" xr:uid="{00000000-0005-0000-0000-0000DD490000}"/>
    <cellStyle name="40% - Accent5 3 5 3 2" xfId="14920" xr:uid="{00000000-0005-0000-0000-0000DE490000}"/>
    <cellStyle name="40% - Accent5 3 5 3 2 2" xfId="38762" xr:uid="{BC0488AD-61D8-4884-B9EC-7BEFBD37AA09}"/>
    <cellStyle name="40% - Accent5 3 5 3 3" xfId="22867" xr:uid="{00000000-0005-0000-0000-0000DF490000}"/>
    <cellStyle name="40% - Accent5 3 5 3 3 2" xfId="46699" xr:uid="{F5E0E1F0-5565-4638-9C3D-D597289DA1A8}"/>
    <cellStyle name="40% - Accent5 3 5 3 4" xfId="30821" xr:uid="{7A1703B1-8D18-4E5C-BF74-9B8AA0A1EEE3}"/>
    <cellStyle name="40% - Accent5 3 5 4" xfId="11384" xr:uid="{00000000-0005-0000-0000-0000E0490000}"/>
    <cellStyle name="40% - Accent5 3 5 4 2" xfId="35233" xr:uid="{2C7414E1-74A3-4F47-AF6D-B0787DA27BC8}"/>
    <cellStyle name="40% - Accent5 3 5 5" xfId="19339" xr:uid="{00000000-0005-0000-0000-0000E1490000}"/>
    <cellStyle name="40% - Accent5 3 5 5 2" xfId="43171" xr:uid="{853888A8-EA20-48B5-AA80-4B255D3CB7BA}"/>
    <cellStyle name="40% - Accent5 3 5 6" xfId="27291" xr:uid="{D8E46739-FF40-4589-A618-751AB8B07F49}"/>
    <cellStyle name="40% - Accent5 3 5_Exh G" xfId="3244" xr:uid="{00000000-0005-0000-0000-0000E2490000}"/>
    <cellStyle name="40% - Accent5 3 6" xfId="4237" xr:uid="{00000000-0005-0000-0000-0000E3490000}"/>
    <cellStyle name="40% - Accent5 3 6 2" xfId="7829" xr:uid="{00000000-0005-0000-0000-0000E4490000}"/>
    <cellStyle name="40% - Accent5 3 6 2 2" xfId="15800" xr:uid="{00000000-0005-0000-0000-0000E5490000}"/>
    <cellStyle name="40% - Accent5 3 6 2 2 2" xfId="39642" xr:uid="{10CCAE57-B225-42FF-A867-871405923DD1}"/>
    <cellStyle name="40% - Accent5 3 6 2 3" xfId="23746" xr:uid="{00000000-0005-0000-0000-0000E6490000}"/>
    <cellStyle name="40% - Accent5 3 6 2 3 2" xfId="47578" xr:uid="{382A0D9D-4004-4C81-94CC-9F77F7347B16}"/>
    <cellStyle name="40% - Accent5 3 6 2 4" xfId="31701" xr:uid="{4B7FA2CB-F1F9-4044-801A-D7FF515CFD67}"/>
    <cellStyle name="40% - Accent5 3 6 3" xfId="12262" xr:uid="{00000000-0005-0000-0000-0000E7490000}"/>
    <cellStyle name="40% - Accent5 3 6 3 2" xfId="36111" xr:uid="{56FCB9A8-ABF7-41D1-B369-44336B3C5FFD}"/>
    <cellStyle name="40% - Accent5 3 6 4" xfId="20217" xr:uid="{00000000-0005-0000-0000-0000E8490000}"/>
    <cellStyle name="40% - Accent5 3 6 4 2" xfId="44049" xr:uid="{0CFB4C26-70FD-47E8-B6C7-6BF0079F3F50}"/>
    <cellStyle name="40% - Accent5 3 6 5" xfId="28170" xr:uid="{32F519A4-6F52-4C91-965B-B8E05C3E630B}"/>
    <cellStyle name="40% - Accent5 3 7" xfId="6057" xr:uid="{00000000-0005-0000-0000-0000E9490000}"/>
    <cellStyle name="40% - Accent5 3 7 2" xfId="14041" xr:uid="{00000000-0005-0000-0000-0000EA490000}"/>
    <cellStyle name="40% - Accent5 3 7 2 2" xfId="37884" xr:uid="{8F8B9858-E751-44E5-9C54-63B93B01F3EE}"/>
    <cellStyle name="40% - Accent5 3 7 3" xfId="21989" xr:uid="{00000000-0005-0000-0000-0000EB490000}"/>
    <cellStyle name="40% - Accent5 3 7 3 2" xfId="45821" xr:uid="{BF56F614-5164-472D-BF26-A35523C96DFC}"/>
    <cellStyle name="40% - Accent5 3 7 4" xfId="29943" xr:uid="{07974F91-8564-4FAB-8409-906C34F08A11}"/>
    <cellStyle name="40% - Accent5 3 8" xfId="9610" xr:uid="{00000000-0005-0000-0000-0000EC490000}"/>
    <cellStyle name="40% - Accent5 3 8 2" xfId="17568" xr:uid="{00000000-0005-0000-0000-0000ED490000}"/>
    <cellStyle name="40% - Accent5 3 8 2 2" xfId="41408" xr:uid="{22E6907B-87F6-4513-A2D0-2F941AC2AAF4}"/>
    <cellStyle name="40% - Accent5 3 8 3" xfId="25512" xr:uid="{00000000-0005-0000-0000-0000EE490000}"/>
    <cellStyle name="40% - Accent5 3 8 3 2" xfId="49344" xr:uid="{B9EEEC00-CE0A-43B6-B8B6-4CF5F4D87FA8}"/>
    <cellStyle name="40% - Accent5 3 8 4" xfId="33467" xr:uid="{EBBD570A-60FC-4E1B-8371-314B98D5AD93}"/>
    <cellStyle name="40% - Accent5 3 9" xfId="10506" xr:uid="{00000000-0005-0000-0000-0000EF490000}"/>
    <cellStyle name="40% - Accent5 3 9 2" xfId="34355" xr:uid="{F70FB123-4EE1-433F-AF1D-02A0965F0966}"/>
    <cellStyle name="40% - Accent5 3_Exh G" xfId="3233" xr:uid="{00000000-0005-0000-0000-0000F0490000}"/>
    <cellStyle name="40% - Accent5 4" xfId="562" xr:uid="{00000000-0005-0000-0000-0000F1490000}"/>
    <cellStyle name="40% - Accent5 4 10" xfId="18465" xr:uid="{00000000-0005-0000-0000-0000F2490000}"/>
    <cellStyle name="40% - Accent5 4 10 2" xfId="42297" xr:uid="{9A28B1E9-E68D-4B9C-921E-E26BAE7A09F4}"/>
    <cellStyle name="40% - Accent5 4 11" xfId="26417" xr:uid="{41857B9C-A009-4793-A68A-45E43A8319D3}"/>
    <cellStyle name="40% - Accent5 4 2" xfId="563" xr:uid="{00000000-0005-0000-0000-0000F3490000}"/>
    <cellStyle name="40% - Accent5 4 2 10" xfId="26418" xr:uid="{FB59D80B-23B4-4447-95BB-683617207197}"/>
    <cellStyle name="40% - Accent5 4 2 2" xfId="564" xr:uid="{00000000-0005-0000-0000-0000F4490000}"/>
    <cellStyle name="40% - Accent5 4 2 2 2" xfId="1592" xr:uid="{00000000-0005-0000-0000-0000F5490000}"/>
    <cellStyle name="40% - Accent5 4 2 2 2 2" xfId="5122" xr:uid="{00000000-0005-0000-0000-0000F6490000}"/>
    <cellStyle name="40% - Accent5 4 2 2 2 2 2" xfId="8713" xr:uid="{00000000-0005-0000-0000-0000F7490000}"/>
    <cellStyle name="40% - Accent5 4 2 2 2 2 2 2" xfId="16684" xr:uid="{00000000-0005-0000-0000-0000F8490000}"/>
    <cellStyle name="40% - Accent5 4 2 2 2 2 2 2 2" xfId="40526" xr:uid="{01BBF4B5-15B0-438A-9CED-3AD2A75E6341}"/>
    <cellStyle name="40% - Accent5 4 2 2 2 2 2 3" xfId="24630" xr:uid="{00000000-0005-0000-0000-0000F9490000}"/>
    <cellStyle name="40% - Accent5 4 2 2 2 2 2 3 2" xfId="48462" xr:uid="{AEF9FE3A-040D-4CF0-BC4B-669A5EF64A85}"/>
    <cellStyle name="40% - Accent5 4 2 2 2 2 2 4" xfId="32585" xr:uid="{61A3C182-D762-45CE-A52C-AEB95595593E}"/>
    <cellStyle name="40% - Accent5 4 2 2 2 2 3" xfId="13146" xr:uid="{00000000-0005-0000-0000-0000FA490000}"/>
    <cellStyle name="40% - Accent5 4 2 2 2 2 3 2" xfId="36995" xr:uid="{9C30699B-447C-4E28-85D5-FE2AF92F1BB5}"/>
    <cellStyle name="40% - Accent5 4 2 2 2 2 4" xfId="21101" xr:uid="{00000000-0005-0000-0000-0000FB490000}"/>
    <cellStyle name="40% - Accent5 4 2 2 2 2 4 2" xfId="44933" xr:uid="{924C03EC-CF8D-4F37-84CD-5812C86219FF}"/>
    <cellStyle name="40% - Accent5 4 2 2 2 2 5" xfId="29054" xr:uid="{3D8719FC-2A71-4F89-8C56-F738E91AA195}"/>
    <cellStyle name="40% - Accent5 4 2 2 2 3" xfId="6954" xr:uid="{00000000-0005-0000-0000-0000FC490000}"/>
    <cellStyle name="40% - Accent5 4 2 2 2 3 2" xfId="14926" xr:uid="{00000000-0005-0000-0000-0000FD490000}"/>
    <cellStyle name="40% - Accent5 4 2 2 2 3 2 2" xfId="38768" xr:uid="{9C05245B-FCB3-4CB9-B172-EAD3C031D336}"/>
    <cellStyle name="40% - Accent5 4 2 2 2 3 3" xfId="22873" xr:uid="{00000000-0005-0000-0000-0000FE490000}"/>
    <cellStyle name="40% - Accent5 4 2 2 2 3 3 2" xfId="46705" xr:uid="{0284021D-5723-423C-BA78-44166A15EFB5}"/>
    <cellStyle name="40% - Accent5 4 2 2 2 3 4" xfId="30827" xr:uid="{0228D913-19B8-4BFC-A803-C288D5A58555}"/>
    <cellStyle name="40% - Accent5 4 2 2 2 4" xfId="11390" xr:uid="{00000000-0005-0000-0000-0000FF490000}"/>
    <cellStyle name="40% - Accent5 4 2 2 2 4 2" xfId="35239" xr:uid="{5D4C26DC-88E4-483D-8F01-1006D02E7B86}"/>
    <cellStyle name="40% - Accent5 4 2 2 2 5" xfId="19345" xr:uid="{00000000-0005-0000-0000-0000004A0000}"/>
    <cellStyle name="40% - Accent5 4 2 2 2 5 2" xfId="43177" xr:uid="{C2680909-BDAD-4377-ABDE-30225A511734}"/>
    <cellStyle name="40% - Accent5 4 2 2 2 6" xfId="27297" xr:uid="{1BA79D39-6741-4901-AA82-2C2D7CDF8A2C}"/>
    <cellStyle name="40% - Accent5 4 2 2 2_Exh G" xfId="3248" xr:uid="{00000000-0005-0000-0000-0000014A0000}"/>
    <cellStyle name="40% - Accent5 4 2 2 3" xfId="4243" xr:uid="{00000000-0005-0000-0000-0000024A0000}"/>
    <cellStyle name="40% - Accent5 4 2 2 3 2" xfId="7835" xr:uid="{00000000-0005-0000-0000-0000034A0000}"/>
    <cellStyle name="40% - Accent5 4 2 2 3 2 2" xfId="15806" xr:uid="{00000000-0005-0000-0000-0000044A0000}"/>
    <cellStyle name="40% - Accent5 4 2 2 3 2 2 2" xfId="39648" xr:uid="{C27837C1-3E23-4B01-836F-DD62B135771C}"/>
    <cellStyle name="40% - Accent5 4 2 2 3 2 3" xfId="23752" xr:uid="{00000000-0005-0000-0000-0000054A0000}"/>
    <cellStyle name="40% - Accent5 4 2 2 3 2 3 2" xfId="47584" xr:uid="{40F5A87F-3DB2-4F42-B6B8-47634D016BA6}"/>
    <cellStyle name="40% - Accent5 4 2 2 3 2 4" xfId="31707" xr:uid="{1896DA38-DD98-4837-8031-5413B012FE8F}"/>
    <cellStyle name="40% - Accent5 4 2 2 3 3" xfId="12268" xr:uid="{00000000-0005-0000-0000-0000064A0000}"/>
    <cellStyle name="40% - Accent5 4 2 2 3 3 2" xfId="36117" xr:uid="{B2351E0A-FBEF-42C5-A867-CC741D4DF05F}"/>
    <cellStyle name="40% - Accent5 4 2 2 3 4" xfId="20223" xr:uid="{00000000-0005-0000-0000-0000074A0000}"/>
    <cellStyle name="40% - Accent5 4 2 2 3 4 2" xfId="44055" xr:uid="{E1553B24-B3AF-4E82-AC3C-4AC3703E1BDC}"/>
    <cellStyle name="40% - Accent5 4 2 2 3 5" xfId="28176" xr:uid="{8C5823E0-2111-4547-B1EE-28731B9D48C2}"/>
    <cellStyle name="40% - Accent5 4 2 2 4" xfId="6063" xr:uid="{00000000-0005-0000-0000-0000084A0000}"/>
    <cellStyle name="40% - Accent5 4 2 2 4 2" xfId="14047" xr:uid="{00000000-0005-0000-0000-0000094A0000}"/>
    <cellStyle name="40% - Accent5 4 2 2 4 2 2" xfId="37890" xr:uid="{468B693A-76C3-4E55-9C65-CF72B0BE7D37}"/>
    <cellStyle name="40% - Accent5 4 2 2 4 3" xfId="21995" xr:uid="{00000000-0005-0000-0000-00000A4A0000}"/>
    <cellStyle name="40% - Accent5 4 2 2 4 3 2" xfId="45827" xr:uid="{27A37E7E-C0B8-48C8-885E-9E11F88D7153}"/>
    <cellStyle name="40% - Accent5 4 2 2 4 4" xfId="29949" xr:uid="{48C88CBE-4FD8-4818-8F9A-F77F3EB067A3}"/>
    <cellStyle name="40% - Accent5 4 2 2 5" xfId="9616" xr:uid="{00000000-0005-0000-0000-00000B4A0000}"/>
    <cellStyle name="40% - Accent5 4 2 2 5 2" xfId="17574" xr:uid="{00000000-0005-0000-0000-00000C4A0000}"/>
    <cellStyle name="40% - Accent5 4 2 2 5 2 2" xfId="41414" xr:uid="{AB963BED-9724-42B5-B18D-ABAFBE778A6F}"/>
    <cellStyle name="40% - Accent5 4 2 2 5 3" xfId="25518" xr:uid="{00000000-0005-0000-0000-00000D4A0000}"/>
    <cellStyle name="40% - Accent5 4 2 2 5 3 2" xfId="49350" xr:uid="{0A17A2D8-8768-4C26-9709-E323434A0A99}"/>
    <cellStyle name="40% - Accent5 4 2 2 5 4" xfId="33473" xr:uid="{98DFA050-ACC6-4AC5-A8F1-DFF7C745A814}"/>
    <cellStyle name="40% - Accent5 4 2 2 6" xfId="10512" xr:uid="{00000000-0005-0000-0000-00000E4A0000}"/>
    <cellStyle name="40% - Accent5 4 2 2 6 2" xfId="34361" xr:uid="{785B3882-002D-400E-A074-F0F8653BE85E}"/>
    <cellStyle name="40% - Accent5 4 2 2 7" xfId="18467" xr:uid="{00000000-0005-0000-0000-00000F4A0000}"/>
    <cellStyle name="40% - Accent5 4 2 2 7 2" xfId="42299" xr:uid="{CCBD72EA-66F0-4F60-AC27-81B6003408A2}"/>
    <cellStyle name="40% - Accent5 4 2 2 8" xfId="26419" xr:uid="{94216271-D4DC-420B-B482-AA57D074E205}"/>
    <cellStyle name="40% - Accent5 4 2 2_Exh G" xfId="3247" xr:uid="{00000000-0005-0000-0000-0000104A0000}"/>
    <cellStyle name="40% - Accent5 4 2 3" xfId="988" xr:uid="{00000000-0005-0000-0000-0000114A0000}"/>
    <cellStyle name="40% - Accent5 4 2 3 2" xfId="1904" xr:uid="{00000000-0005-0000-0000-0000124A0000}"/>
    <cellStyle name="40% - Accent5 4 2 3 2 2" xfId="5422" xr:uid="{00000000-0005-0000-0000-0000134A0000}"/>
    <cellStyle name="40% - Accent5 4 2 3 2 2 2" xfId="9013" xr:uid="{00000000-0005-0000-0000-0000144A0000}"/>
    <cellStyle name="40% - Accent5 4 2 3 2 2 2 2" xfId="16984" xr:uid="{00000000-0005-0000-0000-0000154A0000}"/>
    <cellStyle name="40% - Accent5 4 2 3 2 2 2 2 2" xfId="40826" xr:uid="{764E7F38-2C26-482E-9A69-F12251AC9220}"/>
    <cellStyle name="40% - Accent5 4 2 3 2 2 2 3" xfId="24930" xr:uid="{00000000-0005-0000-0000-0000164A0000}"/>
    <cellStyle name="40% - Accent5 4 2 3 2 2 2 3 2" xfId="48762" xr:uid="{608E6F21-D186-48E9-82EE-190FB5A4DB37}"/>
    <cellStyle name="40% - Accent5 4 2 3 2 2 2 4" xfId="32885" xr:uid="{634D2D03-471F-4BC6-9117-2585AEFF6BB4}"/>
    <cellStyle name="40% - Accent5 4 2 3 2 2 3" xfId="13446" xr:uid="{00000000-0005-0000-0000-0000174A0000}"/>
    <cellStyle name="40% - Accent5 4 2 3 2 2 3 2" xfId="37295" xr:uid="{0CE766E8-66BA-4D74-A785-C7A2BC1BF7BF}"/>
    <cellStyle name="40% - Accent5 4 2 3 2 2 4" xfId="21401" xr:uid="{00000000-0005-0000-0000-0000184A0000}"/>
    <cellStyle name="40% - Accent5 4 2 3 2 2 4 2" xfId="45233" xr:uid="{93D8F364-D4F4-44E1-ABA7-618F9F5A4DED}"/>
    <cellStyle name="40% - Accent5 4 2 3 2 2 5" xfId="29354" xr:uid="{49261B83-4648-4A49-B70F-5A39EC85EF98}"/>
    <cellStyle name="40% - Accent5 4 2 3 2 3" xfId="7254" xr:uid="{00000000-0005-0000-0000-0000194A0000}"/>
    <cellStyle name="40% - Accent5 4 2 3 2 3 2" xfId="15226" xr:uid="{00000000-0005-0000-0000-00001A4A0000}"/>
    <cellStyle name="40% - Accent5 4 2 3 2 3 2 2" xfId="39068" xr:uid="{47863F7E-4A6B-4A79-AC4C-CC7A0CC7932D}"/>
    <cellStyle name="40% - Accent5 4 2 3 2 3 3" xfId="23173" xr:uid="{00000000-0005-0000-0000-00001B4A0000}"/>
    <cellStyle name="40% - Accent5 4 2 3 2 3 3 2" xfId="47005" xr:uid="{053FBCAF-3577-49A5-9CC2-E548C3041B3A}"/>
    <cellStyle name="40% - Accent5 4 2 3 2 3 4" xfId="31127" xr:uid="{45D4EFD7-1568-40F9-8EAC-E4C0C7838FF1}"/>
    <cellStyle name="40% - Accent5 4 2 3 2 4" xfId="11690" xr:uid="{00000000-0005-0000-0000-00001C4A0000}"/>
    <cellStyle name="40% - Accent5 4 2 3 2 4 2" xfId="35539" xr:uid="{B6FD8C41-7157-4729-914B-C2B3DEC75FCD}"/>
    <cellStyle name="40% - Accent5 4 2 3 2 5" xfId="19645" xr:uid="{00000000-0005-0000-0000-00001D4A0000}"/>
    <cellStyle name="40% - Accent5 4 2 3 2 5 2" xfId="43477" xr:uid="{958E9B6B-8E4D-458C-A985-FFC34FB63F05}"/>
    <cellStyle name="40% - Accent5 4 2 3 2 6" xfId="27597" xr:uid="{9A6A0065-DCAB-4444-9B84-577DD5FFD47A}"/>
    <cellStyle name="40% - Accent5 4 2 3 2_Exh G" xfId="3250" xr:uid="{00000000-0005-0000-0000-00001E4A0000}"/>
    <cellStyle name="40% - Accent5 4 2 3 3" xfId="4543" xr:uid="{00000000-0005-0000-0000-00001F4A0000}"/>
    <cellStyle name="40% - Accent5 4 2 3 3 2" xfId="8135" xr:uid="{00000000-0005-0000-0000-0000204A0000}"/>
    <cellStyle name="40% - Accent5 4 2 3 3 2 2" xfId="16106" xr:uid="{00000000-0005-0000-0000-0000214A0000}"/>
    <cellStyle name="40% - Accent5 4 2 3 3 2 2 2" xfId="39948" xr:uid="{5360E8ED-DBE2-47FE-9DB0-6C0049ECA140}"/>
    <cellStyle name="40% - Accent5 4 2 3 3 2 3" xfId="24052" xr:uid="{00000000-0005-0000-0000-0000224A0000}"/>
    <cellStyle name="40% - Accent5 4 2 3 3 2 3 2" xfId="47884" xr:uid="{5BF73250-317C-4563-95EF-33B041BFC79C}"/>
    <cellStyle name="40% - Accent5 4 2 3 3 2 4" xfId="32007" xr:uid="{5E0109E7-5CD7-43AE-A24C-F62C15E3AAC3}"/>
    <cellStyle name="40% - Accent5 4 2 3 3 3" xfId="12568" xr:uid="{00000000-0005-0000-0000-0000234A0000}"/>
    <cellStyle name="40% - Accent5 4 2 3 3 3 2" xfId="36417" xr:uid="{448D5D49-43F7-4B39-88E4-31E4BE6DD65A}"/>
    <cellStyle name="40% - Accent5 4 2 3 3 4" xfId="20523" xr:uid="{00000000-0005-0000-0000-0000244A0000}"/>
    <cellStyle name="40% - Accent5 4 2 3 3 4 2" xfId="44355" xr:uid="{B243A5E4-6F96-4FD3-8B3F-70B428633FCA}"/>
    <cellStyle name="40% - Accent5 4 2 3 3 5" xfId="28476" xr:uid="{95130352-CC24-49B4-B7F3-F5FAA31B49F6}"/>
    <cellStyle name="40% - Accent5 4 2 3 4" xfId="6373" xr:uid="{00000000-0005-0000-0000-0000254A0000}"/>
    <cellStyle name="40% - Accent5 4 2 3 4 2" xfId="14348" xr:uid="{00000000-0005-0000-0000-0000264A0000}"/>
    <cellStyle name="40% - Accent5 4 2 3 4 2 2" xfId="38190" xr:uid="{BBAA5715-D4D8-41D0-8D04-474F0B962669}"/>
    <cellStyle name="40% - Accent5 4 2 3 4 3" xfId="22295" xr:uid="{00000000-0005-0000-0000-0000274A0000}"/>
    <cellStyle name="40% - Accent5 4 2 3 4 3 2" xfId="46127" xr:uid="{9AB9DEB7-CC9A-41F1-B7A6-F9A1BA0AB78C}"/>
    <cellStyle name="40% - Accent5 4 2 3 4 4" xfId="30249" xr:uid="{FD8C6D45-1C98-477C-B157-C9214C173B80}"/>
    <cellStyle name="40% - Accent5 4 2 3 5" xfId="9916" xr:uid="{00000000-0005-0000-0000-0000284A0000}"/>
    <cellStyle name="40% - Accent5 4 2 3 5 2" xfId="17874" xr:uid="{00000000-0005-0000-0000-0000294A0000}"/>
    <cellStyle name="40% - Accent5 4 2 3 5 2 2" xfId="41714" xr:uid="{C9637E72-5589-4EED-BB12-C0D288A18434}"/>
    <cellStyle name="40% - Accent5 4 2 3 5 3" xfId="25818" xr:uid="{00000000-0005-0000-0000-00002A4A0000}"/>
    <cellStyle name="40% - Accent5 4 2 3 5 3 2" xfId="49650" xr:uid="{DDACCD38-BA9C-4C83-8430-140D93844722}"/>
    <cellStyle name="40% - Accent5 4 2 3 5 4" xfId="33773" xr:uid="{547A1151-AFDC-4704-AF7E-C5CBA859DE17}"/>
    <cellStyle name="40% - Accent5 4 2 3 6" xfId="10812" xr:uid="{00000000-0005-0000-0000-00002B4A0000}"/>
    <cellStyle name="40% - Accent5 4 2 3 6 2" xfId="34661" xr:uid="{41DC0B44-2AF2-47C3-ACFE-22853AA10FE8}"/>
    <cellStyle name="40% - Accent5 4 2 3 7" xfId="18767" xr:uid="{00000000-0005-0000-0000-00002C4A0000}"/>
    <cellStyle name="40% - Accent5 4 2 3 7 2" xfId="42599" xr:uid="{0E7462E1-1970-48CC-841A-87D99751953A}"/>
    <cellStyle name="40% - Accent5 4 2 3 8" xfId="26719" xr:uid="{3C3FDA38-463D-422B-B838-492FD9A4D367}"/>
    <cellStyle name="40% - Accent5 4 2 3_Exh G" xfId="3249" xr:uid="{00000000-0005-0000-0000-00002D4A0000}"/>
    <cellStyle name="40% - Accent5 4 2 4" xfId="1591" xr:uid="{00000000-0005-0000-0000-00002E4A0000}"/>
    <cellStyle name="40% - Accent5 4 2 4 2" xfId="5121" xr:uid="{00000000-0005-0000-0000-00002F4A0000}"/>
    <cellStyle name="40% - Accent5 4 2 4 2 2" xfId="8712" xr:uid="{00000000-0005-0000-0000-0000304A0000}"/>
    <cellStyle name="40% - Accent5 4 2 4 2 2 2" xfId="16683" xr:uid="{00000000-0005-0000-0000-0000314A0000}"/>
    <cellStyle name="40% - Accent5 4 2 4 2 2 2 2" xfId="40525" xr:uid="{DB7F6D3B-D89D-470A-AA36-434C5FAA8D0E}"/>
    <cellStyle name="40% - Accent5 4 2 4 2 2 3" xfId="24629" xr:uid="{00000000-0005-0000-0000-0000324A0000}"/>
    <cellStyle name="40% - Accent5 4 2 4 2 2 3 2" xfId="48461" xr:uid="{8D4AFB8E-5965-4B76-8E54-DC27AFF66DE7}"/>
    <cellStyle name="40% - Accent5 4 2 4 2 2 4" xfId="32584" xr:uid="{22A18363-3D57-4B30-92A2-696C33B72AA6}"/>
    <cellStyle name="40% - Accent5 4 2 4 2 3" xfId="13145" xr:uid="{00000000-0005-0000-0000-0000334A0000}"/>
    <cellStyle name="40% - Accent5 4 2 4 2 3 2" xfId="36994" xr:uid="{EE39C35E-FD82-4A37-94EC-3371FB073373}"/>
    <cellStyle name="40% - Accent5 4 2 4 2 4" xfId="21100" xr:uid="{00000000-0005-0000-0000-0000344A0000}"/>
    <cellStyle name="40% - Accent5 4 2 4 2 4 2" xfId="44932" xr:uid="{878F9EBF-9053-466E-BA3B-84C60D22C2EC}"/>
    <cellStyle name="40% - Accent5 4 2 4 2 5" xfId="29053" xr:uid="{714FDC97-C43B-49F2-B11E-FDC94939D3E2}"/>
    <cellStyle name="40% - Accent5 4 2 4 3" xfId="6953" xr:uid="{00000000-0005-0000-0000-0000354A0000}"/>
    <cellStyle name="40% - Accent5 4 2 4 3 2" xfId="14925" xr:uid="{00000000-0005-0000-0000-0000364A0000}"/>
    <cellStyle name="40% - Accent5 4 2 4 3 2 2" xfId="38767" xr:uid="{D1AB00E6-5249-41A6-95F0-E3A51B5F5449}"/>
    <cellStyle name="40% - Accent5 4 2 4 3 3" xfId="22872" xr:uid="{00000000-0005-0000-0000-0000374A0000}"/>
    <cellStyle name="40% - Accent5 4 2 4 3 3 2" xfId="46704" xr:uid="{66C94687-04F8-41F0-BD7D-DAF5147ED9F1}"/>
    <cellStyle name="40% - Accent5 4 2 4 3 4" xfId="30826" xr:uid="{4BAB61F2-98CD-4B73-A4CD-ACFB8721C8AA}"/>
    <cellStyle name="40% - Accent5 4 2 4 4" xfId="11389" xr:uid="{00000000-0005-0000-0000-0000384A0000}"/>
    <cellStyle name="40% - Accent5 4 2 4 4 2" xfId="35238" xr:uid="{86C13FF9-2920-4BBE-9668-29326F7B4EBA}"/>
    <cellStyle name="40% - Accent5 4 2 4 5" xfId="19344" xr:uid="{00000000-0005-0000-0000-0000394A0000}"/>
    <cellStyle name="40% - Accent5 4 2 4 5 2" xfId="43176" xr:uid="{DBD15C57-FE73-446C-AB1F-A0900928EA75}"/>
    <cellStyle name="40% - Accent5 4 2 4 6" xfId="27296" xr:uid="{EC08CAB1-7441-4D4C-9EB6-27639AC80B08}"/>
    <cellStyle name="40% - Accent5 4 2 4_Exh G" xfId="3251" xr:uid="{00000000-0005-0000-0000-00003A4A0000}"/>
    <cellStyle name="40% - Accent5 4 2 5" xfId="4242" xr:uid="{00000000-0005-0000-0000-00003B4A0000}"/>
    <cellStyle name="40% - Accent5 4 2 5 2" xfId="7834" xr:uid="{00000000-0005-0000-0000-00003C4A0000}"/>
    <cellStyle name="40% - Accent5 4 2 5 2 2" xfId="15805" xr:uid="{00000000-0005-0000-0000-00003D4A0000}"/>
    <cellStyle name="40% - Accent5 4 2 5 2 2 2" xfId="39647" xr:uid="{EEBA0195-23BE-463B-8A3E-B69FFFA137FA}"/>
    <cellStyle name="40% - Accent5 4 2 5 2 3" xfId="23751" xr:uid="{00000000-0005-0000-0000-00003E4A0000}"/>
    <cellStyle name="40% - Accent5 4 2 5 2 3 2" xfId="47583" xr:uid="{71A3B615-13AF-42D9-A75C-ABD8A3CA2D99}"/>
    <cellStyle name="40% - Accent5 4 2 5 2 4" xfId="31706" xr:uid="{5303ED0B-AC1E-4957-A48E-BD9A0A746108}"/>
    <cellStyle name="40% - Accent5 4 2 5 3" xfId="12267" xr:uid="{00000000-0005-0000-0000-00003F4A0000}"/>
    <cellStyle name="40% - Accent5 4 2 5 3 2" xfId="36116" xr:uid="{A9C7E61D-CB04-4339-8359-0348D64E1003}"/>
    <cellStyle name="40% - Accent5 4 2 5 4" xfId="20222" xr:uid="{00000000-0005-0000-0000-0000404A0000}"/>
    <cellStyle name="40% - Accent5 4 2 5 4 2" xfId="44054" xr:uid="{E2CA22AB-CE09-407D-92A7-48D0F4A6C94A}"/>
    <cellStyle name="40% - Accent5 4 2 5 5" xfId="28175" xr:uid="{FE3C3BB0-5AD6-4FAB-A758-C6FB77A91494}"/>
    <cellStyle name="40% - Accent5 4 2 6" xfId="6062" xr:uid="{00000000-0005-0000-0000-0000414A0000}"/>
    <cellStyle name="40% - Accent5 4 2 6 2" xfId="14046" xr:uid="{00000000-0005-0000-0000-0000424A0000}"/>
    <cellStyle name="40% - Accent5 4 2 6 2 2" xfId="37889" xr:uid="{0C0073E5-3B87-4492-9360-070F1B353D96}"/>
    <cellStyle name="40% - Accent5 4 2 6 3" xfId="21994" xr:uid="{00000000-0005-0000-0000-0000434A0000}"/>
    <cellStyle name="40% - Accent5 4 2 6 3 2" xfId="45826" xr:uid="{6CB6F097-0368-4FD6-B01A-2C2EF8431C60}"/>
    <cellStyle name="40% - Accent5 4 2 6 4" xfId="29948" xr:uid="{E77D82BB-05E6-4911-BD0F-5A6DCDAFE8BF}"/>
    <cellStyle name="40% - Accent5 4 2 7" xfId="9615" xr:uid="{00000000-0005-0000-0000-0000444A0000}"/>
    <cellStyle name="40% - Accent5 4 2 7 2" xfId="17573" xr:uid="{00000000-0005-0000-0000-0000454A0000}"/>
    <cellStyle name="40% - Accent5 4 2 7 2 2" xfId="41413" xr:uid="{AE98ACA6-4CEB-4D70-A845-C08C140D900E}"/>
    <cellStyle name="40% - Accent5 4 2 7 3" xfId="25517" xr:uid="{00000000-0005-0000-0000-0000464A0000}"/>
    <cellStyle name="40% - Accent5 4 2 7 3 2" xfId="49349" xr:uid="{B2046A02-2871-43DC-A4AE-746434BF09FA}"/>
    <cellStyle name="40% - Accent5 4 2 7 4" xfId="33472" xr:uid="{7BB60851-FB5D-40B2-BF5A-517F6C7F8A4A}"/>
    <cellStyle name="40% - Accent5 4 2 8" xfId="10511" xr:uid="{00000000-0005-0000-0000-0000474A0000}"/>
    <cellStyle name="40% - Accent5 4 2 8 2" xfId="34360" xr:uid="{C412CB26-4272-44BD-8CD8-B17DF1A0D56C}"/>
    <cellStyle name="40% - Accent5 4 2 9" xfId="18466" xr:uid="{00000000-0005-0000-0000-0000484A0000}"/>
    <cellStyle name="40% - Accent5 4 2 9 2" xfId="42298" xr:uid="{D6CC8E48-8D87-4A9E-804D-8116A81DF507}"/>
    <cellStyle name="40% - Accent5 4 2_Exh G" xfId="3246" xr:uid="{00000000-0005-0000-0000-0000494A0000}"/>
    <cellStyle name="40% - Accent5 4 3" xfId="565" xr:uid="{00000000-0005-0000-0000-00004A4A0000}"/>
    <cellStyle name="40% - Accent5 4 3 2" xfId="1593" xr:uid="{00000000-0005-0000-0000-00004B4A0000}"/>
    <cellStyle name="40% - Accent5 4 3 2 2" xfId="5123" xr:uid="{00000000-0005-0000-0000-00004C4A0000}"/>
    <cellStyle name="40% - Accent5 4 3 2 2 2" xfId="8714" xr:uid="{00000000-0005-0000-0000-00004D4A0000}"/>
    <cellStyle name="40% - Accent5 4 3 2 2 2 2" xfId="16685" xr:uid="{00000000-0005-0000-0000-00004E4A0000}"/>
    <cellStyle name="40% - Accent5 4 3 2 2 2 2 2" xfId="40527" xr:uid="{6CD1F3E8-F97B-412E-9CCC-486D53FA7233}"/>
    <cellStyle name="40% - Accent5 4 3 2 2 2 3" xfId="24631" xr:uid="{00000000-0005-0000-0000-00004F4A0000}"/>
    <cellStyle name="40% - Accent5 4 3 2 2 2 3 2" xfId="48463" xr:uid="{E600CD0B-8AE7-422C-8F98-2849BFCB9D38}"/>
    <cellStyle name="40% - Accent5 4 3 2 2 2 4" xfId="32586" xr:uid="{D4304ADC-BD1C-4357-8EDA-25355574A50C}"/>
    <cellStyle name="40% - Accent5 4 3 2 2 3" xfId="13147" xr:uid="{00000000-0005-0000-0000-0000504A0000}"/>
    <cellStyle name="40% - Accent5 4 3 2 2 3 2" xfId="36996" xr:uid="{92BB9EE7-32E1-45A9-BC76-D866DC11BB2E}"/>
    <cellStyle name="40% - Accent5 4 3 2 2 4" xfId="21102" xr:uid="{00000000-0005-0000-0000-0000514A0000}"/>
    <cellStyle name="40% - Accent5 4 3 2 2 4 2" xfId="44934" xr:uid="{54952375-E0C4-44B6-B8A5-FA3B2EC72979}"/>
    <cellStyle name="40% - Accent5 4 3 2 2 5" xfId="29055" xr:uid="{8AD18F4F-BDA9-4F08-88C6-5DD5B7727525}"/>
    <cellStyle name="40% - Accent5 4 3 2 3" xfId="6955" xr:uid="{00000000-0005-0000-0000-0000524A0000}"/>
    <cellStyle name="40% - Accent5 4 3 2 3 2" xfId="14927" xr:uid="{00000000-0005-0000-0000-0000534A0000}"/>
    <cellStyle name="40% - Accent5 4 3 2 3 2 2" xfId="38769" xr:uid="{F679D34A-A5EC-4862-9A5B-CE74778DF47B}"/>
    <cellStyle name="40% - Accent5 4 3 2 3 3" xfId="22874" xr:uid="{00000000-0005-0000-0000-0000544A0000}"/>
    <cellStyle name="40% - Accent5 4 3 2 3 3 2" xfId="46706" xr:uid="{DF9611E1-E284-4E6F-B36D-07DADBD7C698}"/>
    <cellStyle name="40% - Accent5 4 3 2 3 4" xfId="30828" xr:uid="{143C479D-3EB7-46FE-96DD-A18B998419E9}"/>
    <cellStyle name="40% - Accent5 4 3 2 4" xfId="11391" xr:uid="{00000000-0005-0000-0000-0000554A0000}"/>
    <cellStyle name="40% - Accent5 4 3 2 4 2" xfId="35240" xr:uid="{B6317E14-E0C4-41B2-AA62-35A297FC496D}"/>
    <cellStyle name="40% - Accent5 4 3 2 5" xfId="19346" xr:uid="{00000000-0005-0000-0000-0000564A0000}"/>
    <cellStyle name="40% - Accent5 4 3 2 5 2" xfId="43178" xr:uid="{85AA867A-0D19-4C18-BB63-76C0D61CE4C8}"/>
    <cellStyle name="40% - Accent5 4 3 2 6" xfId="27298" xr:uid="{67447473-A2E7-491D-A917-9CD66ACC5DB0}"/>
    <cellStyle name="40% - Accent5 4 3 2_Exh G" xfId="3253" xr:uid="{00000000-0005-0000-0000-0000574A0000}"/>
    <cellStyle name="40% - Accent5 4 3 3" xfId="4244" xr:uid="{00000000-0005-0000-0000-0000584A0000}"/>
    <cellStyle name="40% - Accent5 4 3 3 2" xfId="7836" xr:uid="{00000000-0005-0000-0000-0000594A0000}"/>
    <cellStyle name="40% - Accent5 4 3 3 2 2" xfId="15807" xr:uid="{00000000-0005-0000-0000-00005A4A0000}"/>
    <cellStyle name="40% - Accent5 4 3 3 2 2 2" xfId="39649" xr:uid="{8F6FD564-8FAA-4913-AA5D-EBED247AD711}"/>
    <cellStyle name="40% - Accent5 4 3 3 2 3" xfId="23753" xr:uid="{00000000-0005-0000-0000-00005B4A0000}"/>
    <cellStyle name="40% - Accent5 4 3 3 2 3 2" xfId="47585" xr:uid="{CCFC4B5C-E05C-4CE5-94EA-47A59F414650}"/>
    <cellStyle name="40% - Accent5 4 3 3 2 4" xfId="31708" xr:uid="{B1A34162-A7EC-47CC-BEFC-B6FA07F992B2}"/>
    <cellStyle name="40% - Accent5 4 3 3 3" xfId="12269" xr:uid="{00000000-0005-0000-0000-00005C4A0000}"/>
    <cellStyle name="40% - Accent5 4 3 3 3 2" xfId="36118" xr:uid="{2E1F85AF-768B-4B13-A599-42E1A2CB20FE}"/>
    <cellStyle name="40% - Accent5 4 3 3 4" xfId="20224" xr:uid="{00000000-0005-0000-0000-00005D4A0000}"/>
    <cellStyle name="40% - Accent5 4 3 3 4 2" xfId="44056" xr:uid="{8C1CAF03-5AEA-41D9-AD95-742882791596}"/>
    <cellStyle name="40% - Accent5 4 3 3 5" xfId="28177" xr:uid="{4619A994-2F3A-4141-804F-6865023AEAF5}"/>
    <cellStyle name="40% - Accent5 4 3 4" xfId="6064" xr:uid="{00000000-0005-0000-0000-00005E4A0000}"/>
    <cellStyle name="40% - Accent5 4 3 4 2" xfId="14048" xr:uid="{00000000-0005-0000-0000-00005F4A0000}"/>
    <cellStyle name="40% - Accent5 4 3 4 2 2" xfId="37891" xr:uid="{7B77BF24-F06A-498C-BD15-01A239012E87}"/>
    <cellStyle name="40% - Accent5 4 3 4 3" xfId="21996" xr:uid="{00000000-0005-0000-0000-0000604A0000}"/>
    <cellStyle name="40% - Accent5 4 3 4 3 2" xfId="45828" xr:uid="{8245B015-6194-40E8-925F-E395EAE4CB24}"/>
    <cellStyle name="40% - Accent5 4 3 4 4" xfId="29950" xr:uid="{A98E6522-E5A0-4501-98EB-3777A2A33DD2}"/>
    <cellStyle name="40% - Accent5 4 3 5" xfId="9617" xr:uid="{00000000-0005-0000-0000-0000614A0000}"/>
    <cellStyle name="40% - Accent5 4 3 5 2" xfId="17575" xr:uid="{00000000-0005-0000-0000-0000624A0000}"/>
    <cellStyle name="40% - Accent5 4 3 5 2 2" xfId="41415" xr:uid="{F1D722D8-15A0-4A5C-AF9A-A387DB6B525C}"/>
    <cellStyle name="40% - Accent5 4 3 5 3" xfId="25519" xr:uid="{00000000-0005-0000-0000-0000634A0000}"/>
    <cellStyle name="40% - Accent5 4 3 5 3 2" xfId="49351" xr:uid="{C5783507-AC7A-4E1F-A02F-9340AE4B9EAA}"/>
    <cellStyle name="40% - Accent5 4 3 5 4" xfId="33474" xr:uid="{74C6BD24-BB44-42BC-ACD9-51A0FF166A8B}"/>
    <cellStyle name="40% - Accent5 4 3 6" xfId="10513" xr:uid="{00000000-0005-0000-0000-0000644A0000}"/>
    <cellStyle name="40% - Accent5 4 3 6 2" xfId="34362" xr:uid="{F10F108E-D84D-45C0-8394-DD749EA262D9}"/>
    <cellStyle name="40% - Accent5 4 3 7" xfId="18468" xr:uid="{00000000-0005-0000-0000-0000654A0000}"/>
    <cellStyle name="40% - Accent5 4 3 7 2" xfId="42300" xr:uid="{6E25D522-3411-4673-81DB-CA646D7A7028}"/>
    <cellStyle name="40% - Accent5 4 3 8" xfId="26420" xr:uid="{DA73BC99-B56B-4FC7-9206-1B74165D0B3C}"/>
    <cellStyle name="40% - Accent5 4 3_Exh G" xfId="3252" xr:uid="{00000000-0005-0000-0000-0000664A0000}"/>
    <cellStyle name="40% - Accent5 4 4" xfId="987" xr:uid="{00000000-0005-0000-0000-0000674A0000}"/>
    <cellStyle name="40% - Accent5 4 4 2" xfId="1903" xr:uid="{00000000-0005-0000-0000-0000684A0000}"/>
    <cellStyle name="40% - Accent5 4 4 2 2" xfId="5421" xr:uid="{00000000-0005-0000-0000-0000694A0000}"/>
    <cellStyle name="40% - Accent5 4 4 2 2 2" xfId="9012" xr:uid="{00000000-0005-0000-0000-00006A4A0000}"/>
    <cellStyle name="40% - Accent5 4 4 2 2 2 2" xfId="16983" xr:uid="{00000000-0005-0000-0000-00006B4A0000}"/>
    <cellStyle name="40% - Accent5 4 4 2 2 2 2 2" xfId="40825" xr:uid="{103C2ADB-5700-49FE-857D-CB13225E85E7}"/>
    <cellStyle name="40% - Accent5 4 4 2 2 2 3" xfId="24929" xr:uid="{00000000-0005-0000-0000-00006C4A0000}"/>
    <cellStyle name="40% - Accent5 4 4 2 2 2 3 2" xfId="48761" xr:uid="{2C211F06-0612-46B1-B818-5307977420D9}"/>
    <cellStyle name="40% - Accent5 4 4 2 2 2 4" xfId="32884" xr:uid="{7470F9E8-7614-4660-9D9C-19EE6CD05BAD}"/>
    <cellStyle name="40% - Accent5 4 4 2 2 3" xfId="13445" xr:uid="{00000000-0005-0000-0000-00006D4A0000}"/>
    <cellStyle name="40% - Accent5 4 4 2 2 3 2" xfId="37294" xr:uid="{3EE1F52E-E5C4-4F5B-8F81-67A22B370930}"/>
    <cellStyle name="40% - Accent5 4 4 2 2 4" xfId="21400" xr:uid="{00000000-0005-0000-0000-00006E4A0000}"/>
    <cellStyle name="40% - Accent5 4 4 2 2 4 2" xfId="45232" xr:uid="{3E8A6EC5-65FE-4CA5-AAE9-3A965098D7B6}"/>
    <cellStyle name="40% - Accent5 4 4 2 2 5" xfId="29353" xr:uid="{FD44F3AA-5CD6-4A75-B2A0-361D4EFCA209}"/>
    <cellStyle name="40% - Accent5 4 4 2 3" xfId="7253" xr:uid="{00000000-0005-0000-0000-00006F4A0000}"/>
    <cellStyle name="40% - Accent5 4 4 2 3 2" xfId="15225" xr:uid="{00000000-0005-0000-0000-0000704A0000}"/>
    <cellStyle name="40% - Accent5 4 4 2 3 2 2" xfId="39067" xr:uid="{E51AE4FD-9204-4D10-B647-A85637D2510C}"/>
    <cellStyle name="40% - Accent5 4 4 2 3 3" xfId="23172" xr:uid="{00000000-0005-0000-0000-0000714A0000}"/>
    <cellStyle name="40% - Accent5 4 4 2 3 3 2" xfId="47004" xr:uid="{7EC30CE4-CC24-440A-A320-8F1F8EF9A778}"/>
    <cellStyle name="40% - Accent5 4 4 2 3 4" xfId="31126" xr:uid="{1AB545BF-E8C9-4715-AA0A-3965FA72D17B}"/>
    <cellStyle name="40% - Accent5 4 4 2 4" xfId="11689" xr:uid="{00000000-0005-0000-0000-0000724A0000}"/>
    <cellStyle name="40% - Accent5 4 4 2 4 2" xfId="35538" xr:uid="{2A76A131-37EE-4CE9-BB72-6F8F2022A14B}"/>
    <cellStyle name="40% - Accent5 4 4 2 5" xfId="19644" xr:uid="{00000000-0005-0000-0000-0000734A0000}"/>
    <cellStyle name="40% - Accent5 4 4 2 5 2" xfId="43476" xr:uid="{BA573835-8C4B-4BEF-AF43-3CD7D91AF924}"/>
    <cellStyle name="40% - Accent5 4 4 2 6" xfId="27596" xr:uid="{ED13163D-7E87-41E2-A2CF-C980404FA8B4}"/>
    <cellStyle name="40% - Accent5 4 4 2_Exh G" xfId="3255" xr:uid="{00000000-0005-0000-0000-0000744A0000}"/>
    <cellStyle name="40% - Accent5 4 4 3" xfId="4542" xr:uid="{00000000-0005-0000-0000-0000754A0000}"/>
    <cellStyle name="40% - Accent5 4 4 3 2" xfId="8134" xr:uid="{00000000-0005-0000-0000-0000764A0000}"/>
    <cellStyle name="40% - Accent5 4 4 3 2 2" xfId="16105" xr:uid="{00000000-0005-0000-0000-0000774A0000}"/>
    <cellStyle name="40% - Accent5 4 4 3 2 2 2" xfId="39947" xr:uid="{F841E9FA-9B91-4857-A27A-90C7CD9A5E9C}"/>
    <cellStyle name="40% - Accent5 4 4 3 2 3" xfId="24051" xr:uid="{00000000-0005-0000-0000-0000784A0000}"/>
    <cellStyle name="40% - Accent5 4 4 3 2 3 2" xfId="47883" xr:uid="{717FB505-6AA6-4017-8CE0-318379F0AADC}"/>
    <cellStyle name="40% - Accent5 4 4 3 2 4" xfId="32006" xr:uid="{4D126B4C-6BDC-477D-8ECB-6C30BFB21EB1}"/>
    <cellStyle name="40% - Accent5 4 4 3 3" xfId="12567" xr:uid="{00000000-0005-0000-0000-0000794A0000}"/>
    <cellStyle name="40% - Accent5 4 4 3 3 2" xfId="36416" xr:uid="{6408FDC9-3A61-4C24-9CC8-7483C9D4505C}"/>
    <cellStyle name="40% - Accent5 4 4 3 4" xfId="20522" xr:uid="{00000000-0005-0000-0000-00007A4A0000}"/>
    <cellStyle name="40% - Accent5 4 4 3 4 2" xfId="44354" xr:uid="{2B3639C5-E47A-44C5-969A-F99AC88BA51D}"/>
    <cellStyle name="40% - Accent5 4 4 3 5" xfId="28475" xr:uid="{70AB18D4-AFF5-4518-ACFB-644508B7ADFA}"/>
    <cellStyle name="40% - Accent5 4 4 4" xfId="6372" xr:uid="{00000000-0005-0000-0000-00007B4A0000}"/>
    <cellStyle name="40% - Accent5 4 4 4 2" xfId="14347" xr:uid="{00000000-0005-0000-0000-00007C4A0000}"/>
    <cellStyle name="40% - Accent5 4 4 4 2 2" xfId="38189" xr:uid="{E6F6B30A-E9C6-46EE-A4DA-6CB28B45F9B5}"/>
    <cellStyle name="40% - Accent5 4 4 4 3" xfId="22294" xr:uid="{00000000-0005-0000-0000-00007D4A0000}"/>
    <cellStyle name="40% - Accent5 4 4 4 3 2" xfId="46126" xr:uid="{FDC7F111-6AF2-4CAF-BC2B-BCA6E2DF36C7}"/>
    <cellStyle name="40% - Accent5 4 4 4 4" xfId="30248" xr:uid="{2C51A423-B1C8-409A-BD2E-53239A2A4745}"/>
    <cellStyle name="40% - Accent5 4 4 5" xfId="9915" xr:uid="{00000000-0005-0000-0000-00007E4A0000}"/>
    <cellStyle name="40% - Accent5 4 4 5 2" xfId="17873" xr:uid="{00000000-0005-0000-0000-00007F4A0000}"/>
    <cellStyle name="40% - Accent5 4 4 5 2 2" xfId="41713" xr:uid="{8C59D2FA-9FE9-4198-8265-0450747823FE}"/>
    <cellStyle name="40% - Accent5 4 4 5 3" xfId="25817" xr:uid="{00000000-0005-0000-0000-0000804A0000}"/>
    <cellStyle name="40% - Accent5 4 4 5 3 2" xfId="49649" xr:uid="{2097C900-AC41-434C-9A77-45F604536A2C}"/>
    <cellStyle name="40% - Accent5 4 4 5 4" xfId="33772" xr:uid="{60801936-3652-4F1B-89B2-3F22BC380361}"/>
    <cellStyle name="40% - Accent5 4 4 6" xfId="10811" xr:uid="{00000000-0005-0000-0000-0000814A0000}"/>
    <cellStyle name="40% - Accent5 4 4 6 2" xfId="34660" xr:uid="{EBE078BE-AEF0-49A8-A387-3CE8D2C51E2C}"/>
    <cellStyle name="40% - Accent5 4 4 7" xfId="18766" xr:uid="{00000000-0005-0000-0000-0000824A0000}"/>
    <cellStyle name="40% - Accent5 4 4 7 2" xfId="42598" xr:uid="{502F70B5-D6F8-47ED-98ED-0752E1CE63F9}"/>
    <cellStyle name="40% - Accent5 4 4 8" xfId="26718" xr:uid="{D953D1E1-18CA-435B-A1DA-D66D317ACB51}"/>
    <cellStyle name="40% - Accent5 4 4_Exh G" xfId="3254" xr:uid="{00000000-0005-0000-0000-0000834A0000}"/>
    <cellStyle name="40% - Accent5 4 5" xfId="1590" xr:uid="{00000000-0005-0000-0000-0000844A0000}"/>
    <cellStyle name="40% - Accent5 4 5 2" xfId="5120" xr:uid="{00000000-0005-0000-0000-0000854A0000}"/>
    <cellStyle name="40% - Accent5 4 5 2 2" xfId="8711" xr:uid="{00000000-0005-0000-0000-0000864A0000}"/>
    <cellStyle name="40% - Accent5 4 5 2 2 2" xfId="16682" xr:uid="{00000000-0005-0000-0000-0000874A0000}"/>
    <cellStyle name="40% - Accent5 4 5 2 2 2 2" xfId="40524" xr:uid="{252B30CB-C2AA-4B92-8187-1D3A4E719642}"/>
    <cellStyle name="40% - Accent5 4 5 2 2 3" xfId="24628" xr:uid="{00000000-0005-0000-0000-0000884A0000}"/>
    <cellStyle name="40% - Accent5 4 5 2 2 3 2" xfId="48460" xr:uid="{2F66B18F-7B7D-426F-94A6-727A34DA6C82}"/>
    <cellStyle name="40% - Accent5 4 5 2 2 4" xfId="32583" xr:uid="{BD1F7587-BB9D-4CE6-BB8B-D8CF7F7018C0}"/>
    <cellStyle name="40% - Accent5 4 5 2 3" xfId="13144" xr:uid="{00000000-0005-0000-0000-0000894A0000}"/>
    <cellStyle name="40% - Accent5 4 5 2 3 2" xfId="36993" xr:uid="{0381F7C8-4DE0-4557-9496-F050576F7890}"/>
    <cellStyle name="40% - Accent5 4 5 2 4" xfId="21099" xr:uid="{00000000-0005-0000-0000-00008A4A0000}"/>
    <cellStyle name="40% - Accent5 4 5 2 4 2" xfId="44931" xr:uid="{9CF82A1E-E904-4CDD-95F1-B30889E17504}"/>
    <cellStyle name="40% - Accent5 4 5 2 5" xfId="29052" xr:uid="{15438DB1-5842-481B-8F93-E69C11025EE6}"/>
    <cellStyle name="40% - Accent5 4 5 3" xfId="6952" xr:uid="{00000000-0005-0000-0000-00008B4A0000}"/>
    <cellStyle name="40% - Accent5 4 5 3 2" xfId="14924" xr:uid="{00000000-0005-0000-0000-00008C4A0000}"/>
    <cellStyle name="40% - Accent5 4 5 3 2 2" xfId="38766" xr:uid="{2927D402-F716-4F3C-ABDE-AFA6C9FD27C8}"/>
    <cellStyle name="40% - Accent5 4 5 3 3" xfId="22871" xr:uid="{00000000-0005-0000-0000-00008D4A0000}"/>
    <cellStyle name="40% - Accent5 4 5 3 3 2" xfId="46703" xr:uid="{7132FE6E-2011-473D-9490-2B21C6C38CC1}"/>
    <cellStyle name="40% - Accent5 4 5 3 4" xfId="30825" xr:uid="{2F8BD91F-24E6-4ED9-BF57-5BEB113E7145}"/>
    <cellStyle name="40% - Accent5 4 5 4" xfId="11388" xr:uid="{00000000-0005-0000-0000-00008E4A0000}"/>
    <cellStyle name="40% - Accent5 4 5 4 2" xfId="35237" xr:uid="{D91DEFAC-D833-4BCD-A35D-F9C1E555ADDB}"/>
    <cellStyle name="40% - Accent5 4 5 5" xfId="19343" xr:uid="{00000000-0005-0000-0000-00008F4A0000}"/>
    <cellStyle name="40% - Accent5 4 5 5 2" xfId="43175" xr:uid="{4CA50D1A-D845-439D-80E1-CF2BBB5D6A57}"/>
    <cellStyle name="40% - Accent5 4 5 6" xfId="27295" xr:uid="{070592FE-2CF7-4E75-8262-7363461A11E0}"/>
    <cellStyle name="40% - Accent5 4 5_Exh G" xfId="3256" xr:uid="{00000000-0005-0000-0000-0000904A0000}"/>
    <cellStyle name="40% - Accent5 4 6" xfId="4241" xr:uid="{00000000-0005-0000-0000-0000914A0000}"/>
    <cellStyle name="40% - Accent5 4 6 2" xfId="7833" xr:uid="{00000000-0005-0000-0000-0000924A0000}"/>
    <cellStyle name="40% - Accent5 4 6 2 2" xfId="15804" xr:uid="{00000000-0005-0000-0000-0000934A0000}"/>
    <cellStyle name="40% - Accent5 4 6 2 2 2" xfId="39646" xr:uid="{4C31B715-21D3-41E1-BAC0-DAD806CBC5C3}"/>
    <cellStyle name="40% - Accent5 4 6 2 3" xfId="23750" xr:uid="{00000000-0005-0000-0000-0000944A0000}"/>
    <cellStyle name="40% - Accent5 4 6 2 3 2" xfId="47582" xr:uid="{36434DC4-446E-47F9-B9CB-6114CBBF8D4A}"/>
    <cellStyle name="40% - Accent5 4 6 2 4" xfId="31705" xr:uid="{9EBD41FE-56CA-4C32-89C4-F299016AE07C}"/>
    <cellStyle name="40% - Accent5 4 6 3" xfId="12266" xr:uid="{00000000-0005-0000-0000-0000954A0000}"/>
    <cellStyle name="40% - Accent5 4 6 3 2" xfId="36115" xr:uid="{071A3E2E-7BAC-4ADC-B22A-67E3A7BC4E0C}"/>
    <cellStyle name="40% - Accent5 4 6 4" xfId="20221" xr:uid="{00000000-0005-0000-0000-0000964A0000}"/>
    <cellStyle name="40% - Accent5 4 6 4 2" xfId="44053" xr:uid="{F390BBF5-BA16-485A-B133-50C561081E52}"/>
    <cellStyle name="40% - Accent5 4 6 5" xfId="28174" xr:uid="{378A2874-415B-4F97-8391-C7F9B93E1C51}"/>
    <cellStyle name="40% - Accent5 4 7" xfId="6061" xr:uid="{00000000-0005-0000-0000-0000974A0000}"/>
    <cellStyle name="40% - Accent5 4 7 2" xfId="14045" xr:uid="{00000000-0005-0000-0000-0000984A0000}"/>
    <cellStyle name="40% - Accent5 4 7 2 2" xfId="37888" xr:uid="{146B8249-CF9C-4590-A744-6EB6D707BDAA}"/>
    <cellStyle name="40% - Accent5 4 7 3" xfId="21993" xr:uid="{00000000-0005-0000-0000-0000994A0000}"/>
    <cellStyle name="40% - Accent5 4 7 3 2" xfId="45825" xr:uid="{BDBDFBBA-DF9B-45BD-B975-B6C07349175A}"/>
    <cellStyle name="40% - Accent5 4 7 4" xfId="29947" xr:uid="{F6960667-351C-4F86-8B59-9DBD9DD05CF6}"/>
    <cellStyle name="40% - Accent5 4 8" xfId="9614" xr:uid="{00000000-0005-0000-0000-00009A4A0000}"/>
    <cellStyle name="40% - Accent5 4 8 2" xfId="17572" xr:uid="{00000000-0005-0000-0000-00009B4A0000}"/>
    <cellStyle name="40% - Accent5 4 8 2 2" xfId="41412" xr:uid="{A5BF6B86-38C4-4E8A-B10B-BEBDA6FDF089}"/>
    <cellStyle name="40% - Accent5 4 8 3" xfId="25516" xr:uid="{00000000-0005-0000-0000-00009C4A0000}"/>
    <cellStyle name="40% - Accent5 4 8 3 2" xfId="49348" xr:uid="{917517E9-816F-4133-8E3A-93DB8890DC3C}"/>
    <cellStyle name="40% - Accent5 4 8 4" xfId="33471" xr:uid="{3FFB06F2-484E-4123-BF26-304686239C32}"/>
    <cellStyle name="40% - Accent5 4 9" xfId="10510" xr:uid="{00000000-0005-0000-0000-00009D4A0000}"/>
    <cellStyle name="40% - Accent5 4 9 2" xfId="34359" xr:uid="{64A3F6EF-15B0-4355-A3B3-56A91E9E3DFB}"/>
    <cellStyle name="40% - Accent5 4_Exh G" xfId="3245" xr:uid="{00000000-0005-0000-0000-00009E4A0000}"/>
    <cellStyle name="40% - Accent5 5" xfId="566" xr:uid="{00000000-0005-0000-0000-00009F4A0000}"/>
    <cellStyle name="40% - Accent5 5 10" xfId="18469" xr:uid="{00000000-0005-0000-0000-0000A04A0000}"/>
    <cellStyle name="40% - Accent5 5 10 2" xfId="42301" xr:uid="{16080E07-8902-4267-AF01-1B5BB0184919}"/>
    <cellStyle name="40% - Accent5 5 11" xfId="26421" xr:uid="{CE2313F1-F7DF-4F26-A5A0-C6207023B817}"/>
    <cellStyle name="40% - Accent5 5 2" xfId="567" xr:uid="{00000000-0005-0000-0000-0000A14A0000}"/>
    <cellStyle name="40% - Accent5 5 2 2" xfId="568" xr:uid="{00000000-0005-0000-0000-0000A24A0000}"/>
    <cellStyle name="40% - Accent5 5 2 2 2" xfId="1596" xr:uid="{00000000-0005-0000-0000-0000A34A0000}"/>
    <cellStyle name="40% - Accent5 5 2 2 2 2" xfId="5126" xr:uid="{00000000-0005-0000-0000-0000A44A0000}"/>
    <cellStyle name="40% - Accent5 5 2 2 2 2 2" xfId="8717" xr:uid="{00000000-0005-0000-0000-0000A54A0000}"/>
    <cellStyle name="40% - Accent5 5 2 2 2 2 2 2" xfId="16688" xr:uid="{00000000-0005-0000-0000-0000A64A0000}"/>
    <cellStyle name="40% - Accent5 5 2 2 2 2 2 2 2" xfId="40530" xr:uid="{EEDD547A-3824-427A-B71D-1943D2E4A898}"/>
    <cellStyle name="40% - Accent5 5 2 2 2 2 2 3" xfId="24634" xr:uid="{00000000-0005-0000-0000-0000A74A0000}"/>
    <cellStyle name="40% - Accent5 5 2 2 2 2 2 3 2" xfId="48466" xr:uid="{231BAC15-5916-4D3C-B09C-3AB0CD3CB602}"/>
    <cellStyle name="40% - Accent5 5 2 2 2 2 2 4" xfId="32589" xr:uid="{8F0C0CCB-F72A-4EBE-8E76-4CF4EF4F14E8}"/>
    <cellStyle name="40% - Accent5 5 2 2 2 2 3" xfId="13150" xr:uid="{00000000-0005-0000-0000-0000A84A0000}"/>
    <cellStyle name="40% - Accent5 5 2 2 2 2 3 2" xfId="36999" xr:uid="{4DA5E2FF-0550-47B2-ACB1-F6C0F9ACD176}"/>
    <cellStyle name="40% - Accent5 5 2 2 2 2 4" xfId="21105" xr:uid="{00000000-0005-0000-0000-0000A94A0000}"/>
    <cellStyle name="40% - Accent5 5 2 2 2 2 4 2" xfId="44937" xr:uid="{24EC63CF-4314-409D-9188-9CF28E860815}"/>
    <cellStyle name="40% - Accent5 5 2 2 2 2 5" xfId="29058" xr:uid="{D96B655D-9D7C-470D-8F2D-6D02C6F028A3}"/>
    <cellStyle name="40% - Accent5 5 2 2 2 3" xfId="6958" xr:uid="{00000000-0005-0000-0000-0000AA4A0000}"/>
    <cellStyle name="40% - Accent5 5 2 2 2 3 2" xfId="14930" xr:uid="{00000000-0005-0000-0000-0000AB4A0000}"/>
    <cellStyle name="40% - Accent5 5 2 2 2 3 2 2" xfId="38772" xr:uid="{BBFCBBBA-E0E8-48BB-9D0E-145BA9262390}"/>
    <cellStyle name="40% - Accent5 5 2 2 2 3 3" xfId="22877" xr:uid="{00000000-0005-0000-0000-0000AC4A0000}"/>
    <cellStyle name="40% - Accent5 5 2 2 2 3 3 2" xfId="46709" xr:uid="{AAAD43F0-7EAB-498E-B98B-52452D354DEE}"/>
    <cellStyle name="40% - Accent5 5 2 2 2 3 4" xfId="30831" xr:uid="{96EB56E6-856E-456C-B546-4CDE1040FEC3}"/>
    <cellStyle name="40% - Accent5 5 2 2 2 4" xfId="11394" xr:uid="{00000000-0005-0000-0000-0000AD4A0000}"/>
    <cellStyle name="40% - Accent5 5 2 2 2 4 2" xfId="35243" xr:uid="{CD4194C8-A762-47E3-A8FE-5E5055C0E546}"/>
    <cellStyle name="40% - Accent5 5 2 2 2 5" xfId="19349" xr:uid="{00000000-0005-0000-0000-0000AE4A0000}"/>
    <cellStyle name="40% - Accent5 5 2 2 2 5 2" xfId="43181" xr:uid="{F3A391F4-E2E8-4031-8601-5ECF3DAED241}"/>
    <cellStyle name="40% - Accent5 5 2 2 2 6" xfId="27301" xr:uid="{7937D7B9-963B-4A8A-AACC-8B6AB217C0F0}"/>
    <cellStyle name="40% - Accent5 5 2 2 2_Exh G" xfId="3260" xr:uid="{00000000-0005-0000-0000-0000AF4A0000}"/>
    <cellStyle name="40% - Accent5 5 2 2 3" xfId="4247" xr:uid="{00000000-0005-0000-0000-0000B04A0000}"/>
    <cellStyle name="40% - Accent5 5 2 2 3 2" xfId="7839" xr:uid="{00000000-0005-0000-0000-0000B14A0000}"/>
    <cellStyle name="40% - Accent5 5 2 2 3 2 2" xfId="15810" xr:uid="{00000000-0005-0000-0000-0000B24A0000}"/>
    <cellStyle name="40% - Accent5 5 2 2 3 2 2 2" xfId="39652" xr:uid="{D5ED070A-DC30-4766-9623-31AD88CC637B}"/>
    <cellStyle name="40% - Accent5 5 2 2 3 2 3" xfId="23756" xr:uid="{00000000-0005-0000-0000-0000B34A0000}"/>
    <cellStyle name="40% - Accent5 5 2 2 3 2 3 2" xfId="47588" xr:uid="{8E55A168-F1F4-4768-9501-E9CC7D05829F}"/>
    <cellStyle name="40% - Accent5 5 2 2 3 2 4" xfId="31711" xr:uid="{F78E6504-EC61-4BF1-83C4-9A020220A813}"/>
    <cellStyle name="40% - Accent5 5 2 2 3 3" xfId="12272" xr:uid="{00000000-0005-0000-0000-0000B44A0000}"/>
    <cellStyle name="40% - Accent5 5 2 2 3 3 2" xfId="36121" xr:uid="{9B73E798-E70C-4222-9333-C1363A9DBFC8}"/>
    <cellStyle name="40% - Accent5 5 2 2 3 4" xfId="20227" xr:uid="{00000000-0005-0000-0000-0000B54A0000}"/>
    <cellStyle name="40% - Accent5 5 2 2 3 4 2" xfId="44059" xr:uid="{4863C6B1-F4A2-4D47-88FE-8303C1EB0623}"/>
    <cellStyle name="40% - Accent5 5 2 2 3 5" xfId="28180" xr:uid="{136807DE-EAF0-489E-A49E-8172455F8886}"/>
    <cellStyle name="40% - Accent5 5 2 2 4" xfId="6067" xr:uid="{00000000-0005-0000-0000-0000B64A0000}"/>
    <cellStyle name="40% - Accent5 5 2 2 4 2" xfId="14051" xr:uid="{00000000-0005-0000-0000-0000B74A0000}"/>
    <cellStyle name="40% - Accent5 5 2 2 4 2 2" xfId="37894" xr:uid="{BE14C261-3170-4267-8EAF-8EA2BCD39E1B}"/>
    <cellStyle name="40% - Accent5 5 2 2 4 3" xfId="21999" xr:uid="{00000000-0005-0000-0000-0000B84A0000}"/>
    <cellStyle name="40% - Accent5 5 2 2 4 3 2" xfId="45831" xr:uid="{AF4FA872-6606-4886-A81F-E28518F9B4DA}"/>
    <cellStyle name="40% - Accent5 5 2 2 4 4" xfId="29953" xr:uid="{7D40D3D0-3AE9-4132-AB10-CAE620E2706D}"/>
    <cellStyle name="40% - Accent5 5 2 2 5" xfId="9620" xr:uid="{00000000-0005-0000-0000-0000B94A0000}"/>
    <cellStyle name="40% - Accent5 5 2 2 5 2" xfId="17578" xr:uid="{00000000-0005-0000-0000-0000BA4A0000}"/>
    <cellStyle name="40% - Accent5 5 2 2 5 2 2" xfId="41418" xr:uid="{542787C2-0082-41CB-8B04-D24C4A5EFF43}"/>
    <cellStyle name="40% - Accent5 5 2 2 5 3" xfId="25522" xr:uid="{00000000-0005-0000-0000-0000BB4A0000}"/>
    <cellStyle name="40% - Accent5 5 2 2 5 3 2" xfId="49354" xr:uid="{EFA80E81-922D-4CAA-BEB9-04EFC0637EA1}"/>
    <cellStyle name="40% - Accent5 5 2 2 5 4" xfId="33477" xr:uid="{A62D2109-446A-42EC-BCE4-43E79A2C3647}"/>
    <cellStyle name="40% - Accent5 5 2 2 6" xfId="10516" xr:uid="{00000000-0005-0000-0000-0000BC4A0000}"/>
    <cellStyle name="40% - Accent5 5 2 2 6 2" xfId="34365" xr:uid="{6024FBA9-CAD5-48CF-99BB-AC37338B8B6E}"/>
    <cellStyle name="40% - Accent5 5 2 2 7" xfId="18471" xr:uid="{00000000-0005-0000-0000-0000BD4A0000}"/>
    <cellStyle name="40% - Accent5 5 2 2 7 2" xfId="42303" xr:uid="{FB27D55F-C17F-42D4-94C0-BFA4BF3613B3}"/>
    <cellStyle name="40% - Accent5 5 2 2 8" xfId="26423" xr:uid="{39B2D851-1F63-4379-857E-A65851191398}"/>
    <cellStyle name="40% - Accent5 5 2 2_Exh G" xfId="3259" xr:uid="{00000000-0005-0000-0000-0000BE4A0000}"/>
    <cellStyle name="40% - Accent5 5 2 3" xfId="1595" xr:uid="{00000000-0005-0000-0000-0000BF4A0000}"/>
    <cellStyle name="40% - Accent5 5 2 3 2" xfId="5125" xr:uid="{00000000-0005-0000-0000-0000C04A0000}"/>
    <cellStyle name="40% - Accent5 5 2 3 2 2" xfId="8716" xr:uid="{00000000-0005-0000-0000-0000C14A0000}"/>
    <cellStyle name="40% - Accent5 5 2 3 2 2 2" xfId="16687" xr:uid="{00000000-0005-0000-0000-0000C24A0000}"/>
    <cellStyle name="40% - Accent5 5 2 3 2 2 2 2" xfId="40529" xr:uid="{EB3D7057-67C3-467D-8F2A-FAE18F9F4A8F}"/>
    <cellStyle name="40% - Accent5 5 2 3 2 2 3" xfId="24633" xr:uid="{00000000-0005-0000-0000-0000C34A0000}"/>
    <cellStyle name="40% - Accent5 5 2 3 2 2 3 2" xfId="48465" xr:uid="{581DC277-D6B7-44D2-A579-95332FECC56F}"/>
    <cellStyle name="40% - Accent5 5 2 3 2 2 4" xfId="32588" xr:uid="{64914FA0-281B-47A4-8CD2-6AEF0386788B}"/>
    <cellStyle name="40% - Accent5 5 2 3 2 3" xfId="13149" xr:uid="{00000000-0005-0000-0000-0000C44A0000}"/>
    <cellStyle name="40% - Accent5 5 2 3 2 3 2" xfId="36998" xr:uid="{8AAD8A39-1CF5-4C51-8D29-AD1CD2D33C46}"/>
    <cellStyle name="40% - Accent5 5 2 3 2 4" xfId="21104" xr:uid="{00000000-0005-0000-0000-0000C54A0000}"/>
    <cellStyle name="40% - Accent5 5 2 3 2 4 2" xfId="44936" xr:uid="{EA8B9E5B-B3DF-4B81-AD09-7496E32F5BCD}"/>
    <cellStyle name="40% - Accent5 5 2 3 2 5" xfId="29057" xr:uid="{BB405C64-0799-4769-87A3-99EC8EEEF651}"/>
    <cellStyle name="40% - Accent5 5 2 3 3" xfId="6957" xr:uid="{00000000-0005-0000-0000-0000C64A0000}"/>
    <cellStyle name="40% - Accent5 5 2 3 3 2" xfId="14929" xr:uid="{00000000-0005-0000-0000-0000C74A0000}"/>
    <cellStyle name="40% - Accent5 5 2 3 3 2 2" xfId="38771" xr:uid="{C531A0B5-4205-4CC8-A9D7-168E5CADD533}"/>
    <cellStyle name="40% - Accent5 5 2 3 3 3" xfId="22876" xr:uid="{00000000-0005-0000-0000-0000C84A0000}"/>
    <cellStyle name="40% - Accent5 5 2 3 3 3 2" xfId="46708" xr:uid="{0F448D86-4CAD-4784-81BA-1110443943A4}"/>
    <cellStyle name="40% - Accent5 5 2 3 3 4" xfId="30830" xr:uid="{AAD4D40F-11D3-4276-B4FD-581318398AF0}"/>
    <cellStyle name="40% - Accent5 5 2 3 4" xfId="11393" xr:uid="{00000000-0005-0000-0000-0000C94A0000}"/>
    <cellStyle name="40% - Accent5 5 2 3 4 2" xfId="35242" xr:uid="{670249E1-3E5F-4FDF-9FB4-C00A19E33F71}"/>
    <cellStyle name="40% - Accent5 5 2 3 5" xfId="19348" xr:uid="{00000000-0005-0000-0000-0000CA4A0000}"/>
    <cellStyle name="40% - Accent5 5 2 3 5 2" xfId="43180" xr:uid="{079A19AE-41F9-4352-B72F-54AED90E8572}"/>
    <cellStyle name="40% - Accent5 5 2 3 6" xfId="27300" xr:uid="{798B18A0-62E2-4710-B88C-93E53B60FA2E}"/>
    <cellStyle name="40% - Accent5 5 2 3_Exh G" xfId="3261" xr:uid="{00000000-0005-0000-0000-0000CB4A0000}"/>
    <cellStyle name="40% - Accent5 5 2 4" xfId="4246" xr:uid="{00000000-0005-0000-0000-0000CC4A0000}"/>
    <cellStyle name="40% - Accent5 5 2 4 2" xfId="7838" xr:uid="{00000000-0005-0000-0000-0000CD4A0000}"/>
    <cellStyle name="40% - Accent5 5 2 4 2 2" xfId="15809" xr:uid="{00000000-0005-0000-0000-0000CE4A0000}"/>
    <cellStyle name="40% - Accent5 5 2 4 2 2 2" xfId="39651" xr:uid="{C5866723-5843-4FF0-83F8-0FBB2D2DDC88}"/>
    <cellStyle name="40% - Accent5 5 2 4 2 3" xfId="23755" xr:uid="{00000000-0005-0000-0000-0000CF4A0000}"/>
    <cellStyle name="40% - Accent5 5 2 4 2 3 2" xfId="47587" xr:uid="{E0C5B773-D169-4785-A7CE-A275DF62C420}"/>
    <cellStyle name="40% - Accent5 5 2 4 2 4" xfId="31710" xr:uid="{D8ECEEFD-6D5C-480C-BEA8-C40FBE43AA74}"/>
    <cellStyle name="40% - Accent5 5 2 4 3" xfId="12271" xr:uid="{00000000-0005-0000-0000-0000D04A0000}"/>
    <cellStyle name="40% - Accent5 5 2 4 3 2" xfId="36120" xr:uid="{28B00907-0F0F-41EA-A2A3-A69B7910EF45}"/>
    <cellStyle name="40% - Accent5 5 2 4 4" xfId="20226" xr:uid="{00000000-0005-0000-0000-0000D14A0000}"/>
    <cellStyle name="40% - Accent5 5 2 4 4 2" xfId="44058" xr:uid="{A27B1458-691E-4249-8B6C-980242681064}"/>
    <cellStyle name="40% - Accent5 5 2 4 5" xfId="28179" xr:uid="{881FFB8F-EAA3-4B02-98E8-0329A188201F}"/>
    <cellStyle name="40% - Accent5 5 2 5" xfId="6066" xr:uid="{00000000-0005-0000-0000-0000D24A0000}"/>
    <cellStyle name="40% - Accent5 5 2 5 2" xfId="14050" xr:uid="{00000000-0005-0000-0000-0000D34A0000}"/>
    <cellStyle name="40% - Accent5 5 2 5 2 2" xfId="37893" xr:uid="{907203CA-8C69-4374-A91E-B2838CF850EC}"/>
    <cellStyle name="40% - Accent5 5 2 5 3" xfId="21998" xr:uid="{00000000-0005-0000-0000-0000D44A0000}"/>
    <cellStyle name="40% - Accent5 5 2 5 3 2" xfId="45830" xr:uid="{557900AC-8DFC-4E1E-A349-82E5B6FD8D94}"/>
    <cellStyle name="40% - Accent5 5 2 5 4" xfId="29952" xr:uid="{F796AEEC-D868-47DB-803D-463C3B7D837F}"/>
    <cellStyle name="40% - Accent5 5 2 6" xfId="9619" xr:uid="{00000000-0005-0000-0000-0000D54A0000}"/>
    <cellStyle name="40% - Accent5 5 2 6 2" xfId="17577" xr:uid="{00000000-0005-0000-0000-0000D64A0000}"/>
    <cellStyle name="40% - Accent5 5 2 6 2 2" xfId="41417" xr:uid="{F2BB31A8-B52C-487D-9C3B-CF31C36CBAAF}"/>
    <cellStyle name="40% - Accent5 5 2 6 3" xfId="25521" xr:uid="{00000000-0005-0000-0000-0000D74A0000}"/>
    <cellStyle name="40% - Accent5 5 2 6 3 2" xfId="49353" xr:uid="{B7D50BE9-928D-4E82-A404-9F3D0B8A05A4}"/>
    <cellStyle name="40% - Accent5 5 2 6 4" xfId="33476" xr:uid="{5FCE6C57-3858-48DB-9975-063AC8EC34CF}"/>
    <cellStyle name="40% - Accent5 5 2 7" xfId="10515" xr:uid="{00000000-0005-0000-0000-0000D84A0000}"/>
    <cellStyle name="40% - Accent5 5 2 7 2" xfId="34364" xr:uid="{4BC7540D-817E-4892-90E8-EFA09FAB0B1B}"/>
    <cellStyle name="40% - Accent5 5 2 8" xfId="18470" xr:uid="{00000000-0005-0000-0000-0000D94A0000}"/>
    <cellStyle name="40% - Accent5 5 2 8 2" xfId="42302" xr:uid="{4A6571F7-EF4C-450A-9778-61688E9D9CB5}"/>
    <cellStyle name="40% - Accent5 5 2 9" xfId="26422" xr:uid="{68D9CEA9-C0BD-43A3-96DB-4A86643A83E1}"/>
    <cellStyle name="40% - Accent5 5 2_Exh G" xfId="3258" xr:uid="{00000000-0005-0000-0000-0000DA4A0000}"/>
    <cellStyle name="40% - Accent5 5 3" xfId="569" xr:uid="{00000000-0005-0000-0000-0000DB4A0000}"/>
    <cellStyle name="40% - Accent5 5 3 2" xfId="1597" xr:uid="{00000000-0005-0000-0000-0000DC4A0000}"/>
    <cellStyle name="40% - Accent5 5 3 2 2" xfId="5127" xr:uid="{00000000-0005-0000-0000-0000DD4A0000}"/>
    <cellStyle name="40% - Accent5 5 3 2 2 2" xfId="8718" xr:uid="{00000000-0005-0000-0000-0000DE4A0000}"/>
    <cellStyle name="40% - Accent5 5 3 2 2 2 2" xfId="16689" xr:uid="{00000000-0005-0000-0000-0000DF4A0000}"/>
    <cellStyle name="40% - Accent5 5 3 2 2 2 2 2" xfId="40531" xr:uid="{11CD5B66-6C9D-4BD3-A1ED-FCA6CD2FF2A3}"/>
    <cellStyle name="40% - Accent5 5 3 2 2 2 3" xfId="24635" xr:uid="{00000000-0005-0000-0000-0000E04A0000}"/>
    <cellStyle name="40% - Accent5 5 3 2 2 2 3 2" xfId="48467" xr:uid="{0DD0AFB4-D5D2-4D05-B888-E6B603880C34}"/>
    <cellStyle name="40% - Accent5 5 3 2 2 2 4" xfId="32590" xr:uid="{9E8079F2-B0C4-46B2-9F21-FE87A7B0E739}"/>
    <cellStyle name="40% - Accent5 5 3 2 2 3" xfId="13151" xr:uid="{00000000-0005-0000-0000-0000E14A0000}"/>
    <cellStyle name="40% - Accent5 5 3 2 2 3 2" xfId="37000" xr:uid="{7E8C98AC-4AD5-40F6-9BCE-2A10FAA554A6}"/>
    <cellStyle name="40% - Accent5 5 3 2 2 4" xfId="21106" xr:uid="{00000000-0005-0000-0000-0000E24A0000}"/>
    <cellStyle name="40% - Accent5 5 3 2 2 4 2" xfId="44938" xr:uid="{B1B2DFBF-C486-48F3-9C54-303476101BA5}"/>
    <cellStyle name="40% - Accent5 5 3 2 2 5" xfId="29059" xr:uid="{78BB3260-4409-4495-851C-140CB5DC7189}"/>
    <cellStyle name="40% - Accent5 5 3 2 3" xfId="6959" xr:uid="{00000000-0005-0000-0000-0000E34A0000}"/>
    <cellStyle name="40% - Accent5 5 3 2 3 2" xfId="14931" xr:uid="{00000000-0005-0000-0000-0000E44A0000}"/>
    <cellStyle name="40% - Accent5 5 3 2 3 2 2" xfId="38773" xr:uid="{04DEB20F-2161-476D-9BC7-67252F3759D1}"/>
    <cellStyle name="40% - Accent5 5 3 2 3 3" xfId="22878" xr:uid="{00000000-0005-0000-0000-0000E54A0000}"/>
    <cellStyle name="40% - Accent5 5 3 2 3 3 2" xfId="46710" xr:uid="{A674DD6A-5876-4C4D-9865-2E8D89001754}"/>
    <cellStyle name="40% - Accent5 5 3 2 3 4" xfId="30832" xr:uid="{F65D6C21-37C6-4A27-88D8-5FEA3A3F4E5C}"/>
    <cellStyle name="40% - Accent5 5 3 2 4" xfId="11395" xr:uid="{00000000-0005-0000-0000-0000E64A0000}"/>
    <cellStyle name="40% - Accent5 5 3 2 4 2" xfId="35244" xr:uid="{0B6B6E93-2F9C-4B99-87B4-29D8C9929D92}"/>
    <cellStyle name="40% - Accent5 5 3 2 5" xfId="19350" xr:uid="{00000000-0005-0000-0000-0000E74A0000}"/>
    <cellStyle name="40% - Accent5 5 3 2 5 2" xfId="43182" xr:uid="{DF91937C-1F46-4BAF-BA7E-DAC2398D7925}"/>
    <cellStyle name="40% - Accent5 5 3 2 6" xfId="27302" xr:uid="{15942CE5-8945-4F38-8AFB-D385885D13DB}"/>
    <cellStyle name="40% - Accent5 5 3 2_Exh G" xfId="3263" xr:uid="{00000000-0005-0000-0000-0000E84A0000}"/>
    <cellStyle name="40% - Accent5 5 3 3" xfId="4248" xr:uid="{00000000-0005-0000-0000-0000E94A0000}"/>
    <cellStyle name="40% - Accent5 5 3 3 2" xfId="7840" xr:uid="{00000000-0005-0000-0000-0000EA4A0000}"/>
    <cellStyle name="40% - Accent5 5 3 3 2 2" xfId="15811" xr:uid="{00000000-0005-0000-0000-0000EB4A0000}"/>
    <cellStyle name="40% - Accent5 5 3 3 2 2 2" xfId="39653" xr:uid="{6A271821-046B-4171-A7B3-696A27CF10D7}"/>
    <cellStyle name="40% - Accent5 5 3 3 2 3" xfId="23757" xr:uid="{00000000-0005-0000-0000-0000EC4A0000}"/>
    <cellStyle name="40% - Accent5 5 3 3 2 3 2" xfId="47589" xr:uid="{E2629028-FF40-45E7-9A04-655E698FF8AD}"/>
    <cellStyle name="40% - Accent5 5 3 3 2 4" xfId="31712" xr:uid="{73B16D15-BA11-4891-9B58-7AF9B8EF019A}"/>
    <cellStyle name="40% - Accent5 5 3 3 3" xfId="12273" xr:uid="{00000000-0005-0000-0000-0000ED4A0000}"/>
    <cellStyle name="40% - Accent5 5 3 3 3 2" xfId="36122" xr:uid="{8CBB9605-2BD7-4C79-ABDE-7EB90E7C17F3}"/>
    <cellStyle name="40% - Accent5 5 3 3 4" xfId="20228" xr:uid="{00000000-0005-0000-0000-0000EE4A0000}"/>
    <cellStyle name="40% - Accent5 5 3 3 4 2" xfId="44060" xr:uid="{C6A49806-2AA3-4C0A-8974-C788E37E4A7C}"/>
    <cellStyle name="40% - Accent5 5 3 3 5" xfId="28181" xr:uid="{A39F22D8-CE83-4BE3-BF7B-888A02FA947C}"/>
    <cellStyle name="40% - Accent5 5 3 4" xfId="6068" xr:uid="{00000000-0005-0000-0000-0000EF4A0000}"/>
    <cellStyle name="40% - Accent5 5 3 4 2" xfId="14052" xr:uid="{00000000-0005-0000-0000-0000F04A0000}"/>
    <cellStyle name="40% - Accent5 5 3 4 2 2" xfId="37895" xr:uid="{B3FA99F8-B216-421C-B9A2-5C1ECD3E28F5}"/>
    <cellStyle name="40% - Accent5 5 3 4 3" xfId="22000" xr:uid="{00000000-0005-0000-0000-0000F14A0000}"/>
    <cellStyle name="40% - Accent5 5 3 4 3 2" xfId="45832" xr:uid="{C4ED1A53-C8AC-4242-88E8-089E6E13270E}"/>
    <cellStyle name="40% - Accent5 5 3 4 4" xfId="29954" xr:uid="{2CCBB76A-B219-4489-AC03-67EE381AACFF}"/>
    <cellStyle name="40% - Accent5 5 3 5" xfId="9621" xr:uid="{00000000-0005-0000-0000-0000F24A0000}"/>
    <cellStyle name="40% - Accent5 5 3 5 2" xfId="17579" xr:uid="{00000000-0005-0000-0000-0000F34A0000}"/>
    <cellStyle name="40% - Accent5 5 3 5 2 2" xfId="41419" xr:uid="{8E3D2938-4ED6-4F85-A0CA-03AEE6938164}"/>
    <cellStyle name="40% - Accent5 5 3 5 3" xfId="25523" xr:uid="{00000000-0005-0000-0000-0000F44A0000}"/>
    <cellStyle name="40% - Accent5 5 3 5 3 2" xfId="49355" xr:uid="{FF28435B-097D-4505-AA1F-5DA3986AE1CE}"/>
    <cellStyle name="40% - Accent5 5 3 5 4" xfId="33478" xr:uid="{7F4E673A-7044-4728-8BF7-487B1F2E1515}"/>
    <cellStyle name="40% - Accent5 5 3 6" xfId="10517" xr:uid="{00000000-0005-0000-0000-0000F54A0000}"/>
    <cellStyle name="40% - Accent5 5 3 6 2" xfId="34366" xr:uid="{6E939034-D701-4F8C-B129-A72CA4EC289D}"/>
    <cellStyle name="40% - Accent5 5 3 7" xfId="18472" xr:uid="{00000000-0005-0000-0000-0000F64A0000}"/>
    <cellStyle name="40% - Accent5 5 3 7 2" xfId="42304" xr:uid="{A07BD6BF-D7FE-4126-86F2-CC8C3DBD91BF}"/>
    <cellStyle name="40% - Accent5 5 3 8" xfId="26424" xr:uid="{8AF077A8-4C15-4A1A-AE51-8B6574F5B494}"/>
    <cellStyle name="40% - Accent5 5 3_Exh G" xfId="3262" xr:uid="{00000000-0005-0000-0000-0000F74A0000}"/>
    <cellStyle name="40% - Accent5 5 4" xfId="989" xr:uid="{00000000-0005-0000-0000-0000F84A0000}"/>
    <cellStyle name="40% - Accent5 5 5" xfId="1594" xr:uid="{00000000-0005-0000-0000-0000F94A0000}"/>
    <cellStyle name="40% - Accent5 5 5 2" xfId="5124" xr:uid="{00000000-0005-0000-0000-0000FA4A0000}"/>
    <cellStyle name="40% - Accent5 5 5 2 2" xfId="8715" xr:uid="{00000000-0005-0000-0000-0000FB4A0000}"/>
    <cellStyle name="40% - Accent5 5 5 2 2 2" xfId="16686" xr:uid="{00000000-0005-0000-0000-0000FC4A0000}"/>
    <cellStyle name="40% - Accent5 5 5 2 2 2 2" xfId="40528" xr:uid="{9A2297FA-0520-4E63-AC44-E055F3A4E764}"/>
    <cellStyle name="40% - Accent5 5 5 2 2 3" xfId="24632" xr:uid="{00000000-0005-0000-0000-0000FD4A0000}"/>
    <cellStyle name="40% - Accent5 5 5 2 2 3 2" xfId="48464" xr:uid="{2124B989-00A7-4DB3-927E-4C7352373251}"/>
    <cellStyle name="40% - Accent5 5 5 2 2 4" xfId="32587" xr:uid="{0ED82026-1FBF-4CF5-AE63-A3E58266AD54}"/>
    <cellStyle name="40% - Accent5 5 5 2 3" xfId="13148" xr:uid="{00000000-0005-0000-0000-0000FE4A0000}"/>
    <cellStyle name="40% - Accent5 5 5 2 3 2" xfId="36997" xr:uid="{04E14367-1157-4AD8-BAC5-44D1D1C678E9}"/>
    <cellStyle name="40% - Accent5 5 5 2 4" xfId="21103" xr:uid="{00000000-0005-0000-0000-0000FF4A0000}"/>
    <cellStyle name="40% - Accent5 5 5 2 4 2" xfId="44935" xr:uid="{F6301637-5FF5-4803-80B9-4E37C7B05896}"/>
    <cellStyle name="40% - Accent5 5 5 2 5" xfId="29056" xr:uid="{E6873071-FE1F-4755-BEBB-C3F21147DD0D}"/>
    <cellStyle name="40% - Accent5 5 5 3" xfId="6956" xr:uid="{00000000-0005-0000-0000-0000004B0000}"/>
    <cellStyle name="40% - Accent5 5 5 3 2" xfId="14928" xr:uid="{00000000-0005-0000-0000-0000014B0000}"/>
    <cellStyle name="40% - Accent5 5 5 3 2 2" xfId="38770" xr:uid="{0DECEBD5-4768-44FB-809F-53C60C04FBD1}"/>
    <cellStyle name="40% - Accent5 5 5 3 3" xfId="22875" xr:uid="{00000000-0005-0000-0000-0000024B0000}"/>
    <cellStyle name="40% - Accent5 5 5 3 3 2" xfId="46707" xr:uid="{01AFD392-ABB9-4797-A63A-32E486AEDE50}"/>
    <cellStyle name="40% - Accent5 5 5 3 4" xfId="30829" xr:uid="{D2D7D31B-CFC2-43C4-B812-2CD754FF099D}"/>
    <cellStyle name="40% - Accent5 5 5 4" xfId="11392" xr:uid="{00000000-0005-0000-0000-0000034B0000}"/>
    <cellStyle name="40% - Accent5 5 5 4 2" xfId="35241" xr:uid="{AF6CC953-5EDE-409A-810D-56A510FBBA04}"/>
    <cellStyle name="40% - Accent5 5 5 5" xfId="19347" xr:uid="{00000000-0005-0000-0000-0000044B0000}"/>
    <cellStyle name="40% - Accent5 5 5 5 2" xfId="43179" xr:uid="{15F8269D-3851-4B87-879C-BD0B2450D8E2}"/>
    <cellStyle name="40% - Accent5 5 5 6" xfId="27299" xr:uid="{5FBCDEDC-0626-4334-915D-B7CA638CF351}"/>
    <cellStyle name="40% - Accent5 5 5_Exh G" xfId="3264" xr:uid="{00000000-0005-0000-0000-0000054B0000}"/>
    <cellStyle name="40% - Accent5 5 6" xfId="4245" xr:uid="{00000000-0005-0000-0000-0000064B0000}"/>
    <cellStyle name="40% - Accent5 5 6 2" xfId="7837" xr:uid="{00000000-0005-0000-0000-0000074B0000}"/>
    <cellStyle name="40% - Accent5 5 6 2 2" xfId="15808" xr:uid="{00000000-0005-0000-0000-0000084B0000}"/>
    <cellStyle name="40% - Accent5 5 6 2 2 2" xfId="39650" xr:uid="{8175A68A-FAD1-41C7-BCBE-C40D2E229B59}"/>
    <cellStyle name="40% - Accent5 5 6 2 3" xfId="23754" xr:uid="{00000000-0005-0000-0000-0000094B0000}"/>
    <cellStyle name="40% - Accent5 5 6 2 3 2" xfId="47586" xr:uid="{66F770D7-F158-4161-86F7-18F3BCE03506}"/>
    <cellStyle name="40% - Accent5 5 6 2 4" xfId="31709" xr:uid="{D6F1D127-482B-4AC2-A513-67406BCF0D35}"/>
    <cellStyle name="40% - Accent5 5 6 3" xfId="12270" xr:uid="{00000000-0005-0000-0000-00000A4B0000}"/>
    <cellStyle name="40% - Accent5 5 6 3 2" xfId="36119" xr:uid="{50F575FD-2230-470E-9342-3ABE27113D79}"/>
    <cellStyle name="40% - Accent5 5 6 4" xfId="20225" xr:uid="{00000000-0005-0000-0000-00000B4B0000}"/>
    <cellStyle name="40% - Accent5 5 6 4 2" xfId="44057" xr:uid="{4126DF0D-BEB5-480D-A0A6-7E0C9D0AC9F9}"/>
    <cellStyle name="40% - Accent5 5 6 5" xfId="28178" xr:uid="{654C2C29-A2DD-4EF4-8EE3-16DE190B8120}"/>
    <cellStyle name="40% - Accent5 5 7" xfId="6065" xr:uid="{00000000-0005-0000-0000-00000C4B0000}"/>
    <cellStyle name="40% - Accent5 5 7 2" xfId="14049" xr:uid="{00000000-0005-0000-0000-00000D4B0000}"/>
    <cellStyle name="40% - Accent5 5 7 2 2" xfId="37892" xr:uid="{2459B26C-B62E-428F-A70F-A34EF1A97099}"/>
    <cellStyle name="40% - Accent5 5 7 3" xfId="21997" xr:uid="{00000000-0005-0000-0000-00000E4B0000}"/>
    <cellStyle name="40% - Accent5 5 7 3 2" xfId="45829" xr:uid="{42B91058-6A56-447C-95EE-7C1CDC98926B}"/>
    <cellStyle name="40% - Accent5 5 7 4" xfId="29951" xr:uid="{C0534633-1443-4DDE-BE22-B2EF4FE50564}"/>
    <cellStyle name="40% - Accent5 5 8" xfId="9618" xr:uid="{00000000-0005-0000-0000-00000F4B0000}"/>
    <cellStyle name="40% - Accent5 5 8 2" xfId="17576" xr:uid="{00000000-0005-0000-0000-0000104B0000}"/>
    <cellStyle name="40% - Accent5 5 8 2 2" xfId="41416" xr:uid="{8C29E00E-4D71-4610-B3E4-E966CC842737}"/>
    <cellStyle name="40% - Accent5 5 8 3" xfId="25520" xr:uid="{00000000-0005-0000-0000-0000114B0000}"/>
    <cellStyle name="40% - Accent5 5 8 3 2" xfId="49352" xr:uid="{B1A068C7-4742-4076-8E89-C1ED1F98506A}"/>
    <cellStyle name="40% - Accent5 5 8 4" xfId="33475" xr:uid="{4BB96315-352C-469F-AEE7-8348BCD5621B}"/>
    <cellStyle name="40% - Accent5 5 9" xfId="10514" xr:uid="{00000000-0005-0000-0000-0000124B0000}"/>
    <cellStyle name="40% - Accent5 5 9 2" xfId="34363" xr:uid="{A570B208-4C7F-421E-98B5-C77D16198285}"/>
    <cellStyle name="40% - Accent5 5_Exh G" xfId="3257" xr:uid="{00000000-0005-0000-0000-0000134B0000}"/>
    <cellStyle name="40% - Accent5 6" xfId="570" xr:uid="{00000000-0005-0000-0000-0000144B0000}"/>
    <cellStyle name="40% - Accent5 6 10" xfId="18473" xr:uid="{00000000-0005-0000-0000-0000154B0000}"/>
    <cellStyle name="40% - Accent5 6 10 2" xfId="42305" xr:uid="{08236949-D02A-4085-9C11-59C05902A388}"/>
    <cellStyle name="40% - Accent5 6 11" xfId="26425" xr:uid="{32C45EA7-1ADA-44DB-BE1C-646B5849F110}"/>
    <cellStyle name="40% - Accent5 6 2" xfId="571" xr:uid="{00000000-0005-0000-0000-0000164B0000}"/>
    <cellStyle name="40% - Accent5 6 2 2" xfId="572" xr:uid="{00000000-0005-0000-0000-0000174B0000}"/>
    <cellStyle name="40% - Accent5 6 2 2 2" xfId="1600" xr:uid="{00000000-0005-0000-0000-0000184B0000}"/>
    <cellStyle name="40% - Accent5 6 2 2 2 2" xfId="5130" xr:uid="{00000000-0005-0000-0000-0000194B0000}"/>
    <cellStyle name="40% - Accent5 6 2 2 2 2 2" xfId="8721" xr:uid="{00000000-0005-0000-0000-00001A4B0000}"/>
    <cellStyle name="40% - Accent5 6 2 2 2 2 2 2" xfId="16692" xr:uid="{00000000-0005-0000-0000-00001B4B0000}"/>
    <cellStyle name="40% - Accent5 6 2 2 2 2 2 2 2" xfId="40534" xr:uid="{340DC779-E47C-4728-A986-8BA531AB1CFA}"/>
    <cellStyle name="40% - Accent5 6 2 2 2 2 2 3" xfId="24638" xr:uid="{00000000-0005-0000-0000-00001C4B0000}"/>
    <cellStyle name="40% - Accent5 6 2 2 2 2 2 3 2" xfId="48470" xr:uid="{9B24265D-0991-4CFA-85A9-BBDF703999F8}"/>
    <cellStyle name="40% - Accent5 6 2 2 2 2 2 4" xfId="32593" xr:uid="{8F37B482-C1ED-40F7-9D41-B4BBDEB2DE7F}"/>
    <cellStyle name="40% - Accent5 6 2 2 2 2 3" xfId="13154" xr:uid="{00000000-0005-0000-0000-00001D4B0000}"/>
    <cellStyle name="40% - Accent5 6 2 2 2 2 3 2" xfId="37003" xr:uid="{278C5A84-7BD6-4554-B285-EB0D6BB85B59}"/>
    <cellStyle name="40% - Accent5 6 2 2 2 2 4" xfId="21109" xr:uid="{00000000-0005-0000-0000-00001E4B0000}"/>
    <cellStyle name="40% - Accent5 6 2 2 2 2 4 2" xfId="44941" xr:uid="{C36819FA-6AD2-4407-847C-1DD1F7971837}"/>
    <cellStyle name="40% - Accent5 6 2 2 2 2 5" xfId="29062" xr:uid="{76D7E451-B8A0-4F4B-81C3-ED29E9F4399F}"/>
    <cellStyle name="40% - Accent5 6 2 2 2 3" xfId="6962" xr:uid="{00000000-0005-0000-0000-00001F4B0000}"/>
    <cellStyle name="40% - Accent5 6 2 2 2 3 2" xfId="14934" xr:uid="{00000000-0005-0000-0000-0000204B0000}"/>
    <cellStyle name="40% - Accent5 6 2 2 2 3 2 2" xfId="38776" xr:uid="{7778E790-54A9-4173-B543-B4536ECF24D7}"/>
    <cellStyle name="40% - Accent5 6 2 2 2 3 3" xfId="22881" xr:uid="{00000000-0005-0000-0000-0000214B0000}"/>
    <cellStyle name="40% - Accent5 6 2 2 2 3 3 2" xfId="46713" xr:uid="{6ECD0CDD-0ACF-4EB2-B9BD-BE9214CC0F97}"/>
    <cellStyle name="40% - Accent5 6 2 2 2 3 4" xfId="30835" xr:uid="{05BD0E9E-837B-4B53-986E-02CB79BADE97}"/>
    <cellStyle name="40% - Accent5 6 2 2 2 4" xfId="11398" xr:uid="{00000000-0005-0000-0000-0000224B0000}"/>
    <cellStyle name="40% - Accent5 6 2 2 2 4 2" xfId="35247" xr:uid="{6B5F02D7-4563-4109-8C86-8D1C0E258EEF}"/>
    <cellStyle name="40% - Accent5 6 2 2 2 5" xfId="19353" xr:uid="{00000000-0005-0000-0000-0000234B0000}"/>
    <cellStyle name="40% - Accent5 6 2 2 2 5 2" xfId="43185" xr:uid="{A435C545-2F35-4399-9BAD-C21AD359A0BF}"/>
    <cellStyle name="40% - Accent5 6 2 2 2 6" xfId="27305" xr:uid="{80F94E43-E35F-4A43-97A7-D521E4FF34CC}"/>
    <cellStyle name="40% - Accent5 6 2 2 2_Exh G" xfId="3268" xr:uid="{00000000-0005-0000-0000-0000244B0000}"/>
    <cellStyle name="40% - Accent5 6 2 2 3" xfId="4251" xr:uid="{00000000-0005-0000-0000-0000254B0000}"/>
    <cellStyle name="40% - Accent5 6 2 2 3 2" xfId="7843" xr:uid="{00000000-0005-0000-0000-0000264B0000}"/>
    <cellStyle name="40% - Accent5 6 2 2 3 2 2" xfId="15814" xr:uid="{00000000-0005-0000-0000-0000274B0000}"/>
    <cellStyle name="40% - Accent5 6 2 2 3 2 2 2" xfId="39656" xr:uid="{D3947B1F-6352-4F65-8031-DB3BEE7EB1D7}"/>
    <cellStyle name="40% - Accent5 6 2 2 3 2 3" xfId="23760" xr:uid="{00000000-0005-0000-0000-0000284B0000}"/>
    <cellStyle name="40% - Accent5 6 2 2 3 2 3 2" xfId="47592" xr:uid="{FD119395-8BAD-4869-A24B-BF2EE7AC0E48}"/>
    <cellStyle name="40% - Accent5 6 2 2 3 2 4" xfId="31715" xr:uid="{E52645A1-29C5-4D6E-8E80-F2455CAB2AD1}"/>
    <cellStyle name="40% - Accent5 6 2 2 3 3" xfId="12276" xr:uid="{00000000-0005-0000-0000-0000294B0000}"/>
    <cellStyle name="40% - Accent5 6 2 2 3 3 2" xfId="36125" xr:uid="{90069A6A-79B9-48EB-8251-831D35FD36D9}"/>
    <cellStyle name="40% - Accent5 6 2 2 3 4" xfId="20231" xr:uid="{00000000-0005-0000-0000-00002A4B0000}"/>
    <cellStyle name="40% - Accent5 6 2 2 3 4 2" xfId="44063" xr:uid="{CFF9B099-4873-4430-BD23-3A5E2489F24B}"/>
    <cellStyle name="40% - Accent5 6 2 2 3 5" xfId="28184" xr:uid="{C99B5806-FD54-4FD3-9058-C7399B9B7E92}"/>
    <cellStyle name="40% - Accent5 6 2 2 4" xfId="6071" xr:uid="{00000000-0005-0000-0000-00002B4B0000}"/>
    <cellStyle name="40% - Accent5 6 2 2 4 2" xfId="14055" xr:uid="{00000000-0005-0000-0000-00002C4B0000}"/>
    <cellStyle name="40% - Accent5 6 2 2 4 2 2" xfId="37898" xr:uid="{793EA620-9BCB-4BCC-9E4F-EDF0B1DF67D1}"/>
    <cellStyle name="40% - Accent5 6 2 2 4 3" xfId="22003" xr:uid="{00000000-0005-0000-0000-00002D4B0000}"/>
    <cellStyle name="40% - Accent5 6 2 2 4 3 2" xfId="45835" xr:uid="{6D0FD843-E0FD-41ED-9020-F2F70CBDC9EC}"/>
    <cellStyle name="40% - Accent5 6 2 2 4 4" xfId="29957" xr:uid="{09930C9E-497A-4EDA-A5D9-B8DD6451DA66}"/>
    <cellStyle name="40% - Accent5 6 2 2 5" xfId="9624" xr:uid="{00000000-0005-0000-0000-00002E4B0000}"/>
    <cellStyle name="40% - Accent5 6 2 2 5 2" xfId="17582" xr:uid="{00000000-0005-0000-0000-00002F4B0000}"/>
    <cellStyle name="40% - Accent5 6 2 2 5 2 2" xfId="41422" xr:uid="{FCC34608-5067-485E-B6B7-0AB576F87668}"/>
    <cellStyle name="40% - Accent5 6 2 2 5 3" xfId="25526" xr:uid="{00000000-0005-0000-0000-0000304B0000}"/>
    <cellStyle name="40% - Accent5 6 2 2 5 3 2" xfId="49358" xr:uid="{05B797D6-B988-4817-ACE9-8BA36F46FDF1}"/>
    <cellStyle name="40% - Accent5 6 2 2 5 4" xfId="33481" xr:uid="{BA10AA89-5920-4478-B5D2-E3667511B05A}"/>
    <cellStyle name="40% - Accent5 6 2 2 6" xfId="10520" xr:uid="{00000000-0005-0000-0000-0000314B0000}"/>
    <cellStyle name="40% - Accent5 6 2 2 6 2" xfId="34369" xr:uid="{204CA21E-4914-48E4-81F0-2C2B40572A25}"/>
    <cellStyle name="40% - Accent5 6 2 2 7" xfId="18475" xr:uid="{00000000-0005-0000-0000-0000324B0000}"/>
    <cellStyle name="40% - Accent5 6 2 2 7 2" xfId="42307" xr:uid="{C105148C-347B-4A91-B73E-7127E76DD9EA}"/>
    <cellStyle name="40% - Accent5 6 2 2 8" xfId="26427" xr:uid="{FEE2E124-28F7-428A-8727-37C297CC2EBF}"/>
    <cellStyle name="40% - Accent5 6 2 2_Exh G" xfId="3267" xr:uid="{00000000-0005-0000-0000-0000334B0000}"/>
    <cellStyle name="40% - Accent5 6 2 3" xfId="1599" xr:uid="{00000000-0005-0000-0000-0000344B0000}"/>
    <cellStyle name="40% - Accent5 6 2 3 2" xfId="5129" xr:uid="{00000000-0005-0000-0000-0000354B0000}"/>
    <cellStyle name="40% - Accent5 6 2 3 2 2" xfId="8720" xr:uid="{00000000-0005-0000-0000-0000364B0000}"/>
    <cellStyle name="40% - Accent5 6 2 3 2 2 2" xfId="16691" xr:uid="{00000000-0005-0000-0000-0000374B0000}"/>
    <cellStyle name="40% - Accent5 6 2 3 2 2 2 2" xfId="40533" xr:uid="{4C465964-6765-4EA3-8C43-484034678151}"/>
    <cellStyle name="40% - Accent5 6 2 3 2 2 3" xfId="24637" xr:uid="{00000000-0005-0000-0000-0000384B0000}"/>
    <cellStyle name="40% - Accent5 6 2 3 2 2 3 2" xfId="48469" xr:uid="{FC40EA60-2A17-4B75-87D8-2D7D579D6DC5}"/>
    <cellStyle name="40% - Accent5 6 2 3 2 2 4" xfId="32592" xr:uid="{13531E83-C654-4F08-BB4A-531543B7B456}"/>
    <cellStyle name="40% - Accent5 6 2 3 2 3" xfId="13153" xr:uid="{00000000-0005-0000-0000-0000394B0000}"/>
    <cellStyle name="40% - Accent5 6 2 3 2 3 2" xfId="37002" xr:uid="{A5A6F9E9-1261-4E03-A5F0-6E246C04723A}"/>
    <cellStyle name="40% - Accent5 6 2 3 2 4" xfId="21108" xr:uid="{00000000-0005-0000-0000-00003A4B0000}"/>
    <cellStyle name="40% - Accent5 6 2 3 2 4 2" xfId="44940" xr:uid="{26A3C7EC-76F2-4EEB-A3A7-64D1144B4A2C}"/>
    <cellStyle name="40% - Accent5 6 2 3 2 5" xfId="29061" xr:uid="{948DB636-CB84-4F47-8BAF-9C7DFFF102F8}"/>
    <cellStyle name="40% - Accent5 6 2 3 3" xfId="6961" xr:uid="{00000000-0005-0000-0000-00003B4B0000}"/>
    <cellStyle name="40% - Accent5 6 2 3 3 2" xfId="14933" xr:uid="{00000000-0005-0000-0000-00003C4B0000}"/>
    <cellStyle name="40% - Accent5 6 2 3 3 2 2" xfId="38775" xr:uid="{386CBF08-7577-4849-9B35-ABC8AE5A99F8}"/>
    <cellStyle name="40% - Accent5 6 2 3 3 3" xfId="22880" xr:uid="{00000000-0005-0000-0000-00003D4B0000}"/>
    <cellStyle name="40% - Accent5 6 2 3 3 3 2" xfId="46712" xr:uid="{A59B0476-9128-43D6-A4EB-3DBC9C4C8408}"/>
    <cellStyle name="40% - Accent5 6 2 3 3 4" xfId="30834" xr:uid="{788E6AC2-9906-475B-A2D9-8DD6E48D8C03}"/>
    <cellStyle name="40% - Accent5 6 2 3 4" xfId="11397" xr:uid="{00000000-0005-0000-0000-00003E4B0000}"/>
    <cellStyle name="40% - Accent5 6 2 3 4 2" xfId="35246" xr:uid="{0C063449-B05D-4AC4-9017-D54129E18D16}"/>
    <cellStyle name="40% - Accent5 6 2 3 5" xfId="19352" xr:uid="{00000000-0005-0000-0000-00003F4B0000}"/>
    <cellStyle name="40% - Accent5 6 2 3 5 2" xfId="43184" xr:uid="{3A0FCC98-2902-4F60-BEC4-6D043566AE62}"/>
    <cellStyle name="40% - Accent5 6 2 3 6" xfId="27304" xr:uid="{D83B0B31-7F1A-4688-90CC-1D231768F037}"/>
    <cellStyle name="40% - Accent5 6 2 3_Exh G" xfId="3269" xr:uid="{00000000-0005-0000-0000-0000404B0000}"/>
    <cellStyle name="40% - Accent5 6 2 4" xfId="4250" xr:uid="{00000000-0005-0000-0000-0000414B0000}"/>
    <cellStyle name="40% - Accent5 6 2 4 2" xfId="7842" xr:uid="{00000000-0005-0000-0000-0000424B0000}"/>
    <cellStyle name="40% - Accent5 6 2 4 2 2" xfId="15813" xr:uid="{00000000-0005-0000-0000-0000434B0000}"/>
    <cellStyle name="40% - Accent5 6 2 4 2 2 2" xfId="39655" xr:uid="{C12026BF-F9FF-4097-96B4-29D475B0BC5B}"/>
    <cellStyle name="40% - Accent5 6 2 4 2 3" xfId="23759" xr:uid="{00000000-0005-0000-0000-0000444B0000}"/>
    <cellStyle name="40% - Accent5 6 2 4 2 3 2" xfId="47591" xr:uid="{A280A3C2-0956-4709-80CB-0C383D1DFC8B}"/>
    <cellStyle name="40% - Accent5 6 2 4 2 4" xfId="31714" xr:uid="{5A538C86-D55B-4585-9BD8-FEC1603B6B88}"/>
    <cellStyle name="40% - Accent5 6 2 4 3" xfId="12275" xr:uid="{00000000-0005-0000-0000-0000454B0000}"/>
    <cellStyle name="40% - Accent5 6 2 4 3 2" xfId="36124" xr:uid="{AC936DB3-1411-4B25-BE0E-0AECF5D01E61}"/>
    <cellStyle name="40% - Accent5 6 2 4 4" xfId="20230" xr:uid="{00000000-0005-0000-0000-0000464B0000}"/>
    <cellStyle name="40% - Accent5 6 2 4 4 2" xfId="44062" xr:uid="{890AF4CC-80F0-4AF6-820C-B5253A43740E}"/>
    <cellStyle name="40% - Accent5 6 2 4 5" xfId="28183" xr:uid="{FF5A5B25-58AE-47E5-AB17-8D3E1A96FD54}"/>
    <cellStyle name="40% - Accent5 6 2 5" xfId="6070" xr:uid="{00000000-0005-0000-0000-0000474B0000}"/>
    <cellStyle name="40% - Accent5 6 2 5 2" xfId="14054" xr:uid="{00000000-0005-0000-0000-0000484B0000}"/>
    <cellStyle name="40% - Accent5 6 2 5 2 2" xfId="37897" xr:uid="{55457271-2313-4154-BF58-A70E843F2ECC}"/>
    <cellStyle name="40% - Accent5 6 2 5 3" xfId="22002" xr:uid="{00000000-0005-0000-0000-0000494B0000}"/>
    <cellStyle name="40% - Accent5 6 2 5 3 2" xfId="45834" xr:uid="{0C425813-CD35-49F9-85DB-6B969B1AB65E}"/>
    <cellStyle name="40% - Accent5 6 2 5 4" xfId="29956" xr:uid="{9C40460D-781A-46FB-BC7A-8A736054A0A9}"/>
    <cellStyle name="40% - Accent5 6 2 6" xfId="9623" xr:uid="{00000000-0005-0000-0000-00004A4B0000}"/>
    <cellStyle name="40% - Accent5 6 2 6 2" xfId="17581" xr:uid="{00000000-0005-0000-0000-00004B4B0000}"/>
    <cellStyle name="40% - Accent5 6 2 6 2 2" xfId="41421" xr:uid="{8BD22323-3DAF-4DD3-B82E-A63896F66814}"/>
    <cellStyle name="40% - Accent5 6 2 6 3" xfId="25525" xr:uid="{00000000-0005-0000-0000-00004C4B0000}"/>
    <cellStyle name="40% - Accent5 6 2 6 3 2" xfId="49357" xr:uid="{995CDE78-22E0-4BB3-90FD-36CBB73BBA2A}"/>
    <cellStyle name="40% - Accent5 6 2 6 4" xfId="33480" xr:uid="{4DB88913-A931-414A-BD82-A4A2F6A2B152}"/>
    <cellStyle name="40% - Accent5 6 2 7" xfId="10519" xr:uid="{00000000-0005-0000-0000-00004D4B0000}"/>
    <cellStyle name="40% - Accent5 6 2 7 2" xfId="34368" xr:uid="{71C9DA54-8521-4A4D-8159-48763F9F5296}"/>
    <cellStyle name="40% - Accent5 6 2 8" xfId="18474" xr:uid="{00000000-0005-0000-0000-00004E4B0000}"/>
    <cellStyle name="40% - Accent5 6 2 8 2" xfId="42306" xr:uid="{673C1504-DC48-494E-9840-5CA203373F72}"/>
    <cellStyle name="40% - Accent5 6 2 9" xfId="26426" xr:uid="{78AC300B-61C9-4AEE-A077-57B889060750}"/>
    <cellStyle name="40% - Accent5 6 2_Exh G" xfId="3266" xr:uid="{00000000-0005-0000-0000-00004F4B0000}"/>
    <cellStyle name="40% - Accent5 6 3" xfId="573" xr:uid="{00000000-0005-0000-0000-0000504B0000}"/>
    <cellStyle name="40% - Accent5 6 3 2" xfId="1601" xr:uid="{00000000-0005-0000-0000-0000514B0000}"/>
    <cellStyle name="40% - Accent5 6 3 2 2" xfId="5131" xr:uid="{00000000-0005-0000-0000-0000524B0000}"/>
    <cellStyle name="40% - Accent5 6 3 2 2 2" xfId="8722" xr:uid="{00000000-0005-0000-0000-0000534B0000}"/>
    <cellStyle name="40% - Accent5 6 3 2 2 2 2" xfId="16693" xr:uid="{00000000-0005-0000-0000-0000544B0000}"/>
    <cellStyle name="40% - Accent5 6 3 2 2 2 2 2" xfId="40535" xr:uid="{611FE22B-546B-48AF-8051-99CA7664CBAB}"/>
    <cellStyle name="40% - Accent5 6 3 2 2 2 3" xfId="24639" xr:uid="{00000000-0005-0000-0000-0000554B0000}"/>
    <cellStyle name="40% - Accent5 6 3 2 2 2 3 2" xfId="48471" xr:uid="{2651C345-A8AB-4628-AA4F-73C8008B01C8}"/>
    <cellStyle name="40% - Accent5 6 3 2 2 2 4" xfId="32594" xr:uid="{3E2403D1-A252-466D-A8D4-36FCCB840BA0}"/>
    <cellStyle name="40% - Accent5 6 3 2 2 3" xfId="13155" xr:uid="{00000000-0005-0000-0000-0000564B0000}"/>
    <cellStyle name="40% - Accent5 6 3 2 2 3 2" xfId="37004" xr:uid="{C56307D3-36E6-40C7-8853-2C5022742805}"/>
    <cellStyle name="40% - Accent5 6 3 2 2 4" xfId="21110" xr:uid="{00000000-0005-0000-0000-0000574B0000}"/>
    <cellStyle name="40% - Accent5 6 3 2 2 4 2" xfId="44942" xr:uid="{ECB3A12C-960F-44C7-B72F-3C31809B3E0D}"/>
    <cellStyle name="40% - Accent5 6 3 2 2 5" xfId="29063" xr:uid="{923A63A6-6D6F-4B9F-BA41-B30B85E45601}"/>
    <cellStyle name="40% - Accent5 6 3 2 3" xfId="6963" xr:uid="{00000000-0005-0000-0000-0000584B0000}"/>
    <cellStyle name="40% - Accent5 6 3 2 3 2" xfId="14935" xr:uid="{00000000-0005-0000-0000-0000594B0000}"/>
    <cellStyle name="40% - Accent5 6 3 2 3 2 2" xfId="38777" xr:uid="{B8B3555C-D888-418B-80B4-A03A5BB5072C}"/>
    <cellStyle name="40% - Accent5 6 3 2 3 3" xfId="22882" xr:uid="{00000000-0005-0000-0000-00005A4B0000}"/>
    <cellStyle name="40% - Accent5 6 3 2 3 3 2" xfId="46714" xr:uid="{EE23CD50-0D56-40BB-8C0F-37772210DC27}"/>
    <cellStyle name="40% - Accent5 6 3 2 3 4" xfId="30836" xr:uid="{397E3100-F82E-4777-A834-4E965D41C059}"/>
    <cellStyle name="40% - Accent5 6 3 2 4" xfId="11399" xr:uid="{00000000-0005-0000-0000-00005B4B0000}"/>
    <cellStyle name="40% - Accent5 6 3 2 4 2" xfId="35248" xr:uid="{E2E20329-8301-44E4-8383-0B99FEEC63DB}"/>
    <cellStyle name="40% - Accent5 6 3 2 5" xfId="19354" xr:uid="{00000000-0005-0000-0000-00005C4B0000}"/>
    <cellStyle name="40% - Accent5 6 3 2 5 2" xfId="43186" xr:uid="{B3816A1B-382F-4E2D-B09F-E6797CBEA029}"/>
    <cellStyle name="40% - Accent5 6 3 2 6" xfId="27306" xr:uid="{BD1A09AB-209B-4D33-A9A3-B655D12F91D7}"/>
    <cellStyle name="40% - Accent5 6 3 2_Exh G" xfId="3271" xr:uid="{00000000-0005-0000-0000-00005D4B0000}"/>
    <cellStyle name="40% - Accent5 6 3 3" xfId="4252" xr:uid="{00000000-0005-0000-0000-00005E4B0000}"/>
    <cellStyle name="40% - Accent5 6 3 3 2" xfId="7844" xr:uid="{00000000-0005-0000-0000-00005F4B0000}"/>
    <cellStyle name="40% - Accent5 6 3 3 2 2" xfId="15815" xr:uid="{00000000-0005-0000-0000-0000604B0000}"/>
    <cellStyle name="40% - Accent5 6 3 3 2 2 2" xfId="39657" xr:uid="{E174EA2B-202B-45F9-89AB-D12C84247DBF}"/>
    <cellStyle name="40% - Accent5 6 3 3 2 3" xfId="23761" xr:uid="{00000000-0005-0000-0000-0000614B0000}"/>
    <cellStyle name="40% - Accent5 6 3 3 2 3 2" xfId="47593" xr:uid="{1AD41BA8-21D8-40BD-B822-9DF4A7F5076B}"/>
    <cellStyle name="40% - Accent5 6 3 3 2 4" xfId="31716" xr:uid="{D3500CBA-DA9A-442F-BFF6-F64D358077CB}"/>
    <cellStyle name="40% - Accent5 6 3 3 3" xfId="12277" xr:uid="{00000000-0005-0000-0000-0000624B0000}"/>
    <cellStyle name="40% - Accent5 6 3 3 3 2" xfId="36126" xr:uid="{8D92AF5C-9787-4D95-A8F3-679EB03E5907}"/>
    <cellStyle name="40% - Accent5 6 3 3 4" xfId="20232" xr:uid="{00000000-0005-0000-0000-0000634B0000}"/>
    <cellStyle name="40% - Accent5 6 3 3 4 2" xfId="44064" xr:uid="{8550094C-53A5-4D73-86EF-EEF4E78B2BDB}"/>
    <cellStyle name="40% - Accent5 6 3 3 5" xfId="28185" xr:uid="{2EF766CA-E780-4369-A7B5-18835ADAC398}"/>
    <cellStyle name="40% - Accent5 6 3 4" xfId="6072" xr:uid="{00000000-0005-0000-0000-0000644B0000}"/>
    <cellStyle name="40% - Accent5 6 3 4 2" xfId="14056" xr:uid="{00000000-0005-0000-0000-0000654B0000}"/>
    <cellStyle name="40% - Accent5 6 3 4 2 2" xfId="37899" xr:uid="{0D34418D-097A-49B0-A9F3-C94DED744D53}"/>
    <cellStyle name="40% - Accent5 6 3 4 3" xfId="22004" xr:uid="{00000000-0005-0000-0000-0000664B0000}"/>
    <cellStyle name="40% - Accent5 6 3 4 3 2" xfId="45836" xr:uid="{1BDC4041-0CD3-494A-8EAB-81F1DE88C1FE}"/>
    <cellStyle name="40% - Accent5 6 3 4 4" xfId="29958" xr:uid="{4FCE9121-62E8-4A5C-8BC2-BAAD6A8108EC}"/>
    <cellStyle name="40% - Accent5 6 3 5" xfId="9625" xr:uid="{00000000-0005-0000-0000-0000674B0000}"/>
    <cellStyle name="40% - Accent5 6 3 5 2" xfId="17583" xr:uid="{00000000-0005-0000-0000-0000684B0000}"/>
    <cellStyle name="40% - Accent5 6 3 5 2 2" xfId="41423" xr:uid="{A3B2F051-D4CB-4B4B-AE52-BB697B1DB148}"/>
    <cellStyle name="40% - Accent5 6 3 5 3" xfId="25527" xr:uid="{00000000-0005-0000-0000-0000694B0000}"/>
    <cellStyle name="40% - Accent5 6 3 5 3 2" xfId="49359" xr:uid="{997C918D-A955-4153-B5D8-3F690364B3CB}"/>
    <cellStyle name="40% - Accent5 6 3 5 4" xfId="33482" xr:uid="{C361A855-0CE6-4804-8FB2-E2DD4B3A4F0D}"/>
    <cellStyle name="40% - Accent5 6 3 6" xfId="10521" xr:uid="{00000000-0005-0000-0000-00006A4B0000}"/>
    <cellStyle name="40% - Accent5 6 3 6 2" xfId="34370" xr:uid="{1F37CA04-58FF-4BD9-B23C-C81E85B86A10}"/>
    <cellStyle name="40% - Accent5 6 3 7" xfId="18476" xr:uid="{00000000-0005-0000-0000-00006B4B0000}"/>
    <cellStyle name="40% - Accent5 6 3 7 2" xfId="42308" xr:uid="{7F0265B9-0809-44DA-AB1E-F44678FDEB0B}"/>
    <cellStyle name="40% - Accent5 6 3 8" xfId="26428" xr:uid="{006B6E13-1BB1-4DAA-9EF6-387DE26FBC1A}"/>
    <cellStyle name="40% - Accent5 6 3_Exh G" xfId="3270" xr:uid="{00000000-0005-0000-0000-00006C4B0000}"/>
    <cellStyle name="40% - Accent5 6 4" xfId="990" xr:uid="{00000000-0005-0000-0000-00006D4B0000}"/>
    <cellStyle name="40% - Accent5 6 4 2" xfId="1905" xr:uid="{00000000-0005-0000-0000-00006E4B0000}"/>
    <cellStyle name="40% - Accent5 6 4 2 2" xfId="5423" xr:uid="{00000000-0005-0000-0000-00006F4B0000}"/>
    <cellStyle name="40% - Accent5 6 4 2 2 2" xfId="9014" xr:uid="{00000000-0005-0000-0000-0000704B0000}"/>
    <cellStyle name="40% - Accent5 6 4 2 2 2 2" xfId="16985" xr:uid="{00000000-0005-0000-0000-0000714B0000}"/>
    <cellStyle name="40% - Accent5 6 4 2 2 2 2 2" xfId="40827" xr:uid="{851A064E-DE6A-4F21-ACD3-877BE3A76388}"/>
    <cellStyle name="40% - Accent5 6 4 2 2 2 3" xfId="24931" xr:uid="{00000000-0005-0000-0000-0000724B0000}"/>
    <cellStyle name="40% - Accent5 6 4 2 2 2 3 2" xfId="48763" xr:uid="{8515C885-7924-4EE9-8D66-3D1ED6A557F3}"/>
    <cellStyle name="40% - Accent5 6 4 2 2 2 4" xfId="32886" xr:uid="{1B0A8E9C-4788-421B-8890-CC2E0432F5B3}"/>
    <cellStyle name="40% - Accent5 6 4 2 2 3" xfId="13447" xr:uid="{00000000-0005-0000-0000-0000734B0000}"/>
    <cellStyle name="40% - Accent5 6 4 2 2 3 2" xfId="37296" xr:uid="{5757EB9F-BCAF-464A-9B13-2BE33BD7D862}"/>
    <cellStyle name="40% - Accent5 6 4 2 2 4" xfId="21402" xr:uid="{00000000-0005-0000-0000-0000744B0000}"/>
    <cellStyle name="40% - Accent5 6 4 2 2 4 2" xfId="45234" xr:uid="{781DD712-4EFF-4A6C-BA95-CCD293AE906A}"/>
    <cellStyle name="40% - Accent5 6 4 2 2 5" xfId="29355" xr:uid="{3FF58EA7-F480-4A56-B3D5-6E4D41B953AA}"/>
    <cellStyle name="40% - Accent5 6 4 2 3" xfId="7255" xr:uid="{00000000-0005-0000-0000-0000754B0000}"/>
    <cellStyle name="40% - Accent5 6 4 2 3 2" xfId="15227" xr:uid="{00000000-0005-0000-0000-0000764B0000}"/>
    <cellStyle name="40% - Accent5 6 4 2 3 2 2" xfId="39069" xr:uid="{8ED5AE8F-5E53-4FC6-B828-0750448FEE16}"/>
    <cellStyle name="40% - Accent5 6 4 2 3 3" xfId="23174" xr:uid="{00000000-0005-0000-0000-0000774B0000}"/>
    <cellStyle name="40% - Accent5 6 4 2 3 3 2" xfId="47006" xr:uid="{79A14964-55E3-4D7E-9B27-590C91DABA4B}"/>
    <cellStyle name="40% - Accent5 6 4 2 3 4" xfId="31128" xr:uid="{EDC127FA-C6A5-4843-9002-C6F59319C95F}"/>
    <cellStyle name="40% - Accent5 6 4 2 4" xfId="11691" xr:uid="{00000000-0005-0000-0000-0000784B0000}"/>
    <cellStyle name="40% - Accent5 6 4 2 4 2" xfId="35540" xr:uid="{2DBF57D2-8A4F-4A17-90EE-EC74D9AA3A93}"/>
    <cellStyle name="40% - Accent5 6 4 2 5" xfId="19646" xr:uid="{00000000-0005-0000-0000-0000794B0000}"/>
    <cellStyle name="40% - Accent5 6 4 2 5 2" xfId="43478" xr:uid="{BCCAA2CD-99D0-4C46-8FD0-E5BF06BBC48E}"/>
    <cellStyle name="40% - Accent5 6 4 2 6" xfId="27598" xr:uid="{36DB0E54-603C-47FF-8608-9D91F8572B43}"/>
    <cellStyle name="40% - Accent5 6 4 2_Exh G" xfId="3273" xr:uid="{00000000-0005-0000-0000-00007A4B0000}"/>
    <cellStyle name="40% - Accent5 6 4 3" xfId="4544" xr:uid="{00000000-0005-0000-0000-00007B4B0000}"/>
    <cellStyle name="40% - Accent5 6 4 3 2" xfId="8136" xr:uid="{00000000-0005-0000-0000-00007C4B0000}"/>
    <cellStyle name="40% - Accent5 6 4 3 2 2" xfId="16107" xr:uid="{00000000-0005-0000-0000-00007D4B0000}"/>
    <cellStyle name="40% - Accent5 6 4 3 2 2 2" xfId="39949" xr:uid="{485D3C29-58B1-4FF9-9F5E-185065B803A2}"/>
    <cellStyle name="40% - Accent5 6 4 3 2 3" xfId="24053" xr:uid="{00000000-0005-0000-0000-00007E4B0000}"/>
    <cellStyle name="40% - Accent5 6 4 3 2 3 2" xfId="47885" xr:uid="{BF037280-42B2-4DA5-877F-114E9C3080A2}"/>
    <cellStyle name="40% - Accent5 6 4 3 2 4" xfId="32008" xr:uid="{B344BE33-1E68-4B0F-93F7-AFCDDE6457DC}"/>
    <cellStyle name="40% - Accent5 6 4 3 3" xfId="12569" xr:uid="{00000000-0005-0000-0000-00007F4B0000}"/>
    <cellStyle name="40% - Accent5 6 4 3 3 2" xfId="36418" xr:uid="{B343EF38-808E-495C-B635-12A92D10D805}"/>
    <cellStyle name="40% - Accent5 6 4 3 4" xfId="20524" xr:uid="{00000000-0005-0000-0000-0000804B0000}"/>
    <cellStyle name="40% - Accent5 6 4 3 4 2" xfId="44356" xr:uid="{D0BC17F5-31A5-4698-8A9B-FCC8E35620E2}"/>
    <cellStyle name="40% - Accent5 6 4 3 5" xfId="28477" xr:uid="{434C2C59-DD08-4902-9746-BEAE6BE5F4F0}"/>
    <cellStyle name="40% - Accent5 6 4 4" xfId="6374" xr:uid="{00000000-0005-0000-0000-0000814B0000}"/>
    <cellStyle name="40% - Accent5 6 4 4 2" xfId="14349" xr:uid="{00000000-0005-0000-0000-0000824B0000}"/>
    <cellStyle name="40% - Accent5 6 4 4 2 2" xfId="38191" xr:uid="{573451FA-3C64-4D35-826D-CCBD41447137}"/>
    <cellStyle name="40% - Accent5 6 4 4 3" xfId="22296" xr:uid="{00000000-0005-0000-0000-0000834B0000}"/>
    <cellStyle name="40% - Accent5 6 4 4 3 2" xfId="46128" xr:uid="{5C9AF494-277C-4E23-A5DB-40F45209D6B5}"/>
    <cellStyle name="40% - Accent5 6 4 4 4" xfId="30250" xr:uid="{D870C505-6089-46BA-8E1B-75092CB2DB46}"/>
    <cellStyle name="40% - Accent5 6 4 5" xfId="9917" xr:uid="{00000000-0005-0000-0000-0000844B0000}"/>
    <cellStyle name="40% - Accent5 6 4 5 2" xfId="17875" xr:uid="{00000000-0005-0000-0000-0000854B0000}"/>
    <cellStyle name="40% - Accent5 6 4 5 2 2" xfId="41715" xr:uid="{22902296-9942-46B5-93F8-6CC023C4F8DA}"/>
    <cellStyle name="40% - Accent5 6 4 5 3" xfId="25819" xr:uid="{00000000-0005-0000-0000-0000864B0000}"/>
    <cellStyle name="40% - Accent5 6 4 5 3 2" xfId="49651" xr:uid="{DE38C4D1-2A04-4DF7-9924-E6FF38D931F5}"/>
    <cellStyle name="40% - Accent5 6 4 5 4" xfId="33774" xr:uid="{436507FD-783E-4638-A24B-4855ECFA3310}"/>
    <cellStyle name="40% - Accent5 6 4 6" xfId="10813" xr:uid="{00000000-0005-0000-0000-0000874B0000}"/>
    <cellStyle name="40% - Accent5 6 4 6 2" xfId="34662" xr:uid="{6E13F530-1E39-440F-9B0B-941D4EC5FD4C}"/>
    <cellStyle name="40% - Accent5 6 4 7" xfId="18768" xr:uid="{00000000-0005-0000-0000-0000884B0000}"/>
    <cellStyle name="40% - Accent5 6 4 7 2" xfId="42600" xr:uid="{024F741E-BB56-4EA4-AFBF-6F79E83E433C}"/>
    <cellStyle name="40% - Accent5 6 4 8" xfId="26720" xr:uid="{B38F3EE9-F434-4AB0-AC5A-511518CA337F}"/>
    <cellStyle name="40% - Accent5 6 4_Exh G" xfId="3272" xr:uid="{00000000-0005-0000-0000-0000894B0000}"/>
    <cellStyle name="40% - Accent5 6 5" xfId="1598" xr:uid="{00000000-0005-0000-0000-00008A4B0000}"/>
    <cellStyle name="40% - Accent5 6 5 2" xfId="5128" xr:uid="{00000000-0005-0000-0000-00008B4B0000}"/>
    <cellStyle name="40% - Accent5 6 5 2 2" xfId="8719" xr:uid="{00000000-0005-0000-0000-00008C4B0000}"/>
    <cellStyle name="40% - Accent5 6 5 2 2 2" xfId="16690" xr:uid="{00000000-0005-0000-0000-00008D4B0000}"/>
    <cellStyle name="40% - Accent5 6 5 2 2 2 2" xfId="40532" xr:uid="{A5CA335E-44D8-484F-9E55-B7CBA876F7CA}"/>
    <cellStyle name="40% - Accent5 6 5 2 2 3" xfId="24636" xr:uid="{00000000-0005-0000-0000-00008E4B0000}"/>
    <cellStyle name="40% - Accent5 6 5 2 2 3 2" xfId="48468" xr:uid="{E00A09D3-E031-402B-8E0F-5305C5FB0A50}"/>
    <cellStyle name="40% - Accent5 6 5 2 2 4" xfId="32591" xr:uid="{831165B2-9BFE-4564-8945-876C5FEB9189}"/>
    <cellStyle name="40% - Accent5 6 5 2 3" xfId="13152" xr:uid="{00000000-0005-0000-0000-00008F4B0000}"/>
    <cellStyle name="40% - Accent5 6 5 2 3 2" xfId="37001" xr:uid="{6CAF56EB-AC2F-4873-BF95-581C64083329}"/>
    <cellStyle name="40% - Accent5 6 5 2 4" xfId="21107" xr:uid="{00000000-0005-0000-0000-0000904B0000}"/>
    <cellStyle name="40% - Accent5 6 5 2 4 2" xfId="44939" xr:uid="{7B1C1EAD-6815-4051-8721-6FFDC876A15D}"/>
    <cellStyle name="40% - Accent5 6 5 2 5" xfId="29060" xr:uid="{222BBF2E-8F61-4E75-9536-EA1AE805799D}"/>
    <cellStyle name="40% - Accent5 6 5 3" xfId="6960" xr:uid="{00000000-0005-0000-0000-0000914B0000}"/>
    <cellStyle name="40% - Accent5 6 5 3 2" xfId="14932" xr:uid="{00000000-0005-0000-0000-0000924B0000}"/>
    <cellStyle name="40% - Accent5 6 5 3 2 2" xfId="38774" xr:uid="{B847275D-C455-4948-B3BD-F9ECBC3844FE}"/>
    <cellStyle name="40% - Accent5 6 5 3 3" xfId="22879" xr:uid="{00000000-0005-0000-0000-0000934B0000}"/>
    <cellStyle name="40% - Accent5 6 5 3 3 2" xfId="46711" xr:uid="{34A172DD-EC94-494E-A7BE-EF92B820411C}"/>
    <cellStyle name="40% - Accent5 6 5 3 4" xfId="30833" xr:uid="{894628FD-4DFD-459F-A1F9-B2619C362F51}"/>
    <cellStyle name="40% - Accent5 6 5 4" xfId="11396" xr:uid="{00000000-0005-0000-0000-0000944B0000}"/>
    <cellStyle name="40% - Accent5 6 5 4 2" xfId="35245" xr:uid="{F9CDEC73-2DEB-4575-8343-6D36C7CDF695}"/>
    <cellStyle name="40% - Accent5 6 5 5" xfId="19351" xr:uid="{00000000-0005-0000-0000-0000954B0000}"/>
    <cellStyle name="40% - Accent5 6 5 5 2" xfId="43183" xr:uid="{C0EB4A2B-0A6F-4E72-809F-AEB0C79C1D63}"/>
    <cellStyle name="40% - Accent5 6 5 6" xfId="27303" xr:uid="{349A88CB-81A2-45F8-8112-A3B4A73A0281}"/>
    <cellStyle name="40% - Accent5 6 5_Exh G" xfId="3274" xr:uid="{00000000-0005-0000-0000-0000964B0000}"/>
    <cellStyle name="40% - Accent5 6 6" xfId="4249" xr:uid="{00000000-0005-0000-0000-0000974B0000}"/>
    <cellStyle name="40% - Accent5 6 6 2" xfId="7841" xr:uid="{00000000-0005-0000-0000-0000984B0000}"/>
    <cellStyle name="40% - Accent5 6 6 2 2" xfId="15812" xr:uid="{00000000-0005-0000-0000-0000994B0000}"/>
    <cellStyle name="40% - Accent5 6 6 2 2 2" xfId="39654" xr:uid="{D8BB4F92-9E98-46A6-AAAF-7FACE294961B}"/>
    <cellStyle name="40% - Accent5 6 6 2 3" xfId="23758" xr:uid="{00000000-0005-0000-0000-00009A4B0000}"/>
    <cellStyle name="40% - Accent5 6 6 2 3 2" xfId="47590" xr:uid="{68F6BCE4-71AA-4A14-8253-8AC53BE29AE0}"/>
    <cellStyle name="40% - Accent5 6 6 2 4" xfId="31713" xr:uid="{E4E2D26F-AC43-4375-9A79-04961F5A130A}"/>
    <cellStyle name="40% - Accent5 6 6 3" xfId="12274" xr:uid="{00000000-0005-0000-0000-00009B4B0000}"/>
    <cellStyle name="40% - Accent5 6 6 3 2" xfId="36123" xr:uid="{49B7C4EC-EE76-4209-89A5-0296D38D64C9}"/>
    <cellStyle name="40% - Accent5 6 6 4" xfId="20229" xr:uid="{00000000-0005-0000-0000-00009C4B0000}"/>
    <cellStyle name="40% - Accent5 6 6 4 2" xfId="44061" xr:uid="{74ABDC4A-7D15-4B25-8C09-32737A7B0731}"/>
    <cellStyle name="40% - Accent5 6 6 5" xfId="28182" xr:uid="{6EF1877F-377D-4E52-9965-011D49208C1E}"/>
    <cellStyle name="40% - Accent5 6 7" xfId="6069" xr:uid="{00000000-0005-0000-0000-00009D4B0000}"/>
    <cellStyle name="40% - Accent5 6 7 2" xfId="14053" xr:uid="{00000000-0005-0000-0000-00009E4B0000}"/>
    <cellStyle name="40% - Accent5 6 7 2 2" xfId="37896" xr:uid="{ED57EE14-953B-4905-92EE-3379A56D1DEC}"/>
    <cellStyle name="40% - Accent5 6 7 3" xfId="22001" xr:uid="{00000000-0005-0000-0000-00009F4B0000}"/>
    <cellStyle name="40% - Accent5 6 7 3 2" xfId="45833" xr:uid="{C379FC59-C8A9-44B2-AAC8-6D3173D04607}"/>
    <cellStyle name="40% - Accent5 6 7 4" xfId="29955" xr:uid="{9E9874CE-193E-4C17-8DFD-076D2FA61206}"/>
    <cellStyle name="40% - Accent5 6 8" xfId="9622" xr:uid="{00000000-0005-0000-0000-0000A04B0000}"/>
    <cellStyle name="40% - Accent5 6 8 2" xfId="17580" xr:uid="{00000000-0005-0000-0000-0000A14B0000}"/>
    <cellStyle name="40% - Accent5 6 8 2 2" xfId="41420" xr:uid="{6DBEF559-4C08-4BE9-9171-687DB9EF7F40}"/>
    <cellStyle name="40% - Accent5 6 8 3" xfId="25524" xr:uid="{00000000-0005-0000-0000-0000A24B0000}"/>
    <cellStyle name="40% - Accent5 6 8 3 2" xfId="49356" xr:uid="{912730D7-2856-4C5E-A45A-C5704F39BA28}"/>
    <cellStyle name="40% - Accent5 6 8 4" xfId="33479" xr:uid="{103A5791-06A7-47A8-A2BB-70E7F5BCC4B7}"/>
    <cellStyle name="40% - Accent5 6 9" xfId="10518" xr:uid="{00000000-0005-0000-0000-0000A34B0000}"/>
    <cellStyle name="40% - Accent5 6 9 2" xfId="34367" xr:uid="{210A2DCA-C9D2-4C10-B3FA-A7EF1F35DDDD}"/>
    <cellStyle name="40% - Accent5 6_Exh G" xfId="3265" xr:uid="{00000000-0005-0000-0000-0000A44B0000}"/>
    <cellStyle name="40% - Accent5 7" xfId="574" xr:uid="{00000000-0005-0000-0000-0000A54B0000}"/>
    <cellStyle name="40% - Accent5 7 10" xfId="18477" xr:uid="{00000000-0005-0000-0000-0000A64B0000}"/>
    <cellStyle name="40% - Accent5 7 10 2" xfId="42309" xr:uid="{376123D4-0651-4743-B256-DC7C92FE00AC}"/>
    <cellStyle name="40% - Accent5 7 11" xfId="26429" xr:uid="{5B37B94E-41A8-439F-AF77-0481D26AD3BF}"/>
    <cellStyle name="40% - Accent5 7 2" xfId="575" xr:uid="{00000000-0005-0000-0000-0000A74B0000}"/>
    <cellStyle name="40% - Accent5 7 2 2" xfId="576" xr:uid="{00000000-0005-0000-0000-0000A84B0000}"/>
    <cellStyle name="40% - Accent5 7 2 2 2" xfId="1604" xr:uid="{00000000-0005-0000-0000-0000A94B0000}"/>
    <cellStyle name="40% - Accent5 7 2 2 2 2" xfId="5134" xr:uid="{00000000-0005-0000-0000-0000AA4B0000}"/>
    <cellStyle name="40% - Accent5 7 2 2 2 2 2" xfId="8725" xr:uid="{00000000-0005-0000-0000-0000AB4B0000}"/>
    <cellStyle name="40% - Accent5 7 2 2 2 2 2 2" xfId="16696" xr:uid="{00000000-0005-0000-0000-0000AC4B0000}"/>
    <cellStyle name="40% - Accent5 7 2 2 2 2 2 2 2" xfId="40538" xr:uid="{EA94CB5A-E87D-4048-9EAC-95739DB728C1}"/>
    <cellStyle name="40% - Accent5 7 2 2 2 2 2 3" xfId="24642" xr:uid="{00000000-0005-0000-0000-0000AD4B0000}"/>
    <cellStyle name="40% - Accent5 7 2 2 2 2 2 3 2" xfId="48474" xr:uid="{7B2F8887-3C53-46AF-9475-47ACC0B8417E}"/>
    <cellStyle name="40% - Accent5 7 2 2 2 2 2 4" xfId="32597" xr:uid="{6A8A304D-CB21-4D6F-9163-89B9D8FD0D5C}"/>
    <cellStyle name="40% - Accent5 7 2 2 2 2 3" xfId="13158" xr:uid="{00000000-0005-0000-0000-0000AE4B0000}"/>
    <cellStyle name="40% - Accent5 7 2 2 2 2 3 2" xfId="37007" xr:uid="{52FD8DD9-E7F6-4931-B945-CBA8243450AA}"/>
    <cellStyle name="40% - Accent5 7 2 2 2 2 4" xfId="21113" xr:uid="{00000000-0005-0000-0000-0000AF4B0000}"/>
    <cellStyle name="40% - Accent5 7 2 2 2 2 4 2" xfId="44945" xr:uid="{DC875738-DE12-46B7-874D-C1CF5A539080}"/>
    <cellStyle name="40% - Accent5 7 2 2 2 2 5" xfId="29066" xr:uid="{FF940027-0493-41C2-82D2-54412C1E5896}"/>
    <cellStyle name="40% - Accent5 7 2 2 2 3" xfId="6966" xr:uid="{00000000-0005-0000-0000-0000B04B0000}"/>
    <cellStyle name="40% - Accent5 7 2 2 2 3 2" xfId="14938" xr:uid="{00000000-0005-0000-0000-0000B14B0000}"/>
    <cellStyle name="40% - Accent5 7 2 2 2 3 2 2" xfId="38780" xr:uid="{2B965C8E-2F41-498C-9151-51B87C09AA72}"/>
    <cellStyle name="40% - Accent5 7 2 2 2 3 3" xfId="22885" xr:uid="{00000000-0005-0000-0000-0000B24B0000}"/>
    <cellStyle name="40% - Accent5 7 2 2 2 3 3 2" xfId="46717" xr:uid="{E846F940-5E23-4783-A938-EF7B00F670B3}"/>
    <cellStyle name="40% - Accent5 7 2 2 2 3 4" xfId="30839" xr:uid="{DF8C7985-6F83-485F-A6E8-94CF2B24678C}"/>
    <cellStyle name="40% - Accent5 7 2 2 2 4" xfId="11402" xr:uid="{00000000-0005-0000-0000-0000B34B0000}"/>
    <cellStyle name="40% - Accent5 7 2 2 2 4 2" xfId="35251" xr:uid="{FA294512-C6DC-4D37-B2BC-268A10E6E7BA}"/>
    <cellStyle name="40% - Accent5 7 2 2 2 5" xfId="19357" xr:uid="{00000000-0005-0000-0000-0000B44B0000}"/>
    <cellStyle name="40% - Accent5 7 2 2 2 5 2" xfId="43189" xr:uid="{E70C80DF-4826-4D2F-84C3-DB4A5DABA458}"/>
    <cellStyle name="40% - Accent5 7 2 2 2 6" xfId="27309" xr:uid="{B19CDBE4-FF47-478E-98DC-6F0AA8664DAB}"/>
    <cellStyle name="40% - Accent5 7 2 2 2_Exh G" xfId="3278" xr:uid="{00000000-0005-0000-0000-0000B54B0000}"/>
    <cellStyle name="40% - Accent5 7 2 2 3" xfId="4255" xr:uid="{00000000-0005-0000-0000-0000B64B0000}"/>
    <cellStyle name="40% - Accent5 7 2 2 3 2" xfId="7847" xr:uid="{00000000-0005-0000-0000-0000B74B0000}"/>
    <cellStyle name="40% - Accent5 7 2 2 3 2 2" xfId="15818" xr:uid="{00000000-0005-0000-0000-0000B84B0000}"/>
    <cellStyle name="40% - Accent5 7 2 2 3 2 2 2" xfId="39660" xr:uid="{65B36A99-5DD8-4D27-83DF-ABED4A4E65ED}"/>
    <cellStyle name="40% - Accent5 7 2 2 3 2 3" xfId="23764" xr:uid="{00000000-0005-0000-0000-0000B94B0000}"/>
    <cellStyle name="40% - Accent5 7 2 2 3 2 3 2" xfId="47596" xr:uid="{1DEF0D0B-3DB1-4BBD-AB66-D8705903A7EA}"/>
    <cellStyle name="40% - Accent5 7 2 2 3 2 4" xfId="31719" xr:uid="{CDFC840C-0511-40D4-B136-17940317EAE5}"/>
    <cellStyle name="40% - Accent5 7 2 2 3 3" xfId="12280" xr:uid="{00000000-0005-0000-0000-0000BA4B0000}"/>
    <cellStyle name="40% - Accent5 7 2 2 3 3 2" xfId="36129" xr:uid="{E630718A-903A-4D4F-846A-7396ED9B2696}"/>
    <cellStyle name="40% - Accent5 7 2 2 3 4" xfId="20235" xr:uid="{00000000-0005-0000-0000-0000BB4B0000}"/>
    <cellStyle name="40% - Accent5 7 2 2 3 4 2" xfId="44067" xr:uid="{E2CE8373-12F5-4545-A39B-84DA9183CB73}"/>
    <cellStyle name="40% - Accent5 7 2 2 3 5" xfId="28188" xr:uid="{06EB21A3-693E-48D4-BE5C-097E64056901}"/>
    <cellStyle name="40% - Accent5 7 2 2 4" xfId="6075" xr:uid="{00000000-0005-0000-0000-0000BC4B0000}"/>
    <cellStyle name="40% - Accent5 7 2 2 4 2" xfId="14059" xr:uid="{00000000-0005-0000-0000-0000BD4B0000}"/>
    <cellStyle name="40% - Accent5 7 2 2 4 2 2" xfId="37902" xr:uid="{C032FB0C-0FC1-4FA8-9DD6-B1CFDB2225FC}"/>
    <cellStyle name="40% - Accent5 7 2 2 4 3" xfId="22007" xr:uid="{00000000-0005-0000-0000-0000BE4B0000}"/>
    <cellStyle name="40% - Accent5 7 2 2 4 3 2" xfId="45839" xr:uid="{FB54FACA-D025-4B8C-BC00-54951754330A}"/>
    <cellStyle name="40% - Accent5 7 2 2 4 4" xfId="29961" xr:uid="{61A0648E-F158-449E-BE14-1EB500D3186A}"/>
    <cellStyle name="40% - Accent5 7 2 2 5" xfId="9628" xr:uid="{00000000-0005-0000-0000-0000BF4B0000}"/>
    <cellStyle name="40% - Accent5 7 2 2 5 2" xfId="17586" xr:uid="{00000000-0005-0000-0000-0000C04B0000}"/>
    <cellStyle name="40% - Accent5 7 2 2 5 2 2" xfId="41426" xr:uid="{651BA2A4-22C0-4209-B630-0BCB7101F8D3}"/>
    <cellStyle name="40% - Accent5 7 2 2 5 3" xfId="25530" xr:uid="{00000000-0005-0000-0000-0000C14B0000}"/>
    <cellStyle name="40% - Accent5 7 2 2 5 3 2" xfId="49362" xr:uid="{ADF7A5E0-C3E5-40D3-9AE9-6AE8F2C9EE1C}"/>
    <cellStyle name="40% - Accent5 7 2 2 5 4" xfId="33485" xr:uid="{5B9BDC10-132A-4468-A062-F670186225C1}"/>
    <cellStyle name="40% - Accent5 7 2 2 6" xfId="10524" xr:uid="{00000000-0005-0000-0000-0000C24B0000}"/>
    <cellStyle name="40% - Accent5 7 2 2 6 2" xfId="34373" xr:uid="{76B47952-EDA4-464E-A4B1-E27943A39225}"/>
    <cellStyle name="40% - Accent5 7 2 2 7" xfId="18479" xr:uid="{00000000-0005-0000-0000-0000C34B0000}"/>
    <cellStyle name="40% - Accent5 7 2 2 7 2" xfId="42311" xr:uid="{C5E198D0-55CD-45F7-9EAB-853E132B5F1B}"/>
    <cellStyle name="40% - Accent5 7 2 2 8" xfId="26431" xr:uid="{46A46889-9A87-4094-ACC7-E741F13EDAB1}"/>
    <cellStyle name="40% - Accent5 7 2 2_Exh G" xfId="3277" xr:uid="{00000000-0005-0000-0000-0000C44B0000}"/>
    <cellStyle name="40% - Accent5 7 2 3" xfId="1603" xr:uid="{00000000-0005-0000-0000-0000C54B0000}"/>
    <cellStyle name="40% - Accent5 7 2 3 2" xfId="5133" xr:uid="{00000000-0005-0000-0000-0000C64B0000}"/>
    <cellStyle name="40% - Accent5 7 2 3 2 2" xfId="8724" xr:uid="{00000000-0005-0000-0000-0000C74B0000}"/>
    <cellStyle name="40% - Accent5 7 2 3 2 2 2" xfId="16695" xr:uid="{00000000-0005-0000-0000-0000C84B0000}"/>
    <cellStyle name="40% - Accent5 7 2 3 2 2 2 2" xfId="40537" xr:uid="{6EE32C26-0B79-4BF6-9EDE-A88921CDA6B3}"/>
    <cellStyle name="40% - Accent5 7 2 3 2 2 3" xfId="24641" xr:uid="{00000000-0005-0000-0000-0000C94B0000}"/>
    <cellStyle name="40% - Accent5 7 2 3 2 2 3 2" xfId="48473" xr:uid="{2D2B51FA-1E45-469C-A7A5-E2D0488559F9}"/>
    <cellStyle name="40% - Accent5 7 2 3 2 2 4" xfId="32596" xr:uid="{A9AA74ED-73F7-4755-8E53-A58BB149521B}"/>
    <cellStyle name="40% - Accent5 7 2 3 2 3" xfId="13157" xr:uid="{00000000-0005-0000-0000-0000CA4B0000}"/>
    <cellStyle name="40% - Accent5 7 2 3 2 3 2" xfId="37006" xr:uid="{9421BDE8-1E24-4960-87BD-222590E25717}"/>
    <cellStyle name="40% - Accent5 7 2 3 2 4" xfId="21112" xr:uid="{00000000-0005-0000-0000-0000CB4B0000}"/>
    <cellStyle name="40% - Accent5 7 2 3 2 4 2" xfId="44944" xr:uid="{EAA66A16-0C49-4CCD-874B-48C1068FF7EA}"/>
    <cellStyle name="40% - Accent5 7 2 3 2 5" xfId="29065" xr:uid="{50993026-23D2-48C9-ACEE-BA417B8DD515}"/>
    <cellStyle name="40% - Accent5 7 2 3 3" xfId="6965" xr:uid="{00000000-0005-0000-0000-0000CC4B0000}"/>
    <cellStyle name="40% - Accent5 7 2 3 3 2" xfId="14937" xr:uid="{00000000-0005-0000-0000-0000CD4B0000}"/>
    <cellStyle name="40% - Accent5 7 2 3 3 2 2" xfId="38779" xr:uid="{6DAC58E0-6316-4B89-B01D-EFE3097AE1F2}"/>
    <cellStyle name="40% - Accent5 7 2 3 3 3" xfId="22884" xr:uid="{00000000-0005-0000-0000-0000CE4B0000}"/>
    <cellStyle name="40% - Accent5 7 2 3 3 3 2" xfId="46716" xr:uid="{E10CB505-AF28-4BF0-82CB-9DABB5EB28E1}"/>
    <cellStyle name="40% - Accent5 7 2 3 3 4" xfId="30838" xr:uid="{D693A9DD-EB37-4CD4-9CD0-FBBC03A32629}"/>
    <cellStyle name="40% - Accent5 7 2 3 4" xfId="11401" xr:uid="{00000000-0005-0000-0000-0000CF4B0000}"/>
    <cellStyle name="40% - Accent5 7 2 3 4 2" xfId="35250" xr:uid="{A457CE8F-C6F4-4198-BFF3-32080AB4100B}"/>
    <cellStyle name="40% - Accent5 7 2 3 5" xfId="19356" xr:uid="{00000000-0005-0000-0000-0000D04B0000}"/>
    <cellStyle name="40% - Accent5 7 2 3 5 2" xfId="43188" xr:uid="{9BE9ECBA-99FA-4B66-8A06-2880CCC76FC9}"/>
    <cellStyle name="40% - Accent5 7 2 3 6" xfId="27308" xr:uid="{AE3A74F4-09A5-49D4-BFDC-3F990D25CEF0}"/>
    <cellStyle name="40% - Accent5 7 2 3_Exh G" xfId="3279" xr:uid="{00000000-0005-0000-0000-0000D14B0000}"/>
    <cellStyle name="40% - Accent5 7 2 4" xfId="4254" xr:uid="{00000000-0005-0000-0000-0000D24B0000}"/>
    <cellStyle name="40% - Accent5 7 2 4 2" xfId="7846" xr:uid="{00000000-0005-0000-0000-0000D34B0000}"/>
    <cellStyle name="40% - Accent5 7 2 4 2 2" xfId="15817" xr:uid="{00000000-0005-0000-0000-0000D44B0000}"/>
    <cellStyle name="40% - Accent5 7 2 4 2 2 2" xfId="39659" xr:uid="{78C61DCB-30BF-4EB1-82FB-90D700FA6FAC}"/>
    <cellStyle name="40% - Accent5 7 2 4 2 3" xfId="23763" xr:uid="{00000000-0005-0000-0000-0000D54B0000}"/>
    <cellStyle name="40% - Accent5 7 2 4 2 3 2" xfId="47595" xr:uid="{63395340-1AD0-48A1-8F14-F4A207235A69}"/>
    <cellStyle name="40% - Accent5 7 2 4 2 4" xfId="31718" xr:uid="{40A1FB2B-3EE7-46D9-B5EC-48C0CA023A4C}"/>
    <cellStyle name="40% - Accent5 7 2 4 3" xfId="12279" xr:uid="{00000000-0005-0000-0000-0000D64B0000}"/>
    <cellStyle name="40% - Accent5 7 2 4 3 2" xfId="36128" xr:uid="{00B7560D-F76C-4EF1-B092-475E5630FDBD}"/>
    <cellStyle name="40% - Accent5 7 2 4 4" xfId="20234" xr:uid="{00000000-0005-0000-0000-0000D74B0000}"/>
    <cellStyle name="40% - Accent5 7 2 4 4 2" xfId="44066" xr:uid="{B6136D36-F561-414A-93D2-C6FCDAB08A8B}"/>
    <cellStyle name="40% - Accent5 7 2 4 5" xfId="28187" xr:uid="{21F92887-CB05-4CFB-9697-B4516000D308}"/>
    <cellStyle name="40% - Accent5 7 2 5" xfId="6074" xr:uid="{00000000-0005-0000-0000-0000D84B0000}"/>
    <cellStyle name="40% - Accent5 7 2 5 2" xfId="14058" xr:uid="{00000000-0005-0000-0000-0000D94B0000}"/>
    <cellStyle name="40% - Accent5 7 2 5 2 2" xfId="37901" xr:uid="{C2F00B1F-27E6-415B-AA7D-10611FB8F618}"/>
    <cellStyle name="40% - Accent5 7 2 5 3" xfId="22006" xr:uid="{00000000-0005-0000-0000-0000DA4B0000}"/>
    <cellStyle name="40% - Accent5 7 2 5 3 2" xfId="45838" xr:uid="{3E66178F-3003-4037-9627-006B507359D7}"/>
    <cellStyle name="40% - Accent5 7 2 5 4" xfId="29960" xr:uid="{F942BC95-7134-4D73-8F38-9A539400073E}"/>
    <cellStyle name="40% - Accent5 7 2 6" xfId="9627" xr:uid="{00000000-0005-0000-0000-0000DB4B0000}"/>
    <cellStyle name="40% - Accent5 7 2 6 2" xfId="17585" xr:uid="{00000000-0005-0000-0000-0000DC4B0000}"/>
    <cellStyle name="40% - Accent5 7 2 6 2 2" xfId="41425" xr:uid="{24952D57-4458-4E7F-A9F9-561794E5222B}"/>
    <cellStyle name="40% - Accent5 7 2 6 3" xfId="25529" xr:uid="{00000000-0005-0000-0000-0000DD4B0000}"/>
    <cellStyle name="40% - Accent5 7 2 6 3 2" xfId="49361" xr:uid="{D4C558A5-06AE-489D-A11F-A99E9DD530E3}"/>
    <cellStyle name="40% - Accent5 7 2 6 4" xfId="33484" xr:uid="{CD086926-7737-4664-99F2-5F92D44F22B6}"/>
    <cellStyle name="40% - Accent5 7 2 7" xfId="10523" xr:uid="{00000000-0005-0000-0000-0000DE4B0000}"/>
    <cellStyle name="40% - Accent5 7 2 7 2" xfId="34372" xr:uid="{98C3C6B8-5E1A-40BA-B284-98D2504B28A3}"/>
    <cellStyle name="40% - Accent5 7 2 8" xfId="18478" xr:uid="{00000000-0005-0000-0000-0000DF4B0000}"/>
    <cellStyle name="40% - Accent5 7 2 8 2" xfId="42310" xr:uid="{364CB70A-DEB9-46AD-A044-1C03C8016803}"/>
    <cellStyle name="40% - Accent5 7 2 9" xfId="26430" xr:uid="{BAA35016-ED08-465A-8767-2DD80A972DDC}"/>
    <cellStyle name="40% - Accent5 7 2_Exh G" xfId="3276" xr:uid="{00000000-0005-0000-0000-0000E04B0000}"/>
    <cellStyle name="40% - Accent5 7 3" xfId="577" xr:uid="{00000000-0005-0000-0000-0000E14B0000}"/>
    <cellStyle name="40% - Accent5 7 3 2" xfId="1605" xr:uid="{00000000-0005-0000-0000-0000E24B0000}"/>
    <cellStyle name="40% - Accent5 7 3 2 2" xfId="5135" xr:uid="{00000000-0005-0000-0000-0000E34B0000}"/>
    <cellStyle name="40% - Accent5 7 3 2 2 2" xfId="8726" xr:uid="{00000000-0005-0000-0000-0000E44B0000}"/>
    <cellStyle name="40% - Accent5 7 3 2 2 2 2" xfId="16697" xr:uid="{00000000-0005-0000-0000-0000E54B0000}"/>
    <cellStyle name="40% - Accent5 7 3 2 2 2 2 2" xfId="40539" xr:uid="{27834C56-8C36-43A0-834C-1792D40CA16C}"/>
    <cellStyle name="40% - Accent5 7 3 2 2 2 3" xfId="24643" xr:uid="{00000000-0005-0000-0000-0000E64B0000}"/>
    <cellStyle name="40% - Accent5 7 3 2 2 2 3 2" xfId="48475" xr:uid="{587884A3-6C2D-40E6-8F31-9A618A0A1D85}"/>
    <cellStyle name="40% - Accent5 7 3 2 2 2 4" xfId="32598" xr:uid="{9B28E602-6CE9-46EE-9D71-F0524D5D344C}"/>
    <cellStyle name="40% - Accent5 7 3 2 2 3" xfId="13159" xr:uid="{00000000-0005-0000-0000-0000E74B0000}"/>
    <cellStyle name="40% - Accent5 7 3 2 2 3 2" xfId="37008" xr:uid="{3C18D33E-83A1-4B4C-B26C-59DD92A8DED6}"/>
    <cellStyle name="40% - Accent5 7 3 2 2 4" xfId="21114" xr:uid="{00000000-0005-0000-0000-0000E84B0000}"/>
    <cellStyle name="40% - Accent5 7 3 2 2 4 2" xfId="44946" xr:uid="{FB5F7EE2-6A74-493A-8F99-184F0C3777F0}"/>
    <cellStyle name="40% - Accent5 7 3 2 2 5" xfId="29067" xr:uid="{2880B335-1904-4EAA-94C9-60910021D204}"/>
    <cellStyle name="40% - Accent5 7 3 2 3" xfId="6967" xr:uid="{00000000-0005-0000-0000-0000E94B0000}"/>
    <cellStyle name="40% - Accent5 7 3 2 3 2" xfId="14939" xr:uid="{00000000-0005-0000-0000-0000EA4B0000}"/>
    <cellStyle name="40% - Accent5 7 3 2 3 2 2" xfId="38781" xr:uid="{C631018C-341D-47AA-B6C3-302CC292A4F8}"/>
    <cellStyle name="40% - Accent5 7 3 2 3 3" xfId="22886" xr:uid="{00000000-0005-0000-0000-0000EB4B0000}"/>
    <cellStyle name="40% - Accent5 7 3 2 3 3 2" xfId="46718" xr:uid="{7E096A5C-7B8D-48F6-BC7F-DB4F3FF6625E}"/>
    <cellStyle name="40% - Accent5 7 3 2 3 4" xfId="30840" xr:uid="{439B175A-D165-4246-8629-318F949CC360}"/>
    <cellStyle name="40% - Accent5 7 3 2 4" xfId="11403" xr:uid="{00000000-0005-0000-0000-0000EC4B0000}"/>
    <cellStyle name="40% - Accent5 7 3 2 4 2" xfId="35252" xr:uid="{89554609-76E9-40B0-AA0E-80EFAD0E07F2}"/>
    <cellStyle name="40% - Accent5 7 3 2 5" xfId="19358" xr:uid="{00000000-0005-0000-0000-0000ED4B0000}"/>
    <cellStyle name="40% - Accent5 7 3 2 5 2" xfId="43190" xr:uid="{E4FABFED-32F4-4B4F-BF1B-365244107B5D}"/>
    <cellStyle name="40% - Accent5 7 3 2 6" xfId="27310" xr:uid="{66CDD6FD-A1D8-480A-A57B-EC9A52262A62}"/>
    <cellStyle name="40% - Accent5 7 3 2_Exh G" xfId="3281" xr:uid="{00000000-0005-0000-0000-0000EE4B0000}"/>
    <cellStyle name="40% - Accent5 7 3 3" xfId="4256" xr:uid="{00000000-0005-0000-0000-0000EF4B0000}"/>
    <cellStyle name="40% - Accent5 7 3 3 2" xfId="7848" xr:uid="{00000000-0005-0000-0000-0000F04B0000}"/>
    <cellStyle name="40% - Accent5 7 3 3 2 2" xfId="15819" xr:uid="{00000000-0005-0000-0000-0000F14B0000}"/>
    <cellStyle name="40% - Accent5 7 3 3 2 2 2" xfId="39661" xr:uid="{0A10455B-EFEC-4055-97E6-B87D4B3AF649}"/>
    <cellStyle name="40% - Accent5 7 3 3 2 3" xfId="23765" xr:uid="{00000000-0005-0000-0000-0000F24B0000}"/>
    <cellStyle name="40% - Accent5 7 3 3 2 3 2" xfId="47597" xr:uid="{38959570-80D3-4AEB-88CB-656E7EE19392}"/>
    <cellStyle name="40% - Accent5 7 3 3 2 4" xfId="31720" xr:uid="{056BF70D-D307-45FB-BFCF-4F4AC6AE9DFA}"/>
    <cellStyle name="40% - Accent5 7 3 3 3" xfId="12281" xr:uid="{00000000-0005-0000-0000-0000F34B0000}"/>
    <cellStyle name="40% - Accent5 7 3 3 3 2" xfId="36130" xr:uid="{54307E34-5D3A-44D7-A4D3-779DCED7C1B0}"/>
    <cellStyle name="40% - Accent5 7 3 3 4" xfId="20236" xr:uid="{00000000-0005-0000-0000-0000F44B0000}"/>
    <cellStyle name="40% - Accent5 7 3 3 4 2" xfId="44068" xr:uid="{65B9D805-B002-4F2F-A788-96F4CBEBDA96}"/>
    <cellStyle name="40% - Accent5 7 3 3 5" xfId="28189" xr:uid="{6C87A3E2-A3CF-401B-893B-FF27AF6F6DA4}"/>
    <cellStyle name="40% - Accent5 7 3 4" xfId="6076" xr:uid="{00000000-0005-0000-0000-0000F54B0000}"/>
    <cellStyle name="40% - Accent5 7 3 4 2" xfId="14060" xr:uid="{00000000-0005-0000-0000-0000F64B0000}"/>
    <cellStyle name="40% - Accent5 7 3 4 2 2" xfId="37903" xr:uid="{C4856011-3639-4F7F-8B1D-8E549EB9620F}"/>
    <cellStyle name="40% - Accent5 7 3 4 3" xfId="22008" xr:uid="{00000000-0005-0000-0000-0000F74B0000}"/>
    <cellStyle name="40% - Accent5 7 3 4 3 2" xfId="45840" xr:uid="{727048FB-3C02-43C1-8D70-0247A86812AF}"/>
    <cellStyle name="40% - Accent5 7 3 4 4" xfId="29962" xr:uid="{594832BF-687C-4A06-B1B5-9D68024B3C4F}"/>
    <cellStyle name="40% - Accent5 7 3 5" xfId="9629" xr:uid="{00000000-0005-0000-0000-0000F84B0000}"/>
    <cellStyle name="40% - Accent5 7 3 5 2" xfId="17587" xr:uid="{00000000-0005-0000-0000-0000F94B0000}"/>
    <cellStyle name="40% - Accent5 7 3 5 2 2" xfId="41427" xr:uid="{F1DB1866-EA07-4F16-BB43-3E4F38E46BA9}"/>
    <cellStyle name="40% - Accent5 7 3 5 3" xfId="25531" xr:uid="{00000000-0005-0000-0000-0000FA4B0000}"/>
    <cellStyle name="40% - Accent5 7 3 5 3 2" xfId="49363" xr:uid="{8D6FBF47-6871-4130-A8F7-2404DA280AAE}"/>
    <cellStyle name="40% - Accent5 7 3 5 4" xfId="33486" xr:uid="{E962A04C-C6C2-425F-B8E2-F5630204C0FA}"/>
    <cellStyle name="40% - Accent5 7 3 6" xfId="10525" xr:uid="{00000000-0005-0000-0000-0000FB4B0000}"/>
    <cellStyle name="40% - Accent5 7 3 6 2" xfId="34374" xr:uid="{0DF1ACA1-FEF6-4386-8183-90EFD01A82B9}"/>
    <cellStyle name="40% - Accent5 7 3 7" xfId="18480" xr:uid="{00000000-0005-0000-0000-0000FC4B0000}"/>
    <cellStyle name="40% - Accent5 7 3 7 2" xfId="42312" xr:uid="{1E0A9EAC-FA1F-43FA-8B4C-2CCE8B831FFC}"/>
    <cellStyle name="40% - Accent5 7 3 8" xfId="26432" xr:uid="{72C2F07D-524A-4926-BB71-E8134E1C7BDD}"/>
    <cellStyle name="40% - Accent5 7 3_Exh G" xfId="3280" xr:uid="{00000000-0005-0000-0000-0000FD4B0000}"/>
    <cellStyle name="40% - Accent5 7 4" xfId="991" xr:uid="{00000000-0005-0000-0000-0000FE4B0000}"/>
    <cellStyle name="40% - Accent5 7 4 2" xfId="1906" xr:uid="{00000000-0005-0000-0000-0000FF4B0000}"/>
    <cellStyle name="40% - Accent5 7 4 2 2" xfId="5424" xr:uid="{00000000-0005-0000-0000-0000004C0000}"/>
    <cellStyle name="40% - Accent5 7 4 2 2 2" xfId="9015" xr:uid="{00000000-0005-0000-0000-0000014C0000}"/>
    <cellStyle name="40% - Accent5 7 4 2 2 2 2" xfId="16986" xr:uid="{00000000-0005-0000-0000-0000024C0000}"/>
    <cellStyle name="40% - Accent5 7 4 2 2 2 2 2" xfId="40828" xr:uid="{81A0E441-B5AC-4AD9-AA8B-8B7190878A1D}"/>
    <cellStyle name="40% - Accent5 7 4 2 2 2 3" xfId="24932" xr:uid="{00000000-0005-0000-0000-0000034C0000}"/>
    <cellStyle name="40% - Accent5 7 4 2 2 2 3 2" xfId="48764" xr:uid="{E964FC47-5D43-42B3-956C-CD9E3937ED79}"/>
    <cellStyle name="40% - Accent5 7 4 2 2 2 4" xfId="32887" xr:uid="{E4056B03-5FB8-4525-89E8-851A396925A4}"/>
    <cellStyle name="40% - Accent5 7 4 2 2 3" xfId="13448" xr:uid="{00000000-0005-0000-0000-0000044C0000}"/>
    <cellStyle name="40% - Accent5 7 4 2 2 3 2" xfId="37297" xr:uid="{D9569F2A-03B1-4F33-B3F5-0346CAF94678}"/>
    <cellStyle name="40% - Accent5 7 4 2 2 4" xfId="21403" xr:uid="{00000000-0005-0000-0000-0000054C0000}"/>
    <cellStyle name="40% - Accent5 7 4 2 2 4 2" xfId="45235" xr:uid="{D68DF63F-7640-4294-8D12-66CB0CF918A4}"/>
    <cellStyle name="40% - Accent5 7 4 2 2 5" xfId="29356" xr:uid="{5E30D664-909A-4317-A26D-B3356D80E589}"/>
    <cellStyle name="40% - Accent5 7 4 2 3" xfId="7256" xr:uid="{00000000-0005-0000-0000-0000064C0000}"/>
    <cellStyle name="40% - Accent5 7 4 2 3 2" xfId="15228" xr:uid="{00000000-0005-0000-0000-0000074C0000}"/>
    <cellStyle name="40% - Accent5 7 4 2 3 2 2" xfId="39070" xr:uid="{8E9F4F4F-35F4-4E71-A1AA-6762DBF406E2}"/>
    <cellStyle name="40% - Accent5 7 4 2 3 3" xfId="23175" xr:uid="{00000000-0005-0000-0000-0000084C0000}"/>
    <cellStyle name="40% - Accent5 7 4 2 3 3 2" xfId="47007" xr:uid="{A312F999-317B-4F06-B898-18BD6B0D0344}"/>
    <cellStyle name="40% - Accent5 7 4 2 3 4" xfId="31129" xr:uid="{21B6AE51-40B7-4CD1-BC70-50C7EDB1BD17}"/>
    <cellStyle name="40% - Accent5 7 4 2 4" xfId="11692" xr:uid="{00000000-0005-0000-0000-0000094C0000}"/>
    <cellStyle name="40% - Accent5 7 4 2 4 2" xfId="35541" xr:uid="{3BE49CDC-0A53-429F-9CF7-DC1D698CFE20}"/>
    <cellStyle name="40% - Accent5 7 4 2 5" xfId="19647" xr:uid="{00000000-0005-0000-0000-00000A4C0000}"/>
    <cellStyle name="40% - Accent5 7 4 2 5 2" xfId="43479" xr:uid="{19C2CB3E-254E-4A2A-AFA8-20AF6ECEF3A5}"/>
    <cellStyle name="40% - Accent5 7 4 2 6" xfId="27599" xr:uid="{447BFAD8-7B81-436A-B5CE-117559F661A8}"/>
    <cellStyle name="40% - Accent5 7 4 2_Exh G" xfId="3283" xr:uid="{00000000-0005-0000-0000-00000B4C0000}"/>
    <cellStyle name="40% - Accent5 7 4 3" xfId="4545" xr:uid="{00000000-0005-0000-0000-00000C4C0000}"/>
    <cellStyle name="40% - Accent5 7 4 3 2" xfId="8137" xr:uid="{00000000-0005-0000-0000-00000D4C0000}"/>
    <cellStyle name="40% - Accent5 7 4 3 2 2" xfId="16108" xr:uid="{00000000-0005-0000-0000-00000E4C0000}"/>
    <cellStyle name="40% - Accent5 7 4 3 2 2 2" xfId="39950" xr:uid="{0207868E-ED65-4D93-8260-4AA4B5448EC9}"/>
    <cellStyle name="40% - Accent5 7 4 3 2 3" xfId="24054" xr:uid="{00000000-0005-0000-0000-00000F4C0000}"/>
    <cellStyle name="40% - Accent5 7 4 3 2 3 2" xfId="47886" xr:uid="{3CE51097-5511-426B-9F90-8FAC73B911DA}"/>
    <cellStyle name="40% - Accent5 7 4 3 2 4" xfId="32009" xr:uid="{1DEDCBBD-D3D6-4F9A-A203-32B8A80CFE44}"/>
    <cellStyle name="40% - Accent5 7 4 3 3" xfId="12570" xr:uid="{00000000-0005-0000-0000-0000104C0000}"/>
    <cellStyle name="40% - Accent5 7 4 3 3 2" xfId="36419" xr:uid="{7B94E22B-E817-4281-9421-4E80A1EDBD1E}"/>
    <cellStyle name="40% - Accent5 7 4 3 4" xfId="20525" xr:uid="{00000000-0005-0000-0000-0000114C0000}"/>
    <cellStyle name="40% - Accent5 7 4 3 4 2" xfId="44357" xr:uid="{D73BAE8A-FD20-4767-9002-4C11E4DE0C1F}"/>
    <cellStyle name="40% - Accent5 7 4 3 5" xfId="28478" xr:uid="{CF2AFF9C-A728-4E93-A999-E193AFEBDD12}"/>
    <cellStyle name="40% - Accent5 7 4 4" xfId="6375" xr:uid="{00000000-0005-0000-0000-0000124C0000}"/>
    <cellStyle name="40% - Accent5 7 4 4 2" xfId="14350" xr:uid="{00000000-0005-0000-0000-0000134C0000}"/>
    <cellStyle name="40% - Accent5 7 4 4 2 2" xfId="38192" xr:uid="{DE92FBEA-BDF1-49FE-A3FA-BD0A23B0BF1A}"/>
    <cellStyle name="40% - Accent5 7 4 4 3" xfId="22297" xr:uid="{00000000-0005-0000-0000-0000144C0000}"/>
    <cellStyle name="40% - Accent5 7 4 4 3 2" xfId="46129" xr:uid="{B6EE48EE-E85B-4A12-9DD2-4B75B56F3D6E}"/>
    <cellStyle name="40% - Accent5 7 4 4 4" xfId="30251" xr:uid="{8B33C824-F1AF-433A-B871-BDBE70F153FD}"/>
    <cellStyle name="40% - Accent5 7 4 5" xfId="9918" xr:uid="{00000000-0005-0000-0000-0000154C0000}"/>
    <cellStyle name="40% - Accent5 7 4 5 2" xfId="17876" xr:uid="{00000000-0005-0000-0000-0000164C0000}"/>
    <cellStyle name="40% - Accent5 7 4 5 2 2" xfId="41716" xr:uid="{55E1FF4C-3B03-4AC3-835E-1CAE718C5E71}"/>
    <cellStyle name="40% - Accent5 7 4 5 3" xfId="25820" xr:uid="{00000000-0005-0000-0000-0000174C0000}"/>
    <cellStyle name="40% - Accent5 7 4 5 3 2" xfId="49652" xr:uid="{A34C8B8B-947F-437B-83F0-093B4D37A8C0}"/>
    <cellStyle name="40% - Accent5 7 4 5 4" xfId="33775" xr:uid="{11A11AC0-716A-4D63-9E20-DC3450052CC2}"/>
    <cellStyle name="40% - Accent5 7 4 6" xfId="10814" xr:uid="{00000000-0005-0000-0000-0000184C0000}"/>
    <cellStyle name="40% - Accent5 7 4 6 2" xfId="34663" xr:uid="{2463CF3B-5F10-4877-A9AD-A1085E7B1E64}"/>
    <cellStyle name="40% - Accent5 7 4 7" xfId="18769" xr:uid="{00000000-0005-0000-0000-0000194C0000}"/>
    <cellStyle name="40% - Accent5 7 4 7 2" xfId="42601" xr:uid="{86DA159E-D7B8-4EA5-BE8E-0C5A30F98F01}"/>
    <cellStyle name="40% - Accent5 7 4 8" xfId="26721" xr:uid="{DEC67DC9-9C59-4A0A-A75D-3ACE7F42B113}"/>
    <cellStyle name="40% - Accent5 7 4_Exh G" xfId="3282" xr:uid="{00000000-0005-0000-0000-00001A4C0000}"/>
    <cellStyle name="40% - Accent5 7 5" xfId="1602" xr:uid="{00000000-0005-0000-0000-00001B4C0000}"/>
    <cellStyle name="40% - Accent5 7 5 2" xfId="5132" xr:uid="{00000000-0005-0000-0000-00001C4C0000}"/>
    <cellStyle name="40% - Accent5 7 5 2 2" xfId="8723" xr:uid="{00000000-0005-0000-0000-00001D4C0000}"/>
    <cellStyle name="40% - Accent5 7 5 2 2 2" xfId="16694" xr:uid="{00000000-0005-0000-0000-00001E4C0000}"/>
    <cellStyle name="40% - Accent5 7 5 2 2 2 2" xfId="40536" xr:uid="{CE3D706B-1C85-4511-A159-66B465FFA3DA}"/>
    <cellStyle name="40% - Accent5 7 5 2 2 3" xfId="24640" xr:uid="{00000000-0005-0000-0000-00001F4C0000}"/>
    <cellStyle name="40% - Accent5 7 5 2 2 3 2" xfId="48472" xr:uid="{7A713885-2298-4FEC-BE5A-2A87853A7CFD}"/>
    <cellStyle name="40% - Accent5 7 5 2 2 4" xfId="32595" xr:uid="{76E44652-578E-4F2C-8C6A-3B0D9D78D9DA}"/>
    <cellStyle name="40% - Accent5 7 5 2 3" xfId="13156" xr:uid="{00000000-0005-0000-0000-0000204C0000}"/>
    <cellStyle name="40% - Accent5 7 5 2 3 2" xfId="37005" xr:uid="{E90D59F1-4F23-44DE-B849-7CAFEC86B3A8}"/>
    <cellStyle name="40% - Accent5 7 5 2 4" xfId="21111" xr:uid="{00000000-0005-0000-0000-0000214C0000}"/>
    <cellStyle name="40% - Accent5 7 5 2 4 2" xfId="44943" xr:uid="{FDA61CDD-2E95-472E-A24F-286D622CD317}"/>
    <cellStyle name="40% - Accent5 7 5 2 5" xfId="29064" xr:uid="{1D88A39D-A87F-403B-9970-7FAF4EF4FE54}"/>
    <cellStyle name="40% - Accent5 7 5 3" xfId="6964" xr:uid="{00000000-0005-0000-0000-0000224C0000}"/>
    <cellStyle name="40% - Accent5 7 5 3 2" xfId="14936" xr:uid="{00000000-0005-0000-0000-0000234C0000}"/>
    <cellStyle name="40% - Accent5 7 5 3 2 2" xfId="38778" xr:uid="{5148E69B-FB35-4603-94C7-C9163F430C87}"/>
    <cellStyle name="40% - Accent5 7 5 3 3" xfId="22883" xr:uid="{00000000-0005-0000-0000-0000244C0000}"/>
    <cellStyle name="40% - Accent5 7 5 3 3 2" xfId="46715" xr:uid="{3B46DF2D-DB0D-46CB-859B-DADC8C4262FF}"/>
    <cellStyle name="40% - Accent5 7 5 3 4" xfId="30837" xr:uid="{DE2343B8-F3CE-4E0A-A5CD-9587EF565E7A}"/>
    <cellStyle name="40% - Accent5 7 5 4" xfId="11400" xr:uid="{00000000-0005-0000-0000-0000254C0000}"/>
    <cellStyle name="40% - Accent5 7 5 4 2" xfId="35249" xr:uid="{E82FDFD1-3789-48AF-A19A-E3B8D97F7AF2}"/>
    <cellStyle name="40% - Accent5 7 5 5" xfId="19355" xr:uid="{00000000-0005-0000-0000-0000264C0000}"/>
    <cellStyle name="40% - Accent5 7 5 5 2" xfId="43187" xr:uid="{B548BB7B-97FA-4BBC-850D-4F3FEA9E40D7}"/>
    <cellStyle name="40% - Accent5 7 5 6" xfId="27307" xr:uid="{EB8EB256-972E-444A-8081-A135EDC8E572}"/>
    <cellStyle name="40% - Accent5 7 5_Exh G" xfId="3284" xr:uid="{00000000-0005-0000-0000-0000274C0000}"/>
    <cellStyle name="40% - Accent5 7 6" xfId="4253" xr:uid="{00000000-0005-0000-0000-0000284C0000}"/>
    <cellStyle name="40% - Accent5 7 6 2" xfId="7845" xr:uid="{00000000-0005-0000-0000-0000294C0000}"/>
    <cellStyle name="40% - Accent5 7 6 2 2" xfId="15816" xr:uid="{00000000-0005-0000-0000-00002A4C0000}"/>
    <cellStyle name="40% - Accent5 7 6 2 2 2" xfId="39658" xr:uid="{6C7879E6-9938-4CD1-A279-14BECB7BA2A1}"/>
    <cellStyle name="40% - Accent5 7 6 2 3" xfId="23762" xr:uid="{00000000-0005-0000-0000-00002B4C0000}"/>
    <cellStyle name="40% - Accent5 7 6 2 3 2" xfId="47594" xr:uid="{5D5881DA-53B5-4886-AEA6-A89886ACB3F0}"/>
    <cellStyle name="40% - Accent5 7 6 2 4" xfId="31717" xr:uid="{DFC22F3F-D059-4F3A-86AE-934C765E27BD}"/>
    <cellStyle name="40% - Accent5 7 6 3" xfId="12278" xr:uid="{00000000-0005-0000-0000-00002C4C0000}"/>
    <cellStyle name="40% - Accent5 7 6 3 2" xfId="36127" xr:uid="{C67AD166-E83E-4E81-898A-AF84E02C027C}"/>
    <cellStyle name="40% - Accent5 7 6 4" xfId="20233" xr:uid="{00000000-0005-0000-0000-00002D4C0000}"/>
    <cellStyle name="40% - Accent5 7 6 4 2" xfId="44065" xr:uid="{DFA459B8-361E-4976-B07B-A580470B85FB}"/>
    <cellStyle name="40% - Accent5 7 6 5" xfId="28186" xr:uid="{DCFEBEBF-A86B-45EF-81DB-F859739843FB}"/>
    <cellStyle name="40% - Accent5 7 7" xfId="6073" xr:uid="{00000000-0005-0000-0000-00002E4C0000}"/>
    <cellStyle name="40% - Accent5 7 7 2" xfId="14057" xr:uid="{00000000-0005-0000-0000-00002F4C0000}"/>
    <cellStyle name="40% - Accent5 7 7 2 2" xfId="37900" xr:uid="{82273633-0BD3-463A-98CE-4C0C09EF3808}"/>
    <cellStyle name="40% - Accent5 7 7 3" xfId="22005" xr:uid="{00000000-0005-0000-0000-0000304C0000}"/>
    <cellStyle name="40% - Accent5 7 7 3 2" xfId="45837" xr:uid="{43082989-E892-4C37-9D52-C0A75B662620}"/>
    <cellStyle name="40% - Accent5 7 7 4" xfId="29959" xr:uid="{198FD816-E64E-49DE-8F54-3254A22BEB29}"/>
    <cellStyle name="40% - Accent5 7 8" xfId="9626" xr:uid="{00000000-0005-0000-0000-0000314C0000}"/>
    <cellStyle name="40% - Accent5 7 8 2" xfId="17584" xr:uid="{00000000-0005-0000-0000-0000324C0000}"/>
    <cellStyle name="40% - Accent5 7 8 2 2" xfId="41424" xr:uid="{A6D19509-2CC8-4683-BBCF-74B8065095D0}"/>
    <cellStyle name="40% - Accent5 7 8 3" xfId="25528" xr:uid="{00000000-0005-0000-0000-0000334C0000}"/>
    <cellStyle name="40% - Accent5 7 8 3 2" xfId="49360" xr:uid="{9FAF391E-AC9E-4B7B-9C42-A8101A8B9F08}"/>
    <cellStyle name="40% - Accent5 7 8 4" xfId="33483" xr:uid="{190FE69E-DE43-44C1-9B10-F66B3DBE91D9}"/>
    <cellStyle name="40% - Accent5 7 9" xfId="10522" xr:uid="{00000000-0005-0000-0000-0000344C0000}"/>
    <cellStyle name="40% - Accent5 7 9 2" xfId="34371" xr:uid="{9AB2B685-FBF4-4CDE-B1B5-A9336C63FBE5}"/>
    <cellStyle name="40% - Accent5 7_Exh G" xfId="3275" xr:uid="{00000000-0005-0000-0000-0000354C0000}"/>
    <cellStyle name="40% - Accent5 8" xfId="578" xr:uid="{00000000-0005-0000-0000-0000364C0000}"/>
    <cellStyle name="40% - Accent5 8 10" xfId="18481" xr:uid="{00000000-0005-0000-0000-0000374C0000}"/>
    <cellStyle name="40% - Accent5 8 10 2" xfId="42313" xr:uid="{84CC0F5E-5D86-42B5-B184-50FDFF073F0B}"/>
    <cellStyle name="40% - Accent5 8 11" xfId="26433" xr:uid="{60A65F71-40FA-46F3-A5EA-C6633B87866F}"/>
    <cellStyle name="40% - Accent5 8 2" xfId="579" xr:uid="{00000000-0005-0000-0000-0000384C0000}"/>
    <cellStyle name="40% - Accent5 8 2 2" xfId="580" xr:uid="{00000000-0005-0000-0000-0000394C0000}"/>
    <cellStyle name="40% - Accent5 8 2 2 2" xfId="1608" xr:uid="{00000000-0005-0000-0000-00003A4C0000}"/>
    <cellStyle name="40% - Accent5 8 2 2 2 2" xfId="5138" xr:uid="{00000000-0005-0000-0000-00003B4C0000}"/>
    <cellStyle name="40% - Accent5 8 2 2 2 2 2" xfId="8729" xr:uid="{00000000-0005-0000-0000-00003C4C0000}"/>
    <cellStyle name="40% - Accent5 8 2 2 2 2 2 2" xfId="16700" xr:uid="{00000000-0005-0000-0000-00003D4C0000}"/>
    <cellStyle name="40% - Accent5 8 2 2 2 2 2 2 2" xfId="40542" xr:uid="{97F3D30F-9E37-4986-BD52-05AB87276322}"/>
    <cellStyle name="40% - Accent5 8 2 2 2 2 2 3" xfId="24646" xr:uid="{00000000-0005-0000-0000-00003E4C0000}"/>
    <cellStyle name="40% - Accent5 8 2 2 2 2 2 3 2" xfId="48478" xr:uid="{B91384B1-BB70-4C83-A401-C94B71DC25CD}"/>
    <cellStyle name="40% - Accent5 8 2 2 2 2 2 4" xfId="32601" xr:uid="{7624EE9E-BCD1-4231-BF9F-0A6D44588D9F}"/>
    <cellStyle name="40% - Accent5 8 2 2 2 2 3" xfId="13162" xr:uid="{00000000-0005-0000-0000-00003F4C0000}"/>
    <cellStyle name="40% - Accent5 8 2 2 2 2 3 2" xfId="37011" xr:uid="{08ADCFFB-DA4E-4575-851C-2B19A1318B5B}"/>
    <cellStyle name="40% - Accent5 8 2 2 2 2 4" xfId="21117" xr:uid="{00000000-0005-0000-0000-0000404C0000}"/>
    <cellStyle name="40% - Accent5 8 2 2 2 2 4 2" xfId="44949" xr:uid="{B4BBF208-682A-4CC9-8801-29350ABB3CA2}"/>
    <cellStyle name="40% - Accent5 8 2 2 2 2 5" xfId="29070" xr:uid="{3719385B-FC86-4DCF-BE9B-2B92D86B7029}"/>
    <cellStyle name="40% - Accent5 8 2 2 2 3" xfId="6970" xr:uid="{00000000-0005-0000-0000-0000414C0000}"/>
    <cellStyle name="40% - Accent5 8 2 2 2 3 2" xfId="14942" xr:uid="{00000000-0005-0000-0000-0000424C0000}"/>
    <cellStyle name="40% - Accent5 8 2 2 2 3 2 2" xfId="38784" xr:uid="{C7461522-CB8C-486B-B7EE-EF51F34B189A}"/>
    <cellStyle name="40% - Accent5 8 2 2 2 3 3" xfId="22889" xr:uid="{00000000-0005-0000-0000-0000434C0000}"/>
    <cellStyle name="40% - Accent5 8 2 2 2 3 3 2" xfId="46721" xr:uid="{11AD8314-A783-4D51-897E-984404F633D3}"/>
    <cellStyle name="40% - Accent5 8 2 2 2 3 4" xfId="30843" xr:uid="{48D06511-4559-446D-BF92-2380804D5C8B}"/>
    <cellStyle name="40% - Accent5 8 2 2 2 4" xfId="11406" xr:uid="{00000000-0005-0000-0000-0000444C0000}"/>
    <cellStyle name="40% - Accent5 8 2 2 2 4 2" xfId="35255" xr:uid="{37DAE65C-C0B2-4FDA-90B7-78F6A1894B36}"/>
    <cellStyle name="40% - Accent5 8 2 2 2 5" xfId="19361" xr:uid="{00000000-0005-0000-0000-0000454C0000}"/>
    <cellStyle name="40% - Accent5 8 2 2 2 5 2" xfId="43193" xr:uid="{F8DBC2AE-0BCA-45F4-9B46-3B07B1A76426}"/>
    <cellStyle name="40% - Accent5 8 2 2 2 6" xfId="27313" xr:uid="{35EDC5FD-C9BD-4752-89B7-ADDB9DD42047}"/>
    <cellStyle name="40% - Accent5 8 2 2 2_Exh G" xfId="3288" xr:uid="{00000000-0005-0000-0000-0000464C0000}"/>
    <cellStyle name="40% - Accent5 8 2 2 3" xfId="4259" xr:uid="{00000000-0005-0000-0000-0000474C0000}"/>
    <cellStyle name="40% - Accent5 8 2 2 3 2" xfId="7851" xr:uid="{00000000-0005-0000-0000-0000484C0000}"/>
    <cellStyle name="40% - Accent5 8 2 2 3 2 2" xfId="15822" xr:uid="{00000000-0005-0000-0000-0000494C0000}"/>
    <cellStyle name="40% - Accent5 8 2 2 3 2 2 2" xfId="39664" xr:uid="{6A1830E2-BAF4-411D-B745-6C5D65335379}"/>
    <cellStyle name="40% - Accent5 8 2 2 3 2 3" xfId="23768" xr:uid="{00000000-0005-0000-0000-00004A4C0000}"/>
    <cellStyle name="40% - Accent5 8 2 2 3 2 3 2" xfId="47600" xr:uid="{1BB30CA1-81CD-4D77-B2E0-FB8D0DAD00EF}"/>
    <cellStyle name="40% - Accent5 8 2 2 3 2 4" xfId="31723" xr:uid="{955233CC-6DEF-4D4F-8468-7C5143072C12}"/>
    <cellStyle name="40% - Accent5 8 2 2 3 3" xfId="12284" xr:uid="{00000000-0005-0000-0000-00004B4C0000}"/>
    <cellStyle name="40% - Accent5 8 2 2 3 3 2" xfId="36133" xr:uid="{27247FC9-7BEE-49E9-BA58-4BD4D25588FB}"/>
    <cellStyle name="40% - Accent5 8 2 2 3 4" xfId="20239" xr:uid="{00000000-0005-0000-0000-00004C4C0000}"/>
    <cellStyle name="40% - Accent5 8 2 2 3 4 2" xfId="44071" xr:uid="{881C498B-09F0-4F62-B2CB-0E700DA21C14}"/>
    <cellStyle name="40% - Accent5 8 2 2 3 5" xfId="28192" xr:uid="{4A72D6D1-59A5-4293-8D8B-29B253AD225D}"/>
    <cellStyle name="40% - Accent5 8 2 2 4" xfId="6079" xr:uid="{00000000-0005-0000-0000-00004D4C0000}"/>
    <cellStyle name="40% - Accent5 8 2 2 4 2" xfId="14063" xr:uid="{00000000-0005-0000-0000-00004E4C0000}"/>
    <cellStyle name="40% - Accent5 8 2 2 4 2 2" xfId="37906" xr:uid="{34279685-9D08-4F76-9917-F5BFFAF4A8BE}"/>
    <cellStyle name="40% - Accent5 8 2 2 4 3" xfId="22011" xr:uid="{00000000-0005-0000-0000-00004F4C0000}"/>
    <cellStyle name="40% - Accent5 8 2 2 4 3 2" xfId="45843" xr:uid="{944E6662-C259-46DC-B12B-4C2735169DA3}"/>
    <cellStyle name="40% - Accent5 8 2 2 4 4" xfId="29965" xr:uid="{3FF91488-50B7-4C33-B80B-5D58E413B417}"/>
    <cellStyle name="40% - Accent5 8 2 2 5" xfId="9632" xr:uid="{00000000-0005-0000-0000-0000504C0000}"/>
    <cellStyle name="40% - Accent5 8 2 2 5 2" xfId="17590" xr:uid="{00000000-0005-0000-0000-0000514C0000}"/>
    <cellStyle name="40% - Accent5 8 2 2 5 2 2" xfId="41430" xr:uid="{A7BA8D11-29A6-4907-91E3-2FF508B6504B}"/>
    <cellStyle name="40% - Accent5 8 2 2 5 3" xfId="25534" xr:uid="{00000000-0005-0000-0000-0000524C0000}"/>
    <cellStyle name="40% - Accent5 8 2 2 5 3 2" xfId="49366" xr:uid="{C1F29BD9-71A8-4DE2-AE04-2E394328BE6A}"/>
    <cellStyle name="40% - Accent5 8 2 2 5 4" xfId="33489" xr:uid="{65052A5E-D2C1-4F77-BD18-88FDC8C9F3B1}"/>
    <cellStyle name="40% - Accent5 8 2 2 6" xfId="10528" xr:uid="{00000000-0005-0000-0000-0000534C0000}"/>
    <cellStyle name="40% - Accent5 8 2 2 6 2" xfId="34377" xr:uid="{2E13C159-ED25-47C7-9CD9-C2BBB22A614B}"/>
    <cellStyle name="40% - Accent5 8 2 2 7" xfId="18483" xr:uid="{00000000-0005-0000-0000-0000544C0000}"/>
    <cellStyle name="40% - Accent5 8 2 2 7 2" xfId="42315" xr:uid="{F95943D4-68EE-44D0-9865-6002279EAE2F}"/>
    <cellStyle name="40% - Accent5 8 2 2 8" xfId="26435" xr:uid="{D5C74E87-C2E7-4491-8F8E-4636C232BB39}"/>
    <cellStyle name="40% - Accent5 8 2 2_Exh G" xfId="3287" xr:uid="{00000000-0005-0000-0000-0000554C0000}"/>
    <cellStyle name="40% - Accent5 8 2 3" xfId="1607" xr:uid="{00000000-0005-0000-0000-0000564C0000}"/>
    <cellStyle name="40% - Accent5 8 2 3 2" xfId="5137" xr:uid="{00000000-0005-0000-0000-0000574C0000}"/>
    <cellStyle name="40% - Accent5 8 2 3 2 2" xfId="8728" xr:uid="{00000000-0005-0000-0000-0000584C0000}"/>
    <cellStyle name="40% - Accent5 8 2 3 2 2 2" xfId="16699" xr:uid="{00000000-0005-0000-0000-0000594C0000}"/>
    <cellStyle name="40% - Accent5 8 2 3 2 2 2 2" xfId="40541" xr:uid="{C7CDF7BA-C6B4-4051-BFCE-1B154BCCC4DA}"/>
    <cellStyle name="40% - Accent5 8 2 3 2 2 3" xfId="24645" xr:uid="{00000000-0005-0000-0000-00005A4C0000}"/>
    <cellStyle name="40% - Accent5 8 2 3 2 2 3 2" xfId="48477" xr:uid="{C7C96FBE-48F1-4FC2-B3B3-7839A294882D}"/>
    <cellStyle name="40% - Accent5 8 2 3 2 2 4" xfId="32600" xr:uid="{12B3D5D5-D856-46C0-8FAA-06A3C7002057}"/>
    <cellStyle name="40% - Accent5 8 2 3 2 3" xfId="13161" xr:uid="{00000000-0005-0000-0000-00005B4C0000}"/>
    <cellStyle name="40% - Accent5 8 2 3 2 3 2" xfId="37010" xr:uid="{E6AE5D99-300A-4B44-BAF8-0A1414E69D6D}"/>
    <cellStyle name="40% - Accent5 8 2 3 2 4" xfId="21116" xr:uid="{00000000-0005-0000-0000-00005C4C0000}"/>
    <cellStyle name="40% - Accent5 8 2 3 2 4 2" xfId="44948" xr:uid="{7C734206-B1F6-4F5E-B05F-BE70C8B86501}"/>
    <cellStyle name="40% - Accent5 8 2 3 2 5" xfId="29069" xr:uid="{77F85809-2032-4D0C-9CBC-8E7DC07893DF}"/>
    <cellStyle name="40% - Accent5 8 2 3 3" xfId="6969" xr:uid="{00000000-0005-0000-0000-00005D4C0000}"/>
    <cellStyle name="40% - Accent5 8 2 3 3 2" xfId="14941" xr:uid="{00000000-0005-0000-0000-00005E4C0000}"/>
    <cellStyle name="40% - Accent5 8 2 3 3 2 2" xfId="38783" xr:uid="{3ECCE71D-13E4-4226-822E-9EFC4DB53C24}"/>
    <cellStyle name="40% - Accent5 8 2 3 3 3" xfId="22888" xr:uid="{00000000-0005-0000-0000-00005F4C0000}"/>
    <cellStyle name="40% - Accent5 8 2 3 3 3 2" xfId="46720" xr:uid="{56815E90-B271-4DDF-8EDF-58F7B32000DC}"/>
    <cellStyle name="40% - Accent5 8 2 3 3 4" xfId="30842" xr:uid="{CDB73BCC-0D4E-4FA5-838B-FC4A7A2DA40A}"/>
    <cellStyle name="40% - Accent5 8 2 3 4" xfId="11405" xr:uid="{00000000-0005-0000-0000-0000604C0000}"/>
    <cellStyle name="40% - Accent5 8 2 3 4 2" xfId="35254" xr:uid="{1D003E76-5CAA-4309-8CC4-199C67B11E30}"/>
    <cellStyle name="40% - Accent5 8 2 3 5" xfId="19360" xr:uid="{00000000-0005-0000-0000-0000614C0000}"/>
    <cellStyle name="40% - Accent5 8 2 3 5 2" xfId="43192" xr:uid="{612FD2DD-B8E8-49A4-9168-AE183CBE0CBF}"/>
    <cellStyle name="40% - Accent5 8 2 3 6" xfId="27312" xr:uid="{A00E036C-25A3-4235-8364-560D6C0C184C}"/>
    <cellStyle name="40% - Accent5 8 2 3_Exh G" xfId="3289" xr:uid="{00000000-0005-0000-0000-0000624C0000}"/>
    <cellStyle name="40% - Accent5 8 2 4" xfId="4258" xr:uid="{00000000-0005-0000-0000-0000634C0000}"/>
    <cellStyle name="40% - Accent5 8 2 4 2" xfId="7850" xr:uid="{00000000-0005-0000-0000-0000644C0000}"/>
    <cellStyle name="40% - Accent5 8 2 4 2 2" xfId="15821" xr:uid="{00000000-0005-0000-0000-0000654C0000}"/>
    <cellStyle name="40% - Accent5 8 2 4 2 2 2" xfId="39663" xr:uid="{370D60E1-EA86-43EF-B453-A06E95B005E7}"/>
    <cellStyle name="40% - Accent5 8 2 4 2 3" xfId="23767" xr:uid="{00000000-0005-0000-0000-0000664C0000}"/>
    <cellStyle name="40% - Accent5 8 2 4 2 3 2" xfId="47599" xr:uid="{8B13B014-0630-4415-AF31-665E9E72E486}"/>
    <cellStyle name="40% - Accent5 8 2 4 2 4" xfId="31722" xr:uid="{FC0851B2-E2DC-4A08-9AB8-ADFA911E601E}"/>
    <cellStyle name="40% - Accent5 8 2 4 3" xfId="12283" xr:uid="{00000000-0005-0000-0000-0000674C0000}"/>
    <cellStyle name="40% - Accent5 8 2 4 3 2" xfId="36132" xr:uid="{FCDE0E4F-A96A-4DDB-AEFF-D7467AAD77AD}"/>
    <cellStyle name="40% - Accent5 8 2 4 4" xfId="20238" xr:uid="{00000000-0005-0000-0000-0000684C0000}"/>
    <cellStyle name="40% - Accent5 8 2 4 4 2" xfId="44070" xr:uid="{111AF880-7B7A-4812-AFC6-DC504A43B07E}"/>
    <cellStyle name="40% - Accent5 8 2 4 5" xfId="28191" xr:uid="{90F3B8DA-8A1D-4FE4-B41C-F698A7A4C543}"/>
    <cellStyle name="40% - Accent5 8 2 5" xfId="6078" xr:uid="{00000000-0005-0000-0000-0000694C0000}"/>
    <cellStyle name="40% - Accent5 8 2 5 2" xfId="14062" xr:uid="{00000000-0005-0000-0000-00006A4C0000}"/>
    <cellStyle name="40% - Accent5 8 2 5 2 2" xfId="37905" xr:uid="{BB4353C2-AD78-473B-86D9-B85FA1514292}"/>
    <cellStyle name="40% - Accent5 8 2 5 3" xfId="22010" xr:uid="{00000000-0005-0000-0000-00006B4C0000}"/>
    <cellStyle name="40% - Accent5 8 2 5 3 2" xfId="45842" xr:uid="{3D1125F2-FF39-4ECF-A5AD-3E8419D2909B}"/>
    <cellStyle name="40% - Accent5 8 2 5 4" xfId="29964" xr:uid="{0E6B0BE5-A3D6-4B39-8AB9-EB5EEA0C373E}"/>
    <cellStyle name="40% - Accent5 8 2 6" xfId="9631" xr:uid="{00000000-0005-0000-0000-00006C4C0000}"/>
    <cellStyle name="40% - Accent5 8 2 6 2" xfId="17589" xr:uid="{00000000-0005-0000-0000-00006D4C0000}"/>
    <cellStyle name="40% - Accent5 8 2 6 2 2" xfId="41429" xr:uid="{4B216589-6275-4ACB-BB87-B080A6ACA85B}"/>
    <cellStyle name="40% - Accent5 8 2 6 3" xfId="25533" xr:uid="{00000000-0005-0000-0000-00006E4C0000}"/>
    <cellStyle name="40% - Accent5 8 2 6 3 2" xfId="49365" xr:uid="{2D8EF267-8B32-4B4C-8479-FF9AAD384472}"/>
    <cellStyle name="40% - Accent5 8 2 6 4" xfId="33488" xr:uid="{DD177052-FBC7-45BC-BF9D-27F553A32BEF}"/>
    <cellStyle name="40% - Accent5 8 2 7" xfId="10527" xr:uid="{00000000-0005-0000-0000-00006F4C0000}"/>
    <cellStyle name="40% - Accent5 8 2 7 2" xfId="34376" xr:uid="{BB79B618-FD78-4EE1-AC1A-85724409196E}"/>
    <cellStyle name="40% - Accent5 8 2 8" xfId="18482" xr:uid="{00000000-0005-0000-0000-0000704C0000}"/>
    <cellStyle name="40% - Accent5 8 2 8 2" xfId="42314" xr:uid="{588421D4-7A33-4966-9084-50C76626CD09}"/>
    <cellStyle name="40% - Accent5 8 2 9" xfId="26434" xr:uid="{A98B3D34-029D-45FE-A167-CC802CDD0D06}"/>
    <cellStyle name="40% - Accent5 8 2_Exh G" xfId="3286" xr:uid="{00000000-0005-0000-0000-0000714C0000}"/>
    <cellStyle name="40% - Accent5 8 3" xfId="581" xr:uid="{00000000-0005-0000-0000-0000724C0000}"/>
    <cellStyle name="40% - Accent5 8 3 2" xfId="1609" xr:uid="{00000000-0005-0000-0000-0000734C0000}"/>
    <cellStyle name="40% - Accent5 8 3 2 2" xfId="5139" xr:uid="{00000000-0005-0000-0000-0000744C0000}"/>
    <cellStyle name="40% - Accent5 8 3 2 2 2" xfId="8730" xr:uid="{00000000-0005-0000-0000-0000754C0000}"/>
    <cellStyle name="40% - Accent5 8 3 2 2 2 2" xfId="16701" xr:uid="{00000000-0005-0000-0000-0000764C0000}"/>
    <cellStyle name="40% - Accent5 8 3 2 2 2 2 2" xfId="40543" xr:uid="{61EB7B7C-C820-415F-B42E-F734DE9B120E}"/>
    <cellStyle name="40% - Accent5 8 3 2 2 2 3" xfId="24647" xr:uid="{00000000-0005-0000-0000-0000774C0000}"/>
    <cellStyle name="40% - Accent5 8 3 2 2 2 3 2" xfId="48479" xr:uid="{2D7FE4C4-C4EF-4426-AC5A-F78D41162547}"/>
    <cellStyle name="40% - Accent5 8 3 2 2 2 4" xfId="32602" xr:uid="{54E19C36-44DA-407D-8F5C-F31062D21FE6}"/>
    <cellStyle name="40% - Accent5 8 3 2 2 3" xfId="13163" xr:uid="{00000000-0005-0000-0000-0000784C0000}"/>
    <cellStyle name="40% - Accent5 8 3 2 2 3 2" xfId="37012" xr:uid="{AF4CE46F-DF98-4724-90B7-451EEA8628F8}"/>
    <cellStyle name="40% - Accent5 8 3 2 2 4" xfId="21118" xr:uid="{00000000-0005-0000-0000-0000794C0000}"/>
    <cellStyle name="40% - Accent5 8 3 2 2 4 2" xfId="44950" xr:uid="{72B0D7F7-476B-436F-A92F-39CE868A15FD}"/>
    <cellStyle name="40% - Accent5 8 3 2 2 5" xfId="29071" xr:uid="{44FF03CE-2EA4-4478-BA17-90D77A9AC006}"/>
    <cellStyle name="40% - Accent5 8 3 2 3" xfId="6971" xr:uid="{00000000-0005-0000-0000-00007A4C0000}"/>
    <cellStyle name="40% - Accent5 8 3 2 3 2" xfId="14943" xr:uid="{00000000-0005-0000-0000-00007B4C0000}"/>
    <cellStyle name="40% - Accent5 8 3 2 3 2 2" xfId="38785" xr:uid="{38050A85-A80E-4648-B70F-9875E75F92E4}"/>
    <cellStyle name="40% - Accent5 8 3 2 3 3" xfId="22890" xr:uid="{00000000-0005-0000-0000-00007C4C0000}"/>
    <cellStyle name="40% - Accent5 8 3 2 3 3 2" xfId="46722" xr:uid="{058A7CFE-07B4-49C7-B1CE-EF40B86F5E1F}"/>
    <cellStyle name="40% - Accent5 8 3 2 3 4" xfId="30844" xr:uid="{BA90799E-B5A8-405B-A1F8-175D09041219}"/>
    <cellStyle name="40% - Accent5 8 3 2 4" xfId="11407" xr:uid="{00000000-0005-0000-0000-00007D4C0000}"/>
    <cellStyle name="40% - Accent5 8 3 2 4 2" xfId="35256" xr:uid="{2853AD38-E001-4CDA-A26E-2C38ADA52F10}"/>
    <cellStyle name="40% - Accent5 8 3 2 5" xfId="19362" xr:uid="{00000000-0005-0000-0000-00007E4C0000}"/>
    <cellStyle name="40% - Accent5 8 3 2 5 2" xfId="43194" xr:uid="{7557118B-1CCB-4EC2-A9BF-554CF879A654}"/>
    <cellStyle name="40% - Accent5 8 3 2 6" xfId="27314" xr:uid="{CBEA79C5-16D4-4D3C-864A-46EB504B7BFC}"/>
    <cellStyle name="40% - Accent5 8 3 2_Exh G" xfId="3291" xr:uid="{00000000-0005-0000-0000-00007F4C0000}"/>
    <cellStyle name="40% - Accent5 8 3 3" xfId="4260" xr:uid="{00000000-0005-0000-0000-0000804C0000}"/>
    <cellStyle name="40% - Accent5 8 3 3 2" xfId="7852" xr:uid="{00000000-0005-0000-0000-0000814C0000}"/>
    <cellStyle name="40% - Accent5 8 3 3 2 2" xfId="15823" xr:uid="{00000000-0005-0000-0000-0000824C0000}"/>
    <cellStyle name="40% - Accent5 8 3 3 2 2 2" xfId="39665" xr:uid="{8285E2DE-94AA-4C6F-A355-2A8202A2270A}"/>
    <cellStyle name="40% - Accent5 8 3 3 2 3" xfId="23769" xr:uid="{00000000-0005-0000-0000-0000834C0000}"/>
    <cellStyle name="40% - Accent5 8 3 3 2 3 2" xfId="47601" xr:uid="{AC3C77D0-C445-4284-B3B0-1388745EF1EF}"/>
    <cellStyle name="40% - Accent5 8 3 3 2 4" xfId="31724" xr:uid="{72A75011-BBEF-4631-906F-A233B2FE5F24}"/>
    <cellStyle name="40% - Accent5 8 3 3 3" xfId="12285" xr:uid="{00000000-0005-0000-0000-0000844C0000}"/>
    <cellStyle name="40% - Accent5 8 3 3 3 2" xfId="36134" xr:uid="{F1D8DF13-E9F7-41A2-BDF1-BABDCDEB877A}"/>
    <cellStyle name="40% - Accent5 8 3 3 4" xfId="20240" xr:uid="{00000000-0005-0000-0000-0000854C0000}"/>
    <cellStyle name="40% - Accent5 8 3 3 4 2" xfId="44072" xr:uid="{89911F81-5985-4A52-B5DA-BCF12202D42A}"/>
    <cellStyle name="40% - Accent5 8 3 3 5" xfId="28193" xr:uid="{B80BF7C8-476B-4938-ADE4-B495EE7BAE3D}"/>
    <cellStyle name="40% - Accent5 8 3 4" xfId="6080" xr:uid="{00000000-0005-0000-0000-0000864C0000}"/>
    <cellStyle name="40% - Accent5 8 3 4 2" xfId="14064" xr:uid="{00000000-0005-0000-0000-0000874C0000}"/>
    <cellStyle name="40% - Accent5 8 3 4 2 2" xfId="37907" xr:uid="{57B95608-6330-4D29-8FC9-E1F6A071C1DC}"/>
    <cellStyle name="40% - Accent5 8 3 4 3" xfId="22012" xr:uid="{00000000-0005-0000-0000-0000884C0000}"/>
    <cellStyle name="40% - Accent5 8 3 4 3 2" xfId="45844" xr:uid="{060F0FC5-85A0-4088-8C47-943A71993961}"/>
    <cellStyle name="40% - Accent5 8 3 4 4" xfId="29966" xr:uid="{3324FF22-AAA5-4045-8169-A441CCCBBF5A}"/>
    <cellStyle name="40% - Accent5 8 3 5" xfId="9633" xr:uid="{00000000-0005-0000-0000-0000894C0000}"/>
    <cellStyle name="40% - Accent5 8 3 5 2" xfId="17591" xr:uid="{00000000-0005-0000-0000-00008A4C0000}"/>
    <cellStyle name="40% - Accent5 8 3 5 2 2" xfId="41431" xr:uid="{68E190ED-27D8-420E-859B-54C91CAC4186}"/>
    <cellStyle name="40% - Accent5 8 3 5 3" xfId="25535" xr:uid="{00000000-0005-0000-0000-00008B4C0000}"/>
    <cellStyle name="40% - Accent5 8 3 5 3 2" xfId="49367" xr:uid="{4013EB64-5B2A-42CC-837B-5582797D9C70}"/>
    <cellStyle name="40% - Accent5 8 3 5 4" xfId="33490" xr:uid="{AD790205-7D0B-49A7-97CF-A32928FDB5EF}"/>
    <cellStyle name="40% - Accent5 8 3 6" xfId="10529" xr:uid="{00000000-0005-0000-0000-00008C4C0000}"/>
    <cellStyle name="40% - Accent5 8 3 6 2" xfId="34378" xr:uid="{A314C168-303E-40BD-BE04-C6EB8D6B384F}"/>
    <cellStyle name="40% - Accent5 8 3 7" xfId="18484" xr:uid="{00000000-0005-0000-0000-00008D4C0000}"/>
    <cellStyle name="40% - Accent5 8 3 7 2" xfId="42316" xr:uid="{1707AA22-ADD6-4E8D-A468-8F4282AA29DA}"/>
    <cellStyle name="40% - Accent5 8 3 8" xfId="26436" xr:uid="{E61A8FF0-71D6-4A1B-A940-B09C0A521DFF}"/>
    <cellStyle name="40% - Accent5 8 3_Exh G" xfId="3290" xr:uid="{00000000-0005-0000-0000-00008E4C0000}"/>
    <cellStyle name="40% - Accent5 8 4" xfId="992" xr:uid="{00000000-0005-0000-0000-00008F4C0000}"/>
    <cellStyle name="40% - Accent5 8 4 2" xfId="1907" xr:uid="{00000000-0005-0000-0000-0000904C0000}"/>
    <cellStyle name="40% - Accent5 8 4 2 2" xfId="5425" xr:uid="{00000000-0005-0000-0000-0000914C0000}"/>
    <cellStyle name="40% - Accent5 8 4 2 2 2" xfId="9016" xr:uid="{00000000-0005-0000-0000-0000924C0000}"/>
    <cellStyle name="40% - Accent5 8 4 2 2 2 2" xfId="16987" xr:uid="{00000000-0005-0000-0000-0000934C0000}"/>
    <cellStyle name="40% - Accent5 8 4 2 2 2 2 2" xfId="40829" xr:uid="{7B96839B-E72A-4FA8-A593-AD83F0305E28}"/>
    <cellStyle name="40% - Accent5 8 4 2 2 2 3" xfId="24933" xr:uid="{00000000-0005-0000-0000-0000944C0000}"/>
    <cellStyle name="40% - Accent5 8 4 2 2 2 3 2" xfId="48765" xr:uid="{10E64564-58A7-4A32-86A0-58E517973BA5}"/>
    <cellStyle name="40% - Accent5 8 4 2 2 2 4" xfId="32888" xr:uid="{B49A00A7-1F37-49F7-B631-98E7E3864AEB}"/>
    <cellStyle name="40% - Accent5 8 4 2 2 3" xfId="13449" xr:uid="{00000000-0005-0000-0000-0000954C0000}"/>
    <cellStyle name="40% - Accent5 8 4 2 2 3 2" xfId="37298" xr:uid="{C557618A-1A70-4463-B225-F8B4A8D7708E}"/>
    <cellStyle name="40% - Accent5 8 4 2 2 4" xfId="21404" xr:uid="{00000000-0005-0000-0000-0000964C0000}"/>
    <cellStyle name="40% - Accent5 8 4 2 2 4 2" xfId="45236" xr:uid="{4CCEAAAE-61EB-4B29-877A-BD0CEFA66483}"/>
    <cellStyle name="40% - Accent5 8 4 2 2 5" xfId="29357" xr:uid="{26B1AD32-3AEB-4591-8E4D-BAA992ECF093}"/>
    <cellStyle name="40% - Accent5 8 4 2 3" xfId="7257" xr:uid="{00000000-0005-0000-0000-0000974C0000}"/>
    <cellStyle name="40% - Accent5 8 4 2 3 2" xfId="15229" xr:uid="{00000000-0005-0000-0000-0000984C0000}"/>
    <cellStyle name="40% - Accent5 8 4 2 3 2 2" xfId="39071" xr:uid="{77CD83DB-730D-451F-85CC-7CE9913B3A30}"/>
    <cellStyle name="40% - Accent5 8 4 2 3 3" xfId="23176" xr:uid="{00000000-0005-0000-0000-0000994C0000}"/>
    <cellStyle name="40% - Accent5 8 4 2 3 3 2" xfId="47008" xr:uid="{8A80DAD3-EF6E-4ABD-8406-94B87057C35C}"/>
    <cellStyle name="40% - Accent5 8 4 2 3 4" xfId="31130" xr:uid="{D247CC58-A1E6-47F0-821D-E0660CA08B04}"/>
    <cellStyle name="40% - Accent5 8 4 2 4" xfId="11693" xr:uid="{00000000-0005-0000-0000-00009A4C0000}"/>
    <cellStyle name="40% - Accent5 8 4 2 4 2" xfId="35542" xr:uid="{3BE4E5B2-1262-4438-8C5B-CEC17EE6529E}"/>
    <cellStyle name="40% - Accent5 8 4 2 5" xfId="19648" xr:uid="{00000000-0005-0000-0000-00009B4C0000}"/>
    <cellStyle name="40% - Accent5 8 4 2 5 2" xfId="43480" xr:uid="{CF33FA03-856D-496D-8993-2D1D79CD0CA9}"/>
    <cellStyle name="40% - Accent5 8 4 2 6" xfId="27600" xr:uid="{C49B448A-4E4E-4558-BA9F-190B2677F3FC}"/>
    <cellStyle name="40% - Accent5 8 4 2_Exh G" xfId="3293" xr:uid="{00000000-0005-0000-0000-00009C4C0000}"/>
    <cellStyle name="40% - Accent5 8 4 3" xfId="4546" xr:uid="{00000000-0005-0000-0000-00009D4C0000}"/>
    <cellStyle name="40% - Accent5 8 4 3 2" xfId="8138" xr:uid="{00000000-0005-0000-0000-00009E4C0000}"/>
    <cellStyle name="40% - Accent5 8 4 3 2 2" xfId="16109" xr:uid="{00000000-0005-0000-0000-00009F4C0000}"/>
    <cellStyle name="40% - Accent5 8 4 3 2 2 2" xfId="39951" xr:uid="{29794F70-F969-4B59-A049-38F1E9E411E2}"/>
    <cellStyle name="40% - Accent5 8 4 3 2 3" xfId="24055" xr:uid="{00000000-0005-0000-0000-0000A04C0000}"/>
    <cellStyle name="40% - Accent5 8 4 3 2 3 2" xfId="47887" xr:uid="{BCEFEAB0-916B-4F64-8AF4-1A3E3355DF10}"/>
    <cellStyle name="40% - Accent5 8 4 3 2 4" xfId="32010" xr:uid="{0F356E40-D670-498B-9837-9973752B7533}"/>
    <cellStyle name="40% - Accent5 8 4 3 3" xfId="12571" xr:uid="{00000000-0005-0000-0000-0000A14C0000}"/>
    <cellStyle name="40% - Accent5 8 4 3 3 2" xfId="36420" xr:uid="{F41D700C-7CB7-487B-B7F1-FFE8D902D7C1}"/>
    <cellStyle name="40% - Accent5 8 4 3 4" xfId="20526" xr:uid="{00000000-0005-0000-0000-0000A24C0000}"/>
    <cellStyle name="40% - Accent5 8 4 3 4 2" xfId="44358" xr:uid="{47409FDC-A49F-47BA-B2D5-CB8D1725FAE6}"/>
    <cellStyle name="40% - Accent5 8 4 3 5" xfId="28479" xr:uid="{5500EF1A-1272-4589-BEB5-7D96A3E3C500}"/>
    <cellStyle name="40% - Accent5 8 4 4" xfId="6376" xr:uid="{00000000-0005-0000-0000-0000A34C0000}"/>
    <cellStyle name="40% - Accent5 8 4 4 2" xfId="14351" xr:uid="{00000000-0005-0000-0000-0000A44C0000}"/>
    <cellStyle name="40% - Accent5 8 4 4 2 2" xfId="38193" xr:uid="{D3588784-4B1C-4907-BF19-E3FB4C5A0B3D}"/>
    <cellStyle name="40% - Accent5 8 4 4 3" xfId="22298" xr:uid="{00000000-0005-0000-0000-0000A54C0000}"/>
    <cellStyle name="40% - Accent5 8 4 4 3 2" xfId="46130" xr:uid="{868E1C3C-C018-4371-9A92-11B161EE4FCD}"/>
    <cellStyle name="40% - Accent5 8 4 4 4" xfId="30252" xr:uid="{4F1B1DFA-F32E-4397-998A-CDD3B729DB01}"/>
    <cellStyle name="40% - Accent5 8 4 5" xfId="9919" xr:uid="{00000000-0005-0000-0000-0000A64C0000}"/>
    <cellStyle name="40% - Accent5 8 4 5 2" xfId="17877" xr:uid="{00000000-0005-0000-0000-0000A74C0000}"/>
    <cellStyle name="40% - Accent5 8 4 5 2 2" xfId="41717" xr:uid="{02A8C895-E118-45B2-80B7-39C12310CE6C}"/>
    <cellStyle name="40% - Accent5 8 4 5 3" xfId="25821" xr:uid="{00000000-0005-0000-0000-0000A84C0000}"/>
    <cellStyle name="40% - Accent5 8 4 5 3 2" xfId="49653" xr:uid="{D4828D8F-23C1-4445-93FC-275507DAF0CF}"/>
    <cellStyle name="40% - Accent5 8 4 5 4" xfId="33776" xr:uid="{B4CEF06C-9FB6-4A8D-992F-A3422C88ADF4}"/>
    <cellStyle name="40% - Accent5 8 4 6" xfId="10815" xr:uid="{00000000-0005-0000-0000-0000A94C0000}"/>
    <cellStyle name="40% - Accent5 8 4 6 2" xfId="34664" xr:uid="{7C95BAA6-355F-4C3B-8F69-DFE89EE7F0EF}"/>
    <cellStyle name="40% - Accent5 8 4 7" xfId="18770" xr:uid="{00000000-0005-0000-0000-0000AA4C0000}"/>
    <cellStyle name="40% - Accent5 8 4 7 2" xfId="42602" xr:uid="{2B11FC0C-1571-4540-B6B6-DE434EBB299A}"/>
    <cellStyle name="40% - Accent5 8 4 8" xfId="26722" xr:uid="{0CB47FCA-76B6-452F-B482-8F46441BC0AE}"/>
    <cellStyle name="40% - Accent5 8 4_Exh G" xfId="3292" xr:uid="{00000000-0005-0000-0000-0000AB4C0000}"/>
    <cellStyle name="40% - Accent5 8 5" xfId="1606" xr:uid="{00000000-0005-0000-0000-0000AC4C0000}"/>
    <cellStyle name="40% - Accent5 8 5 2" xfId="5136" xr:uid="{00000000-0005-0000-0000-0000AD4C0000}"/>
    <cellStyle name="40% - Accent5 8 5 2 2" xfId="8727" xr:uid="{00000000-0005-0000-0000-0000AE4C0000}"/>
    <cellStyle name="40% - Accent5 8 5 2 2 2" xfId="16698" xr:uid="{00000000-0005-0000-0000-0000AF4C0000}"/>
    <cellStyle name="40% - Accent5 8 5 2 2 2 2" xfId="40540" xr:uid="{AC49C6AF-138E-4AA2-9EB0-D04FCF62DE91}"/>
    <cellStyle name="40% - Accent5 8 5 2 2 3" xfId="24644" xr:uid="{00000000-0005-0000-0000-0000B04C0000}"/>
    <cellStyle name="40% - Accent5 8 5 2 2 3 2" xfId="48476" xr:uid="{42A35AAD-F559-419C-9A9A-B8BC702EB146}"/>
    <cellStyle name="40% - Accent5 8 5 2 2 4" xfId="32599" xr:uid="{23F83694-0E6B-473A-B1DD-86723CE18415}"/>
    <cellStyle name="40% - Accent5 8 5 2 3" xfId="13160" xr:uid="{00000000-0005-0000-0000-0000B14C0000}"/>
    <cellStyle name="40% - Accent5 8 5 2 3 2" xfId="37009" xr:uid="{B8A310C1-5BC0-4B3A-B74C-24024C064F0E}"/>
    <cellStyle name="40% - Accent5 8 5 2 4" xfId="21115" xr:uid="{00000000-0005-0000-0000-0000B24C0000}"/>
    <cellStyle name="40% - Accent5 8 5 2 4 2" xfId="44947" xr:uid="{7041DF8F-4CA2-41A3-8349-9A0A999A1FAD}"/>
    <cellStyle name="40% - Accent5 8 5 2 5" xfId="29068" xr:uid="{D53429D9-4B8A-4DEB-A884-221131CB5944}"/>
    <cellStyle name="40% - Accent5 8 5 3" xfId="6968" xr:uid="{00000000-0005-0000-0000-0000B34C0000}"/>
    <cellStyle name="40% - Accent5 8 5 3 2" xfId="14940" xr:uid="{00000000-0005-0000-0000-0000B44C0000}"/>
    <cellStyle name="40% - Accent5 8 5 3 2 2" xfId="38782" xr:uid="{70BC0A4D-190F-49F5-8DD0-7E521C5DB737}"/>
    <cellStyle name="40% - Accent5 8 5 3 3" xfId="22887" xr:uid="{00000000-0005-0000-0000-0000B54C0000}"/>
    <cellStyle name="40% - Accent5 8 5 3 3 2" xfId="46719" xr:uid="{3BE15638-9C22-44B5-B98E-00B700F3F37C}"/>
    <cellStyle name="40% - Accent5 8 5 3 4" xfId="30841" xr:uid="{7946462C-93C2-4DF5-9C80-7E1DF25AC9BE}"/>
    <cellStyle name="40% - Accent5 8 5 4" xfId="11404" xr:uid="{00000000-0005-0000-0000-0000B64C0000}"/>
    <cellStyle name="40% - Accent5 8 5 4 2" xfId="35253" xr:uid="{9F4CBEB1-F11F-420B-BC7F-EEE761169AA2}"/>
    <cellStyle name="40% - Accent5 8 5 5" xfId="19359" xr:uid="{00000000-0005-0000-0000-0000B74C0000}"/>
    <cellStyle name="40% - Accent5 8 5 5 2" xfId="43191" xr:uid="{DBE815D7-5571-41AF-A14F-290D991F9774}"/>
    <cellStyle name="40% - Accent5 8 5 6" xfId="27311" xr:uid="{F06BE6EF-05E9-421B-A2B6-5395F72D4B0B}"/>
    <cellStyle name="40% - Accent5 8 5_Exh G" xfId="3294" xr:uid="{00000000-0005-0000-0000-0000B84C0000}"/>
    <cellStyle name="40% - Accent5 8 6" xfId="4257" xr:uid="{00000000-0005-0000-0000-0000B94C0000}"/>
    <cellStyle name="40% - Accent5 8 6 2" xfId="7849" xr:uid="{00000000-0005-0000-0000-0000BA4C0000}"/>
    <cellStyle name="40% - Accent5 8 6 2 2" xfId="15820" xr:uid="{00000000-0005-0000-0000-0000BB4C0000}"/>
    <cellStyle name="40% - Accent5 8 6 2 2 2" xfId="39662" xr:uid="{D74FC331-76AE-406D-A39A-5F341E19A55A}"/>
    <cellStyle name="40% - Accent5 8 6 2 3" xfId="23766" xr:uid="{00000000-0005-0000-0000-0000BC4C0000}"/>
    <cellStyle name="40% - Accent5 8 6 2 3 2" xfId="47598" xr:uid="{61D5C5C2-366A-41AA-A409-FC18C3A163F7}"/>
    <cellStyle name="40% - Accent5 8 6 2 4" xfId="31721" xr:uid="{C442B8AE-96ED-4D87-9D98-66FB489F8197}"/>
    <cellStyle name="40% - Accent5 8 6 3" xfId="12282" xr:uid="{00000000-0005-0000-0000-0000BD4C0000}"/>
    <cellStyle name="40% - Accent5 8 6 3 2" xfId="36131" xr:uid="{E8C37E92-B445-4182-BB18-362FDC813AC3}"/>
    <cellStyle name="40% - Accent5 8 6 4" xfId="20237" xr:uid="{00000000-0005-0000-0000-0000BE4C0000}"/>
    <cellStyle name="40% - Accent5 8 6 4 2" xfId="44069" xr:uid="{2B3B5415-48C6-4EA1-809B-FD029D874D1A}"/>
    <cellStyle name="40% - Accent5 8 6 5" xfId="28190" xr:uid="{2DDF6397-5B22-48ED-BE58-8B20090C8EC3}"/>
    <cellStyle name="40% - Accent5 8 7" xfId="6077" xr:uid="{00000000-0005-0000-0000-0000BF4C0000}"/>
    <cellStyle name="40% - Accent5 8 7 2" xfId="14061" xr:uid="{00000000-0005-0000-0000-0000C04C0000}"/>
    <cellStyle name="40% - Accent5 8 7 2 2" xfId="37904" xr:uid="{FD1D5C5A-237F-4383-A315-7AEE9ACB11FA}"/>
    <cellStyle name="40% - Accent5 8 7 3" xfId="22009" xr:uid="{00000000-0005-0000-0000-0000C14C0000}"/>
    <cellStyle name="40% - Accent5 8 7 3 2" xfId="45841" xr:uid="{769744BF-71B8-4028-B21D-3FB367D56492}"/>
    <cellStyle name="40% - Accent5 8 7 4" xfId="29963" xr:uid="{4AB7642D-1724-44E6-8ED3-95B9FB85648E}"/>
    <cellStyle name="40% - Accent5 8 8" xfId="9630" xr:uid="{00000000-0005-0000-0000-0000C24C0000}"/>
    <cellStyle name="40% - Accent5 8 8 2" xfId="17588" xr:uid="{00000000-0005-0000-0000-0000C34C0000}"/>
    <cellStyle name="40% - Accent5 8 8 2 2" xfId="41428" xr:uid="{BE8D785A-5CAD-4229-9407-85DBD4C4B186}"/>
    <cellStyle name="40% - Accent5 8 8 3" xfId="25532" xr:uid="{00000000-0005-0000-0000-0000C44C0000}"/>
    <cellStyle name="40% - Accent5 8 8 3 2" xfId="49364" xr:uid="{C38E2616-2CE5-4E72-B0F5-7737E52264F0}"/>
    <cellStyle name="40% - Accent5 8 8 4" xfId="33487" xr:uid="{47E0DACD-7C6D-42D1-B779-F27DCD4DCC9F}"/>
    <cellStyle name="40% - Accent5 8 9" xfId="10526" xr:uid="{00000000-0005-0000-0000-0000C54C0000}"/>
    <cellStyle name="40% - Accent5 8 9 2" xfId="34375" xr:uid="{8F8DD2D3-FA05-4914-BBF7-9999D2D1CA46}"/>
    <cellStyle name="40% - Accent5 8_Exh G" xfId="3285" xr:uid="{00000000-0005-0000-0000-0000C64C0000}"/>
    <cellStyle name="40% - Accent5 9" xfId="582" xr:uid="{00000000-0005-0000-0000-0000C74C0000}"/>
    <cellStyle name="40% - Accent5 9 10" xfId="18485" xr:uid="{00000000-0005-0000-0000-0000C84C0000}"/>
    <cellStyle name="40% - Accent5 9 10 2" xfId="42317" xr:uid="{ECB4BA20-8AF9-40AE-8942-57957BF861CB}"/>
    <cellStyle name="40% - Accent5 9 11" xfId="26437" xr:uid="{2A251C95-5C92-4FE2-AE1C-466A15D79BE3}"/>
    <cellStyle name="40% - Accent5 9 2" xfId="583" xr:uid="{00000000-0005-0000-0000-0000C94C0000}"/>
    <cellStyle name="40% - Accent5 9 2 2" xfId="584" xr:uid="{00000000-0005-0000-0000-0000CA4C0000}"/>
    <cellStyle name="40% - Accent5 9 2 2 2" xfId="1612" xr:uid="{00000000-0005-0000-0000-0000CB4C0000}"/>
    <cellStyle name="40% - Accent5 9 2 2 2 2" xfId="5142" xr:uid="{00000000-0005-0000-0000-0000CC4C0000}"/>
    <cellStyle name="40% - Accent5 9 2 2 2 2 2" xfId="8733" xr:uid="{00000000-0005-0000-0000-0000CD4C0000}"/>
    <cellStyle name="40% - Accent5 9 2 2 2 2 2 2" xfId="16704" xr:uid="{00000000-0005-0000-0000-0000CE4C0000}"/>
    <cellStyle name="40% - Accent5 9 2 2 2 2 2 2 2" xfId="40546" xr:uid="{CEB74AFB-45C7-4FD7-82C2-7D713205E393}"/>
    <cellStyle name="40% - Accent5 9 2 2 2 2 2 3" xfId="24650" xr:uid="{00000000-0005-0000-0000-0000CF4C0000}"/>
    <cellStyle name="40% - Accent5 9 2 2 2 2 2 3 2" xfId="48482" xr:uid="{2AD1266D-3CA4-4A01-86DB-13ECD366F527}"/>
    <cellStyle name="40% - Accent5 9 2 2 2 2 2 4" xfId="32605" xr:uid="{D30A1DFE-D5E5-4BBF-AE19-014136DA50CA}"/>
    <cellStyle name="40% - Accent5 9 2 2 2 2 3" xfId="13166" xr:uid="{00000000-0005-0000-0000-0000D04C0000}"/>
    <cellStyle name="40% - Accent5 9 2 2 2 2 3 2" xfId="37015" xr:uid="{A6932214-2486-497B-8498-856AC512CEB9}"/>
    <cellStyle name="40% - Accent5 9 2 2 2 2 4" xfId="21121" xr:uid="{00000000-0005-0000-0000-0000D14C0000}"/>
    <cellStyle name="40% - Accent5 9 2 2 2 2 4 2" xfId="44953" xr:uid="{A280A1BB-00EB-4001-B1CB-B6C88053387C}"/>
    <cellStyle name="40% - Accent5 9 2 2 2 2 5" xfId="29074" xr:uid="{A7B58CCE-0829-49F0-A9D9-4A02FE53ECC9}"/>
    <cellStyle name="40% - Accent5 9 2 2 2 3" xfId="6974" xr:uid="{00000000-0005-0000-0000-0000D24C0000}"/>
    <cellStyle name="40% - Accent5 9 2 2 2 3 2" xfId="14946" xr:uid="{00000000-0005-0000-0000-0000D34C0000}"/>
    <cellStyle name="40% - Accent5 9 2 2 2 3 2 2" xfId="38788" xr:uid="{54DD9B3B-AE90-480A-B071-5D7593A1DF1E}"/>
    <cellStyle name="40% - Accent5 9 2 2 2 3 3" xfId="22893" xr:uid="{00000000-0005-0000-0000-0000D44C0000}"/>
    <cellStyle name="40% - Accent5 9 2 2 2 3 3 2" xfId="46725" xr:uid="{E9AF3761-35F5-4826-BA0F-FD4D1D63CA07}"/>
    <cellStyle name="40% - Accent5 9 2 2 2 3 4" xfId="30847" xr:uid="{FD8F78EF-C8E3-471F-BBE2-24416F1EAD8C}"/>
    <cellStyle name="40% - Accent5 9 2 2 2 4" xfId="11410" xr:uid="{00000000-0005-0000-0000-0000D54C0000}"/>
    <cellStyle name="40% - Accent5 9 2 2 2 4 2" xfId="35259" xr:uid="{134C05DB-6AEA-4DD8-90F8-AEDD1852AFD3}"/>
    <cellStyle name="40% - Accent5 9 2 2 2 5" xfId="19365" xr:uid="{00000000-0005-0000-0000-0000D64C0000}"/>
    <cellStyle name="40% - Accent5 9 2 2 2 5 2" xfId="43197" xr:uid="{319E0C85-CEA9-4AA9-A5AB-2FF004BDAA42}"/>
    <cellStyle name="40% - Accent5 9 2 2 2 6" xfId="27317" xr:uid="{C9CC1B44-5118-450F-BBFB-9F9CF3047D7C}"/>
    <cellStyle name="40% - Accent5 9 2 2 2_Exh G" xfId="3298" xr:uid="{00000000-0005-0000-0000-0000D74C0000}"/>
    <cellStyle name="40% - Accent5 9 2 2 3" xfId="4263" xr:uid="{00000000-0005-0000-0000-0000D84C0000}"/>
    <cellStyle name="40% - Accent5 9 2 2 3 2" xfId="7855" xr:uid="{00000000-0005-0000-0000-0000D94C0000}"/>
    <cellStyle name="40% - Accent5 9 2 2 3 2 2" xfId="15826" xr:uid="{00000000-0005-0000-0000-0000DA4C0000}"/>
    <cellStyle name="40% - Accent5 9 2 2 3 2 2 2" xfId="39668" xr:uid="{A6CB75BF-1448-4806-A2D8-997560B52DB6}"/>
    <cellStyle name="40% - Accent5 9 2 2 3 2 3" xfId="23772" xr:uid="{00000000-0005-0000-0000-0000DB4C0000}"/>
    <cellStyle name="40% - Accent5 9 2 2 3 2 3 2" xfId="47604" xr:uid="{4F3D162C-B196-4233-AA01-5390F45DB77F}"/>
    <cellStyle name="40% - Accent5 9 2 2 3 2 4" xfId="31727" xr:uid="{5EDFF96B-CBB1-4A73-8E7B-B59B6E969C37}"/>
    <cellStyle name="40% - Accent5 9 2 2 3 3" xfId="12288" xr:uid="{00000000-0005-0000-0000-0000DC4C0000}"/>
    <cellStyle name="40% - Accent5 9 2 2 3 3 2" xfId="36137" xr:uid="{72E30458-A954-469D-A933-93A35D9F7013}"/>
    <cellStyle name="40% - Accent5 9 2 2 3 4" xfId="20243" xr:uid="{00000000-0005-0000-0000-0000DD4C0000}"/>
    <cellStyle name="40% - Accent5 9 2 2 3 4 2" xfId="44075" xr:uid="{9BD621BD-983A-4ECF-B1CA-30E8182C198F}"/>
    <cellStyle name="40% - Accent5 9 2 2 3 5" xfId="28196" xr:uid="{CDB70587-87B2-4CDD-B477-6F9CC7F01FA3}"/>
    <cellStyle name="40% - Accent5 9 2 2 4" xfId="6083" xr:uid="{00000000-0005-0000-0000-0000DE4C0000}"/>
    <cellStyle name="40% - Accent5 9 2 2 4 2" xfId="14067" xr:uid="{00000000-0005-0000-0000-0000DF4C0000}"/>
    <cellStyle name="40% - Accent5 9 2 2 4 2 2" xfId="37910" xr:uid="{3EE66EA7-5F52-4D4D-9AE6-FF1CB77600C0}"/>
    <cellStyle name="40% - Accent5 9 2 2 4 3" xfId="22015" xr:uid="{00000000-0005-0000-0000-0000E04C0000}"/>
    <cellStyle name="40% - Accent5 9 2 2 4 3 2" xfId="45847" xr:uid="{6FC96E19-9BEA-4F9F-9F68-A8E1E088E7F5}"/>
    <cellStyle name="40% - Accent5 9 2 2 4 4" xfId="29969" xr:uid="{7AA711BE-218E-4FBD-9A81-020BF9230591}"/>
    <cellStyle name="40% - Accent5 9 2 2 5" xfId="9636" xr:uid="{00000000-0005-0000-0000-0000E14C0000}"/>
    <cellStyle name="40% - Accent5 9 2 2 5 2" xfId="17594" xr:uid="{00000000-0005-0000-0000-0000E24C0000}"/>
    <cellStyle name="40% - Accent5 9 2 2 5 2 2" xfId="41434" xr:uid="{F117A8F7-1DD2-4779-B1FA-BE1966E44FB9}"/>
    <cellStyle name="40% - Accent5 9 2 2 5 3" xfId="25538" xr:uid="{00000000-0005-0000-0000-0000E34C0000}"/>
    <cellStyle name="40% - Accent5 9 2 2 5 3 2" xfId="49370" xr:uid="{E6C08396-28A9-454F-9C30-93D61D114193}"/>
    <cellStyle name="40% - Accent5 9 2 2 5 4" xfId="33493" xr:uid="{A4AA1364-039D-441A-89AC-71096C967D54}"/>
    <cellStyle name="40% - Accent5 9 2 2 6" xfId="10532" xr:uid="{00000000-0005-0000-0000-0000E44C0000}"/>
    <cellStyle name="40% - Accent5 9 2 2 6 2" xfId="34381" xr:uid="{5891A413-2E40-4876-A405-2B0A5C1715FD}"/>
    <cellStyle name="40% - Accent5 9 2 2 7" xfId="18487" xr:uid="{00000000-0005-0000-0000-0000E54C0000}"/>
    <cellStyle name="40% - Accent5 9 2 2 7 2" xfId="42319" xr:uid="{FC35BCF2-1449-4125-B0E1-9C8407A3A528}"/>
    <cellStyle name="40% - Accent5 9 2 2 8" xfId="26439" xr:uid="{EB950302-A916-4E73-B5F7-86A17ADD4CD4}"/>
    <cellStyle name="40% - Accent5 9 2 2_Exh G" xfId="3297" xr:uid="{00000000-0005-0000-0000-0000E64C0000}"/>
    <cellStyle name="40% - Accent5 9 2 3" xfId="1611" xr:uid="{00000000-0005-0000-0000-0000E74C0000}"/>
    <cellStyle name="40% - Accent5 9 2 3 2" xfId="5141" xr:uid="{00000000-0005-0000-0000-0000E84C0000}"/>
    <cellStyle name="40% - Accent5 9 2 3 2 2" xfId="8732" xr:uid="{00000000-0005-0000-0000-0000E94C0000}"/>
    <cellStyle name="40% - Accent5 9 2 3 2 2 2" xfId="16703" xr:uid="{00000000-0005-0000-0000-0000EA4C0000}"/>
    <cellStyle name="40% - Accent5 9 2 3 2 2 2 2" xfId="40545" xr:uid="{9F3417ED-A4BF-4E38-A7FD-0EFB56099828}"/>
    <cellStyle name="40% - Accent5 9 2 3 2 2 3" xfId="24649" xr:uid="{00000000-0005-0000-0000-0000EB4C0000}"/>
    <cellStyle name="40% - Accent5 9 2 3 2 2 3 2" xfId="48481" xr:uid="{CA3CA4B4-5BF5-49DD-B675-0A02BECC4F22}"/>
    <cellStyle name="40% - Accent5 9 2 3 2 2 4" xfId="32604" xr:uid="{FA829564-5DE3-4E23-B434-1A25569F5EB8}"/>
    <cellStyle name="40% - Accent5 9 2 3 2 3" xfId="13165" xr:uid="{00000000-0005-0000-0000-0000EC4C0000}"/>
    <cellStyle name="40% - Accent5 9 2 3 2 3 2" xfId="37014" xr:uid="{9B1E6C8E-8993-4F2E-9340-6EE07E7A6F6B}"/>
    <cellStyle name="40% - Accent5 9 2 3 2 4" xfId="21120" xr:uid="{00000000-0005-0000-0000-0000ED4C0000}"/>
    <cellStyle name="40% - Accent5 9 2 3 2 4 2" xfId="44952" xr:uid="{FB840EB8-E23D-4230-A630-9A8E324F59F7}"/>
    <cellStyle name="40% - Accent5 9 2 3 2 5" xfId="29073" xr:uid="{CA0DB543-79FB-455A-B7C2-E8EE36A4D017}"/>
    <cellStyle name="40% - Accent5 9 2 3 3" xfId="6973" xr:uid="{00000000-0005-0000-0000-0000EE4C0000}"/>
    <cellStyle name="40% - Accent5 9 2 3 3 2" xfId="14945" xr:uid="{00000000-0005-0000-0000-0000EF4C0000}"/>
    <cellStyle name="40% - Accent5 9 2 3 3 2 2" xfId="38787" xr:uid="{44CFD495-4F28-4366-BBFE-3ABB5BD07B17}"/>
    <cellStyle name="40% - Accent5 9 2 3 3 3" xfId="22892" xr:uid="{00000000-0005-0000-0000-0000F04C0000}"/>
    <cellStyle name="40% - Accent5 9 2 3 3 3 2" xfId="46724" xr:uid="{DFA42092-BD3F-4C93-8F98-B59DA138FB16}"/>
    <cellStyle name="40% - Accent5 9 2 3 3 4" xfId="30846" xr:uid="{EB520378-5001-4113-97EC-74B9B4DA6A13}"/>
    <cellStyle name="40% - Accent5 9 2 3 4" xfId="11409" xr:uid="{00000000-0005-0000-0000-0000F14C0000}"/>
    <cellStyle name="40% - Accent5 9 2 3 4 2" xfId="35258" xr:uid="{83B0D163-0961-449F-BC40-09719AD6BFDA}"/>
    <cellStyle name="40% - Accent5 9 2 3 5" xfId="19364" xr:uid="{00000000-0005-0000-0000-0000F24C0000}"/>
    <cellStyle name="40% - Accent5 9 2 3 5 2" xfId="43196" xr:uid="{1F45ACD1-DAE7-4FE0-A17E-A33FEF04F5AE}"/>
    <cellStyle name="40% - Accent5 9 2 3 6" xfId="27316" xr:uid="{04EBF33B-F13E-4759-98F3-B0CC4ED46195}"/>
    <cellStyle name="40% - Accent5 9 2 3_Exh G" xfId="3299" xr:uid="{00000000-0005-0000-0000-0000F34C0000}"/>
    <cellStyle name="40% - Accent5 9 2 4" xfId="4262" xr:uid="{00000000-0005-0000-0000-0000F44C0000}"/>
    <cellStyle name="40% - Accent5 9 2 4 2" xfId="7854" xr:uid="{00000000-0005-0000-0000-0000F54C0000}"/>
    <cellStyle name="40% - Accent5 9 2 4 2 2" xfId="15825" xr:uid="{00000000-0005-0000-0000-0000F64C0000}"/>
    <cellStyle name="40% - Accent5 9 2 4 2 2 2" xfId="39667" xr:uid="{4657AA95-9F4D-4857-8C32-FA19C47EB364}"/>
    <cellStyle name="40% - Accent5 9 2 4 2 3" xfId="23771" xr:uid="{00000000-0005-0000-0000-0000F74C0000}"/>
    <cellStyle name="40% - Accent5 9 2 4 2 3 2" xfId="47603" xr:uid="{BE7DF9A1-8C7A-4F14-8A40-EF69A589DAA4}"/>
    <cellStyle name="40% - Accent5 9 2 4 2 4" xfId="31726" xr:uid="{2CADB211-C1B6-45A4-A879-3AB52EF2020B}"/>
    <cellStyle name="40% - Accent5 9 2 4 3" xfId="12287" xr:uid="{00000000-0005-0000-0000-0000F84C0000}"/>
    <cellStyle name="40% - Accent5 9 2 4 3 2" xfId="36136" xr:uid="{CD47DF97-4D15-462C-9910-F2FAAAEDDC54}"/>
    <cellStyle name="40% - Accent5 9 2 4 4" xfId="20242" xr:uid="{00000000-0005-0000-0000-0000F94C0000}"/>
    <cellStyle name="40% - Accent5 9 2 4 4 2" xfId="44074" xr:uid="{63F65B17-8C18-4F5A-95BC-7B98F1F7F308}"/>
    <cellStyle name="40% - Accent5 9 2 4 5" xfId="28195" xr:uid="{E7B8911E-AFA9-49BC-97DC-FF926B42585A}"/>
    <cellStyle name="40% - Accent5 9 2 5" xfId="6082" xr:uid="{00000000-0005-0000-0000-0000FA4C0000}"/>
    <cellStyle name="40% - Accent5 9 2 5 2" xfId="14066" xr:uid="{00000000-0005-0000-0000-0000FB4C0000}"/>
    <cellStyle name="40% - Accent5 9 2 5 2 2" xfId="37909" xr:uid="{729DE18E-1B54-4B9C-9A6C-849A73697DF3}"/>
    <cellStyle name="40% - Accent5 9 2 5 3" xfId="22014" xr:uid="{00000000-0005-0000-0000-0000FC4C0000}"/>
    <cellStyle name="40% - Accent5 9 2 5 3 2" xfId="45846" xr:uid="{F35CDF1A-07E8-4087-9C52-DF34119FF098}"/>
    <cellStyle name="40% - Accent5 9 2 5 4" xfId="29968" xr:uid="{B531FF00-B6E6-4FB1-871F-9CC29C79ECA0}"/>
    <cellStyle name="40% - Accent5 9 2 6" xfId="9635" xr:uid="{00000000-0005-0000-0000-0000FD4C0000}"/>
    <cellStyle name="40% - Accent5 9 2 6 2" xfId="17593" xr:uid="{00000000-0005-0000-0000-0000FE4C0000}"/>
    <cellStyle name="40% - Accent5 9 2 6 2 2" xfId="41433" xr:uid="{78B8270F-E997-459C-AE3A-3B3EAE432DF4}"/>
    <cellStyle name="40% - Accent5 9 2 6 3" xfId="25537" xr:uid="{00000000-0005-0000-0000-0000FF4C0000}"/>
    <cellStyle name="40% - Accent5 9 2 6 3 2" xfId="49369" xr:uid="{C9B7DE33-1C9C-4906-BB8A-CEB9DBED428B}"/>
    <cellStyle name="40% - Accent5 9 2 6 4" xfId="33492" xr:uid="{28024A9F-E70E-46B3-B3AE-70D427B31675}"/>
    <cellStyle name="40% - Accent5 9 2 7" xfId="10531" xr:uid="{00000000-0005-0000-0000-0000004D0000}"/>
    <cellStyle name="40% - Accent5 9 2 7 2" xfId="34380" xr:uid="{08BCA83B-81BE-47AF-B1BB-0DC1281BF3BC}"/>
    <cellStyle name="40% - Accent5 9 2 8" xfId="18486" xr:uid="{00000000-0005-0000-0000-0000014D0000}"/>
    <cellStyle name="40% - Accent5 9 2 8 2" xfId="42318" xr:uid="{FE23BEE4-E175-4422-BC72-0D19FF5BF501}"/>
    <cellStyle name="40% - Accent5 9 2 9" xfId="26438" xr:uid="{954EF352-947C-40E6-920B-937F0677444D}"/>
    <cellStyle name="40% - Accent5 9 2_Exh G" xfId="3296" xr:uid="{00000000-0005-0000-0000-0000024D0000}"/>
    <cellStyle name="40% - Accent5 9 3" xfId="585" xr:uid="{00000000-0005-0000-0000-0000034D0000}"/>
    <cellStyle name="40% - Accent5 9 3 2" xfId="1613" xr:uid="{00000000-0005-0000-0000-0000044D0000}"/>
    <cellStyle name="40% - Accent5 9 3 2 2" xfId="5143" xr:uid="{00000000-0005-0000-0000-0000054D0000}"/>
    <cellStyle name="40% - Accent5 9 3 2 2 2" xfId="8734" xr:uid="{00000000-0005-0000-0000-0000064D0000}"/>
    <cellStyle name="40% - Accent5 9 3 2 2 2 2" xfId="16705" xr:uid="{00000000-0005-0000-0000-0000074D0000}"/>
    <cellStyle name="40% - Accent5 9 3 2 2 2 2 2" xfId="40547" xr:uid="{F8597B1A-394A-4B79-989D-D409784BF646}"/>
    <cellStyle name="40% - Accent5 9 3 2 2 2 3" xfId="24651" xr:uid="{00000000-0005-0000-0000-0000084D0000}"/>
    <cellStyle name="40% - Accent5 9 3 2 2 2 3 2" xfId="48483" xr:uid="{A765DBE7-D5D3-4BCF-BED2-FF8C750864E4}"/>
    <cellStyle name="40% - Accent5 9 3 2 2 2 4" xfId="32606" xr:uid="{0C2ED9A5-AAB0-4E57-85EA-F55B36C703F5}"/>
    <cellStyle name="40% - Accent5 9 3 2 2 3" xfId="13167" xr:uid="{00000000-0005-0000-0000-0000094D0000}"/>
    <cellStyle name="40% - Accent5 9 3 2 2 3 2" xfId="37016" xr:uid="{91F32945-AC3F-44C1-AAAE-DAB18A88C74D}"/>
    <cellStyle name="40% - Accent5 9 3 2 2 4" xfId="21122" xr:uid="{00000000-0005-0000-0000-00000A4D0000}"/>
    <cellStyle name="40% - Accent5 9 3 2 2 4 2" xfId="44954" xr:uid="{2F550443-DADB-4989-9F2A-CB4DB381461E}"/>
    <cellStyle name="40% - Accent5 9 3 2 2 5" xfId="29075" xr:uid="{214DB4B8-ED17-4B8E-AB15-1E0CE8BD7EDA}"/>
    <cellStyle name="40% - Accent5 9 3 2 3" xfId="6975" xr:uid="{00000000-0005-0000-0000-00000B4D0000}"/>
    <cellStyle name="40% - Accent5 9 3 2 3 2" xfId="14947" xr:uid="{00000000-0005-0000-0000-00000C4D0000}"/>
    <cellStyle name="40% - Accent5 9 3 2 3 2 2" xfId="38789" xr:uid="{A7F1580F-F215-4CEC-820F-6A380248836F}"/>
    <cellStyle name="40% - Accent5 9 3 2 3 3" xfId="22894" xr:uid="{00000000-0005-0000-0000-00000D4D0000}"/>
    <cellStyle name="40% - Accent5 9 3 2 3 3 2" xfId="46726" xr:uid="{716D0CB4-448B-49EB-BFD2-8BB292369DEA}"/>
    <cellStyle name="40% - Accent5 9 3 2 3 4" xfId="30848" xr:uid="{06F0C258-B7FF-4488-94A5-08E4623407FC}"/>
    <cellStyle name="40% - Accent5 9 3 2 4" xfId="11411" xr:uid="{00000000-0005-0000-0000-00000E4D0000}"/>
    <cellStyle name="40% - Accent5 9 3 2 4 2" xfId="35260" xr:uid="{1C26DA3F-826D-4C04-8623-0B47EB47DD4F}"/>
    <cellStyle name="40% - Accent5 9 3 2 5" xfId="19366" xr:uid="{00000000-0005-0000-0000-00000F4D0000}"/>
    <cellStyle name="40% - Accent5 9 3 2 5 2" xfId="43198" xr:uid="{14074548-CD86-4290-90FF-DEB7625757E6}"/>
    <cellStyle name="40% - Accent5 9 3 2 6" xfId="27318" xr:uid="{E35FBC75-25F2-4403-9EEA-45ADA6A54C6E}"/>
    <cellStyle name="40% - Accent5 9 3 2_Exh G" xfId="3301" xr:uid="{00000000-0005-0000-0000-0000104D0000}"/>
    <cellStyle name="40% - Accent5 9 3 3" xfId="4264" xr:uid="{00000000-0005-0000-0000-0000114D0000}"/>
    <cellStyle name="40% - Accent5 9 3 3 2" xfId="7856" xr:uid="{00000000-0005-0000-0000-0000124D0000}"/>
    <cellStyle name="40% - Accent5 9 3 3 2 2" xfId="15827" xr:uid="{00000000-0005-0000-0000-0000134D0000}"/>
    <cellStyle name="40% - Accent5 9 3 3 2 2 2" xfId="39669" xr:uid="{4C472E82-0BE2-4D41-8DE1-879C135D3AA5}"/>
    <cellStyle name="40% - Accent5 9 3 3 2 3" xfId="23773" xr:uid="{00000000-0005-0000-0000-0000144D0000}"/>
    <cellStyle name="40% - Accent5 9 3 3 2 3 2" xfId="47605" xr:uid="{0FF8DD89-0B29-4E40-A389-3F1F687D5804}"/>
    <cellStyle name="40% - Accent5 9 3 3 2 4" xfId="31728" xr:uid="{23ADD6D5-616E-4461-808C-E933797BADB7}"/>
    <cellStyle name="40% - Accent5 9 3 3 3" xfId="12289" xr:uid="{00000000-0005-0000-0000-0000154D0000}"/>
    <cellStyle name="40% - Accent5 9 3 3 3 2" xfId="36138" xr:uid="{FFA96F02-5854-4F0B-BD4E-466F3B04C67D}"/>
    <cellStyle name="40% - Accent5 9 3 3 4" xfId="20244" xr:uid="{00000000-0005-0000-0000-0000164D0000}"/>
    <cellStyle name="40% - Accent5 9 3 3 4 2" xfId="44076" xr:uid="{EB275F12-01BA-4653-8B55-F3DC7626EF16}"/>
    <cellStyle name="40% - Accent5 9 3 3 5" xfId="28197" xr:uid="{891FA43E-9D97-459A-B098-1A2DBA48765E}"/>
    <cellStyle name="40% - Accent5 9 3 4" xfId="6084" xr:uid="{00000000-0005-0000-0000-0000174D0000}"/>
    <cellStyle name="40% - Accent5 9 3 4 2" xfId="14068" xr:uid="{00000000-0005-0000-0000-0000184D0000}"/>
    <cellStyle name="40% - Accent5 9 3 4 2 2" xfId="37911" xr:uid="{35F811B0-7701-4C8E-9212-CAF57CA1BF76}"/>
    <cellStyle name="40% - Accent5 9 3 4 3" xfId="22016" xr:uid="{00000000-0005-0000-0000-0000194D0000}"/>
    <cellStyle name="40% - Accent5 9 3 4 3 2" xfId="45848" xr:uid="{5AB86D6A-1FA0-45C7-9B32-457FA23E3485}"/>
    <cellStyle name="40% - Accent5 9 3 4 4" xfId="29970" xr:uid="{38C595A5-D117-494D-B748-B5A720716F59}"/>
    <cellStyle name="40% - Accent5 9 3 5" xfId="9637" xr:uid="{00000000-0005-0000-0000-00001A4D0000}"/>
    <cellStyle name="40% - Accent5 9 3 5 2" xfId="17595" xr:uid="{00000000-0005-0000-0000-00001B4D0000}"/>
    <cellStyle name="40% - Accent5 9 3 5 2 2" xfId="41435" xr:uid="{EF77CE5B-4DBF-42E7-A9DA-72709C896534}"/>
    <cellStyle name="40% - Accent5 9 3 5 3" xfId="25539" xr:uid="{00000000-0005-0000-0000-00001C4D0000}"/>
    <cellStyle name="40% - Accent5 9 3 5 3 2" xfId="49371" xr:uid="{B190632B-1FCF-494E-BE6F-338D969EA7C4}"/>
    <cellStyle name="40% - Accent5 9 3 5 4" xfId="33494" xr:uid="{632CD9AD-6947-43EE-9C89-E75075EFA772}"/>
    <cellStyle name="40% - Accent5 9 3 6" xfId="10533" xr:uid="{00000000-0005-0000-0000-00001D4D0000}"/>
    <cellStyle name="40% - Accent5 9 3 6 2" xfId="34382" xr:uid="{2493AF86-F17C-4457-A7D4-245E3AF84C26}"/>
    <cellStyle name="40% - Accent5 9 3 7" xfId="18488" xr:uid="{00000000-0005-0000-0000-00001E4D0000}"/>
    <cellStyle name="40% - Accent5 9 3 7 2" xfId="42320" xr:uid="{7F315C65-5182-413F-81EF-F2AE235BDFE4}"/>
    <cellStyle name="40% - Accent5 9 3 8" xfId="26440" xr:uid="{BD293D93-4F67-4F1E-8926-CD21A48207AA}"/>
    <cellStyle name="40% - Accent5 9 3_Exh G" xfId="3300" xr:uid="{00000000-0005-0000-0000-00001F4D0000}"/>
    <cellStyle name="40% - Accent5 9 4" xfId="993" xr:uid="{00000000-0005-0000-0000-0000204D0000}"/>
    <cellStyle name="40% - Accent5 9 4 2" xfId="1908" xr:uid="{00000000-0005-0000-0000-0000214D0000}"/>
    <cellStyle name="40% - Accent5 9 4 2 2" xfId="5426" xr:uid="{00000000-0005-0000-0000-0000224D0000}"/>
    <cellStyle name="40% - Accent5 9 4 2 2 2" xfId="9017" xr:uid="{00000000-0005-0000-0000-0000234D0000}"/>
    <cellStyle name="40% - Accent5 9 4 2 2 2 2" xfId="16988" xr:uid="{00000000-0005-0000-0000-0000244D0000}"/>
    <cellStyle name="40% - Accent5 9 4 2 2 2 2 2" xfId="40830" xr:uid="{99FF4BEE-FD38-4B0A-97EF-9CE659974105}"/>
    <cellStyle name="40% - Accent5 9 4 2 2 2 3" xfId="24934" xr:uid="{00000000-0005-0000-0000-0000254D0000}"/>
    <cellStyle name="40% - Accent5 9 4 2 2 2 3 2" xfId="48766" xr:uid="{10F23E5C-D511-4DC9-9EB3-B5C4372EFC96}"/>
    <cellStyle name="40% - Accent5 9 4 2 2 2 4" xfId="32889" xr:uid="{8DA697E1-79F7-4719-8256-71EEF7DA710A}"/>
    <cellStyle name="40% - Accent5 9 4 2 2 3" xfId="13450" xr:uid="{00000000-0005-0000-0000-0000264D0000}"/>
    <cellStyle name="40% - Accent5 9 4 2 2 3 2" xfId="37299" xr:uid="{C6F51D04-1D3E-4073-921D-B3D041600BDB}"/>
    <cellStyle name="40% - Accent5 9 4 2 2 4" xfId="21405" xr:uid="{00000000-0005-0000-0000-0000274D0000}"/>
    <cellStyle name="40% - Accent5 9 4 2 2 4 2" xfId="45237" xr:uid="{390C43EE-963A-4CFF-9358-59A63E5F30CA}"/>
    <cellStyle name="40% - Accent5 9 4 2 2 5" xfId="29358" xr:uid="{8E6183E2-E85E-4D6C-922E-5FB9060C89F4}"/>
    <cellStyle name="40% - Accent5 9 4 2 3" xfId="7258" xr:uid="{00000000-0005-0000-0000-0000284D0000}"/>
    <cellStyle name="40% - Accent5 9 4 2 3 2" xfId="15230" xr:uid="{00000000-0005-0000-0000-0000294D0000}"/>
    <cellStyle name="40% - Accent5 9 4 2 3 2 2" xfId="39072" xr:uid="{CE8FF175-669E-4A26-BE7D-9C169E533751}"/>
    <cellStyle name="40% - Accent5 9 4 2 3 3" xfId="23177" xr:uid="{00000000-0005-0000-0000-00002A4D0000}"/>
    <cellStyle name="40% - Accent5 9 4 2 3 3 2" xfId="47009" xr:uid="{47255CFE-D2E9-446B-84F5-98D60460A8E1}"/>
    <cellStyle name="40% - Accent5 9 4 2 3 4" xfId="31131" xr:uid="{036AB6A1-F915-4121-9ECE-BA8AFCDBDB67}"/>
    <cellStyle name="40% - Accent5 9 4 2 4" xfId="11694" xr:uid="{00000000-0005-0000-0000-00002B4D0000}"/>
    <cellStyle name="40% - Accent5 9 4 2 4 2" xfId="35543" xr:uid="{520BF24B-525F-43FE-8AC1-A6DA27CCDC87}"/>
    <cellStyle name="40% - Accent5 9 4 2 5" xfId="19649" xr:uid="{00000000-0005-0000-0000-00002C4D0000}"/>
    <cellStyle name="40% - Accent5 9 4 2 5 2" xfId="43481" xr:uid="{73B33FF9-5B25-4A20-AC9D-837C8584E0B6}"/>
    <cellStyle name="40% - Accent5 9 4 2 6" xfId="27601" xr:uid="{420A6279-2C2F-422A-895C-5FBD0F5BE643}"/>
    <cellStyle name="40% - Accent5 9 4 2_Exh G" xfId="3303" xr:uid="{00000000-0005-0000-0000-00002D4D0000}"/>
    <cellStyle name="40% - Accent5 9 4 3" xfId="4547" xr:uid="{00000000-0005-0000-0000-00002E4D0000}"/>
    <cellStyle name="40% - Accent5 9 4 3 2" xfId="8139" xr:uid="{00000000-0005-0000-0000-00002F4D0000}"/>
    <cellStyle name="40% - Accent5 9 4 3 2 2" xfId="16110" xr:uid="{00000000-0005-0000-0000-0000304D0000}"/>
    <cellStyle name="40% - Accent5 9 4 3 2 2 2" xfId="39952" xr:uid="{EF9A2801-457A-4311-8116-F4EE64B1389F}"/>
    <cellStyle name="40% - Accent5 9 4 3 2 3" xfId="24056" xr:uid="{00000000-0005-0000-0000-0000314D0000}"/>
    <cellStyle name="40% - Accent5 9 4 3 2 3 2" xfId="47888" xr:uid="{3F9160B9-4960-4A18-8475-959A4F5C1E8D}"/>
    <cellStyle name="40% - Accent5 9 4 3 2 4" xfId="32011" xr:uid="{9270C98A-15B6-4EE7-BBB6-7181C0EFEF59}"/>
    <cellStyle name="40% - Accent5 9 4 3 3" xfId="12572" xr:uid="{00000000-0005-0000-0000-0000324D0000}"/>
    <cellStyle name="40% - Accent5 9 4 3 3 2" xfId="36421" xr:uid="{2B4532A8-CAF3-49BE-8254-6BE89B816709}"/>
    <cellStyle name="40% - Accent5 9 4 3 4" xfId="20527" xr:uid="{00000000-0005-0000-0000-0000334D0000}"/>
    <cellStyle name="40% - Accent5 9 4 3 4 2" xfId="44359" xr:uid="{2B4DE510-8ADF-45C3-9689-A5F13EC16734}"/>
    <cellStyle name="40% - Accent5 9 4 3 5" xfId="28480" xr:uid="{2D18E0D0-3594-432A-85DD-7F639CE0D08B}"/>
    <cellStyle name="40% - Accent5 9 4 4" xfId="6377" xr:uid="{00000000-0005-0000-0000-0000344D0000}"/>
    <cellStyle name="40% - Accent5 9 4 4 2" xfId="14352" xr:uid="{00000000-0005-0000-0000-0000354D0000}"/>
    <cellStyle name="40% - Accent5 9 4 4 2 2" xfId="38194" xr:uid="{7C1F210A-7F6C-45E2-A027-E630DC3723A7}"/>
    <cellStyle name="40% - Accent5 9 4 4 3" xfId="22299" xr:uid="{00000000-0005-0000-0000-0000364D0000}"/>
    <cellStyle name="40% - Accent5 9 4 4 3 2" xfId="46131" xr:uid="{55BF6308-C09C-4395-AEEE-AF74EB4E9804}"/>
    <cellStyle name="40% - Accent5 9 4 4 4" xfId="30253" xr:uid="{9EA96A3F-8669-4737-940E-1BFBA91D2192}"/>
    <cellStyle name="40% - Accent5 9 4 5" xfId="9920" xr:uid="{00000000-0005-0000-0000-0000374D0000}"/>
    <cellStyle name="40% - Accent5 9 4 5 2" xfId="17878" xr:uid="{00000000-0005-0000-0000-0000384D0000}"/>
    <cellStyle name="40% - Accent5 9 4 5 2 2" xfId="41718" xr:uid="{76785B13-65A9-4C2C-A1DF-78700D30C02E}"/>
    <cellStyle name="40% - Accent5 9 4 5 3" xfId="25822" xr:uid="{00000000-0005-0000-0000-0000394D0000}"/>
    <cellStyle name="40% - Accent5 9 4 5 3 2" xfId="49654" xr:uid="{A146CFA3-8AF6-4280-A086-3120FC715B96}"/>
    <cellStyle name="40% - Accent5 9 4 5 4" xfId="33777" xr:uid="{A5748F4B-BFAF-4781-8D9F-00FC03FF191C}"/>
    <cellStyle name="40% - Accent5 9 4 6" xfId="10816" xr:uid="{00000000-0005-0000-0000-00003A4D0000}"/>
    <cellStyle name="40% - Accent5 9 4 6 2" xfId="34665" xr:uid="{848C6713-BAAE-45CA-994A-45F3E7D29DFC}"/>
    <cellStyle name="40% - Accent5 9 4 7" xfId="18771" xr:uid="{00000000-0005-0000-0000-00003B4D0000}"/>
    <cellStyle name="40% - Accent5 9 4 7 2" xfId="42603" xr:uid="{B5670182-CA85-4E99-9F15-06A1918D03E7}"/>
    <cellStyle name="40% - Accent5 9 4 8" xfId="26723" xr:uid="{958E50B5-1CE6-45D1-B699-23E2B066CCEB}"/>
    <cellStyle name="40% - Accent5 9 4_Exh G" xfId="3302" xr:uid="{00000000-0005-0000-0000-00003C4D0000}"/>
    <cellStyle name="40% - Accent5 9 5" xfId="1610" xr:uid="{00000000-0005-0000-0000-00003D4D0000}"/>
    <cellStyle name="40% - Accent5 9 5 2" xfId="5140" xr:uid="{00000000-0005-0000-0000-00003E4D0000}"/>
    <cellStyle name="40% - Accent5 9 5 2 2" xfId="8731" xr:uid="{00000000-0005-0000-0000-00003F4D0000}"/>
    <cellStyle name="40% - Accent5 9 5 2 2 2" xfId="16702" xr:uid="{00000000-0005-0000-0000-0000404D0000}"/>
    <cellStyle name="40% - Accent5 9 5 2 2 2 2" xfId="40544" xr:uid="{BB2112EA-8A8C-428D-B465-B3C56A2EE0A4}"/>
    <cellStyle name="40% - Accent5 9 5 2 2 3" xfId="24648" xr:uid="{00000000-0005-0000-0000-0000414D0000}"/>
    <cellStyle name="40% - Accent5 9 5 2 2 3 2" xfId="48480" xr:uid="{3897833D-B32D-401E-8923-806180EE426E}"/>
    <cellStyle name="40% - Accent5 9 5 2 2 4" xfId="32603" xr:uid="{2D9A225B-499D-4BD5-8D5F-FAC0D49F2E9E}"/>
    <cellStyle name="40% - Accent5 9 5 2 3" xfId="13164" xr:uid="{00000000-0005-0000-0000-0000424D0000}"/>
    <cellStyle name="40% - Accent5 9 5 2 3 2" xfId="37013" xr:uid="{EC58B889-F670-4787-889E-5AE45F815E35}"/>
    <cellStyle name="40% - Accent5 9 5 2 4" xfId="21119" xr:uid="{00000000-0005-0000-0000-0000434D0000}"/>
    <cellStyle name="40% - Accent5 9 5 2 4 2" xfId="44951" xr:uid="{8A61B736-453C-4A59-A5DB-1F9FE618E79A}"/>
    <cellStyle name="40% - Accent5 9 5 2 5" xfId="29072" xr:uid="{EE1BF42E-5581-4303-B42D-2FAD8CF44CCF}"/>
    <cellStyle name="40% - Accent5 9 5 3" xfId="6972" xr:uid="{00000000-0005-0000-0000-0000444D0000}"/>
    <cellStyle name="40% - Accent5 9 5 3 2" xfId="14944" xr:uid="{00000000-0005-0000-0000-0000454D0000}"/>
    <cellStyle name="40% - Accent5 9 5 3 2 2" xfId="38786" xr:uid="{5C03B44A-9E68-4982-944A-33BE587C12DD}"/>
    <cellStyle name="40% - Accent5 9 5 3 3" xfId="22891" xr:uid="{00000000-0005-0000-0000-0000464D0000}"/>
    <cellStyle name="40% - Accent5 9 5 3 3 2" xfId="46723" xr:uid="{ABED6D17-C427-4A82-AF60-639D6FDF0306}"/>
    <cellStyle name="40% - Accent5 9 5 3 4" xfId="30845" xr:uid="{28AAEE3D-26B4-41C4-9081-9C57D47B7540}"/>
    <cellStyle name="40% - Accent5 9 5 4" xfId="11408" xr:uid="{00000000-0005-0000-0000-0000474D0000}"/>
    <cellStyle name="40% - Accent5 9 5 4 2" xfId="35257" xr:uid="{B343A9B8-F9E3-4B8C-9C04-F869A5A9154B}"/>
    <cellStyle name="40% - Accent5 9 5 5" xfId="19363" xr:uid="{00000000-0005-0000-0000-0000484D0000}"/>
    <cellStyle name="40% - Accent5 9 5 5 2" xfId="43195" xr:uid="{FA6E44A8-B7A8-4555-8845-08AC0EF139C8}"/>
    <cellStyle name="40% - Accent5 9 5 6" xfId="27315" xr:uid="{794945D2-872E-4D32-A346-167C89113F9B}"/>
    <cellStyle name="40% - Accent5 9 5_Exh G" xfId="3304" xr:uid="{00000000-0005-0000-0000-0000494D0000}"/>
    <cellStyle name="40% - Accent5 9 6" xfId="4261" xr:uid="{00000000-0005-0000-0000-00004A4D0000}"/>
    <cellStyle name="40% - Accent5 9 6 2" xfId="7853" xr:uid="{00000000-0005-0000-0000-00004B4D0000}"/>
    <cellStyle name="40% - Accent5 9 6 2 2" xfId="15824" xr:uid="{00000000-0005-0000-0000-00004C4D0000}"/>
    <cellStyle name="40% - Accent5 9 6 2 2 2" xfId="39666" xr:uid="{B61D4CB4-2F43-4A95-9D07-B724917A5675}"/>
    <cellStyle name="40% - Accent5 9 6 2 3" xfId="23770" xr:uid="{00000000-0005-0000-0000-00004D4D0000}"/>
    <cellStyle name="40% - Accent5 9 6 2 3 2" xfId="47602" xr:uid="{7D825926-2A66-485B-9E62-E3EA54756530}"/>
    <cellStyle name="40% - Accent5 9 6 2 4" xfId="31725" xr:uid="{B43CE5BD-F8B5-48FD-9FAE-6D06E13EBB19}"/>
    <cellStyle name="40% - Accent5 9 6 3" xfId="12286" xr:uid="{00000000-0005-0000-0000-00004E4D0000}"/>
    <cellStyle name="40% - Accent5 9 6 3 2" xfId="36135" xr:uid="{794B724D-22D2-47FC-8729-8FE304F36DEC}"/>
    <cellStyle name="40% - Accent5 9 6 4" xfId="20241" xr:uid="{00000000-0005-0000-0000-00004F4D0000}"/>
    <cellStyle name="40% - Accent5 9 6 4 2" xfId="44073" xr:uid="{83D654D6-B8AC-4159-9BE0-451CD3BB6414}"/>
    <cellStyle name="40% - Accent5 9 6 5" xfId="28194" xr:uid="{E1947BA1-FFB4-4056-9B79-237B12F163F5}"/>
    <cellStyle name="40% - Accent5 9 7" xfId="6081" xr:uid="{00000000-0005-0000-0000-0000504D0000}"/>
    <cellStyle name="40% - Accent5 9 7 2" xfId="14065" xr:uid="{00000000-0005-0000-0000-0000514D0000}"/>
    <cellStyle name="40% - Accent5 9 7 2 2" xfId="37908" xr:uid="{2E0E5D5B-395B-42C6-9016-333A3277FE4C}"/>
    <cellStyle name="40% - Accent5 9 7 3" xfId="22013" xr:uid="{00000000-0005-0000-0000-0000524D0000}"/>
    <cellStyle name="40% - Accent5 9 7 3 2" xfId="45845" xr:uid="{293074ED-145E-462F-84B6-FA175E474ED1}"/>
    <cellStyle name="40% - Accent5 9 7 4" xfId="29967" xr:uid="{16CB0D22-3F2D-4885-BCB1-7C636FD705F3}"/>
    <cellStyle name="40% - Accent5 9 8" xfId="9634" xr:uid="{00000000-0005-0000-0000-0000534D0000}"/>
    <cellStyle name="40% - Accent5 9 8 2" xfId="17592" xr:uid="{00000000-0005-0000-0000-0000544D0000}"/>
    <cellStyle name="40% - Accent5 9 8 2 2" xfId="41432" xr:uid="{5BA5669E-B7B0-4920-92AC-4ED23EC7D09A}"/>
    <cellStyle name="40% - Accent5 9 8 3" xfId="25536" xr:uid="{00000000-0005-0000-0000-0000554D0000}"/>
    <cellStyle name="40% - Accent5 9 8 3 2" xfId="49368" xr:uid="{C71646DE-88E0-43F8-9171-7845A2DDEBA6}"/>
    <cellStyle name="40% - Accent5 9 8 4" xfId="33491" xr:uid="{14211868-2712-4914-AA68-26169FAE3224}"/>
    <cellStyle name="40% - Accent5 9 9" xfId="10530" xr:uid="{00000000-0005-0000-0000-0000564D0000}"/>
    <cellStyle name="40% - Accent5 9 9 2" xfId="34379" xr:uid="{99A2D7A7-5B17-4E9C-AB6E-A2DAAD4D65ED}"/>
    <cellStyle name="40% - Accent5 9_Exh G" xfId="3295" xr:uid="{00000000-0005-0000-0000-0000574D0000}"/>
    <cellStyle name="40% - Accent6" xfId="49707" builtinId="51" customBuiltin="1"/>
    <cellStyle name="40% - Accent6 10" xfId="586" xr:uid="{00000000-0005-0000-0000-0000584D0000}"/>
    <cellStyle name="40% - Accent6 10 10" xfId="18489" xr:uid="{00000000-0005-0000-0000-0000594D0000}"/>
    <cellStyle name="40% - Accent6 10 10 2" xfId="42321" xr:uid="{711E9522-E500-4D4B-8799-42EEA5F9F38D}"/>
    <cellStyle name="40% - Accent6 10 11" xfId="26441" xr:uid="{859CCBE5-55CF-4AFE-AF47-CF27AEBDF0F2}"/>
    <cellStyle name="40% - Accent6 10 2" xfId="587" xr:uid="{00000000-0005-0000-0000-00005A4D0000}"/>
    <cellStyle name="40% - Accent6 10 2 2" xfId="588" xr:uid="{00000000-0005-0000-0000-00005B4D0000}"/>
    <cellStyle name="40% - Accent6 10 2 2 2" xfId="1616" xr:uid="{00000000-0005-0000-0000-00005C4D0000}"/>
    <cellStyle name="40% - Accent6 10 2 2 2 2" xfId="5146" xr:uid="{00000000-0005-0000-0000-00005D4D0000}"/>
    <cellStyle name="40% - Accent6 10 2 2 2 2 2" xfId="8737" xr:uid="{00000000-0005-0000-0000-00005E4D0000}"/>
    <cellStyle name="40% - Accent6 10 2 2 2 2 2 2" xfId="16708" xr:uid="{00000000-0005-0000-0000-00005F4D0000}"/>
    <cellStyle name="40% - Accent6 10 2 2 2 2 2 2 2" xfId="40550" xr:uid="{704BCE6D-5196-4B89-991F-B00A7F7C24D2}"/>
    <cellStyle name="40% - Accent6 10 2 2 2 2 2 3" xfId="24654" xr:uid="{00000000-0005-0000-0000-0000604D0000}"/>
    <cellStyle name="40% - Accent6 10 2 2 2 2 2 3 2" xfId="48486" xr:uid="{1DE7F05C-3166-46C5-8157-CE4FFD8E18B8}"/>
    <cellStyle name="40% - Accent6 10 2 2 2 2 2 4" xfId="32609" xr:uid="{48A17AB4-DB52-4CEA-8A9F-8941E4BB10A7}"/>
    <cellStyle name="40% - Accent6 10 2 2 2 2 3" xfId="13170" xr:uid="{00000000-0005-0000-0000-0000614D0000}"/>
    <cellStyle name="40% - Accent6 10 2 2 2 2 3 2" xfId="37019" xr:uid="{65944BD8-60DF-451F-8F57-EED20C194AA6}"/>
    <cellStyle name="40% - Accent6 10 2 2 2 2 4" xfId="21125" xr:uid="{00000000-0005-0000-0000-0000624D0000}"/>
    <cellStyle name="40% - Accent6 10 2 2 2 2 4 2" xfId="44957" xr:uid="{D49A86DD-3C2E-49E8-9E8D-D0DA872B4A97}"/>
    <cellStyle name="40% - Accent6 10 2 2 2 2 5" xfId="29078" xr:uid="{2C6AA7C2-77F9-4798-831A-31767D06FFD3}"/>
    <cellStyle name="40% - Accent6 10 2 2 2 3" xfId="6978" xr:uid="{00000000-0005-0000-0000-0000634D0000}"/>
    <cellStyle name="40% - Accent6 10 2 2 2 3 2" xfId="14950" xr:uid="{00000000-0005-0000-0000-0000644D0000}"/>
    <cellStyle name="40% - Accent6 10 2 2 2 3 2 2" xfId="38792" xr:uid="{19B5A5B6-BA32-46B5-A490-BCF782488790}"/>
    <cellStyle name="40% - Accent6 10 2 2 2 3 3" xfId="22897" xr:uid="{00000000-0005-0000-0000-0000654D0000}"/>
    <cellStyle name="40% - Accent6 10 2 2 2 3 3 2" xfId="46729" xr:uid="{835DC7D9-D15A-4A8B-A0D1-E075649C9079}"/>
    <cellStyle name="40% - Accent6 10 2 2 2 3 4" xfId="30851" xr:uid="{99D5B102-6794-43C3-BB1C-744014A4F179}"/>
    <cellStyle name="40% - Accent6 10 2 2 2 4" xfId="11414" xr:uid="{00000000-0005-0000-0000-0000664D0000}"/>
    <cellStyle name="40% - Accent6 10 2 2 2 4 2" xfId="35263" xr:uid="{6EBDF403-3BD6-46B2-97B1-A0745514513F}"/>
    <cellStyle name="40% - Accent6 10 2 2 2 5" xfId="19369" xr:uid="{00000000-0005-0000-0000-0000674D0000}"/>
    <cellStyle name="40% - Accent6 10 2 2 2 5 2" xfId="43201" xr:uid="{D1021EA1-7C0E-45FD-9A8A-15217D24B809}"/>
    <cellStyle name="40% - Accent6 10 2 2 2 6" xfId="27321" xr:uid="{6CFF244C-7019-4201-B0FC-D00F76459C1D}"/>
    <cellStyle name="40% - Accent6 10 2 2 2_Exh G" xfId="3308" xr:uid="{00000000-0005-0000-0000-0000684D0000}"/>
    <cellStyle name="40% - Accent6 10 2 2 3" xfId="4267" xr:uid="{00000000-0005-0000-0000-0000694D0000}"/>
    <cellStyle name="40% - Accent6 10 2 2 3 2" xfId="7859" xr:uid="{00000000-0005-0000-0000-00006A4D0000}"/>
    <cellStyle name="40% - Accent6 10 2 2 3 2 2" xfId="15830" xr:uid="{00000000-0005-0000-0000-00006B4D0000}"/>
    <cellStyle name="40% - Accent6 10 2 2 3 2 2 2" xfId="39672" xr:uid="{7C0CAD97-8E2A-4E4C-9B7F-0C944669F9DD}"/>
    <cellStyle name="40% - Accent6 10 2 2 3 2 3" xfId="23776" xr:uid="{00000000-0005-0000-0000-00006C4D0000}"/>
    <cellStyle name="40% - Accent6 10 2 2 3 2 3 2" xfId="47608" xr:uid="{ECD7772C-8F2E-4315-BD96-293398818724}"/>
    <cellStyle name="40% - Accent6 10 2 2 3 2 4" xfId="31731" xr:uid="{A1B9EA16-6578-4ADF-A63C-771EEAF57D36}"/>
    <cellStyle name="40% - Accent6 10 2 2 3 3" xfId="12292" xr:uid="{00000000-0005-0000-0000-00006D4D0000}"/>
    <cellStyle name="40% - Accent6 10 2 2 3 3 2" xfId="36141" xr:uid="{A2BC2E53-94A2-4E5A-B266-5DA7B4A44BBD}"/>
    <cellStyle name="40% - Accent6 10 2 2 3 4" xfId="20247" xr:uid="{00000000-0005-0000-0000-00006E4D0000}"/>
    <cellStyle name="40% - Accent6 10 2 2 3 4 2" xfId="44079" xr:uid="{5EC8C6DD-A8AF-49FC-A71A-A27185A4847B}"/>
    <cellStyle name="40% - Accent6 10 2 2 3 5" xfId="28200" xr:uid="{65969554-1CBE-4AE0-A25A-788249BEA433}"/>
    <cellStyle name="40% - Accent6 10 2 2 4" xfId="6087" xr:uid="{00000000-0005-0000-0000-00006F4D0000}"/>
    <cellStyle name="40% - Accent6 10 2 2 4 2" xfId="14071" xr:uid="{00000000-0005-0000-0000-0000704D0000}"/>
    <cellStyle name="40% - Accent6 10 2 2 4 2 2" xfId="37914" xr:uid="{66FDBCB9-7529-4C4C-A2B8-3B3D66254021}"/>
    <cellStyle name="40% - Accent6 10 2 2 4 3" xfId="22019" xr:uid="{00000000-0005-0000-0000-0000714D0000}"/>
    <cellStyle name="40% - Accent6 10 2 2 4 3 2" xfId="45851" xr:uid="{0636D5B3-FDDB-419C-A3F3-CD5654EC1226}"/>
    <cellStyle name="40% - Accent6 10 2 2 4 4" xfId="29973" xr:uid="{893E5BC9-C782-42FE-B563-FFB69EB49FF2}"/>
    <cellStyle name="40% - Accent6 10 2 2 5" xfId="9640" xr:uid="{00000000-0005-0000-0000-0000724D0000}"/>
    <cellStyle name="40% - Accent6 10 2 2 5 2" xfId="17598" xr:uid="{00000000-0005-0000-0000-0000734D0000}"/>
    <cellStyle name="40% - Accent6 10 2 2 5 2 2" xfId="41438" xr:uid="{13FA3367-E009-4D08-B852-BDD18FEE8132}"/>
    <cellStyle name="40% - Accent6 10 2 2 5 3" xfId="25542" xr:uid="{00000000-0005-0000-0000-0000744D0000}"/>
    <cellStyle name="40% - Accent6 10 2 2 5 3 2" xfId="49374" xr:uid="{1FF19894-8FE3-4A6D-BAA5-4E455D76A9EA}"/>
    <cellStyle name="40% - Accent6 10 2 2 5 4" xfId="33497" xr:uid="{0A9E1CA7-DBF5-412E-B4CF-86343A5E42E2}"/>
    <cellStyle name="40% - Accent6 10 2 2 6" xfId="10536" xr:uid="{00000000-0005-0000-0000-0000754D0000}"/>
    <cellStyle name="40% - Accent6 10 2 2 6 2" xfId="34385" xr:uid="{B7827EAF-2855-4C43-9284-3DE01C637A88}"/>
    <cellStyle name="40% - Accent6 10 2 2 7" xfId="18491" xr:uid="{00000000-0005-0000-0000-0000764D0000}"/>
    <cellStyle name="40% - Accent6 10 2 2 7 2" xfId="42323" xr:uid="{FDA4659F-BDFC-4E33-A9B8-69A6B0B0F43E}"/>
    <cellStyle name="40% - Accent6 10 2 2 8" xfId="26443" xr:uid="{79D38505-941C-4188-AC0B-B38C32FB9245}"/>
    <cellStyle name="40% - Accent6 10 2 2_Exh G" xfId="3307" xr:uid="{00000000-0005-0000-0000-0000774D0000}"/>
    <cellStyle name="40% - Accent6 10 2 3" xfId="1615" xr:uid="{00000000-0005-0000-0000-0000784D0000}"/>
    <cellStyle name="40% - Accent6 10 2 3 2" xfId="5145" xr:uid="{00000000-0005-0000-0000-0000794D0000}"/>
    <cellStyle name="40% - Accent6 10 2 3 2 2" xfId="8736" xr:uid="{00000000-0005-0000-0000-00007A4D0000}"/>
    <cellStyle name="40% - Accent6 10 2 3 2 2 2" xfId="16707" xr:uid="{00000000-0005-0000-0000-00007B4D0000}"/>
    <cellStyle name="40% - Accent6 10 2 3 2 2 2 2" xfId="40549" xr:uid="{1EBA7996-7126-4F74-98DF-E4030034B882}"/>
    <cellStyle name="40% - Accent6 10 2 3 2 2 3" xfId="24653" xr:uid="{00000000-0005-0000-0000-00007C4D0000}"/>
    <cellStyle name="40% - Accent6 10 2 3 2 2 3 2" xfId="48485" xr:uid="{23A8F3FB-E3AD-40C4-83CC-5394C155138A}"/>
    <cellStyle name="40% - Accent6 10 2 3 2 2 4" xfId="32608" xr:uid="{1CE8BD68-533C-405A-A1A7-17ECF5083550}"/>
    <cellStyle name="40% - Accent6 10 2 3 2 3" xfId="13169" xr:uid="{00000000-0005-0000-0000-00007D4D0000}"/>
    <cellStyle name="40% - Accent6 10 2 3 2 3 2" xfId="37018" xr:uid="{1A302752-3769-4DBA-AE09-56C968ECD897}"/>
    <cellStyle name="40% - Accent6 10 2 3 2 4" xfId="21124" xr:uid="{00000000-0005-0000-0000-00007E4D0000}"/>
    <cellStyle name="40% - Accent6 10 2 3 2 4 2" xfId="44956" xr:uid="{07587F63-96F3-447B-B768-A71D2B85F6FF}"/>
    <cellStyle name="40% - Accent6 10 2 3 2 5" xfId="29077" xr:uid="{59B8AA5E-F043-46EC-81DE-7AE19C579519}"/>
    <cellStyle name="40% - Accent6 10 2 3 3" xfId="6977" xr:uid="{00000000-0005-0000-0000-00007F4D0000}"/>
    <cellStyle name="40% - Accent6 10 2 3 3 2" xfId="14949" xr:uid="{00000000-0005-0000-0000-0000804D0000}"/>
    <cellStyle name="40% - Accent6 10 2 3 3 2 2" xfId="38791" xr:uid="{671AA9B3-7F30-41E1-B798-BA3E016CC789}"/>
    <cellStyle name="40% - Accent6 10 2 3 3 3" xfId="22896" xr:uid="{00000000-0005-0000-0000-0000814D0000}"/>
    <cellStyle name="40% - Accent6 10 2 3 3 3 2" xfId="46728" xr:uid="{7558957D-817E-4237-8FC2-2E9025F597ED}"/>
    <cellStyle name="40% - Accent6 10 2 3 3 4" xfId="30850" xr:uid="{BD7A4D71-933F-43ED-8157-E1B95940BB8F}"/>
    <cellStyle name="40% - Accent6 10 2 3 4" xfId="11413" xr:uid="{00000000-0005-0000-0000-0000824D0000}"/>
    <cellStyle name="40% - Accent6 10 2 3 4 2" xfId="35262" xr:uid="{D66C6FE3-66EA-4C2F-9E87-B268D810F36B}"/>
    <cellStyle name="40% - Accent6 10 2 3 5" xfId="19368" xr:uid="{00000000-0005-0000-0000-0000834D0000}"/>
    <cellStyle name="40% - Accent6 10 2 3 5 2" xfId="43200" xr:uid="{C2F774FF-0CD6-464F-825F-E56D54E04159}"/>
    <cellStyle name="40% - Accent6 10 2 3 6" xfId="27320" xr:uid="{AD46EBAD-96C3-401B-BE6D-07E2D28ACB16}"/>
    <cellStyle name="40% - Accent6 10 2 3_Exh G" xfId="3309" xr:uid="{00000000-0005-0000-0000-0000844D0000}"/>
    <cellStyle name="40% - Accent6 10 2 4" xfId="4266" xr:uid="{00000000-0005-0000-0000-0000854D0000}"/>
    <cellStyle name="40% - Accent6 10 2 4 2" xfId="7858" xr:uid="{00000000-0005-0000-0000-0000864D0000}"/>
    <cellStyle name="40% - Accent6 10 2 4 2 2" xfId="15829" xr:uid="{00000000-0005-0000-0000-0000874D0000}"/>
    <cellStyle name="40% - Accent6 10 2 4 2 2 2" xfId="39671" xr:uid="{0A1FC345-8295-43EF-B89C-11374E2164F7}"/>
    <cellStyle name="40% - Accent6 10 2 4 2 3" xfId="23775" xr:uid="{00000000-0005-0000-0000-0000884D0000}"/>
    <cellStyle name="40% - Accent6 10 2 4 2 3 2" xfId="47607" xr:uid="{5363513F-8EF7-4EE2-9932-D4301C8D6948}"/>
    <cellStyle name="40% - Accent6 10 2 4 2 4" xfId="31730" xr:uid="{F474397D-118C-4B2A-9A92-FB8ED229FFDF}"/>
    <cellStyle name="40% - Accent6 10 2 4 3" xfId="12291" xr:uid="{00000000-0005-0000-0000-0000894D0000}"/>
    <cellStyle name="40% - Accent6 10 2 4 3 2" xfId="36140" xr:uid="{9B22239E-AAB8-4716-AC3C-B5CF83EBFF22}"/>
    <cellStyle name="40% - Accent6 10 2 4 4" xfId="20246" xr:uid="{00000000-0005-0000-0000-00008A4D0000}"/>
    <cellStyle name="40% - Accent6 10 2 4 4 2" xfId="44078" xr:uid="{C2AD7C6D-4930-4071-93CE-35216B7CA815}"/>
    <cellStyle name="40% - Accent6 10 2 4 5" xfId="28199" xr:uid="{C12D5C4D-91B9-4D71-BFBE-11EE47E5B023}"/>
    <cellStyle name="40% - Accent6 10 2 5" xfId="6086" xr:uid="{00000000-0005-0000-0000-00008B4D0000}"/>
    <cellStyle name="40% - Accent6 10 2 5 2" xfId="14070" xr:uid="{00000000-0005-0000-0000-00008C4D0000}"/>
    <cellStyle name="40% - Accent6 10 2 5 2 2" xfId="37913" xr:uid="{A2321A46-1BC5-471F-BBED-A61C900EA991}"/>
    <cellStyle name="40% - Accent6 10 2 5 3" xfId="22018" xr:uid="{00000000-0005-0000-0000-00008D4D0000}"/>
    <cellStyle name="40% - Accent6 10 2 5 3 2" xfId="45850" xr:uid="{2A6A6599-7646-4CE6-8451-FD518BC7A9D2}"/>
    <cellStyle name="40% - Accent6 10 2 5 4" xfId="29972" xr:uid="{D1617804-4D02-4BD1-9AED-037E9B3622A8}"/>
    <cellStyle name="40% - Accent6 10 2 6" xfId="9639" xr:uid="{00000000-0005-0000-0000-00008E4D0000}"/>
    <cellStyle name="40% - Accent6 10 2 6 2" xfId="17597" xr:uid="{00000000-0005-0000-0000-00008F4D0000}"/>
    <cellStyle name="40% - Accent6 10 2 6 2 2" xfId="41437" xr:uid="{100398E3-1937-446C-8D80-8AE0DB196FB0}"/>
    <cellStyle name="40% - Accent6 10 2 6 3" xfId="25541" xr:uid="{00000000-0005-0000-0000-0000904D0000}"/>
    <cellStyle name="40% - Accent6 10 2 6 3 2" xfId="49373" xr:uid="{15D52DE6-4FD6-4DA7-82E4-E415D8017D6B}"/>
    <cellStyle name="40% - Accent6 10 2 6 4" xfId="33496" xr:uid="{286811BA-E7BB-497E-8F99-2F2EA680375F}"/>
    <cellStyle name="40% - Accent6 10 2 7" xfId="10535" xr:uid="{00000000-0005-0000-0000-0000914D0000}"/>
    <cellStyle name="40% - Accent6 10 2 7 2" xfId="34384" xr:uid="{80B2DA4D-E252-495D-B1C1-7AA8579A900A}"/>
    <cellStyle name="40% - Accent6 10 2 8" xfId="18490" xr:uid="{00000000-0005-0000-0000-0000924D0000}"/>
    <cellStyle name="40% - Accent6 10 2 8 2" xfId="42322" xr:uid="{08808FF0-705B-42F6-9384-01F0F6D78804}"/>
    <cellStyle name="40% - Accent6 10 2 9" xfId="26442" xr:uid="{936C8368-07B9-404D-9BF9-6BB6DA67A78E}"/>
    <cellStyle name="40% - Accent6 10 2_Exh G" xfId="3306" xr:uid="{00000000-0005-0000-0000-0000934D0000}"/>
    <cellStyle name="40% - Accent6 10 3" xfId="589" xr:uid="{00000000-0005-0000-0000-0000944D0000}"/>
    <cellStyle name="40% - Accent6 10 3 2" xfId="1617" xr:uid="{00000000-0005-0000-0000-0000954D0000}"/>
    <cellStyle name="40% - Accent6 10 3 2 2" xfId="5147" xr:uid="{00000000-0005-0000-0000-0000964D0000}"/>
    <cellStyle name="40% - Accent6 10 3 2 2 2" xfId="8738" xr:uid="{00000000-0005-0000-0000-0000974D0000}"/>
    <cellStyle name="40% - Accent6 10 3 2 2 2 2" xfId="16709" xr:uid="{00000000-0005-0000-0000-0000984D0000}"/>
    <cellStyle name="40% - Accent6 10 3 2 2 2 2 2" xfId="40551" xr:uid="{56F0456A-DA32-4CA2-81FB-38A5A35A4DF1}"/>
    <cellStyle name="40% - Accent6 10 3 2 2 2 3" xfId="24655" xr:uid="{00000000-0005-0000-0000-0000994D0000}"/>
    <cellStyle name="40% - Accent6 10 3 2 2 2 3 2" xfId="48487" xr:uid="{44F7D573-0984-4EB8-BE14-2D6B00D94E93}"/>
    <cellStyle name="40% - Accent6 10 3 2 2 2 4" xfId="32610" xr:uid="{3514905D-A50D-453F-A80B-330C10D596C2}"/>
    <cellStyle name="40% - Accent6 10 3 2 2 3" xfId="13171" xr:uid="{00000000-0005-0000-0000-00009A4D0000}"/>
    <cellStyle name="40% - Accent6 10 3 2 2 3 2" xfId="37020" xr:uid="{24455027-61FC-4041-9A84-0EBCB64E0B33}"/>
    <cellStyle name="40% - Accent6 10 3 2 2 4" xfId="21126" xr:uid="{00000000-0005-0000-0000-00009B4D0000}"/>
    <cellStyle name="40% - Accent6 10 3 2 2 4 2" xfId="44958" xr:uid="{D85F6D1D-898B-434B-8045-86DC5416E092}"/>
    <cellStyle name="40% - Accent6 10 3 2 2 5" xfId="29079" xr:uid="{47C349ED-4877-4B56-B2DE-95616B0BEFCB}"/>
    <cellStyle name="40% - Accent6 10 3 2 3" xfId="6979" xr:uid="{00000000-0005-0000-0000-00009C4D0000}"/>
    <cellStyle name="40% - Accent6 10 3 2 3 2" xfId="14951" xr:uid="{00000000-0005-0000-0000-00009D4D0000}"/>
    <cellStyle name="40% - Accent6 10 3 2 3 2 2" xfId="38793" xr:uid="{D16C46C1-B904-41BD-A8E8-E32B3E62F336}"/>
    <cellStyle name="40% - Accent6 10 3 2 3 3" xfId="22898" xr:uid="{00000000-0005-0000-0000-00009E4D0000}"/>
    <cellStyle name="40% - Accent6 10 3 2 3 3 2" xfId="46730" xr:uid="{4222BDE3-02C7-48DA-B72F-628AD99AE6BE}"/>
    <cellStyle name="40% - Accent6 10 3 2 3 4" xfId="30852" xr:uid="{2A75152B-827F-4796-A721-1CC843374AFA}"/>
    <cellStyle name="40% - Accent6 10 3 2 4" xfId="11415" xr:uid="{00000000-0005-0000-0000-00009F4D0000}"/>
    <cellStyle name="40% - Accent6 10 3 2 4 2" xfId="35264" xr:uid="{0D505FC1-B726-4EBA-B61C-8008006D96CE}"/>
    <cellStyle name="40% - Accent6 10 3 2 5" xfId="19370" xr:uid="{00000000-0005-0000-0000-0000A04D0000}"/>
    <cellStyle name="40% - Accent6 10 3 2 5 2" xfId="43202" xr:uid="{90DDA907-7005-4396-98A4-2A404FD4F99A}"/>
    <cellStyle name="40% - Accent6 10 3 2 6" xfId="27322" xr:uid="{1FF29AD1-8486-4099-955D-465157D0CF7C}"/>
    <cellStyle name="40% - Accent6 10 3 2_Exh G" xfId="3311" xr:uid="{00000000-0005-0000-0000-0000A14D0000}"/>
    <cellStyle name="40% - Accent6 10 3 3" xfId="4268" xr:uid="{00000000-0005-0000-0000-0000A24D0000}"/>
    <cellStyle name="40% - Accent6 10 3 3 2" xfId="7860" xr:uid="{00000000-0005-0000-0000-0000A34D0000}"/>
    <cellStyle name="40% - Accent6 10 3 3 2 2" xfId="15831" xr:uid="{00000000-0005-0000-0000-0000A44D0000}"/>
    <cellStyle name="40% - Accent6 10 3 3 2 2 2" xfId="39673" xr:uid="{5E5A45B3-F9F9-4C5D-A49C-DC7E16E063DA}"/>
    <cellStyle name="40% - Accent6 10 3 3 2 3" xfId="23777" xr:uid="{00000000-0005-0000-0000-0000A54D0000}"/>
    <cellStyle name="40% - Accent6 10 3 3 2 3 2" xfId="47609" xr:uid="{F123159D-2115-41AC-8353-DF02EEFCE9F5}"/>
    <cellStyle name="40% - Accent6 10 3 3 2 4" xfId="31732" xr:uid="{839762B2-8BFC-47BC-8622-D4A86BD56613}"/>
    <cellStyle name="40% - Accent6 10 3 3 3" xfId="12293" xr:uid="{00000000-0005-0000-0000-0000A64D0000}"/>
    <cellStyle name="40% - Accent6 10 3 3 3 2" xfId="36142" xr:uid="{0F91BC2E-D1B3-43C2-B87B-F4C18BCC20F3}"/>
    <cellStyle name="40% - Accent6 10 3 3 4" xfId="20248" xr:uid="{00000000-0005-0000-0000-0000A74D0000}"/>
    <cellStyle name="40% - Accent6 10 3 3 4 2" xfId="44080" xr:uid="{4863DFD4-143D-4B93-BFFC-08DABD5FBB72}"/>
    <cellStyle name="40% - Accent6 10 3 3 5" xfId="28201" xr:uid="{0CA154AC-A69B-440E-815F-076D08DB67D7}"/>
    <cellStyle name="40% - Accent6 10 3 4" xfId="6088" xr:uid="{00000000-0005-0000-0000-0000A84D0000}"/>
    <cellStyle name="40% - Accent6 10 3 4 2" xfId="14072" xr:uid="{00000000-0005-0000-0000-0000A94D0000}"/>
    <cellStyle name="40% - Accent6 10 3 4 2 2" xfId="37915" xr:uid="{F8237FBF-CB5A-4BD6-BCF1-1DFB205C5ED2}"/>
    <cellStyle name="40% - Accent6 10 3 4 3" xfId="22020" xr:uid="{00000000-0005-0000-0000-0000AA4D0000}"/>
    <cellStyle name="40% - Accent6 10 3 4 3 2" xfId="45852" xr:uid="{8E6E31C0-2359-445C-88FB-A2FA60DD9CF9}"/>
    <cellStyle name="40% - Accent6 10 3 4 4" xfId="29974" xr:uid="{635C1856-778B-45E3-994F-FDD1573B989B}"/>
    <cellStyle name="40% - Accent6 10 3 5" xfId="9641" xr:uid="{00000000-0005-0000-0000-0000AB4D0000}"/>
    <cellStyle name="40% - Accent6 10 3 5 2" xfId="17599" xr:uid="{00000000-0005-0000-0000-0000AC4D0000}"/>
    <cellStyle name="40% - Accent6 10 3 5 2 2" xfId="41439" xr:uid="{576FE573-2CF6-41E2-BFF8-745FBA9E371D}"/>
    <cellStyle name="40% - Accent6 10 3 5 3" xfId="25543" xr:uid="{00000000-0005-0000-0000-0000AD4D0000}"/>
    <cellStyle name="40% - Accent6 10 3 5 3 2" xfId="49375" xr:uid="{6FE0173D-6BD9-40C1-A20A-0FA6CC8494FB}"/>
    <cellStyle name="40% - Accent6 10 3 5 4" xfId="33498" xr:uid="{723F72D0-4E47-4520-85E1-04E5C92E3CCE}"/>
    <cellStyle name="40% - Accent6 10 3 6" xfId="10537" xr:uid="{00000000-0005-0000-0000-0000AE4D0000}"/>
    <cellStyle name="40% - Accent6 10 3 6 2" xfId="34386" xr:uid="{EE71F9A6-5CDB-44FE-84CD-B5A7059BF091}"/>
    <cellStyle name="40% - Accent6 10 3 7" xfId="18492" xr:uid="{00000000-0005-0000-0000-0000AF4D0000}"/>
    <cellStyle name="40% - Accent6 10 3 7 2" xfId="42324" xr:uid="{97D7E2B1-2FAF-40AC-A8C2-96A3E7D45AEF}"/>
    <cellStyle name="40% - Accent6 10 3 8" xfId="26444" xr:uid="{31C001CC-0454-42EF-9207-F22BBF81813A}"/>
    <cellStyle name="40% - Accent6 10 3_Exh G" xfId="3310" xr:uid="{00000000-0005-0000-0000-0000B04D0000}"/>
    <cellStyle name="40% - Accent6 10 4" xfId="994" xr:uid="{00000000-0005-0000-0000-0000B14D0000}"/>
    <cellStyle name="40% - Accent6 10 5" xfId="1614" xr:uid="{00000000-0005-0000-0000-0000B24D0000}"/>
    <cellStyle name="40% - Accent6 10 5 2" xfId="5144" xr:uid="{00000000-0005-0000-0000-0000B34D0000}"/>
    <cellStyle name="40% - Accent6 10 5 2 2" xfId="8735" xr:uid="{00000000-0005-0000-0000-0000B44D0000}"/>
    <cellStyle name="40% - Accent6 10 5 2 2 2" xfId="16706" xr:uid="{00000000-0005-0000-0000-0000B54D0000}"/>
    <cellStyle name="40% - Accent6 10 5 2 2 2 2" xfId="40548" xr:uid="{12CBA9D7-6E4D-4806-A003-72AFA6F69C9B}"/>
    <cellStyle name="40% - Accent6 10 5 2 2 3" xfId="24652" xr:uid="{00000000-0005-0000-0000-0000B64D0000}"/>
    <cellStyle name="40% - Accent6 10 5 2 2 3 2" xfId="48484" xr:uid="{55C5F541-57CB-48CD-A950-6BAFA6553884}"/>
    <cellStyle name="40% - Accent6 10 5 2 2 4" xfId="32607" xr:uid="{B64685CF-4723-4A93-BE0F-75F60D14A1D8}"/>
    <cellStyle name="40% - Accent6 10 5 2 3" xfId="13168" xr:uid="{00000000-0005-0000-0000-0000B74D0000}"/>
    <cellStyle name="40% - Accent6 10 5 2 3 2" xfId="37017" xr:uid="{A7FDEF32-8A9A-4AFA-A744-6CA54240FBF5}"/>
    <cellStyle name="40% - Accent6 10 5 2 4" xfId="21123" xr:uid="{00000000-0005-0000-0000-0000B84D0000}"/>
    <cellStyle name="40% - Accent6 10 5 2 4 2" xfId="44955" xr:uid="{09A95014-BD58-4F67-B3B4-74D9A4739918}"/>
    <cellStyle name="40% - Accent6 10 5 2 5" xfId="29076" xr:uid="{15D30809-0AAC-4B53-92B6-DF37B97919DB}"/>
    <cellStyle name="40% - Accent6 10 5 3" xfId="6976" xr:uid="{00000000-0005-0000-0000-0000B94D0000}"/>
    <cellStyle name="40% - Accent6 10 5 3 2" xfId="14948" xr:uid="{00000000-0005-0000-0000-0000BA4D0000}"/>
    <cellStyle name="40% - Accent6 10 5 3 2 2" xfId="38790" xr:uid="{1C0318FD-34BA-4086-970C-6F843E59BB1E}"/>
    <cellStyle name="40% - Accent6 10 5 3 3" xfId="22895" xr:uid="{00000000-0005-0000-0000-0000BB4D0000}"/>
    <cellStyle name="40% - Accent6 10 5 3 3 2" xfId="46727" xr:uid="{C5F08704-680A-46A0-BC80-E2C90204E00E}"/>
    <cellStyle name="40% - Accent6 10 5 3 4" xfId="30849" xr:uid="{814721FD-A385-44A8-BC7A-27286DE733AD}"/>
    <cellStyle name="40% - Accent6 10 5 4" xfId="11412" xr:uid="{00000000-0005-0000-0000-0000BC4D0000}"/>
    <cellStyle name="40% - Accent6 10 5 4 2" xfId="35261" xr:uid="{B62792AA-46A9-4381-A0A9-52699FF2F61A}"/>
    <cellStyle name="40% - Accent6 10 5 5" xfId="19367" xr:uid="{00000000-0005-0000-0000-0000BD4D0000}"/>
    <cellStyle name="40% - Accent6 10 5 5 2" xfId="43199" xr:uid="{1D6E915A-5F05-42F4-9988-EAC1E007CE2D}"/>
    <cellStyle name="40% - Accent6 10 5 6" xfId="27319" xr:uid="{9D26519A-1F4B-49B9-BE01-6F2A1CF5F749}"/>
    <cellStyle name="40% - Accent6 10 5_Exh G" xfId="3312" xr:uid="{00000000-0005-0000-0000-0000BE4D0000}"/>
    <cellStyle name="40% - Accent6 10 6" xfId="4265" xr:uid="{00000000-0005-0000-0000-0000BF4D0000}"/>
    <cellStyle name="40% - Accent6 10 6 2" xfId="7857" xr:uid="{00000000-0005-0000-0000-0000C04D0000}"/>
    <cellStyle name="40% - Accent6 10 6 2 2" xfId="15828" xr:uid="{00000000-0005-0000-0000-0000C14D0000}"/>
    <cellStyle name="40% - Accent6 10 6 2 2 2" xfId="39670" xr:uid="{76688DAB-A65C-41BB-A878-B97AEC131549}"/>
    <cellStyle name="40% - Accent6 10 6 2 3" xfId="23774" xr:uid="{00000000-0005-0000-0000-0000C24D0000}"/>
    <cellStyle name="40% - Accent6 10 6 2 3 2" xfId="47606" xr:uid="{44EAE260-37A4-41A2-82F3-F8F8A87EC728}"/>
    <cellStyle name="40% - Accent6 10 6 2 4" xfId="31729" xr:uid="{D3B66A57-4541-4376-BBF6-465DDB0F68DF}"/>
    <cellStyle name="40% - Accent6 10 6 3" xfId="12290" xr:uid="{00000000-0005-0000-0000-0000C34D0000}"/>
    <cellStyle name="40% - Accent6 10 6 3 2" xfId="36139" xr:uid="{CD0FA8CC-8BE2-4D0B-AF8E-0C78155EE11F}"/>
    <cellStyle name="40% - Accent6 10 6 4" xfId="20245" xr:uid="{00000000-0005-0000-0000-0000C44D0000}"/>
    <cellStyle name="40% - Accent6 10 6 4 2" xfId="44077" xr:uid="{9C62DD88-1F4D-4CDE-9F07-AFD882FDABB8}"/>
    <cellStyle name="40% - Accent6 10 6 5" xfId="28198" xr:uid="{41EF9CE4-438E-41DE-89F3-28025554C006}"/>
    <cellStyle name="40% - Accent6 10 7" xfId="6085" xr:uid="{00000000-0005-0000-0000-0000C54D0000}"/>
    <cellStyle name="40% - Accent6 10 7 2" xfId="14069" xr:uid="{00000000-0005-0000-0000-0000C64D0000}"/>
    <cellStyle name="40% - Accent6 10 7 2 2" xfId="37912" xr:uid="{1F178808-073D-4ECA-B738-C5B3778726F0}"/>
    <cellStyle name="40% - Accent6 10 7 3" xfId="22017" xr:uid="{00000000-0005-0000-0000-0000C74D0000}"/>
    <cellStyle name="40% - Accent6 10 7 3 2" xfId="45849" xr:uid="{C13440B2-0A5D-4646-B59F-530359AE16EE}"/>
    <cellStyle name="40% - Accent6 10 7 4" xfId="29971" xr:uid="{2C997FEE-3A80-4388-A461-F3A9F09FAF32}"/>
    <cellStyle name="40% - Accent6 10 8" xfId="9638" xr:uid="{00000000-0005-0000-0000-0000C84D0000}"/>
    <cellStyle name="40% - Accent6 10 8 2" xfId="17596" xr:uid="{00000000-0005-0000-0000-0000C94D0000}"/>
    <cellStyle name="40% - Accent6 10 8 2 2" xfId="41436" xr:uid="{5B8BD411-3118-49DD-9714-59DC0D0CF483}"/>
    <cellStyle name="40% - Accent6 10 8 3" xfId="25540" xr:uid="{00000000-0005-0000-0000-0000CA4D0000}"/>
    <cellStyle name="40% - Accent6 10 8 3 2" xfId="49372" xr:uid="{690CBF9F-520A-4358-B45D-F7B7CDC56CB8}"/>
    <cellStyle name="40% - Accent6 10 8 4" xfId="33495" xr:uid="{FACB211D-66BE-48B6-8C0F-FC15F69D55A8}"/>
    <cellStyle name="40% - Accent6 10 9" xfId="10534" xr:uid="{00000000-0005-0000-0000-0000CB4D0000}"/>
    <cellStyle name="40% - Accent6 10 9 2" xfId="34383" xr:uid="{220E7DCF-523B-45AB-88B6-24AB05DE958C}"/>
    <cellStyle name="40% - Accent6 10_Exh G" xfId="3305" xr:uid="{00000000-0005-0000-0000-0000CC4D0000}"/>
    <cellStyle name="40% - Accent6 11" xfId="590" xr:uid="{00000000-0005-0000-0000-0000CD4D0000}"/>
    <cellStyle name="40% - Accent6 11 10" xfId="26445" xr:uid="{4A3139DD-6FB2-4D47-8EC1-CF7625379295}"/>
    <cellStyle name="40% - Accent6 11 2" xfId="591" xr:uid="{00000000-0005-0000-0000-0000CE4D0000}"/>
    <cellStyle name="40% - Accent6 11 2 2" xfId="592" xr:uid="{00000000-0005-0000-0000-0000CF4D0000}"/>
    <cellStyle name="40% - Accent6 11 2 2 2" xfId="1620" xr:uid="{00000000-0005-0000-0000-0000D04D0000}"/>
    <cellStyle name="40% - Accent6 11 2 2 2 2" xfId="5150" xr:uid="{00000000-0005-0000-0000-0000D14D0000}"/>
    <cellStyle name="40% - Accent6 11 2 2 2 2 2" xfId="8741" xr:uid="{00000000-0005-0000-0000-0000D24D0000}"/>
    <cellStyle name="40% - Accent6 11 2 2 2 2 2 2" xfId="16712" xr:uid="{00000000-0005-0000-0000-0000D34D0000}"/>
    <cellStyle name="40% - Accent6 11 2 2 2 2 2 2 2" xfId="40554" xr:uid="{B80BF61D-CC6A-4D37-80B2-01F5ADBB7FC9}"/>
    <cellStyle name="40% - Accent6 11 2 2 2 2 2 3" xfId="24658" xr:uid="{00000000-0005-0000-0000-0000D44D0000}"/>
    <cellStyle name="40% - Accent6 11 2 2 2 2 2 3 2" xfId="48490" xr:uid="{0657BA20-1F6A-4DE3-B383-46DB1E537167}"/>
    <cellStyle name="40% - Accent6 11 2 2 2 2 2 4" xfId="32613" xr:uid="{E905AD80-9F6D-470C-8690-3E9FDC9A207E}"/>
    <cellStyle name="40% - Accent6 11 2 2 2 2 3" xfId="13174" xr:uid="{00000000-0005-0000-0000-0000D54D0000}"/>
    <cellStyle name="40% - Accent6 11 2 2 2 2 3 2" xfId="37023" xr:uid="{073CDDDC-05E3-46F2-A2F4-847774A80A3E}"/>
    <cellStyle name="40% - Accent6 11 2 2 2 2 4" xfId="21129" xr:uid="{00000000-0005-0000-0000-0000D64D0000}"/>
    <cellStyle name="40% - Accent6 11 2 2 2 2 4 2" xfId="44961" xr:uid="{70CE5366-6AC8-47DC-84FE-7AD1A1A70F89}"/>
    <cellStyle name="40% - Accent6 11 2 2 2 2 5" xfId="29082" xr:uid="{0655B802-9252-46EC-98BB-646CFA2EF2FE}"/>
    <cellStyle name="40% - Accent6 11 2 2 2 3" xfId="6982" xr:uid="{00000000-0005-0000-0000-0000D74D0000}"/>
    <cellStyle name="40% - Accent6 11 2 2 2 3 2" xfId="14954" xr:uid="{00000000-0005-0000-0000-0000D84D0000}"/>
    <cellStyle name="40% - Accent6 11 2 2 2 3 2 2" xfId="38796" xr:uid="{F60AA926-7B27-4449-9098-129C810E40E4}"/>
    <cellStyle name="40% - Accent6 11 2 2 2 3 3" xfId="22901" xr:uid="{00000000-0005-0000-0000-0000D94D0000}"/>
    <cellStyle name="40% - Accent6 11 2 2 2 3 3 2" xfId="46733" xr:uid="{2B4FD8E7-3674-40E3-9958-70EAF14AB4E3}"/>
    <cellStyle name="40% - Accent6 11 2 2 2 3 4" xfId="30855" xr:uid="{824DA858-B39D-474F-B9BA-71AA54E99507}"/>
    <cellStyle name="40% - Accent6 11 2 2 2 4" xfId="11418" xr:uid="{00000000-0005-0000-0000-0000DA4D0000}"/>
    <cellStyle name="40% - Accent6 11 2 2 2 4 2" xfId="35267" xr:uid="{0E4F9A97-1DF7-41A4-ABC5-0774D5266DB9}"/>
    <cellStyle name="40% - Accent6 11 2 2 2 5" xfId="19373" xr:uid="{00000000-0005-0000-0000-0000DB4D0000}"/>
    <cellStyle name="40% - Accent6 11 2 2 2 5 2" xfId="43205" xr:uid="{E7ACB8C0-CAE0-45F2-B3B8-1AD2C143C87A}"/>
    <cellStyle name="40% - Accent6 11 2 2 2 6" xfId="27325" xr:uid="{E79708CE-0F9C-4D08-804F-312C85AD42F5}"/>
    <cellStyle name="40% - Accent6 11 2 2 2_Exh G" xfId="3316" xr:uid="{00000000-0005-0000-0000-0000DC4D0000}"/>
    <cellStyle name="40% - Accent6 11 2 2 3" xfId="4271" xr:uid="{00000000-0005-0000-0000-0000DD4D0000}"/>
    <cellStyle name="40% - Accent6 11 2 2 3 2" xfId="7863" xr:uid="{00000000-0005-0000-0000-0000DE4D0000}"/>
    <cellStyle name="40% - Accent6 11 2 2 3 2 2" xfId="15834" xr:uid="{00000000-0005-0000-0000-0000DF4D0000}"/>
    <cellStyle name="40% - Accent6 11 2 2 3 2 2 2" xfId="39676" xr:uid="{15C3C64F-5DD8-4FEB-9209-71975A202692}"/>
    <cellStyle name="40% - Accent6 11 2 2 3 2 3" xfId="23780" xr:uid="{00000000-0005-0000-0000-0000E04D0000}"/>
    <cellStyle name="40% - Accent6 11 2 2 3 2 3 2" xfId="47612" xr:uid="{65F47ADF-FCAE-49AC-9ECE-864D957BB08D}"/>
    <cellStyle name="40% - Accent6 11 2 2 3 2 4" xfId="31735" xr:uid="{0C962DE3-F64D-465B-8AD9-C69A2CFCF5E5}"/>
    <cellStyle name="40% - Accent6 11 2 2 3 3" xfId="12296" xr:uid="{00000000-0005-0000-0000-0000E14D0000}"/>
    <cellStyle name="40% - Accent6 11 2 2 3 3 2" xfId="36145" xr:uid="{07951154-08AE-4957-BFAE-01539F720E9B}"/>
    <cellStyle name="40% - Accent6 11 2 2 3 4" xfId="20251" xr:uid="{00000000-0005-0000-0000-0000E24D0000}"/>
    <cellStyle name="40% - Accent6 11 2 2 3 4 2" xfId="44083" xr:uid="{03622DAE-8126-4D4F-981C-419509A8CF5E}"/>
    <cellStyle name="40% - Accent6 11 2 2 3 5" xfId="28204" xr:uid="{9E28213C-5E97-4595-9BAF-77A97B0E6F1A}"/>
    <cellStyle name="40% - Accent6 11 2 2 4" xfId="6091" xr:uid="{00000000-0005-0000-0000-0000E34D0000}"/>
    <cellStyle name="40% - Accent6 11 2 2 4 2" xfId="14075" xr:uid="{00000000-0005-0000-0000-0000E44D0000}"/>
    <cellStyle name="40% - Accent6 11 2 2 4 2 2" xfId="37918" xr:uid="{5AB37C4A-6693-499E-9168-29F8BDF7A3C5}"/>
    <cellStyle name="40% - Accent6 11 2 2 4 3" xfId="22023" xr:uid="{00000000-0005-0000-0000-0000E54D0000}"/>
    <cellStyle name="40% - Accent6 11 2 2 4 3 2" xfId="45855" xr:uid="{91619AA6-0773-41B2-A233-81B6073F43FE}"/>
    <cellStyle name="40% - Accent6 11 2 2 4 4" xfId="29977" xr:uid="{D4441B7E-E064-44AA-9839-FA96E8A5308D}"/>
    <cellStyle name="40% - Accent6 11 2 2 5" xfId="9644" xr:uid="{00000000-0005-0000-0000-0000E64D0000}"/>
    <cellStyle name="40% - Accent6 11 2 2 5 2" xfId="17602" xr:uid="{00000000-0005-0000-0000-0000E74D0000}"/>
    <cellStyle name="40% - Accent6 11 2 2 5 2 2" xfId="41442" xr:uid="{83AE5343-40B4-438F-B199-6987BBAA5E0F}"/>
    <cellStyle name="40% - Accent6 11 2 2 5 3" xfId="25546" xr:uid="{00000000-0005-0000-0000-0000E84D0000}"/>
    <cellStyle name="40% - Accent6 11 2 2 5 3 2" xfId="49378" xr:uid="{9CEABE42-FBAA-4ACE-A6BE-0842B58D85CA}"/>
    <cellStyle name="40% - Accent6 11 2 2 5 4" xfId="33501" xr:uid="{B510FAAF-F640-4E70-A57B-CE7E21D7F1F9}"/>
    <cellStyle name="40% - Accent6 11 2 2 6" xfId="10540" xr:uid="{00000000-0005-0000-0000-0000E94D0000}"/>
    <cellStyle name="40% - Accent6 11 2 2 6 2" xfId="34389" xr:uid="{5EE5C6D4-5280-4D5D-BED0-7085CF3B5CD4}"/>
    <cellStyle name="40% - Accent6 11 2 2 7" xfId="18495" xr:uid="{00000000-0005-0000-0000-0000EA4D0000}"/>
    <cellStyle name="40% - Accent6 11 2 2 7 2" xfId="42327" xr:uid="{4270BE51-60EF-4D61-85ED-235BD3B706FA}"/>
    <cellStyle name="40% - Accent6 11 2 2 8" xfId="26447" xr:uid="{0E5DB2D3-F706-48C5-A7A4-BB4F7E19BB30}"/>
    <cellStyle name="40% - Accent6 11 2 2_Exh G" xfId="3315" xr:uid="{00000000-0005-0000-0000-0000EB4D0000}"/>
    <cellStyle name="40% - Accent6 11 2 3" xfId="1619" xr:uid="{00000000-0005-0000-0000-0000EC4D0000}"/>
    <cellStyle name="40% - Accent6 11 2 3 2" xfId="5149" xr:uid="{00000000-0005-0000-0000-0000ED4D0000}"/>
    <cellStyle name="40% - Accent6 11 2 3 2 2" xfId="8740" xr:uid="{00000000-0005-0000-0000-0000EE4D0000}"/>
    <cellStyle name="40% - Accent6 11 2 3 2 2 2" xfId="16711" xr:uid="{00000000-0005-0000-0000-0000EF4D0000}"/>
    <cellStyle name="40% - Accent6 11 2 3 2 2 2 2" xfId="40553" xr:uid="{83BDD598-1850-430A-ACF4-593D6683AFEF}"/>
    <cellStyle name="40% - Accent6 11 2 3 2 2 3" xfId="24657" xr:uid="{00000000-0005-0000-0000-0000F04D0000}"/>
    <cellStyle name="40% - Accent6 11 2 3 2 2 3 2" xfId="48489" xr:uid="{2D7E2AB7-26D3-486F-823D-06D457443A7F}"/>
    <cellStyle name="40% - Accent6 11 2 3 2 2 4" xfId="32612" xr:uid="{63ADD42F-9CB3-4C21-9FB3-A72682BD9E85}"/>
    <cellStyle name="40% - Accent6 11 2 3 2 3" xfId="13173" xr:uid="{00000000-0005-0000-0000-0000F14D0000}"/>
    <cellStyle name="40% - Accent6 11 2 3 2 3 2" xfId="37022" xr:uid="{8711B3F6-D5D0-4FCD-880F-EA28633A8FC0}"/>
    <cellStyle name="40% - Accent6 11 2 3 2 4" xfId="21128" xr:uid="{00000000-0005-0000-0000-0000F24D0000}"/>
    <cellStyle name="40% - Accent6 11 2 3 2 4 2" xfId="44960" xr:uid="{993DC123-1F7F-484B-B763-359C20A9E8F6}"/>
    <cellStyle name="40% - Accent6 11 2 3 2 5" xfId="29081" xr:uid="{7B0BE791-25F4-416D-8CC5-4BE1A43ED912}"/>
    <cellStyle name="40% - Accent6 11 2 3 3" xfId="6981" xr:uid="{00000000-0005-0000-0000-0000F34D0000}"/>
    <cellStyle name="40% - Accent6 11 2 3 3 2" xfId="14953" xr:uid="{00000000-0005-0000-0000-0000F44D0000}"/>
    <cellStyle name="40% - Accent6 11 2 3 3 2 2" xfId="38795" xr:uid="{AFDD3730-7D0F-4D5E-A9FA-83E9A70DC099}"/>
    <cellStyle name="40% - Accent6 11 2 3 3 3" xfId="22900" xr:uid="{00000000-0005-0000-0000-0000F54D0000}"/>
    <cellStyle name="40% - Accent6 11 2 3 3 3 2" xfId="46732" xr:uid="{C750590E-DCBF-4923-AC27-C2CA80180AEF}"/>
    <cellStyle name="40% - Accent6 11 2 3 3 4" xfId="30854" xr:uid="{6888A365-A42F-4282-867B-8E1E6DF2D991}"/>
    <cellStyle name="40% - Accent6 11 2 3 4" xfId="11417" xr:uid="{00000000-0005-0000-0000-0000F64D0000}"/>
    <cellStyle name="40% - Accent6 11 2 3 4 2" xfId="35266" xr:uid="{AE758203-C690-42C2-8252-35E03428F465}"/>
    <cellStyle name="40% - Accent6 11 2 3 5" xfId="19372" xr:uid="{00000000-0005-0000-0000-0000F74D0000}"/>
    <cellStyle name="40% - Accent6 11 2 3 5 2" xfId="43204" xr:uid="{DF538288-E7D4-4140-892B-2FE94F5FE160}"/>
    <cellStyle name="40% - Accent6 11 2 3 6" xfId="27324" xr:uid="{8D8966B6-D2BB-40B1-8A34-FA65E52ECE7E}"/>
    <cellStyle name="40% - Accent6 11 2 3_Exh G" xfId="3317" xr:uid="{00000000-0005-0000-0000-0000F84D0000}"/>
    <cellStyle name="40% - Accent6 11 2 4" xfId="4270" xr:uid="{00000000-0005-0000-0000-0000F94D0000}"/>
    <cellStyle name="40% - Accent6 11 2 4 2" xfId="7862" xr:uid="{00000000-0005-0000-0000-0000FA4D0000}"/>
    <cellStyle name="40% - Accent6 11 2 4 2 2" xfId="15833" xr:uid="{00000000-0005-0000-0000-0000FB4D0000}"/>
    <cellStyle name="40% - Accent6 11 2 4 2 2 2" xfId="39675" xr:uid="{76D07E3E-F5EA-432C-98C9-84ABBA944496}"/>
    <cellStyle name="40% - Accent6 11 2 4 2 3" xfId="23779" xr:uid="{00000000-0005-0000-0000-0000FC4D0000}"/>
    <cellStyle name="40% - Accent6 11 2 4 2 3 2" xfId="47611" xr:uid="{6E20F50D-BB89-4CB5-A515-3E596E3B157E}"/>
    <cellStyle name="40% - Accent6 11 2 4 2 4" xfId="31734" xr:uid="{44170964-D4D3-4046-BC54-68BD6698D3AC}"/>
    <cellStyle name="40% - Accent6 11 2 4 3" xfId="12295" xr:uid="{00000000-0005-0000-0000-0000FD4D0000}"/>
    <cellStyle name="40% - Accent6 11 2 4 3 2" xfId="36144" xr:uid="{73D2A1F5-A638-4168-8E8D-801A54EEE91A}"/>
    <cellStyle name="40% - Accent6 11 2 4 4" xfId="20250" xr:uid="{00000000-0005-0000-0000-0000FE4D0000}"/>
    <cellStyle name="40% - Accent6 11 2 4 4 2" xfId="44082" xr:uid="{6DC24B3D-0EFE-4938-A038-B708DA3E1921}"/>
    <cellStyle name="40% - Accent6 11 2 4 5" xfId="28203" xr:uid="{AC656167-33BE-4E78-B478-AD2402F75BB3}"/>
    <cellStyle name="40% - Accent6 11 2 5" xfId="6090" xr:uid="{00000000-0005-0000-0000-0000FF4D0000}"/>
    <cellStyle name="40% - Accent6 11 2 5 2" xfId="14074" xr:uid="{00000000-0005-0000-0000-0000004E0000}"/>
    <cellStyle name="40% - Accent6 11 2 5 2 2" xfId="37917" xr:uid="{455B329F-8756-487A-AB64-3391E33C2F9F}"/>
    <cellStyle name="40% - Accent6 11 2 5 3" xfId="22022" xr:uid="{00000000-0005-0000-0000-0000014E0000}"/>
    <cellStyle name="40% - Accent6 11 2 5 3 2" xfId="45854" xr:uid="{DFD251B3-ABA9-42DA-97FF-5632A953EC16}"/>
    <cellStyle name="40% - Accent6 11 2 5 4" xfId="29976" xr:uid="{BCEBAA53-FBEC-4D66-8843-0502CD3CFD36}"/>
    <cellStyle name="40% - Accent6 11 2 6" xfId="9643" xr:uid="{00000000-0005-0000-0000-0000024E0000}"/>
    <cellStyle name="40% - Accent6 11 2 6 2" xfId="17601" xr:uid="{00000000-0005-0000-0000-0000034E0000}"/>
    <cellStyle name="40% - Accent6 11 2 6 2 2" xfId="41441" xr:uid="{CFCFC146-C6FF-4CFC-9D18-44566FBABC2C}"/>
    <cellStyle name="40% - Accent6 11 2 6 3" xfId="25545" xr:uid="{00000000-0005-0000-0000-0000044E0000}"/>
    <cellStyle name="40% - Accent6 11 2 6 3 2" xfId="49377" xr:uid="{A342492A-B15B-48F1-B0D7-6323B0D77084}"/>
    <cellStyle name="40% - Accent6 11 2 6 4" xfId="33500" xr:uid="{B1EC1D90-8D1A-4346-BD93-C7B046702672}"/>
    <cellStyle name="40% - Accent6 11 2 7" xfId="10539" xr:uid="{00000000-0005-0000-0000-0000054E0000}"/>
    <cellStyle name="40% - Accent6 11 2 7 2" xfId="34388" xr:uid="{489C1EF3-0444-4831-A500-0EF4F38E0F60}"/>
    <cellStyle name="40% - Accent6 11 2 8" xfId="18494" xr:uid="{00000000-0005-0000-0000-0000064E0000}"/>
    <cellStyle name="40% - Accent6 11 2 8 2" xfId="42326" xr:uid="{EFAA89E6-C72A-490C-8432-0B999A2AC7CB}"/>
    <cellStyle name="40% - Accent6 11 2 9" xfId="26446" xr:uid="{36D9E933-DF63-48F2-9398-B3087D7EF80D}"/>
    <cellStyle name="40% - Accent6 11 2_Exh G" xfId="3314" xr:uid="{00000000-0005-0000-0000-0000074E0000}"/>
    <cellStyle name="40% - Accent6 11 3" xfId="593" xr:uid="{00000000-0005-0000-0000-0000084E0000}"/>
    <cellStyle name="40% - Accent6 11 3 2" xfId="1621" xr:uid="{00000000-0005-0000-0000-0000094E0000}"/>
    <cellStyle name="40% - Accent6 11 3 2 2" xfId="5151" xr:uid="{00000000-0005-0000-0000-00000A4E0000}"/>
    <cellStyle name="40% - Accent6 11 3 2 2 2" xfId="8742" xr:uid="{00000000-0005-0000-0000-00000B4E0000}"/>
    <cellStyle name="40% - Accent6 11 3 2 2 2 2" xfId="16713" xr:uid="{00000000-0005-0000-0000-00000C4E0000}"/>
    <cellStyle name="40% - Accent6 11 3 2 2 2 2 2" xfId="40555" xr:uid="{4DB18539-1ED3-442E-B05B-42CD4E62CBCF}"/>
    <cellStyle name="40% - Accent6 11 3 2 2 2 3" xfId="24659" xr:uid="{00000000-0005-0000-0000-00000D4E0000}"/>
    <cellStyle name="40% - Accent6 11 3 2 2 2 3 2" xfId="48491" xr:uid="{46810ED8-DF6A-46C2-80E0-04AAEDABDCFF}"/>
    <cellStyle name="40% - Accent6 11 3 2 2 2 4" xfId="32614" xr:uid="{3B7CE559-6CD2-4D31-A96A-11361D4E425A}"/>
    <cellStyle name="40% - Accent6 11 3 2 2 3" xfId="13175" xr:uid="{00000000-0005-0000-0000-00000E4E0000}"/>
    <cellStyle name="40% - Accent6 11 3 2 2 3 2" xfId="37024" xr:uid="{9D736D82-D9F1-46E9-ACBB-39D1CDE0CEE9}"/>
    <cellStyle name="40% - Accent6 11 3 2 2 4" xfId="21130" xr:uid="{00000000-0005-0000-0000-00000F4E0000}"/>
    <cellStyle name="40% - Accent6 11 3 2 2 4 2" xfId="44962" xr:uid="{6089CA90-E8AE-452D-8C60-E153B0151720}"/>
    <cellStyle name="40% - Accent6 11 3 2 2 5" xfId="29083" xr:uid="{C44A14E9-F150-439F-A481-7DA456D5DE34}"/>
    <cellStyle name="40% - Accent6 11 3 2 3" xfId="6983" xr:uid="{00000000-0005-0000-0000-0000104E0000}"/>
    <cellStyle name="40% - Accent6 11 3 2 3 2" xfId="14955" xr:uid="{00000000-0005-0000-0000-0000114E0000}"/>
    <cellStyle name="40% - Accent6 11 3 2 3 2 2" xfId="38797" xr:uid="{C2A7BC0A-B07D-4013-81E6-3805B43FB611}"/>
    <cellStyle name="40% - Accent6 11 3 2 3 3" xfId="22902" xr:uid="{00000000-0005-0000-0000-0000124E0000}"/>
    <cellStyle name="40% - Accent6 11 3 2 3 3 2" xfId="46734" xr:uid="{C4087560-86C9-4E8A-82FC-FDF7095AB49D}"/>
    <cellStyle name="40% - Accent6 11 3 2 3 4" xfId="30856" xr:uid="{357385A2-37A3-4069-A251-A684A2CCA466}"/>
    <cellStyle name="40% - Accent6 11 3 2 4" xfId="11419" xr:uid="{00000000-0005-0000-0000-0000134E0000}"/>
    <cellStyle name="40% - Accent6 11 3 2 4 2" xfId="35268" xr:uid="{759F7AFA-EAB7-4F98-BAD2-85A764BAC2D1}"/>
    <cellStyle name="40% - Accent6 11 3 2 5" xfId="19374" xr:uid="{00000000-0005-0000-0000-0000144E0000}"/>
    <cellStyle name="40% - Accent6 11 3 2 5 2" xfId="43206" xr:uid="{55A35217-4C1F-4995-8C93-E8E7171B5BC2}"/>
    <cellStyle name="40% - Accent6 11 3 2 6" xfId="27326" xr:uid="{99A45488-0C24-46B7-9364-E455B6CF897F}"/>
    <cellStyle name="40% - Accent6 11 3 2_Exh G" xfId="3319" xr:uid="{00000000-0005-0000-0000-0000154E0000}"/>
    <cellStyle name="40% - Accent6 11 3 3" xfId="4272" xr:uid="{00000000-0005-0000-0000-0000164E0000}"/>
    <cellStyle name="40% - Accent6 11 3 3 2" xfId="7864" xr:uid="{00000000-0005-0000-0000-0000174E0000}"/>
    <cellStyle name="40% - Accent6 11 3 3 2 2" xfId="15835" xr:uid="{00000000-0005-0000-0000-0000184E0000}"/>
    <cellStyle name="40% - Accent6 11 3 3 2 2 2" xfId="39677" xr:uid="{7FA81BFB-D2D2-46F6-8F7A-10B3BED8FB97}"/>
    <cellStyle name="40% - Accent6 11 3 3 2 3" xfId="23781" xr:uid="{00000000-0005-0000-0000-0000194E0000}"/>
    <cellStyle name="40% - Accent6 11 3 3 2 3 2" xfId="47613" xr:uid="{F7533613-787D-48DD-9B32-F4D596D1A63F}"/>
    <cellStyle name="40% - Accent6 11 3 3 2 4" xfId="31736" xr:uid="{AD0C754A-5D28-4A39-8012-44CF738302A7}"/>
    <cellStyle name="40% - Accent6 11 3 3 3" xfId="12297" xr:uid="{00000000-0005-0000-0000-00001A4E0000}"/>
    <cellStyle name="40% - Accent6 11 3 3 3 2" xfId="36146" xr:uid="{3750AEF8-C6C0-4C55-941C-81EDFAA2EB12}"/>
    <cellStyle name="40% - Accent6 11 3 3 4" xfId="20252" xr:uid="{00000000-0005-0000-0000-00001B4E0000}"/>
    <cellStyle name="40% - Accent6 11 3 3 4 2" xfId="44084" xr:uid="{ACA4A2DF-1245-45C1-AB0C-EAAB408A25D7}"/>
    <cellStyle name="40% - Accent6 11 3 3 5" xfId="28205" xr:uid="{B99D9FF5-3D81-41D7-ADAA-49DED2B61DF9}"/>
    <cellStyle name="40% - Accent6 11 3 4" xfId="6092" xr:uid="{00000000-0005-0000-0000-00001C4E0000}"/>
    <cellStyle name="40% - Accent6 11 3 4 2" xfId="14076" xr:uid="{00000000-0005-0000-0000-00001D4E0000}"/>
    <cellStyle name="40% - Accent6 11 3 4 2 2" xfId="37919" xr:uid="{43315198-E63C-4EEA-901D-8AECC7701FFA}"/>
    <cellStyle name="40% - Accent6 11 3 4 3" xfId="22024" xr:uid="{00000000-0005-0000-0000-00001E4E0000}"/>
    <cellStyle name="40% - Accent6 11 3 4 3 2" xfId="45856" xr:uid="{2148B695-2A2B-42BE-A51C-CB4225ECD44D}"/>
    <cellStyle name="40% - Accent6 11 3 4 4" xfId="29978" xr:uid="{55914546-7111-4651-BEFB-CB73B69DC962}"/>
    <cellStyle name="40% - Accent6 11 3 5" xfId="9645" xr:uid="{00000000-0005-0000-0000-00001F4E0000}"/>
    <cellStyle name="40% - Accent6 11 3 5 2" xfId="17603" xr:uid="{00000000-0005-0000-0000-0000204E0000}"/>
    <cellStyle name="40% - Accent6 11 3 5 2 2" xfId="41443" xr:uid="{3BD550AA-1334-47A0-AE64-91D4AF7A8E15}"/>
    <cellStyle name="40% - Accent6 11 3 5 3" xfId="25547" xr:uid="{00000000-0005-0000-0000-0000214E0000}"/>
    <cellStyle name="40% - Accent6 11 3 5 3 2" xfId="49379" xr:uid="{46B45D6F-5E71-4F01-9921-D58D24C3426E}"/>
    <cellStyle name="40% - Accent6 11 3 5 4" xfId="33502" xr:uid="{ABEEA01B-6FAE-43AB-9D16-BE9FBECD96E1}"/>
    <cellStyle name="40% - Accent6 11 3 6" xfId="10541" xr:uid="{00000000-0005-0000-0000-0000224E0000}"/>
    <cellStyle name="40% - Accent6 11 3 6 2" xfId="34390" xr:uid="{DE6C507F-E39B-4CA2-9E71-DDC1FA8D1B4D}"/>
    <cellStyle name="40% - Accent6 11 3 7" xfId="18496" xr:uid="{00000000-0005-0000-0000-0000234E0000}"/>
    <cellStyle name="40% - Accent6 11 3 7 2" xfId="42328" xr:uid="{803372EB-9501-4212-B2FB-CE3F5E16FC5B}"/>
    <cellStyle name="40% - Accent6 11 3 8" xfId="26448" xr:uid="{0DD8FB62-EE63-489B-BAA6-227C788B1AC5}"/>
    <cellStyle name="40% - Accent6 11 3_Exh G" xfId="3318" xr:uid="{00000000-0005-0000-0000-0000244E0000}"/>
    <cellStyle name="40% - Accent6 11 4" xfId="1618" xr:uid="{00000000-0005-0000-0000-0000254E0000}"/>
    <cellStyle name="40% - Accent6 11 4 2" xfId="5148" xr:uid="{00000000-0005-0000-0000-0000264E0000}"/>
    <cellStyle name="40% - Accent6 11 4 2 2" xfId="8739" xr:uid="{00000000-0005-0000-0000-0000274E0000}"/>
    <cellStyle name="40% - Accent6 11 4 2 2 2" xfId="16710" xr:uid="{00000000-0005-0000-0000-0000284E0000}"/>
    <cellStyle name="40% - Accent6 11 4 2 2 2 2" xfId="40552" xr:uid="{696B0F06-2263-4974-820E-0D53C62326E7}"/>
    <cellStyle name="40% - Accent6 11 4 2 2 3" xfId="24656" xr:uid="{00000000-0005-0000-0000-0000294E0000}"/>
    <cellStyle name="40% - Accent6 11 4 2 2 3 2" xfId="48488" xr:uid="{01A03CA7-87DB-4162-A019-FF4768B5A114}"/>
    <cellStyle name="40% - Accent6 11 4 2 2 4" xfId="32611" xr:uid="{C89F8E62-1AF1-49AB-9147-076BAED31278}"/>
    <cellStyle name="40% - Accent6 11 4 2 3" xfId="13172" xr:uid="{00000000-0005-0000-0000-00002A4E0000}"/>
    <cellStyle name="40% - Accent6 11 4 2 3 2" xfId="37021" xr:uid="{51445915-73D6-4226-9B9F-840F6F336012}"/>
    <cellStyle name="40% - Accent6 11 4 2 4" xfId="21127" xr:uid="{00000000-0005-0000-0000-00002B4E0000}"/>
    <cellStyle name="40% - Accent6 11 4 2 4 2" xfId="44959" xr:uid="{252AC84A-7435-4318-BAC2-F13C8D34EC61}"/>
    <cellStyle name="40% - Accent6 11 4 2 5" xfId="29080" xr:uid="{24777F3A-80A5-47B6-AFA6-FF281E4CFCD0}"/>
    <cellStyle name="40% - Accent6 11 4 3" xfId="6980" xr:uid="{00000000-0005-0000-0000-00002C4E0000}"/>
    <cellStyle name="40% - Accent6 11 4 3 2" xfId="14952" xr:uid="{00000000-0005-0000-0000-00002D4E0000}"/>
    <cellStyle name="40% - Accent6 11 4 3 2 2" xfId="38794" xr:uid="{45004ADF-3B4C-49B6-AC31-5C35A941BC9D}"/>
    <cellStyle name="40% - Accent6 11 4 3 3" xfId="22899" xr:uid="{00000000-0005-0000-0000-00002E4E0000}"/>
    <cellStyle name="40% - Accent6 11 4 3 3 2" xfId="46731" xr:uid="{6C9683B1-8FC9-43BB-9C05-AE01D9266F6E}"/>
    <cellStyle name="40% - Accent6 11 4 3 4" xfId="30853" xr:uid="{2D94B5E9-E4CA-4842-9BCB-4A120CD792C8}"/>
    <cellStyle name="40% - Accent6 11 4 4" xfId="11416" xr:uid="{00000000-0005-0000-0000-00002F4E0000}"/>
    <cellStyle name="40% - Accent6 11 4 4 2" xfId="35265" xr:uid="{FC5C1E47-7BB2-49D4-A3D0-D5F60819A92B}"/>
    <cellStyle name="40% - Accent6 11 4 5" xfId="19371" xr:uid="{00000000-0005-0000-0000-0000304E0000}"/>
    <cellStyle name="40% - Accent6 11 4 5 2" xfId="43203" xr:uid="{E2628E14-2B86-4E63-BF0F-D95426E69D3C}"/>
    <cellStyle name="40% - Accent6 11 4 6" xfId="27323" xr:uid="{62A5A8B7-D09D-40AD-A05F-7853C8C3751B}"/>
    <cellStyle name="40% - Accent6 11 4_Exh G" xfId="3320" xr:uid="{00000000-0005-0000-0000-0000314E0000}"/>
    <cellStyle name="40% - Accent6 11 5" xfId="4269" xr:uid="{00000000-0005-0000-0000-0000324E0000}"/>
    <cellStyle name="40% - Accent6 11 5 2" xfId="7861" xr:uid="{00000000-0005-0000-0000-0000334E0000}"/>
    <cellStyle name="40% - Accent6 11 5 2 2" xfId="15832" xr:uid="{00000000-0005-0000-0000-0000344E0000}"/>
    <cellStyle name="40% - Accent6 11 5 2 2 2" xfId="39674" xr:uid="{E88FE910-F19B-42A7-975E-C790BCA2F2D3}"/>
    <cellStyle name="40% - Accent6 11 5 2 3" xfId="23778" xr:uid="{00000000-0005-0000-0000-0000354E0000}"/>
    <cellStyle name="40% - Accent6 11 5 2 3 2" xfId="47610" xr:uid="{5C4A288D-7A6A-4FFA-8AD5-382C02C1C98F}"/>
    <cellStyle name="40% - Accent6 11 5 2 4" xfId="31733" xr:uid="{EC47CDCC-63FD-4415-9A92-1967502E2EE8}"/>
    <cellStyle name="40% - Accent6 11 5 3" xfId="12294" xr:uid="{00000000-0005-0000-0000-0000364E0000}"/>
    <cellStyle name="40% - Accent6 11 5 3 2" xfId="36143" xr:uid="{6C09CCA7-6EB9-4871-8FD3-0FE7D0A3AD63}"/>
    <cellStyle name="40% - Accent6 11 5 4" xfId="20249" xr:uid="{00000000-0005-0000-0000-0000374E0000}"/>
    <cellStyle name="40% - Accent6 11 5 4 2" xfId="44081" xr:uid="{9FBA9EB3-6C32-4D28-B7D5-3EBA29991034}"/>
    <cellStyle name="40% - Accent6 11 5 5" xfId="28202" xr:uid="{D75D7011-24F6-48DC-921D-A33BB46DAC1D}"/>
    <cellStyle name="40% - Accent6 11 6" xfId="6089" xr:uid="{00000000-0005-0000-0000-0000384E0000}"/>
    <cellStyle name="40% - Accent6 11 6 2" xfId="14073" xr:uid="{00000000-0005-0000-0000-0000394E0000}"/>
    <cellStyle name="40% - Accent6 11 6 2 2" xfId="37916" xr:uid="{1E3396C9-F950-49C9-BFD3-24B5E48354F7}"/>
    <cellStyle name="40% - Accent6 11 6 3" xfId="22021" xr:uid="{00000000-0005-0000-0000-00003A4E0000}"/>
    <cellStyle name="40% - Accent6 11 6 3 2" xfId="45853" xr:uid="{DA1DF59F-1A1B-48F8-B84E-48AC73482200}"/>
    <cellStyle name="40% - Accent6 11 6 4" xfId="29975" xr:uid="{DAE70194-7C88-4DDF-B07B-913A55D04E0D}"/>
    <cellStyle name="40% - Accent6 11 7" xfId="9642" xr:uid="{00000000-0005-0000-0000-00003B4E0000}"/>
    <cellStyle name="40% - Accent6 11 7 2" xfId="17600" xr:uid="{00000000-0005-0000-0000-00003C4E0000}"/>
    <cellStyle name="40% - Accent6 11 7 2 2" xfId="41440" xr:uid="{3F008CEA-A3BC-47A8-8224-3B4BC80FFE85}"/>
    <cellStyle name="40% - Accent6 11 7 3" xfId="25544" xr:uid="{00000000-0005-0000-0000-00003D4E0000}"/>
    <cellStyle name="40% - Accent6 11 7 3 2" xfId="49376" xr:uid="{AA452C3E-D462-4A49-AFC2-A5D000B28027}"/>
    <cellStyle name="40% - Accent6 11 7 4" xfId="33499" xr:uid="{154529C9-3383-4041-B8D4-928E71B6DDBA}"/>
    <cellStyle name="40% - Accent6 11 8" xfId="10538" xr:uid="{00000000-0005-0000-0000-00003E4E0000}"/>
    <cellStyle name="40% - Accent6 11 8 2" xfId="34387" xr:uid="{CD06679E-49EC-42E4-B5A7-2A4858135C8E}"/>
    <cellStyle name="40% - Accent6 11 9" xfId="18493" xr:uid="{00000000-0005-0000-0000-00003F4E0000}"/>
    <cellStyle name="40% - Accent6 11 9 2" xfId="42325" xr:uid="{AA2EA53C-4866-41EA-B468-134DC39CA57A}"/>
    <cellStyle name="40% - Accent6 11_Exh G" xfId="3313" xr:uid="{00000000-0005-0000-0000-0000404E0000}"/>
    <cellStyle name="40% - Accent6 12" xfId="594" xr:uid="{00000000-0005-0000-0000-0000414E0000}"/>
    <cellStyle name="40% - Accent6 12 10" xfId="26449" xr:uid="{838669D4-E039-426D-BB80-31960C534BE0}"/>
    <cellStyle name="40% - Accent6 12 2" xfId="595" xr:uid="{00000000-0005-0000-0000-0000424E0000}"/>
    <cellStyle name="40% - Accent6 12 2 2" xfId="596" xr:uid="{00000000-0005-0000-0000-0000434E0000}"/>
    <cellStyle name="40% - Accent6 12 2 2 2" xfId="1624" xr:uid="{00000000-0005-0000-0000-0000444E0000}"/>
    <cellStyle name="40% - Accent6 12 2 2 2 2" xfId="5154" xr:uid="{00000000-0005-0000-0000-0000454E0000}"/>
    <cellStyle name="40% - Accent6 12 2 2 2 2 2" xfId="8745" xr:uid="{00000000-0005-0000-0000-0000464E0000}"/>
    <cellStyle name="40% - Accent6 12 2 2 2 2 2 2" xfId="16716" xr:uid="{00000000-0005-0000-0000-0000474E0000}"/>
    <cellStyle name="40% - Accent6 12 2 2 2 2 2 2 2" xfId="40558" xr:uid="{C903B7D4-DD60-4FCF-9811-117298C28414}"/>
    <cellStyle name="40% - Accent6 12 2 2 2 2 2 3" xfId="24662" xr:uid="{00000000-0005-0000-0000-0000484E0000}"/>
    <cellStyle name="40% - Accent6 12 2 2 2 2 2 3 2" xfId="48494" xr:uid="{F511C493-C576-4D17-8B64-EDD01764CF91}"/>
    <cellStyle name="40% - Accent6 12 2 2 2 2 2 4" xfId="32617" xr:uid="{8412EB2D-BA62-432E-8F06-B6522FAC5EBF}"/>
    <cellStyle name="40% - Accent6 12 2 2 2 2 3" xfId="13178" xr:uid="{00000000-0005-0000-0000-0000494E0000}"/>
    <cellStyle name="40% - Accent6 12 2 2 2 2 3 2" xfId="37027" xr:uid="{AD47CC54-959E-4F6B-808C-1A3E54ED4011}"/>
    <cellStyle name="40% - Accent6 12 2 2 2 2 4" xfId="21133" xr:uid="{00000000-0005-0000-0000-00004A4E0000}"/>
    <cellStyle name="40% - Accent6 12 2 2 2 2 4 2" xfId="44965" xr:uid="{929AABBE-1A0D-453F-A78C-5FF01F6472D9}"/>
    <cellStyle name="40% - Accent6 12 2 2 2 2 5" xfId="29086" xr:uid="{771EC530-3D90-4513-8969-CFE89C55B1B4}"/>
    <cellStyle name="40% - Accent6 12 2 2 2 3" xfId="6986" xr:uid="{00000000-0005-0000-0000-00004B4E0000}"/>
    <cellStyle name="40% - Accent6 12 2 2 2 3 2" xfId="14958" xr:uid="{00000000-0005-0000-0000-00004C4E0000}"/>
    <cellStyle name="40% - Accent6 12 2 2 2 3 2 2" xfId="38800" xr:uid="{CD32904B-188A-4D27-9697-0D2E225B1E90}"/>
    <cellStyle name="40% - Accent6 12 2 2 2 3 3" xfId="22905" xr:uid="{00000000-0005-0000-0000-00004D4E0000}"/>
    <cellStyle name="40% - Accent6 12 2 2 2 3 3 2" xfId="46737" xr:uid="{1AA49533-1F92-4A79-90BE-25258EB4CA8C}"/>
    <cellStyle name="40% - Accent6 12 2 2 2 3 4" xfId="30859" xr:uid="{5B38EC1B-FE48-4EAA-A6AA-57F6EC2866EA}"/>
    <cellStyle name="40% - Accent6 12 2 2 2 4" xfId="11422" xr:uid="{00000000-0005-0000-0000-00004E4E0000}"/>
    <cellStyle name="40% - Accent6 12 2 2 2 4 2" xfId="35271" xr:uid="{35271EDA-D142-46F7-BD2E-6B415A3489E2}"/>
    <cellStyle name="40% - Accent6 12 2 2 2 5" xfId="19377" xr:uid="{00000000-0005-0000-0000-00004F4E0000}"/>
    <cellStyle name="40% - Accent6 12 2 2 2 5 2" xfId="43209" xr:uid="{8ADF4032-F31B-42AE-832B-740BD195BD86}"/>
    <cellStyle name="40% - Accent6 12 2 2 2 6" xfId="27329" xr:uid="{79094F44-CB67-45E9-9143-CAFB296989B4}"/>
    <cellStyle name="40% - Accent6 12 2 2 2_Exh G" xfId="3324" xr:uid="{00000000-0005-0000-0000-0000504E0000}"/>
    <cellStyle name="40% - Accent6 12 2 2 3" xfId="4275" xr:uid="{00000000-0005-0000-0000-0000514E0000}"/>
    <cellStyle name="40% - Accent6 12 2 2 3 2" xfId="7867" xr:uid="{00000000-0005-0000-0000-0000524E0000}"/>
    <cellStyle name="40% - Accent6 12 2 2 3 2 2" xfId="15838" xr:uid="{00000000-0005-0000-0000-0000534E0000}"/>
    <cellStyle name="40% - Accent6 12 2 2 3 2 2 2" xfId="39680" xr:uid="{BC1B86D1-C84D-4C55-AB24-8B7C2B9EBA6A}"/>
    <cellStyle name="40% - Accent6 12 2 2 3 2 3" xfId="23784" xr:uid="{00000000-0005-0000-0000-0000544E0000}"/>
    <cellStyle name="40% - Accent6 12 2 2 3 2 3 2" xfId="47616" xr:uid="{C8175389-33AF-480A-8AD6-12DE91BC4FC3}"/>
    <cellStyle name="40% - Accent6 12 2 2 3 2 4" xfId="31739" xr:uid="{C912A2F6-97D2-43B7-B1A5-86E35230F411}"/>
    <cellStyle name="40% - Accent6 12 2 2 3 3" xfId="12300" xr:uid="{00000000-0005-0000-0000-0000554E0000}"/>
    <cellStyle name="40% - Accent6 12 2 2 3 3 2" xfId="36149" xr:uid="{19B230C9-5277-411E-9FF9-5A9C4D2BD52B}"/>
    <cellStyle name="40% - Accent6 12 2 2 3 4" xfId="20255" xr:uid="{00000000-0005-0000-0000-0000564E0000}"/>
    <cellStyle name="40% - Accent6 12 2 2 3 4 2" xfId="44087" xr:uid="{736BE086-2DD1-4EE6-A8B3-968CCC9AE958}"/>
    <cellStyle name="40% - Accent6 12 2 2 3 5" xfId="28208" xr:uid="{DAFB93FC-AC47-4189-A0B4-1CFE6DBAF831}"/>
    <cellStyle name="40% - Accent6 12 2 2 4" xfId="6095" xr:uid="{00000000-0005-0000-0000-0000574E0000}"/>
    <cellStyle name="40% - Accent6 12 2 2 4 2" xfId="14079" xr:uid="{00000000-0005-0000-0000-0000584E0000}"/>
    <cellStyle name="40% - Accent6 12 2 2 4 2 2" xfId="37922" xr:uid="{1AD9F2F7-98F1-4DDA-8915-936AE89552EF}"/>
    <cellStyle name="40% - Accent6 12 2 2 4 3" xfId="22027" xr:uid="{00000000-0005-0000-0000-0000594E0000}"/>
    <cellStyle name="40% - Accent6 12 2 2 4 3 2" xfId="45859" xr:uid="{CD130710-E485-4C9F-80E0-B9D14471B363}"/>
    <cellStyle name="40% - Accent6 12 2 2 4 4" xfId="29981" xr:uid="{A7364623-9903-4E9C-9E72-316A00CE1A7B}"/>
    <cellStyle name="40% - Accent6 12 2 2 5" xfId="9648" xr:uid="{00000000-0005-0000-0000-00005A4E0000}"/>
    <cellStyle name="40% - Accent6 12 2 2 5 2" xfId="17606" xr:uid="{00000000-0005-0000-0000-00005B4E0000}"/>
    <cellStyle name="40% - Accent6 12 2 2 5 2 2" xfId="41446" xr:uid="{7ED82BA8-2756-4793-BD82-135723B5E63F}"/>
    <cellStyle name="40% - Accent6 12 2 2 5 3" xfId="25550" xr:uid="{00000000-0005-0000-0000-00005C4E0000}"/>
    <cellStyle name="40% - Accent6 12 2 2 5 3 2" xfId="49382" xr:uid="{C0BE43A8-4B9D-4B72-84E9-5B3E4E0DAE60}"/>
    <cellStyle name="40% - Accent6 12 2 2 5 4" xfId="33505" xr:uid="{D930F811-ECF1-4294-A516-048AE53C6165}"/>
    <cellStyle name="40% - Accent6 12 2 2 6" xfId="10544" xr:uid="{00000000-0005-0000-0000-00005D4E0000}"/>
    <cellStyle name="40% - Accent6 12 2 2 6 2" xfId="34393" xr:uid="{1174482C-47D5-4649-BAB5-383F9277FA94}"/>
    <cellStyle name="40% - Accent6 12 2 2 7" xfId="18499" xr:uid="{00000000-0005-0000-0000-00005E4E0000}"/>
    <cellStyle name="40% - Accent6 12 2 2 7 2" xfId="42331" xr:uid="{FC14F1FD-9B91-45B9-9A62-78B16EFFC07F}"/>
    <cellStyle name="40% - Accent6 12 2 2 8" xfId="26451" xr:uid="{60B79F44-A83B-4DD8-A850-900A3A2E9D42}"/>
    <cellStyle name="40% - Accent6 12 2 2_Exh G" xfId="3323" xr:uid="{00000000-0005-0000-0000-00005F4E0000}"/>
    <cellStyle name="40% - Accent6 12 2 3" xfId="1623" xr:uid="{00000000-0005-0000-0000-0000604E0000}"/>
    <cellStyle name="40% - Accent6 12 2 3 2" xfId="5153" xr:uid="{00000000-0005-0000-0000-0000614E0000}"/>
    <cellStyle name="40% - Accent6 12 2 3 2 2" xfId="8744" xr:uid="{00000000-0005-0000-0000-0000624E0000}"/>
    <cellStyle name="40% - Accent6 12 2 3 2 2 2" xfId="16715" xr:uid="{00000000-0005-0000-0000-0000634E0000}"/>
    <cellStyle name="40% - Accent6 12 2 3 2 2 2 2" xfId="40557" xr:uid="{6AA8C190-2301-4189-AEAE-416B2CC0BF4D}"/>
    <cellStyle name="40% - Accent6 12 2 3 2 2 3" xfId="24661" xr:uid="{00000000-0005-0000-0000-0000644E0000}"/>
    <cellStyle name="40% - Accent6 12 2 3 2 2 3 2" xfId="48493" xr:uid="{D4218ACF-C178-4416-BA0F-3E4FDB8B7FD5}"/>
    <cellStyle name="40% - Accent6 12 2 3 2 2 4" xfId="32616" xr:uid="{CAEACF78-B1FC-4C0A-9529-909CC50BF87C}"/>
    <cellStyle name="40% - Accent6 12 2 3 2 3" xfId="13177" xr:uid="{00000000-0005-0000-0000-0000654E0000}"/>
    <cellStyle name="40% - Accent6 12 2 3 2 3 2" xfId="37026" xr:uid="{67DFA8D8-C22A-49AD-9D02-D5B5CA85E025}"/>
    <cellStyle name="40% - Accent6 12 2 3 2 4" xfId="21132" xr:uid="{00000000-0005-0000-0000-0000664E0000}"/>
    <cellStyle name="40% - Accent6 12 2 3 2 4 2" xfId="44964" xr:uid="{A80DBBBA-125D-4A20-BAEE-D3A40BDDFDC6}"/>
    <cellStyle name="40% - Accent6 12 2 3 2 5" xfId="29085" xr:uid="{334AB455-0E2D-4272-B379-2F3F5442779D}"/>
    <cellStyle name="40% - Accent6 12 2 3 3" xfId="6985" xr:uid="{00000000-0005-0000-0000-0000674E0000}"/>
    <cellStyle name="40% - Accent6 12 2 3 3 2" xfId="14957" xr:uid="{00000000-0005-0000-0000-0000684E0000}"/>
    <cellStyle name="40% - Accent6 12 2 3 3 2 2" xfId="38799" xr:uid="{EDD819BD-2BD2-4921-A1AF-BE59629EBEF1}"/>
    <cellStyle name="40% - Accent6 12 2 3 3 3" xfId="22904" xr:uid="{00000000-0005-0000-0000-0000694E0000}"/>
    <cellStyle name="40% - Accent6 12 2 3 3 3 2" xfId="46736" xr:uid="{32CB583D-FE73-42A8-9095-97C41787B343}"/>
    <cellStyle name="40% - Accent6 12 2 3 3 4" xfId="30858" xr:uid="{56F2F341-F1D0-496D-8AC4-0481B8E0D3FF}"/>
    <cellStyle name="40% - Accent6 12 2 3 4" xfId="11421" xr:uid="{00000000-0005-0000-0000-00006A4E0000}"/>
    <cellStyle name="40% - Accent6 12 2 3 4 2" xfId="35270" xr:uid="{B23016A5-D426-4EC6-BB9E-7C72E445A1B9}"/>
    <cellStyle name="40% - Accent6 12 2 3 5" xfId="19376" xr:uid="{00000000-0005-0000-0000-00006B4E0000}"/>
    <cellStyle name="40% - Accent6 12 2 3 5 2" xfId="43208" xr:uid="{1B259A7D-D47F-4844-9307-D1E849C543CE}"/>
    <cellStyle name="40% - Accent6 12 2 3 6" xfId="27328" xr:uid="{83338F7C-B3DF-415B-AD29-64896311A037}"/>
    <cellStyle name="40% - Accent6 12 2 3_Exh G" xfId="3325" xr:uid="{00000000-0005-0000-0000-00006C4E0000}"/>
    <cellStyle name="40% - Accent6 12 2 4" xfId="4274" xr:uid="{00000000-0005-0000-0000-00006D4E0000}"/>
    <cellStyle name="40% - Accent6 12 2 4 2" xfId="7866" xr:uid="{00000000-0005-0000-0000-00006E4E0000}"/>
    <cellStyle name="40% - Accent6 12 2 4 2 2" xfId="15837" xr:uid="{00000000-0005-0000-0000-00006F4E0000}"/>
    <cellStyle name="40% - Accent6 12 2 4 2 2 2" xfId="39679" xr:uid="{B604F74A-D90B-4653-A928-B54CABF76BFB}"/>
    <cellStyle name="40% - Accent6 12 2 4 2 3" xfId="23783" xr:uid="{00000000-0005-0000-0000-0000704E0000}"/>
    <cellStyle name="40% - Accent6 12 2 4 2 3 2" xfId="47615" xr:uid="{AB26A4BE-08F4-4E49-9EAA-17CF0BD65471}"/>
    <cellStyle name="40% - Accent6 12 2 4 2 4" xfId="31738" xr:uid="{CCBC793D-B8E6-4479-937B-B01A7F943A51}"/>
    <cellStyle name="40% - Accent6 12 2 4 3" xfId="12299" xr:uid="{00000000-0005-0000-0000-0000714E0000}"/>
    <cellStyle name="40% - Accent6 12 2 4 3 2" xfId="36148" xr:uid="{C0BB5CBA-5BAB-4689-AE3A-BDC55BBEE174}"/>
    <cellStyle name="40% - Accent6 12 2 4 4" xfId="20254" xr:uid="{00000000-0005-0000-0000-0000724E0000}"/>
    <cellStyle name="40% - Accent6 12 2 4 4 2" xfId="44086" xr:uid="{DEEA99DA-371A-4EC7-B48A-1B395DAB1D9B}"/>
    <cellStyle name="40% - Accent6 12 2 4 5" xfId="28207" xr:uid="{460F1B8E-9C0C-48C5-88BF-EDBCEA1BA08B}"/>
    <cellStyle name="40% - Accent6 12 2 5" xfId="6094" xr:uid="{00000000-0005-0000-0000-0000734E0000}"/>
    <cellStyle name="40% - Accent6 12 2 5 2" xfId="14078" xr:uid="{00000000-0005-0000-0000-0000744E0000}"/>
    <cellStyle name="40% - Accent6 12 2 5 2 2" xfId="37921" xr:uid="{EDF6898F-808F-4A36-AA0B-55A7FC7F24F6}"/>
    <cellStyle name="40% - Accent6 12 2 5 3" xfId="22026" xr:uid="{00000000-0005-0000-0000-0000754E0000}"/>
    <cellStyle name="40% - Accent6 12 2 5 3 2" xfId="45858" xr:uid="{B700D6DF-EBCD-45AD-83FA-FD4EE37F9F80}"/>
    <cellStyle name="40% - Accent6 12 2 5 4" xfId="29980" xr:uid="{6E6B8193-05AC-4B98-B314-605076D2FABB}"/>
    <cellStyle name="40% - Accent6 12 2 6" xfId="9647" xr:uid="{00000000-0005-0000-0000-0000764E0000}"/>
    <cellStyle name="40% - Accent6 12 2 6 2" xfId="17605" xr:uid="{00000000-0005-0000-0000-0000774E0000}"/>
    <cellStyle name="40% - Accent6 12 2 6 2 2" xfId="41445" xr:uid="{D2F54594-532D-44AE-B952-ACA3927FC91B}"/>
    <cellStyle name="40% - Accent6 12 2 6 3" xfId="25549" xr:uid="{00000000-0005-0000-0000-0000784E0000}"/>
    <cellStyle name="40% - Accent6 12 2 6 3 2" xfId="49381" xr:uid="{2675CA8C-CDE2-423B-81C1-CB254A688ABD}"/>
    <cellStyle name="40% - Accent6 12 2 6 4" xfId="33504" xr:uid="{EE0C75CC-DEDB-4AF7-9151-16299E7FBD30}"/>
    <cellStyle name="40% - Accent6 12 2 7" xfId="10543" xr:uid="{00000000-0005-0000-0000-0000794E0000}"/>
    <cellStyle name="40% - Accent6 12 2 7 2" xfId="34392" xr:uid="{9BC2FC3F-6D65-4F56-8E5C-C99782D2F3CD}"/>
    <cellStyle name="40% - Accent6 12 2 8" xfId="18498" xr:uid="{00000000-0005-0000-0000-00007A4E0000}"/>
    <cellStyle name="40% - Accent6 12 2 8 2" xfId="42330" xr:uid="{7E45734B-7C15-4000-8652-55A7F1A35CD5}"/>
    <cellStyle name="40% - Accent6 12 2 9" xfId="26450" xr:uid="{779D421B-7213-48EC-805D-4F21AF7219A0}"/>
    <cellStyle name="40% - Accent6 12 2_Exh G" xfId="3322" xr:uid="{00000000-0005-0000-0000-00007B4E0000}"/>
    <cellStyle name="40% - Accent6 12 3" xfId="597" xr:uid="{00000000-0005-0000-0000-00007C4E0000}"/>
    <cellStyle name="40% - Accent6 12 3 2" xfId="1625" xr:uid="{00000000-0005-0000-0000-00007D4E0000}"/>
    <cellStyle name="40% - Accent6 12 3 2 2" xfId="5155" xr:uid="{00000000-0005-0000-0000-00007E4E0000}"/>
    <cellStyle name="40% - Accent6 12 3 2 2 2" xfId="8746" xr:uid="{00000000-0005-0000-0000-00007F4E0000}"/>
    <cellStyle name="40% - Accent6 12 3 2 2 2 2" xfId="16717" xr:uid="{00000000-0005-0000-0000-0000804E0000}"/>
    <cellStyle name="40% - Accent6 12 3 2 2 2 2 2" xfId="40559" xr:uid="{AF9F1937-D4C7-4CB5-B866-2A1741793F8C}"/>
    <cellStyle name="40% - Accent6 12 3 2 2 2 3" xfId="24663" xr:uid="{00000000-0005-0000-0000-0000814E0000}"/>
    <cellStyle name="40% - Accent6 12 3 2 2 2 3 2" xfId="48495" xr:uid="{B1B2E8C0-E977-4479-A96A-18B224F12F04}"/>
    <cellStyle name="40% - Accent6 12 3 2 2 2 4" xfId="32618" xr:uid="{DFA9E4F6-38DF-4A4B-9513-37DA84089FD9}"/>
    <cellStyle name="40% - Accent6 12 3 2 2 3" xfId="13179" xr:uid="{00000000-0005-0000-0000-0000824E0000}"/>
    <cellStyle name="40% - Accent6 12 3 2 2 3 2" xfId="37028" xr:uid="{88767EA5-EF8A-4209-ABC5-7A38C65DC1C1}"/>
    <cellStyle name="40% - Accent6 12 3 2 2 4" xfId="21134" xr:uid="{00000000-0005-0000-0000-0000834E0000}"/>
    <cellStyle name="40% - Accent6 12 3 2 2 4 2" xfId="44966" xr:uid="{B8187AA5-F9AC-45E2-9549-C583B4E498A9}"/>
    <cellStyle name="40% - Accent6 12 3 2 2 5" xfId="29087" xr:uid="{FC662CD0-3031-4637-9A41-234F72D75CB9}"/>
    <cellStyle name="40% - Accent6 12 3 2 3" xfId="6987" xr:uid="{00000000-0005-0000-0000-0000844E0000}"/>
    <cellStyle name="40% - Accent6 12 3 2 3 2" xfId="14959" xr:uid="{00000000-0005-0000-0000-0000854E0000}"/>
    <cellStyle name="40% - Accent6 12 3 2 3 2 2" xfId="38801" xr:uid="{37EB941C-8467-41B3-905F-A72CF357F9BE}"/>
    <cellStyle name="40% - Accent6 12 3 2 3 3" xfId="22906" xr:uid="{00000000-0005-0000-0000-0000864E0000}"/>
    <cellStyle name="40% - Accent6 12 3 2 3 3 2" xfId="46738" xr:uid="{22E938C8-083D-40BC-B871-0A4CF9F596E8}"/>
    <cellStyle name="40% - Accent6 12 3 2 3 4" xfId="30860" xr:uid="{BA22233D-45BC-4025-B991-30C03019589D}"/>
    <cellStyle name="40% - Accent6 12 3 2 4" xfId="11423" xr:uid="{00000000-0005-0000-0000-0000874E0000}"/>
    <cellStyle name="40% - Accent6 12 3 2 4 2" xfId="35272" xr:uid="{7BD8FB5F-521B-47A9-B5ED-124C8570CF6D}"/>
    <cellStyle name="40% - Accent6 12 3 2 5" xfId="19378" xr:uid="{00000000-0005-0000-0000-0000884E0000}"/>
    <cellStyle name="40% - Accent6 12 3 2 5 2" xfId="43210" xr:uid="{26F2FB4F-7F36-40A9-B306-68993E6512EC}"/>
    <cellStyle name="40% - Accent6 12 3 2 6" xfId="27330" xr:uid="{CC59A57A-B85E-4041-B73C-2A70B7841C52}"/>
    <cellStyle name="40% - Accent6 12 3 2_Exh G" xfId="3327" xr:uid="{00000000-0005-0000-0000-0000894E0000}"/>
    <cellStyle name="40% - Accent6 12 3 3" xfId="4276" xr:uid="{00000000-0005-0000-0000-00008A4E0000}"/>
    <cellStyle name="40% - Accent6 12 3 3 2" xfId="7868" xr:uid="{00000000-0005-0000-0000-00008B4E0000}"/>
    <cellStyle name="40% - Accent6 12 3 3 2 2" xfId="15839" xr:uid="{00000000-0005-0000-0000-00008C4E0000}"/>
    <cellStyle name="40% - Accent6 12 3 3 2 2 2" xfId="39681" xr:uid="{31963C68-E3B3-4D53-8394-1BD2ACDC1E29}"/>
    <cellStyle name="40% - Accent6 12 3 3 2 3" xfId="23785" xr:uid="{00000000-0005-0000-0000-00008D4E0000}"/>
    <cellStyle name="40% - Accent6 12 3 3 2 3 2" xfId="47617" xr:uid="{7D16B79A-C184-4060-AC4A-712741A557D4}"/>
    <cellStyle name="40% - Accent6 12 3 3 2 4" xfId="31740" xr:uid="{927A3AC6-5793-40D7-BBBF-55D4BCA2562A}"/>
    <cellStyle name="40% - Accent6 12 3 3 3" xfId="12301" xr:uid="{00000000-0005-0000-0000-00008E4E0000}"/>
    <cellStyle name="40% - Accent6 12 3 3 3 2" xfId="36150" xr:uid="{DFDAC0FE-A652-4BBC-BABA-5FFAE046DCA0}"/>
    <cellStyle name="40% - Accent6 12 3 3 4" xfId="20256" xr:uid="{00000000-0005-0000-0000-00008F4E0000}"/>
    <cellStyle name="40% - Accent6 12 3 3 4 2" xfId="44088" xr:uid="{BDF78CC8-7EAD-4A70-B38B-C9F9DB34D3D8}"/>
    <cellStyle name="40% - Accent6 12 3 3 5" xfId="28209" xr:uid="{C48F767F-1224-4CFB-9B5B-748913120676}"/>
    <cellStyle name="40% - Accent6 12 3 4" xfId="6096" xr:uid="{00000000-0005-0000-0000-0000904E0000}"/>
    <cellStyle name="40% - Accent6 12 3 4 2" xfId="14080" xr:uid="{00000000-0005-0000-0000-0000914E0000}"/>
    <cellStyle name="40% - Accent6 12 3 4 2 2" xfId="37923" xr:uid="{BEF52A95-35BA-4944-9AE4-645E833211DD}"/>
    <cellStyle name="40% - Accent6 12 3 4 3" xfId="22028" xr:uid="{00000000-0005-0000-0000-0000924E0000}"/>
    <cellStyle name="40% - Accent6 12 3 4 3 2" xfId="45860" xr:uid="{3D87E29C-3E18-4173-BF86-FA173F8EB80C}"/>
    <cellStyle name="40% - Accent6 12 3 4 4" xfId="29982" xr:uid="{656F6EA9-D178-45BA-904D-2D3147103032}"/>
    <cellStyle name="40% - Accent6 12 3 5" xfId="9649" xr:uid="{00000000-0005-0000-0000-0000934E0000}"/>
    <cellStyle name="40% - Accent6 12 3 5 2" xfId="17607" xr:uid="{00000000-0005-0000-0000-0000944E0000}"/>
    <cellStyle name="40% - Accent6 12 3 5 2 2" xfId="41447" xr:uid="{2D37AD5D-1909-419B-B482-49AC25BE10C5}"/>
    <cellStyle name="40% - Accent6 12 3 5 3" xfId="25551" xr:uid="{00000000-0005-0000-0000-0000954E0000}"/>
    <cellStyle name="40% - Accent6 12 3 5 3 2" xfId="49383" xr:uid="{CCB5D460-CF55-4CAD-AAA8-867FCB0CD895}"/>
    <cellStyle name="40% - Accent6 12 3 5 4" xfId="33506" xr:uid="{6507054F-C4D2-4840-9275-2DDCA9698A8E}"/>
    <cellStyle name="40% - Accent6 12 3 6" xfId="10545" xr:uid="{00000000-0005-0000-0000-0000964E0000}"/>
    <cellStyle name="40% - Accent6 12 3 6 2" xfId="34394" xr:uid="{DF54314E-6892-4273-AB60-EEA6A997B844}"/>
    <cellStyle name="40% - Accent6 12 3 7" xfId="18500" xr:uid="{00000000-0005-0000-0000-0000974E0000}"/>
    <cellStyle name="40% - Accent6 12 3 7 2" xfId="42332" xr:uid="{9523C2CD-320A-4B9A-AFC6-9A764AF17C0B}"/>
    <cellStyle name="40% - Accent6 12 3 8" xfId="26452" xr:uid="{28BABC4E-B440-4C85-869D-624FE6B9D0D8}"/>
    <cellStyle name="40% - Accent6 12 3_Exh G" xfId="3326" xr:uid="{00000000-0005-0000-0000-0000984E0000}"/>
    <cellStyle name="40% - Accent6 12 4" xfId="1622" xr:uid="{00000000-0005-0000-0000-0000994E0000}"/>
    <cellStyle name="40% - Accent6 12 4 2" xfId="5152" xr:uid="{00000000-0005-0000-0000-00009A4E0000}"/>
    <cellStyle name="40% - Accent6 12 4 2 2" xfId="8743" xr:uid="{00000000-0005-0000-0000-00009B4E0000}"/>
    <cellStyle name="40% - Accent6 12 4 2 2 2" xfId="16714" xr:uid="{00000000-0005-0000-0000-00009C4E0000}"/>
    <cellStyle name="40% - Accent6 12 4 2 2 2 2" xfId="40556" xr:uid="{803D257E-7E12-4DF4-8F54-48664A03258D}"/>
    <cellStyle name="40% - Accent6 12 4 2 2 3" xfId="24660" xr:uid="{00000000-0005-0000-0000-00009D4E0000}"/>
    <cellStyle name="40% - Accent6 12 4 2 2 3 2" xfId="48492" xr:uid="{F797AD22-8B76-48D3-98AE-76BBE4784159}"/>
    <cellStyle name="40% - Accent6 12 4 2 2 4" xfId="32615" xr:uid="{275EAC53-C9E7-49A2-A712-455126F6FB3E}"/>
    <cellStyle name="40% - Accent6 12 4 2 3" xfId="13176" xr:uid="{00000000-0005-0000-0000-00009E4E0000}"/>
    <cellStyle name="40% - Accent6 12 4 2 3 2" xfId="37025" xr:uid="{10D16F25-D21A-4869-B985-B176667758C9}"/>
    <cellStyle name="40% - Accent6 12 4 2 4" xfId="21131" xr:uid="{00000000-0005-0000-0000-00009F4E0000}"/>
    <cellStyle name="40% - Accent6 12 4 2 4 2" xfId="44963" xr:uid="{B666E84A-AAC2-4FDD-86A0-01BC2A143CDC}"/>
    <cellStyle name="40% - Accent6 12 4 2 5" xfId="29084" xr:uid="{5A29F785-9036-4024-BB7E-BF610EED5B42}"/>
    <cellStyle name="40% - Accent6 12 4 3" xfId="6984" xr:uid="{00000000-0005-0000-0000-0000A04E0000}"/>
    <cellStyle name="40% - Accent6 12 4 3 2" xfId="14956" xr:uid="{00000000-0005-0000-0000-0000A14E0000}"/>
    <cellStyle name="40% - Accent6 12 4 3 2 2" xfId="38798" xr:uid="{07FDF0F0-B120-44D4-9C14-9689701B860B}"/>
    <cellStyle name="40% - Accent6 12 4 3 3" xfId="22903" xr:uid="{00000000-0005-0000-0000-0000A24E0000}"/>
    <cellStyle name="40% - Accent6 12 4 3 3 2" xfId="46735" xr:uid="{A08EB1B4-49EA-4E4A-BFDB-F627A4BD3F45}"/>
    <cellStyle name="40% - Accent6 12 4 3 4" xfId="30857" xr:uid="{5586122F-E3E7-41F9-8480-7F8E88730DA7}"/>
    <cellStyle name="40% - Accent6 12 4 4" xfId="11420" xr:uid="{00000000-0005-0000-0000-0000A34E0000}"/>
    <cellStyle name="40% - Accent6 12 4 4 2" xfId="35269" xr:uid="{4ABE757F-6295-4F2E-9950-0521578CF3F6}"/>
    <cellStyle name="40% - Accent6 12 4 5" xfId="19375" xr:uid="{00000000-0005-0000-0000-0000A44E0000}"/>
    <cellStyle name="40% - Accent6 12 4 5 2" xfId="43207" xr:uid="{3E990BF7-0920-4F38-806B-681CD4DA7FD6}"/>
    <cellStyle name="40% - Accent6 12 4 6" xfId="27327" xr:uid="{09219B32-2B38-4249-90A9-BA998C832343}"/>
    <cellStyle name="40% - Accent6 12 4_Exh G" xfId="3328" xr:uid="{00000000-0005-0000-0000-0000A54E0000}"/>
    <cellStyle name="40% - Accent6 12 5" xfId="4273" xr:uid="{00000000-0005-0000-0000-0000A64E0000}"/>
    <cellStyle name="40% - Accent6 12 5 2" xfId="7865" xr:uid="{00000000-0005-0000-0000-0000A74E0000}"/>
    <cellStyle name="40% - Accent6 12 5 2 2" xfId="15836" xr:uid="{00000000-0005-0000-0000-0000A84E0000}"/>
    <cellStyle name="40% - Accent6 12 5 2 2 2" xfId="39678" xr:uid="{6F292139-5F6A-4E2C-8099-A2E1F9660534}"/>
    <cellStyle name="40% - Accent6 12 5 2 3" xfId="23782" xr:uid="{00000000-0005-0000-0000-0000A94E0000}"/>
    <cellStyle name="40% - Accent6 12 5 2 3 2" xfId="47614" xr:uid="{44A4F26A-8786-49A9-8A73-BD67CA0836F7}"/>
    <cellStyle name="40% - Accent6 12 5 2 4" xfId="31737" xr:uid="{486BB3FF-23C6-42F1-A9C9-D7EDBC45446C}"/>
    <cellStyle name="40% - Accent6 12 5 3" xfId="12298" xr:uid="{00000000-0005-0000-0000-0000AA4E0000}"/>
    <cellStyle name="40% - Accent6 12 5 3 2" xfId="36147" xr:uid="{47D6E677-AC3F-46D6-8D6B-439B604B977B}"/>
    <cellStyle name="40% - Accent6 12 5 4" xfId="20253" xr:uid="{00000000-0005-0000-0000-0000AB4E0000}"/>
    <cellStyle name="40% - Accent6 12 5 4 2" xfId="44085" xr:uid="{69E590E1-5243-4B87-B925-7824A1956C16}"/>
    <cellStyle name="40% - Accent6 12 5 5" xfId="28206" xr:uid="{0B07C1BB-B18B-4A83-BDB7-587404CFBC55}"/>
    <cellStyle name="40% - Accent6 12 6" xfId="6093" xr:uid="{00000000-0005-0000-0000-0000AC4E0000}"/>
    <cellStyle name="40% - Accent6 12 6 2" xfId="14077" xr:uid="{00000000-0005-0000-0000-0000AD4E0000}"/>
    <cellStyle name="40% - Accent6 12 6 2 2" xfId="37920" xr:uid="{65688D79-1190-4AF4-A853-E38B9F5E0455}"/>
    <cellStyle name="40% - Accent6 12 6 3" xfId="22025" xr:uid="{00000000-0005-0000-0000-0000AE4E0000}"/>
    <cellStyle name="40% - Accent6 12 6 3 2" xfId="45857" xr:uid="{7AB81C59-0502-48E0-AA8A-59887CAD0401}"/>
    <cellStyle name="40% - Accent6 12 6 4" xfId="29979" xr:uid="{CBB2D579-52F7-478F-B8B7-6D3EB5597D51}"/>
    <cellStyle name="40% - Accent6 12 7" xfId="9646" xr:uid="{00000000-0005-0000-0000-0000AF4E0000}"/>
    <cellStyle name="40% - Accent6 12 7 2" xfId="17604" xr:uid="{00000000-0005-0000-0000-0000B04E0000}"/>
    <cellStyle name="40% - Accent6 12 7 2 2" xfId="41444" xr:uid="{7D55C233-E6E3-48CC-98E0-A9F68CF3EE4D}"/>
    <cellStyle name="40% - Accent6 12 7 3" xfId="25548" xr:uid="{00000000-0005-0000-0000-0000B14E0000}"/>
    <cellStyle name="40% - Accent6 12 7 3 2" xfId="49380" xr:uid="{B49DBB0A-3316-4CA1-9047-24B1260FE041}"/>
    <cellStyle name="40% - Accent6 12 7 4" xfId="33503" xr:uid="{3653BD26-F221-4C9D-86C1-4C6308369CF5}"/>
    <cellStyle name="40% - Accent6 12 8" xfId="10542" xr:uid="{00000000-0005-0000-0000-0000B24E0000}"/>
    <cellStyle name="40% - Accent6 12 8 2" xfId="34391" xr:uid="{1BA8D7EE-1483-43DE-83B8-B27F0545F6A6}"/>
    <cellStyle name="40% - Accent6 12 9" xfId="18497" xr:uid="{00000000-0005-0000-0000-0000B34E0000}"/>
    <cellStyle name="40% - Accent6 12 9 2" xfId="42329" xr:uid="{C22BC1ED-AE57-43AF-9E15-902386CAAC75}"/>
    <cellStyle name="40% - Accent6 12_Exh G" xfId="3321" xr:uid="{00000000-0005-0000-0000-0000B44E0000}"/>
    <cellStyle name="40% - Accent6 13" xfId="598" xr:uid="{00000000-0005-0000-0000-0000B54E0000}"/>
    <cellStyle name="40% - Accent6 13 10" xfId="26453" xr:uid="{BD8FF37D-1E8C-4B1A-99EB-01AB4C6172BB}"/>
    <cellStyle name="40% - Accent6 13 2" xfId="599" xr:uid="{00000000-0005-0000-0000-0000B64E0000}"/>
    <cellStyle name="40% - Accent6 13 2 2" xfId="600" xr:uid="{00000000-0005-0000-0000-0000B74E0000}"/>
    <cellStyle name="40% - Accent6 13 2 2 2" xfId="1628" xr:uid="{00000000-0005-0000-0000-0000B84E0000}"/>
    <cellStyle name="40% - Accent6 13 2 2 2 2" xfId="5158" xr:uid="{00000000-0005-0000-0000-0000B94E0000}"/>
    <cellStyle name="40% - Accent6 13 2 2 2 2 2" xfId="8749" xr:uid="{00000000-0005-0000-0000-0000BA4E0000}"/>
    <cellStyle name="40% - Accent6 13 2 2 2 2 2 2" xfId="16720" xr:uid="{00000000-0005-0000-0000-0000BB4E0000}"/>
    <cellStyle name="40% - Accent6 13 2 2 2 2 2 2 2" xfId="40562" xr:uid="{687EA56E-1FA6-483E-A77A-D695BA4019C7}"/>
    <cellStyle name="40% - Accent6 13 2 2 2 2 2 3" xfId="24666" xr:uid="{00000000-0005-0000-0000-0000BC4E0000}"/>
    <cellStyle name="40% - Accent6 13 2 2 2 2 2 3 2" xfId="48498" xr:uid="{BBF95A95-B010-48BE-A415-21C4A2F7817F}"/>
    <cellStyle name="40% - Accent6 13 2 2 2 2 2 4" xfId="32621" xr:uid="{9461BA1B-1C6E-45D4-A53F-D870B6C146DA}"/>
    <cellStyle name="40% - Accent6 13 2 2 2 2 3" xfId="13182" xr:uid="{00000000-0005-0000-0000-0000BD4E0000}"/>
    <cellStyle name="40% - Accent6 13 2 2 2 2 3 2" xfId="37031" xr:uid="{4857CBCC-D255-4386-991C-AFB780F680B2}"/>
    <cellStyle name="40% - Accent6 13 2 2 2 2 4" xfId="21137" xr:uid="{00000000-0005-0000-0000-0000BE4E0000}"/>
    <cellStyle name="40% - Accent6 13 2 2 2 2 4 2" xfId="44969" xr:uid="{FDC75A8B-0C2E-4D74-9C3C-E76DD6394BB2}"/>
    <cellStyle name="40% - Accent6 13 2 2 2 2 5" xfId="29090" xr:uid="{8134DD7F-7C1B-4661-9CDF-6D0002C0514F}"/>
    <cellStyle name="40% - Accent6 13 2 2 2 3" xfId="6990" xr:uid="{00000000-0005-0000-0000-0000BF4E0000}"/>
    <cellStyle name="40% - Accent6 13 2 2 2 3 2" xfId="14962" xr:uid="{00000000-0005-0000-0000-0000C04E0000}"/>
    <cellStyle name="40% - Accent6 13 2 2 2 3 2 2" xfId="38804" xr:uid="{FF4A03C4-B56E-43B2-9ED9-5A5153E2C2C5}"/>
    <cellStyle name="40% - Accent6 13 2 2 2 3 3" xfId="22909" xr:uid="{00000000-0005-0000-0000-0000C14E0000}"/>
    <cellStyle name="40% - Accent6 13 2 2 2 3 3 2" xfId="46741" xr:uid="{E398AF1B-C3B2-4B9E-98AA-2FAE37BF27AE}"/>
    <cellStyle name="40% - Accent6 13 2 2 2 3 4" xfId="30863" xr:uid="{C87F0359-4393-4760-BF25-78CE426F64B1}"/>
    <cellStyle name="40% - Accent6 13 2 2 2 4" xfId="11426" xr:uid="{00000000-0005-0000-0000-0000C24E0000}"/>
    <cellStyle name="40% - Accent6 13 2 2 2 4 2" xfId="35275" xr:uid="{9FC0424F-0746-4E4F-BDF1-FAA7053FCF9C}"/>
    <cellStyle name="40% - Accent6 13 2 2 2 5" xfId="19381" xr:uid="{00000000-0005-0000-0000-0000C34E0000}"/>
    <cellStyle name="40% - Accent6 13 2 2 2 5 2" xfId="43213" xr:uid="{A28346E1-7CCC-4699-9E11-79156EA1BEFB}"/>
    <cellStyle name="40% - Accent6 13 2 2 2 6" xfId="27333" xr:uid="{FDC04EDC-1FD2-4919-98E9-35D6AACEC64F}"/>
    <cellStyle name="40% - Accent6 13 2 2 2_Exh G" xfId="3332" xr:uid="{00000000-0005-0000-0000-0000C44E0000}"/>
    <cellStyle name="40% - Accent6 13 2 2 3" xfId="4279" xr:uid="{00000000-0005-0000-0000-0000C54E0000}"/>
    <cellStyle name="40% - Accent6 13 2 2 3 2" xfId="7871" xr:uid="{00000000-0005-0000-0000-0000C64E0000}"/>
    <cellStyle name="40% - Accent6 13 2 2 3 2 2" xfId="15842" xr:uid="{00000000-0005-0000-0000-0000C74E0000}"/>
    <cellStyle name="40% - Accent6 13 2 2 3 2 2 2" xfId="39684" xr:uid="{85345EAF-CF1F-4F9B-823F-FC0A2FEE606A}"/>
    <cellStyle name="40% - Accent6 13 2 2 3 2 3" xfId="23788" xr:uid="{00000000-0005-0000-0000-0000C84E0000}"/>
    <cellStyle name="40% - Accent6 13 2 2 3 2 3 2" xfId="47620" xr:uid="{65AA3BD9-7A0F-40EC-B03A-A6CBCD048E99}"/>
    <cellStyle name="40% - Accent6 13 2 2 3 2 4" xfId="31743" xr:uid="{3862C4B9-BDAA-44F1-B9F1-78FC2484C5A1}"/>
    <cellStyle name="40% - Accent6 13 2 2 3 3" xfId="12304" xr:uid="{00000000-0005-0000-0000-0000C94E0000}"/>
    <cellStyle name="40% - Accent6 13 2 2 3 3 2" xfId="36153" xr:uid="{3BAD96AB-D574-4049-996D-4A6103A50B16}"/>
    <cellStyle name="40% - Accent6 13 2 2 3 4" xfId="20259" xr:uid="{00000000-0005-0000-0000-0000CA4E0000}"/>
    <cellStyle name="40% - Accent6 13 2 2 3 4 2" xfId="44091" xr:uid="{F0BF1981-3A3B-48D4-BB51-86331DA49E70}"/>
    <cellStyle name="40% - Accent6 13 2 2 3 5" xfId="28212" xr:uid="{7298E4DF-5DCF-4A05-9BBE-9ED8C707DB74}"/>
    <cellStyle name="40% - Accent6 13 2 2 4" xfId="6099" xr:uid="{00000000-0005-0000-0000-0000CB4E0000}"/>
    <cellStyle name="40% - Accent6 13 2 2 4 2" xfId="14083" xr:uid="{00000000-0005-0000-0000-0000CC4E0000}"/>
    <cellStyle name="40% - Accent6 13 2 2 4 2 2" xfId="37926" xr:uid="{C38EAA28-E7F4-459E-A644-BD355214B00B}"/>
    <cellStyle name="40% - Accent6 13 2 2 4 3" xfId="22031" xr:uid="{00000000-0005-0000-0000-0000CD4E0000}"/>
    <cellStyle name="40% - Accent6 13 2 2 4 3 2" xfId="45863" xr:uid="{3C61CD33-ACA9-452D-8A7E-2452CA35CD76}"/>
    <cellStyle name="40% - Accent6 13 2 2 4 4" xfId="29985" xr:uid="{56C97C2C-ACBB-41A0-8C27-DF0085D4403B}"/>
    <cellStyle name="40% - Accent6 13 2 2 5" xfId="9652" xr:uid="{00000000-0005-0000-0000-0000CE4E0000}"/>
    <cellStyle name="40% - Accent6 13 2 2 5 2" xfId="17610" xr:uid="{00000000-0005-0000-0000-0000CF4E0000}"/>
    <cellStyle name="40% - Accent6 13 2 2 5 2 2" xfId="41450" xr:uid="{8BE12EFE-E946-48B5-B709-9DBAAAFD3F6B}"/>
    <cellStyle name="40% - Accent6 13 2 2 5 3" xfId="25554" xr:uid="{00000000-0005-0000-0000-0000D04E0000}"/>
    <cellStyle name="40% - Accent6 13 2 2 5 3 2" xfId="49386" xr:uid="{059EBFF4-65A3-404F-8318-5CEB1694C442}"/>
    <cellStyle name="40% - Accent6 13 2 2 5 4" xfId="33509" xr:uid="{7AE4A69B-EE44-4332-A540-FC75B7531B7C}"/>
    <cellStyle name="40% - Accent6 13 2 2 6" xfId="10548" xr:uid="{00000000-0005-0000-0000-0000D14E0000}"/>
    <cellStyle name="40% - Accent6 13 2 2 6 2" xfId="34397" xr:uid="{C0C87A0D-7C95-4926-B344-D08895F9CD95}"/>
    <cellStyle name="40% - Accent6 13 2 2 7" xfId="18503" xr:uid="{00000000-0005-0000-0000-0000D24E0000}"/>
    <cellStyle name="40% - Accent6 13 2 2 7 2" xfId="42335" xr:uid="{39871377-2FAA-4DBC-8C51-8E6756B7946A}"/>
    <cellStyle name="40% - Accent6 13 2 2 8" xfId="26455" xr:uid="{2C3E9769-00FB-474C-94E5-2CB0D5C34A95}"/>
    <cellStyle name="40% - Accent6 13 2 2_Exh G" xfId="3331" xr:uid="{00000000-0005-0000-0000-0000D34E0000}"/>
    <cellStyle name="40% - Accent6 13 2 3" xfId="1627" xr:uid="{00000000-0005-0000-0000-0000D44E0000}"/>
    <cellStyle name="40% - Accent6 13 2 3 2" xfId="5157" xr:uid="{00000000-0005-0000-0000-0000D54E0000}"/>
    <cellStyle name="40% - Accent6 13 2 3 2 2" xfId="8748" xr:uid="{00000000-0005-0000-0000-0000D64E0000}"/>
    <cellStyle name="40% - Accent6 13 2 3 2 2 2" xfId="16719" xr:uid="{00000000-0005-0000-0000-0000D74E0000}"/>
    <cellStyle name="40% - Accent6 13 2 3 2 2 2 2" xfId="40561" xr:uid="{110A90FC-FF9F-481C-8956-FFC0D8C9C9FA}"/>
    <cellStyle name="40% - Accent6 13 2 3 2 2 3" xfId="24665" xr:uid="{00000000-0005-0000-0000-0000D84E0000}"/>
    <cellStyle name="40% - Accent6 13 2 3 2 2 3 2" xfId="48497" xr:uid="{E30FAA49-BFA2-4494-B81A-46E5D778DE50}"/>
    <cellStyle name="40% - Accent6 13 2 3 2 2 4" xfId="32620" xr:uid="{8D85E1B2-5BEA-4737-B565-B0B6B81DD2DF}"/>
    <cellStyle name="40% - Accent6 13 2 3 2 3" xfId="13181" xr:uid="{00000000-0005-0000-0000-0000D94E0000}"/>
    <cellStyle name="40% - Accent6 13 2 3 2 3 2" xfId="37030" xr:uid="{22C1BC09-0FAF-413E-98F5-0166B3E0A228}"/>
    <cellStyle name="40% - Accent6 13 2 3 2 4" xfId="21136" xr:uid="{00000000-0005-0000-0000-0000DA4E0000}"/>
    <cellStyle name="40% - Accent6 13 2 3 2 4 2" xfId="44968" xr:uid="{8B8D96F7-9E84-4D69-9E4B-AD85710D1BA8}"/>
    <cellStyle name="40% - Accent6 13 2 3 2 5" xfId="29089" xr:uid="{8D95D218-8B60-40AF-8BF9-BD34F1C06675}"/>
    <cellStyle name="40% - Accent6 13 2 3 3" xfId="6989" xr:uid="{00000000-0005-0000-0000-0000DB4E0000}"/>
    <cellStyle name="40% - Accent6 13 2 3 3 2" xfId="14961" xr:uid="{00000000-0005-0000-0000-0000DC4E0000}"/>
    <cellStyle name="40% - Accent6 13 2 3 3 2 2" xfId="38803" xr:uid="{95E19137-B0A6-4ABD-8C68-D0E57EC03C65}"/>
    <cellStyle name="40% - Accent6 13 2 3 3 3" xfId="22908" xr:uid="{00000000-0005-0000-0000-0000DD4E0000}"/>
    <cellStyle name="40% - Accent6 13 2 3 3 3 2" xfId="46740" xr:uid="{D67DB538-4F33-4367-8D1C-B9F2844BD56E}"/>
    <cellStyle name="40% - Accent6 13 2 3 3 4" xfId="30862" xr:uid="{0DB19163-2E35-4805-BE9B-6CAEADE3A1FA}"/>
    <cellStyle name="40% - Accent6 13 2 3 4" xfId="11425" xr:uid="{00000000-0005-0000-0000-0000DE4E0000}"/>
    <cellStyle name="40% - Accent6 13 2 3 4 2" xfId="35274" xr:uid="{FA5A838B-0BDA-47E8-A96E-212258789F39}"/>
    <cellStyle name="40% - Accent6 13 2 3 5" xfId="19380" xr:uid="{00000000-0005-0000-0000-0000DF4E0000}"/>
    <cellStyle name="40% - Accent6 13 2 3 5 2" xfId="43212" xr:uid="{7CBC8007-D8FB-4D8F-BEBA-456FFF3A023B}"/>
    <cellStyle name="40% - Accent6 13 2 3 6" xfId="27332" xr:uid="{A8040863-0F5F-45DF-9001-79AE1BC918F7}"/>
    <cellStyle name="40% - Accent6 13 2 3_Exh G" xfId="3333" xr:uid="{00000000-0005-0000-0000-0000E04E0000}"/>
    <cellStyle name="40% - Accent6 13 2 4" xfId="4278" xr:uid="{00000000-0005-0000-0000-0000E14E0000}"/>
    <cellStyle name="40% - Accent6 13 2 4 2" xfId="7870" xr:uid="{00000000-0005-0000-0000-0000E24E0000}"/>
    <cellStyle name="40% - Accent6 13 2 4 2 2" xfId="15841" xr:uid="{00000000-0005-0000-0000-0000E34E0000}"/>
    <cellStyle name="40% - Accent6 13 2 4 2 2 2" xfId="39683" xr:uid="{2816BDFE-CD54-4DB3-B934-8BF063B26829}"/>
    <cellStyle name="40% - Accent6 13 2 4 2 3" xfId="23787" xr:uid="{00000000-0005-0000-0000-0000E44E0000}"/>
    <cellStyle name="40% - Accent6 13 2 4 2 3 2" xfId="47619" xr:uid="{602DE5AD-FD37-4217-94B0-C3DD46CFA56E}"/>
    <cellStyle name="40% - Accent6 13 2 4 2 4" xfId="31742" xr:uid="{0C1E4696-E4D3-42E7-B3DB-FB7BB875D22D}"/>
    <cellStyle name="40% - Accent6 13 2 4 3" xfId="12303" xr:uid="{00000000-0005-0000-0000-0000E54E0000}"/>
    <cellStyle name="40% - Accent6 13 2 4 3 2" xfId="36152" xr:uid="{F27BCF1B-30E3-4C1D-835C-22A19CE12B60}"/>
    <cellStyle name="40% - Accent6 13 2 4 4" xfId="20258" xr:uid="{00000000-0005-0000-0000-0000E64E0000}"/>
    <cellStyle name="40% - Accent6 13 2 4 4 2" xfId="44090" xr:uid="{A4158BB0-8443-4C1D-B094-9C76BEE0D57B}"/>
    <cellStyle name="40% - Accent6 13 2 4 5" xfId="28211" xr:uid="{A2F5B466-C202-4401-A182-1311D6543C0C}"/>
    <cellStyle name="40% - Accent6 13 2 5" xfId="6098" xr:uid="{00000000-0005-0000-0000-0000E74E0000}"/>
    <cellStyle name="40% - Accent6 13 2 5 2" xfId="14082" xr:uid="{00000000-0005-0000-0000-0000E84E0000}"/>
    <cellStyle name="40% - Accent6 13 2 5 2 2" xfId="37925" xr:uid="{812F4D51-B245-492F-8365-BF38E15EB70A}"/>
    <cellStyle name="40% - Accent6 13 2 5 3" xfId="22030" xr:uid="{00000000-0005-0000-0000-0000E94E0000}"/>
    <cellStyle name="40% - Accent6 13 2 5 3 2" xfId="45862" xr:uid="{CBEC5D54-9781-47F0-83D4-C7E3E8A37CF2}"/>
    <cellStyle name="40% - Accent6 13 2 5 4" xfId="29984" xr:uid="{F49092AF-383F-49D8-83FA-E0B741508A69}"/>
    <cellStyle name="40% - Accent6 13 2 6" xfId="9651" xr:uid="{00000000-0005-0000-0000-0000EA4E0000}"/>
    <cellStyle name="40% - Accent6 13 2 6 2" xfId="17609" xr:uid="{00000000-0005-0000-0000-0000EB4E0000}"/>
    <cellStyle name="40% - Accent6 13 2 6 2 2" xfId="41449" xr:uid="{49A21290-4701-4EAE-8297-F4264B873C01}"/>
    <cellStyle name="40% - Accent6 13 2 6 3" xfId="25553" xr:uid="{00000000-0005-0000-0000-0000EC4E0000}"/>
    <cellStyle name="40% - Accent6 13 2 6 3 2" xfId="49385" xr:uid="{A910BD7A-0C9F-4207-B119-B81A64D36330}"/>
    <cellStyle name="40% - Accent6 13 2 6 4" xfId="33508" xr:uid="{28330480-7CB3-4A66-8EB4-D4972F61A6B6}"/>
    <cellStyle name="40% - Accent6 13 2 7" xfId="10547" xr:uid="{00000000-0005-0000-0000-0000ED4E0000}"/>
    <cellStyle name="40% - Accent6 13 2 7 2" xfId="34396" xr:uid="{D28EDD39-AC1F-4207-AA45-BB7BB875963A}"/>
    <cellStyle name="40% - Accent6 13 2 8" xfId="18502" xr:uid="{00000000-0005-0000-0000-0000EE4E0000}"/>
    <cellStyle name="40% - Accent6 13 2 8 2" xfId="42334" xr:uid="{3C2FAE36-9334-4F7F-962C-4BFA8B8F4C1F}"/>
    <cellStyle name="40% - Accent6 13 2 9" xfId="26454" xr:uid="{26C618BB-D9C7-4BB1-BB95-8660F39E31CF}"/>
    <cellStyle name="40% - Accent6 13 2_Exh G" xfId="3330" xr:uid="{00000000-0005-0000-0000-0000EF4E0000}"/>
    <cellStyle name="40% - Accent6 13 3" xfId="601" xr:uid="{00000000-0005-0000-0000-0000F04E0000}"/>
    <cellStyle name="40% - Accent6 13 3 2" xfId="1629" xr:uid="{00000000-0005-0000-0000-0000F14E0000}"/>
    <cellStyle name="40% - Accent6 13 3 2 2" xfId="5159" xr:uid="{00000000-0005-0000-0000-0000F24E0000}"/>
    <cellStyle name="40% - Accent6 13 3 2 2 2" xfId="8750" xr:uid="{00000000-0005-0000-0000-0000F34E0000}"/>
    <cellStyle name="40% - Accent6 13 3 2 2 2 2" xfId="16721" xr:uid="{00000000-0005-0000-0000-0000F44E0000}"/>
    <cellStyle name="40% - Accent6 13 3 2 2 2 2 2" xfId="40563" xr:uid="{3C1B7537-8FAA-43F0-92AD-F51C1CE63A57}"/>
    <cellStyle name="40% - Accent6 13 3 2 2 2 3" xfId="24667" xr:uid="{00000000-0005-0000-0000-0000F54E0000}"/>
    <cellStyle name="40% - Accent6 13 3 2 2 2 3 2" xfId="48499" xr:uid="{E663D143-25B9-49CC-A927-00181DFEA14E}"/>
    <cellStyle name="40% - Accent6 13 3 2 2 2 4" xfId="32622" xr:uid="{A87CDEB4-40D1-40D8-B05A-87C504F58F72}"/>
    <cellStyle name="40% - Accent6 13 3 2 2 3" xfId="13183" xr:uid="{00000000-0005-0000-0000-0000F64E0000}"/>
    <cellStyle name="40% - Accent6 13 3 2 2 3 2" xfId="37032" xr:uid="{C1441AB9-446C-453D-9F29-9D02A501BE54}"/>
    <cellStyle name="40% - Accent6 13 3 2 2 4" xfId="21138" xr:uid="{00000000-0005-0000-0000-0000F74E0000}"/>
    <cellStyle name="40% - Accent6 13 3 2 2 4 2" xfId="44970" xr:uid="{1BD60D0E-2F1A-4AE7-A02C-A454DA985297}"/>
    <cellStyle name="40% - Accent6 13 3 2 2 5" xfId="29091" xr:uid="{B910B580-B0CE-447E-8446-3ABDC8858655}"/>
    <cellStyle name="40% - Accent6 13 3 2 3" xfId="6991" xr:uid="{00000000-0005-0000-0000-0000F84E0000}"/>
    <cellStyle name="40% - Accent6 13 3 2 3 2" xfId="14963" xr:uid="{00000000-0005-0000-0000-0000F94E0000}"/>
    <cellStyle name="40% - Accent6 13 3 2 3 2 2" xfId="38805" xr:uid="{810F274E-C2C6-498C-9C37-3D2010DCA6D8}"/>
    <cellStyle name="40% - Accent6 13 3 2 3 3" xfId="22910" xr:uid="{00000000-0005-0000-0000-0000FA4E0000}"/>
    <cellStyle name="40% - Accent6 13 3 2 3 3 2" xfId="46742" xr:uid="{FD0EB66C-C99F-4BD2-BD11-7B97DA66CCD5}"/>
    <cellStyle name="40% - Accent6 13 3 2 3 4" xfId="30864" xr:uid="{FD43B38B-9545-4350-8B18-709B8CFFBE62}"/>
    <cellStyle name="40% - Accent6 13 3 2 4" xfId="11427" xr:uid="{00000000-0005-0000-0000-0000FB4E0000}"/>
    <cellStyle name="40% - Accent6 13 3 2 4 2" xfId="35276" xr:uid="{6A7107C6-5DA5-4F5A-951A-456197BF25B3}"/>
    <cellStyle name="40% - Accent6 13 3 2 5" xfId="19382" xr:uid="{00000000-0005-0000-0000-0000FC4E0000}"/>
    <cellStyle name="40% - Accent6 13 3 2 5 2" xfId="43214" xr:uid="{5DE6EF7C-AFC4-47D7-9635-E4D99A41B6EA}"/>
    <cellStyle name="40% - Accent6 13 3 2 6" xfId="27334" xr:uid="{1EB46127-150F-4CEA-BB38-5B4D727FE063}"/>
    <cellStyle name="40% - Accent6 13 3 2_Exh G" xfId="3335" xr:uid="{00000000-0005-0000-0000-0000FD4E0000}"/>
    <cellStyle name="40% - Accent6 13 3 3" xfId="4280" xr:uid="{00000000-0005-0000-0000-0000FE4E0000}"/>
    <cellStyle name="40% - Accent6 13 3 3 2" xfId="7872" xr:uid="{00000000-0005-0000-0000-0000FF4E0000}"/>
    <cellStyle name="40% - Accent6 13 3 3 2 2" xfId="15843" xr:uid="{00000000-0005-0000-0000-0000004F0000}"/>
    <cellStyle name="40% - Accent6 13 3 3 2 2 2" xfId="39685" xr:uid="{881B940F-9F41-4F9B-B03F-B649D5A94573}"/>
    <cellStyle name="40% - Accent6 13 3 3 2 3" xfId="23789" xr:uid="{00000000-0005-0000-0000-0000014F0000}"/>
    <cellStyle name="40% - Accent6 13 3 3 2 3 2" xfId="47621" xr:uid="{30E0405D-6D35-4A87-8DAB-313D10DFF98A}"/>
    <cellStyle name="40% - Accent6 13 3 3 2 4" xfId="31744" xr:uid="{EFD8D327-3222-4656-85E1-32E65A78A164}"/>
    <cellStyle name="40% - Accent6 13 3 3 3" xfId="12305" xr:uid="{00000000-0005-0000-0000-0000024F0000}"/>
    <cellStyle name="40% - Accent6 13 3 3 3 2" xfId="36154" xr:uid="{F59FBCE7-6CC5-4A35-B946-489D177711E3}"/>
    <cellStyle name="40% - Accent6 13 3 3 4" xfId="20260" xr:uid="{00000000-0005-0000-0000-0000034F0000}"/>
    <cellStyle name="40% - Accent6 13 3 3 4 2" xfId="44092" xr:uid="{FACBB11D-D143-475D-B3D4-61042692E856}"/>
    <cellStyle name="40% - Accent6 13 3 3 5" xfId="28213" xr:uid="{A60B35C6-316F-45D7-B31A-70FC1623C15A}"/>
    <cellStyle name="40% - Accent6 13 3 4" xfId="6100" xr:uid="{00000000-0005-0000-0000-0000044F0000}"/>
    <cellStyle name="40% - Accent6 13 3 4 2" xfId="14084" xr:uid="{00000000-0005-0000-0000-0000054F0000}"/>
    <cellStyle name="40% - Accent6 13 3 4 2 2" xfId="37927" xr:uid="{CEA5ED9D-E4E7-4920-ABB8-FCDCA0EA6013}"/>
    <cellStyle name="40% - Accent6 13 3 4 3" xfId="22032" xr:uid="{00000000-0005-0000-0000-0000064F0000}"/>
    <cellStyle name="40% - Accent6 13 3 4 3 2" xfId="45864" xr:uid="{0070FAC9-6B0A-4423-A851-FF44EAB340EC}"/>
    <cellStyle name="40% - Accent6 13 3 4 4" xfId="29986" xr:uid="{D62880D8-5A93-4B13-8073-C0F2F1E09EC7}"/>
    <cellStyle name="40% - Accent6 13 3 5" xfId="9653" xr:uid="{00000000-0005-0000-0000-0000074F0000}"/>
    <cellStyle name="40% - Accent6 13 3 5 2" xfId="17611" xr:uid="{00000000-0005-0000-0000-0000084F0000}"/>
    <cellStyle name="40% - Accent6 13 3 5 2 2" xfId="41451" xr:uid="{4A36CB07-A234-4B76-BFB5-5E852B70ACFE}"/>
    <cellStyle name="40% - Accent6 13 3 5 3" xfId="25555" xr:uid="{00000000-0005-0000-0000-0000094F0000}"/>
    <cellStyle name="40% - Accent6 13 3 5 3 2" xfId="49387" xr:uid="{F72FDCD3-3848-489B-8737-9F58517AC825}"/>
    <cellStyle name="40% - Accent6 13 3 5 4" xfId="33510" xr:uid="{25566508-15B6-49E6-896E-1F065391EEF3}"/>
    <cellStyle name="40% - Accent6 13 3 6" xfId="10549" xr:uid="{00000000-0005-0000-0000-00000A4F0000}"/>
    <cellStyle name="40% - Accent6 13 3 6 2" xfId="34398" xr:uid="{799B287D-DEAA-4B83-A02B-4951B5552BD3}"/>
    <cellStyle name="40% - Accent6 13 3 7" xfId="18504" xr:uid="{00000000-0005-0000-0000-00000B4F0000}"/>
    <cellStyle name="40% - Accent6 13 3 7 2" xfId="42336" xr:uid="{42D6AF88-F634-44CE-B73C-E81C4F9ACE18}"/>
    <cellStyle name="40% - Accent6 13 3 8" xfId="26456" xr:uid="{E5D4DE1A-57CA-42D8-B5E2-06D2BD4DA666}"/>
    <cellStyle name="40% - Accent6 13 3_Exh G" xfId="3334" xr:uid="{00000000-0005-0000-0000-00000C4F0000}"/>
    <cellStyle name="40% - Accent6 13 4" xfId="1626" xr:uid="{00000000-0005-0000-0000-00000D4F0000}"/>
    <cellStyle name="40% - Accent6 13 4 2" xfId="5156" xr:uid="{00000000-0005-0000-0000-00000E4F0000}"/>
    <cellStyle name="40% - Accent6 13 4 2 2" xfId="8747" xr:uid="{00000000-0005-0000-0000-00000F4F0000}"/>
    <cellStyle name="40% - Accent6 13 4 2 2 2" xfId="16718" xr:uid="{00000000-0005-0000-0000-0000104F0000}"/>
    <cellStyle name="40% - Accent6 13 4 2 2 2 2" xfId="40560" xr:uid="{690885BE-9C09-4758-96F5-F08EA0448619}"/>
    <cellStyle name="40% - Accent6 13 4 2 2 3" xfId="24664" xr:uid="{00000000-0005-0000-0000-0000114F0000}"/>
    <cellStyle name="40% - Accent6 13 4 2 2 3 2" xfId="48496" xr:uid="{D7270F71-48B8-4535-8752-00863CD53D76}"/>
    <cellStyle name="40% - Accent6 13 4 2 2 4" xfId="32619" xr:uid="{8924E062-8451-43BD-B28B-1A3A768C565D}"/>
    <cellStyle name="40% - Accent6 13 4 2 3" xfId="13180" xr:uid="{00000000-0005-0000-0000-0000124F0000}"/>
    <cellStyle name="40% - Accent6 13 4 2 3 2" xfId="37029" xr:uid="{B2413D92-0A46-44BB-8ED8-59E31B0CBC0B}"/>
    <cellStyle name="40% - Accent6 13 4 2 4" xfId="21135" xr:uid="{00000000-0005-0000-0000-0000134F0000}"/>
    <cellStyle name="40% - Accent6 13 4 2 4 2" xfId="44967" xr:uid="{013A694F-8982-4248-AE73-4B7F0DC44091}"/>
    <cellStyle name="40% - Accent6 13 4 2 5" xfId="29088" xr:uid="{C909859D-4E66-406C-91D8-1C1F943A76DD}"/>
    <cellStyle name="40% - Accent6 13 4 3" xfId="6988" xr:uid="{00000000-0005-0000-0000-0000144F0000}"/>
    <cellStyle name="40% - Accent6 13 4 3 2" xfId="14960" xr:uid="{00000000-0005-0000-0000-0000154F0000}"/>
    <cellStyle name="40% - Accent6 13 4 3 2 2" xfId="38802" xr:uid="{4DA13CA1-DC9C-462D-9522-47B060D762E2}"/>
    <cellStyle name="40% - Accent6 13 4 3 3" xfId="22907" xr:uid="{00000000-0005-0000-0000-0000164F0000}"/>
    <cellStyle name="40% - Accent6 13 4 3 3 2" xfId="46739" xr:uid="{B67E7E79-C6F7-4B6B-8238-0B1BE4B89E60}"/>
    <cellStyle name="40% - Accent6 13 4 3 4" xfId="30861" xr:uid="{0ADCBF7D-2E71-4B19-980B-3F230E9B7F75}"/>
    <cellStyle name="40% - Accent6 13 4 4" xfId="11424" xr:uid="{00000000-0005-0000-0000-0000174F0000}"/>
    <cellStyle name="40% - Accent6 13 4 4 2" xfId="35273" xr:uid="{D7C634A9-ED30-4485-B310-3B005A3D456E}"/>
    <cellStyle name="40% - Accent6 13 4 5" xfId="19379" xr:uid="{00000000-0005-0000-0000-0000184F0000}"/>
    <cellStyle name="40% - Accent6 13 4 5 2" xfId="43211" xr:uid="{E990AC40-F40E-4A7C-8568-179DB737E745}"/>
    <cellStyle name="40% - Accent6 13 4 6" xfId="27331" xr:uid="{5138E3C7-6790-4E25-AD7F-92BDE872404C}"/>
    <cellStyle name="40% - Accent6 13 4_Exh G" xfId="3336" xr:uid="{00000000-0005-0000-0000-0000194F0000}"/>
    <cellStyle name="40% - Accent6 13 5" xfId="4277" xr:uid="{00000000-0005-0000-0000-00001A4F0000}"/>
    <cellStyle name="40% - Accent6 13 5 2" xfId="7869" xr:uid="{00000000-0005-0000-0000-00001B4F0000}"/>
    <cellStyle name="40% - Accent6 13 5 2 2" xfId="15840" xr:uid="{00000000-0005-0000-0000-00001C4F0000}"/>
    <cellStyle name="40% - Accent6 13 5 2 2 2" xfId="39682" xr:uid="{A347BF4B-A351-4F00-8A7B-E664D6AD9511}"/>
    <cellStyle name="40% - Accent6 13 5 2 3" xfId="23786" xr:uid="{00000000-0005-0000-0000-00001D4F0000}"/>
    <cellStyle name="40% - Accent6 13 5 2 3 2" xfId="47618" xr:uid="{1CD41C1B-B70E-41BB-B1F4-CF3C5892531C}"/>
    <cellStyle name="40% - Accent6 13 5 2 4" xfId="31741" xr:uid="{942E5366-B369-42B5-A160-808ECB6C6982}"/>
    <cellStyle name="40% - Accent6 13 5 3" xfId="12302" xr:uid="{00000000-0005-0000-0000-00001E4F0000}"/>
    <cellStyle name="40% - Accent6 13 5 3 2" xfId="36151" xr:uid="{2D78B08A-D6C2-4232-BFE3-F46676C0D0E8}"/>
    <cellStyle name="40% - Accent6 13 5 4" xfId="20257" xr:uid="{00000000-0005-0000-0000-00001F4F0000}"/>
    <cellStyle name="40% - Accent6 13 5 4 2" xfId="44089" xr:uid="{A8B528DB-5715-44A2-9390-3DE87149F61F}"/>
    <cellStyle name="40% - Accent6 13 5 5" xfId="28210" xr:uid="{08DAFFE3-5505-4A81-A0F3-B2F00BACCBFE}"/>
    <cellStyle name="40% - Accent6 13 6" xfId="6097" xr:uid="{00000000-0005-0000-0000-0000204F0000}"/>
    <cellStyle name="40% - Accent6 13 6 2" xfId="14081" xr:uid="{00000000-0005-0000-0000-0000214F0000}"/>
    <cellStyle name="40% - Accent6 13 6 2 2" xfId="37924" xr:uid="{E15EB9A4-CBB0-4190-BD4C-E23FB85AEC0D}"/>
    <cellStyle name="40% - Accent6 13 6 3" xfId="22029" xr:uid="{00000000-0005-0000-0000-0000224F0000}"/>
    <cellStyle name="40% - Accent6 13 6 3 2" xfId="45861" xr:uid="{18CA4BD7-1EEF-451B-8FDD-330B13C42230}"/>
    <cellStyle name="40% - Accent6 13 6 4" xfId="29983" xr:uid="{D3574647-1D60-424F-8011-DF8708B0607D}"/>
    <cellStyle name="40% - Accent6 13 7" xfId="9650" xr:uid="{00000000-0005-0000-0000-0000234F0000}"/>
    <cellStyle name="40% - Accent6 13 7 2" xfId="17608" xr:uid="{00000000-0005-0000-0000-0000244F0000}"/>
    <cellStyle name="40% - Accent6 13 7 2 2" xfId="41448" xr:uid="{D3A67D05-2DA0-4C58-AC75-0198A6D577C0}"/>
    <cellStyle name="40% - Accent6 13 7 3" xfId="25552" xr:uid="{00000000-0005-0000-0000-0000254F0000}"/>
    <cellStyle name="40% - Accent6 13 7 3 2" xfId="49384" xr:uid="{B11DBF0C-EF32-4F0D-AF73-B3889BA18105}"/>
    <cellStyle name="40% - Accent6 13 7 4" xfId="33507" xr:uid="{BCEA795E-FAFF-4B89-8573-C9E5DB8AC0EA}"/>
    <cellStyle name="40% - Accent6 13 8" xfId="10546" xr:uid="{00000000-0005-0000-0000-0000264F0000}"/>
    <cellStyle name="40% - Accent6 13 8 2" xfId="34395" xr:uid="{37C226D1-2EEE-4376-B5D0-C115088F04EE}"/>
    <cellStyle name="40% - Accent6 13 9" xfId="18501" xr:uid="{00000000-0005-0000-0000-0000274F0000}"/>
    <cellStyle name="40% - Accent6 13 9 2" xfId="42333" xr:uid="{93DEB3E3-1485-4313-AC37-E8042C74F228}"/>
    <cellStyle name="40% - Accent6 13_Exh G" xfId="3329" xr:uid="{00000000-0005-0000-0000-0000284F0000}"/>
    <cellStyle name="40% - Accent6 14" xfId="602" xr:uid="{00000000-0005-0000-0000-0000294F0000}"/>
    <cellStyle name="40% - Accent6 14 2" xfId="603" xr:uid="{00000000-0005-0000-0000-00002A4F0000}"/>
    <cellStyle name="40% - Accent6 14 2 2" xfId="1631" xr:uid="{00000000-0005-0000-0000-00002B4F0000}"/>
    <cellStyle name="40% - Accent6 14 2 2 2" xfId="5161" xr:uid="{00000000-0005-0000-0000-00002C4F0000}"/>
    <cellStyle name="40% - Accent6 14 2 2 2 2" xfId="8752" xr:uid="{00000000-0005-0000-0000-00002D4F0000}"/>
    <cellStyle name="40% - Accent6 14 2 2 2 2 2" xfId="16723" xr:uid="{00000000-0005-0000-0000-00002E4F0000}"/>
    <cellStyle name="40% - Accent6 14 2 2 2 2 2 2" xfId="40565" xr:uid="{54BE03F7-4747-43F1-8CFF-409227FB741F}"/>
    <cellStyle name="40% - Accent6 14 2 2 2 2 3" xfId="24669" xr:uid="{00000000-0005-0000-0000-00002F4F0000}"/>
    <cellStyle name="40% - Accent6 14 2 2 2 2 3 2" xfId="48501" xr:uid="{E0E54839-573F-4719-8F20-E86F7EC3B0DA}"/>
    <cellStyle name="40% - Accent6 14 2 2 2 2 4" xfId="32624" xr:uid="{F1F28B8B-5FF2-4C0A-8C04-0ADD01137F82}"/>
    <cellStyle name="40% - Accent6 14 2 2 2 3" xfId="13185" xr:uid="{00000000-0005-0000-0000-0000304F0000}"/>
    <cellStyle name="40% - Accent6 14 2 2 2 3 2" xfId="37034" xr:uid="{1AFC36B1-1870-41D4-AF6F-04259366DB06}"/>
    <cellStyle name="40% - Accent6 14 2 2 2 4" xfId="21140" xr:uid="{00000000-0005-0000-0000-0000314F0000}"/>
    <cellStyle name="40% - Accent6 14 2 2 2 4 2" xfId="44972" xr:uid="{A91D43CA-FB22-4128-AE59-71EFFA1B37CE}"/>
    <cellStyle name="40% - Accent6 14 2 2 2 5" xfId="29093" xr:uid="{CED1C5F0-60C8-42CC-B261-61A221B4256C}"/>
    <cellStyle name="40% - Accent6 14 2 2 3" xfId="6993" xr:uid="{00000000-0005-0000-0000-0000324F0000}"/>
    <cellStyle name="40% - Accent6 14 2 2 3 2" xfId="14965" xr:uid="{00000000-0005-0000-0000-0000334F0000}"/>
    <cellStyle name="40% - Accent6 14 2 2 3 2 2" xfId="38807" xr:uid="{5B17B0F7-136E-4902-AE72-E661C42F07EC}"/>
    <cellStyle name="40% - Accent6 14 2 2 3 3" xfId="22912" xr:uid="{00000000-0005-0000-0000-0000344F0000}"/>
    <cellStyle name="40% - Accent6 14 2 2 3 3 2" xfId="46744" xr:uid="{A086197B-74C6-4ECD-A13E-4F86234E7AC0}"/>
    <cellStyle name="40% - Accent6 14 2 2 3 4" xfId="30866" xr:uid="{05155DA2-9413-4311-8548-AAEEB25FD8C2}"/>
    <cellStyle name="40% - Accent6 14 2 2 4" xfId="11429" xr:uid="{00000000-0005-0000-0000-0000354F0000}"/>
    <cellStyle name="40% - Accent6 14 2 2 4 2" xfId="35278" xr:uid="{3B3667E2-A00C-4258-A91F-6C59C8B70277}"/>
    <cellStyle name="40% - Accent6 14 2 2 5" xfId="19384" xr:uid="{00000000-0005-0000-0000-0000364F0000}"/>
    <cellStyle name="40% - Accent6 14 2 2 5 2" xfId="43216" xr:uid="{5C12AEED-8178-418F-9446-57626B6B83F4}"/>
    <cellStyle name="40% - Accent6 14 2 2 6" xfId="27336" xr:uid="{A83373A6-948D-429C-BB50-AAB1F2F8E533}"/>
    <cellStyle name="40% - Accent6 14 2 2_Exh G" xfId="3339" xr:uid="{00000000-0005-0000-0000-0000374F0000}"/>
    <cellStyle name="40% - Accent6 14 2 3" xfId="4282" xr:uid="{00000000-0005-0000-0000-0000384F0000}"/>
    <cellStyle name="40% - Accent6 14 2 3 2" xfId="7874" xr:uid="{00000000-0005-0000-0000-0000394F0000}"/>
    <cellStyle name="40% - Accent6 14 2 3 2 2" xfId="15845" xr:uid="{00000000-0005-0000-0000-00003A4F0000}"/>
    <cellStyle name="40% - Accent6 14 2 3 2 2 2" xfId="39687" xr:uid="{6AC5FDE1-6B1D-41F4-ACFC-474F88A12427}"/>
    <cellStyle name="40% - Accent6 14 2 3 2 3" xfId="23791" xr:uid="{00000000-0005-0000-0000-00003B4F0000}"/>
    <cellStyle name="40% - Accent6 14 2 3 2 3 2" xfId="47623" xr:uid="{30A15886-A2F9-49FF-94EC-7AE3F502687D}"/>
    <cellStyle name="40% - Accent6 14 2 3 2 4" xfId="31746" xr:uid="{BBF962D8-65DB-4367-9974-6B7F3C546C65}"/>
    <cellStyle name="40% - Accent6 14 2 3 3" xfId="12307" xr:uid="{00000000-0005-0000-0000-00003C4F0000}"/>
    <cellStyle name="40% - Accent6 14 2 3 3 2" xfId="36156" xr:uid="{57C7C76D-61AA-4532-A447-2474CAE8B9BD}"/>
    <cellStyle name="40% - Accent6 14 2 3 4" xfId="20262" xr:uid="{00000000-0005-0000-0000-00003D4F0000}"/>
    <cellStyle name="40% - Accent6 14 2 3 4 2" xfId="44094" xr:uid="{A13C191F-0455-4B6A-88B5-9063C3C8CE4E}"/>
    <cellStyle name="40% - Accent6 14 2 3 5" xfId="28215" xr:uid="{7C67E300-5BE2-4CEA-BFD3-4AA074F0FE97}"/>
    <cellStyle name="40% - Accent6 14 2 4" xfId="6102" xr:uid="{00000000-0005-0000-0000-00003E4F0000}"/>
    <cellStyle name="40% - Accent6 14 2 4 2" xfId="14086" xr:uid="{00000000-0005-0000-0000-00003F4F0000}"/>
    <cellStyle name="40% - Accent6 14 2 4 2 2" xfId="37929" xr:uid="{FD1E5ECB-1131-4773-AD8D-D29DD9B9716F}"/>
    <cellStyle name="40% - Accent6 14 2 4 3" xfId="22034" xr:uid="{00000000-0005-0000-0000-0000404F0000}"/>
    <cellStyle name="40% - Accent6 14 2 4 3 2" xfId="45866" xr:uid="{A9127CDA-17DE-46F6-B1AC-E2864E0A5EF7}"/>
    <cellStyle name="40% - Accent6 14 2 4 4" xfId="29988" xr:uid="{64973D88-9E26-4B6F-A028-E1FE7DC1EED1}"/>
    <cellStyle name="40% - Accent6 14 2 5" xfId="9655" xr:uid="{00000000-0005-0000-0000-0000414F0000}"/>
    <cellStyle name="40% - Accent6 14 2 5 2" xfId="17613" xr:uid="{00000000-0005-0000-0000-0000424F0000}"/>
    <cellStyle name="40% - Accent6 14 2 5 2 2" xfId="41453" xr:uid="{ECB234DB-14E2-497B-B582-16E9BF3DF834}"/>
    <cellStyle name="40% - Accent6 14 2 5 3" xfId="25557" xr:uid="{00000000-0005-0000-0000-0000434F0000}"/>
    <cellStyle name="40% - Accent6 14 2 5 3 2" xfId="49389" xr:uid="{A37FDEAA-FB33-4FC5-B716-20FD06B760A7}"/>
    <cellStyle name="40% - Accent6 14 2 5 4" xfId="33512" xr:uid="{863817CC-6D18-4BD0-B12A-2A7E03D63110}"/>
    <cellStyle name="40% - Accent6 14 2 6" xfId="10551" xr:uid="{00000000-0005-0000-0000-0000444F0000}"/>
    <cellStyle name="40% - Accent6 14 2 6 2" xfId="34400" xr:uid="{03C49DEA-23C7-4899-A206-1FA84B75551D}"/>
    <cellStyle name="40% - Accent6 14 2 7" xfId="18506" xr:uid="{00000000-0005-0000-0000-0000454F0000}"/>
    <cellStyle name="40% - Accent6 14 2 7 2" xfId="42338" xr:uid="{E9077067-7074-4F02-87DA-815C5DEBDCB6}"/>
    <cellStyle name="40% - Accent6 14 2 8" xfId="26458" xr:uid="{1F8D13EE-859C-4088-B484-6B106A8A4757}"/>
    <cellStyle name="40% - Accent6 14 2_Exh G" xfId="3338" xr:uid="{00000000-0005-0000-0000-0000464F0000}"/>
    <cellStyle name="40% - Accent6 14 3" xfId="1630" xr:uid="{00000000-0005-0000-0000-0000474F0000}"/>
    <cellStyle name="40% - Accent6 14 3 2" xfId="5160" xr:uid="{00000000-0005-0000-0000-0000484F0000}"/>
    <cellStyle name="40% - Accent6 14 3 2 2" xfId="8751" xr:uid="{00000000-0005-0000-0000-0000494F0000}"/>
    <cellStyle name="40% - Accent6 14 3 2 2 2" xfId="16722" xr:uid="{00000000-0005-0000-0000-00004A4F0000}"/>
    <cellStyle name="40% - Accent6 14 3 2 2 2 2" xfId="40564" xr:uid="{84B68975-6A69-4297-B03C-6B9DEF8A5B5B}"/>
    <cellStyle name="40% - Accent6 14 3 2 2 3" xfId="24668" xr:uid="{00000000-0005-0000-0000-00004B4F0000}"/>
    <cellStyle name="40% - Accent6 14 3 2 2 3 2" xfId="48500" xr:uid="{6C82EB69-2341-48DD-AC16-5A79982982B9}"/>
    <cellStyle name="40% - Accent6 14 3 2 2 4" xfId="32623" xr:uid="{18B9A2EF-09F6-4B6B-8DFC-B74D95B9FD5A}"/>
    <cellStyle name="40% - Accent6 14 3 2 3" xfId="13184" xr:uid="{00000000-0005-0000-0000-00004C4F0000}"/>
    <cellStyle name="40% - Accent6 14 3 2 3 2" xfId="37033" xr:uid="{4D145607-E77E-4410-9975-16A4CA577A0B}"/>
    <cellStyle name="40% - Accent6 14 3 2 4" xfId="21139" xr:uid="{00000000-0005-0000-0000-00004D4F0000}"/>
    <cellStyle name="40% - Accent6 14 3 2 4 2" xfId="44971" xr:uid="{732D6C89-BB09-4381-B9D3-2070E54BAC5C}"/>
    <cellStyle name="40% - Accent6 14 3 2 5" xfId="29092" xr:uid="{ED4C7B5A-7CAF-43FD-9A88-B5F6A34BACB2}"/>
    <cellStyle name="40% - Accent6 14 3 3" xfId="6992" xr:uid="{00000000-0005-0000-0000-00004E4F0000}"/>
    <cellStyle name="40% - Accent6 14 3 3 2" xfId="14964" xr:uid="{00000000-0005-0000-0000-00004F4F0000}"/>
    <cellStyle name="40% - Accent6 14 3 3 2 2" xfId="38806" xr:uid="{712AB943-F848-4685-A18A-F76AF6039407}"/>
    <cellStyle name="40% - Accent6 14 3 3 3" xfId="22911" xr:uid="{00000000-0005-0000-0000-0000504F0000}"/>
    <cellStyle name="40% - Accent6 14 3 3 3 2" xfId="46743" xr:uid="{D89F9174-2688-4D8E-84F4-8308AFAD504F}"/>
    <cellStyle name="40% - Accent6 14 3 3 4" xfId="30865" xr:uid="{44920894-CB3D-4A49-90B4-1D9B592D6F15}"/>
    <cellStyle name="40% - Accent6 14 3 4" xfId="11428" xr:uid="{00000000-0005-0000-0000-0000514F0000}"/>
    <cellStyle name="40% - Accent6 14 3 4 2" xfId="35277" xr:uid="{0FC9706A-EAE3-4DB6-AEA4-E12C87E6C83B}"/>
    <cellStyle name="40% - Accent6 14 3 5" xfId="19383" xr:uid="{00000000-0005-0000-0000-0000524F0000}"/>
    <cellStyle name="40% - Accent6 14 3 5 2" xfId="43215" xr:uid="{48963939-FA55-4F67-93E9-53960190CE81}"/>
    <cellStyle name="40% - Accent6 14 3 6" xfId="27335" xr:uid="{361B0EDF-4B75-4904-A095-F068DCB050C1}"/>
    <cellStyle name="40% - Accent6 14 3_Exh G" xfId="3340" xr:uid="{00000000-0005-0000-0000-0000534F0000}"/>
    <cellStyle name="40% - Accent6 14 4" xfId="4281" xr:uid="{00000000-0005-0000-0000-0000544F0000}"/>
    <cellStyle name="40% - Accent6 14 4 2" xfId="7873" xr:uid="{00000000-0005-0000-0000-0000554F0000}"/>
    <cellStyle name="40% - Accent6 14 4 2 2" xfId="15844" xr:uid="{00000000-0005-0000-0000-0000564F0000}"/>
    <cellStyle name="40% - Accent6 14 4 2 2 2" xfId="39686" xr:uid="{8BCD82A1-C7E8-49EE-9A35-D34443EE3D9F}"/>
    <cellStyle name="40% - Accent6 14 4 2 3" xfId="23790" xr:uid="{00000000-0005-0000-0000-0000574F0000}"/>
    <cellStyle name="40% - Accent6 14 4 2 3 2" xfId="47622" xr:uid="{5B746F7B-64CA-4BE0-8348-273544489FC0}"/>
    <cellStyle name="40% - Accent6 14 4 2 4" xfId="31745" xr:uid="{8BFE80B6-84D7-45F7-B951-6CB5382ACE69}"/>
    <cellStyle name="40% - Accent6 14 4 3" xfId="12306" xr:uid="{00000000-0005-0000-0000-0000584F0000}"/>
    <cellStyle name="40% - Accent6 14 4 3 2" xfId="36155" xr:uid="{3501362A-BD02-4275-AD34-8344E02E1BD0}"/>
    <cellStyle name="40% - Accent6 14 4 4" xfId="20261" xr:uid="{00000000-0005-0000-0000-0000594F0000}"/>
    <cellStyle name="40% - Accent6 14 4 4 2" xfId="44093" xr:uid="{0D8E2ED4-8A17-4F60-A82A-0B54A08F9DB0}"/>
    <cellStyle name="40% - Accent6 14 4 5" xfId="28214" xr:uid="{512F533A-7D5F-4B11-93B9-1BB61B77D9E1}"/>
    <cellStyle name="40% - Accent6 14 5" xfId="6101" xr:uid="{00000000-0005-0000-0000-00005A4F0000}"/>
    <cellStyle name="40% - Accent6 14 5 2" xfId="14085" xr:uid="{00000000-0005-0000-0000-00005B4F0000}"/>
    <cellStyle name="40% - Accent6 14 5 2 2" xfId="37928" xr:uid="{D46EA710-869C-426E-A8FC-1B0F25906D8F}"/>
    <cellStyle name="40% - Accent6 14 5 3" xfId="22033" xr:uid="{00000000-0005-0000-0000-00005C4F0000}"/>
    <cellStyle name="40% - Accent6 14 5 3 2" xfId="45865" xr:uid="{BC5910F1-DA75-4DC8-ACB2-D27852F82319}"/>
    <cellStyle name="40% - Accent6 14 5 4" xfId="29987" xr:uid="{C91461BF-FB6E-47C2-9A7D-28AEAC96424C}"/>
    <cellStyle name="40% - Accent6 14 6" xfId="9654" xr:uid="{00000000-0005-0000-0000-00005D4F0000}"/>
    <cellStyle name="40% - Accent6 14 6 2" xfId="17612" xr:uid="{00000000-0005-0000-0000-00005E4F0000}"/>
    <cellStyle name="40% - Accent6 14 6 2 2" xfId="41452" xr:uid="{CDAC3103-B99F-439D-A582-D8D0F031F653}"/>
    <cellStyle name="40% - Accent6 14 6 3" xfId="25556" xr:uid="{00000000-0005-0000-0000-00005F4F0000}"/>
    <cellStyle name="40% - Accent6 14 6 3 2" xfId="49388" xr:uid="{092448B4-0F74-45A1-9C88-63A1FD717AB9}"/>
    <cellStyle name="40% - Accent6 14 6 4" xfId="33511" xr:uid="{488633EB-9FFD-40A1-8F87-363A71589E0E}"/>
    <cellStyle name="40% - Accent6 14 7" xfId="10550" xr:uid="{00000000-0005-0000-0000-0000604F0000}"/>
    <cellStyle name="40% - Accent6 14 7 2" xfId="34399" xr:uid="{061F3336-3CC0-462C-AE9C-AB57ACEA7425}"/>
    <cellStyle name="40% - Accent6 14 8" xfId="18505" xr:uid="{00000000-0005-0000-0000-0000614F0000}"/>
    <cellStyle name="40% - Accent6 14 8 2" xfId="42337" xr:uid="{5AC7B77C-827C-44D8-B7A8-80F80E282A17}"/>
    <cellStyle name="40% - Accent6 14 9" xfId="26457" xr:uid="{40684131-A3F8-439E-8783-81B604E60292}"/>
    <cellStyle name="40% - Accent6 14_Exh G" xfId="3337" xr:uid="{00000000-0005-0000-0000-0000624F0000}"/>
    <cellStyle name="40% - Accent6 15" xfId="604" xr:uid="{00000000-0005-0000-0000-0000634F0000}"/>
    <cellStyle name="40% - Accent6 15 2" xfId="1632" xr:uid="{00000000-0005-0000-0000-0000644F0000}"/>
    <cellStyle name="40% - Accent6 15 2 2" xfId="5162" xr:uid="{00000000-0005-0000-0000-0000654F0000}"/>
    <cellStyle name="40% - Accent6 15 2 2 2" xfId="8753" xr:uid="{00000000-0005-0000-0000-0000664F0000}"/>
    <cellStyle name="40% - Accent6 15 2 2 2 2" xfId="16724" xr:uid="{00000000-0005-0000-0000-0000674F0000}"/>
    <cellStyle name="40% - Accent6 15 2 2 2 2 2" xfId="40566" xr:uid="{AA0AF1E6-7D02-4AB8-8D4A-B76822EAFDD5}"/>
    <cellStyle name="40% - Accent6 15 2 2 2 3" xfId="24670" xr:uid="{00000000-0005-0000-0000-0000684F0000}"/>
    <cellStyle name="40% - Accent6 15 2 2 2 3 2" xfId="48502" xr:uid="{00134CBC-7960-4257-9EE5-19017FC49452}"/>
    <cellStyle name="40% - Accent6 15 2 2 2 4" xfId="32625" xr:uid="{BAE6E5DC-A89D-4533-A404-6F96BF2C9ABE}"/>
    <cellStyle name="40% - Accent6 15 2 2 3" xfId="13186" xr:uid="{00000000-0005-0000-0000-0000694F0000}"/>
    <cellStyle name="40% - Accent6 15 2 2 3 2" xfId="37035" xr:uid="{6E9CFC0D-C9C8-44B0-9533-579DCBF149A2}"/>
    <cellStyle name="40% - Accent6 15 2 2 4" xfId="21141" xr:uid="{00000000-0005-0000-0000-00006A4F0000}"/>
    <cellStyle name="40% - Accent6 15 2 2 4 2" xfId="44973" xr:uid="{1A37D55E-BC12-4FA3-AF31-DE12C95D5E68}"/>
    <cellStyle name="40% - Accent6 15 2 2 5" xfId="29094" xr:uid="{6C7DC56D-4102-420C-B30A-973FE0D7A609}"/>
    <cellStyle name="40% - Accent6 15 2 3" xfId="6994" xr:uid="{00000000-0005-0000-0000-00006B4F0000}"/>
    <cellStyle name="40% - Accent6 15 2 3 2" xfId="14966" xr:uid="{00000000-0005-0000-0000-00006C4F0000}"/>
    <cellStyle name="40% - Accent6 15 2 3 2 2" xfId="38808" xr:uid="{229CAE57-E992-4872-B826-EA1FD038A3FF}"/>
    <cellStyle name="40% - Accent6 15 2 3 3" xfId="22913" xr:uid="{00000000-0005-0000-0000-00006D4F0000}"/>
    <cellStyle name="40% - Accent6 15 2 3 3 2" xfId="46745" xr:uid="{E9D35DE3-8ACF-4508-BD52-EAB34B95ECB5}"/>
    <cellStyle name="40% - Accent6 15 2 3 4" xfId="30867" xr:uid="{6CE9CC83-687F-4442-A89D-EFCE65F0B244}"/>
    <cellStyle name="40% - Accent6 15 2 4" xfId="11430" xr:uid="{00000000-0005-0000-0000-00006E4F0000}"/>
    <cellStyle name="40% - Accent6 15 2 4 2" xfId="35279" xr:uid="{D0AC08A7-A5F0-4F2E-BD29-5BA2A3ACD69D}"/>
    <cellStyle name="40% - Accent6 15 2 5" xfId="19385" xr:uid="{00000000-0005-0000-0000-00006F4F0000}"/>
    <cellStyle name="40% - Accent6 15 2 5 2" xfId="43217" xr:uid="{02373AA5-BA7B-490E-ACC4-2034FE066633}"/>
    <cellStyle name="40% - Accent6 15 2 6" xfId="27337" xr:uid="{3439C69E-2669-4EE2-8131-29441448FABB}"/>
    <cellStyle name="40% - Accent6 15 2_Exh G" xfId="3342" xr:uid="{00000000-0005-0000-0000-0000704F0000}"/>
    <cellStyle name="40% - Accent6 15 3" xfId="4283" xr:uid="{00000000-0005-0000-0000-0000714F0000}"/>
    <cellStyle name="40% - Accent6 15 3 2" xfId="7875" xr:uid="{00000000-0005-0000-0000-0000724F0000}"/>
    <cellStyle name="40% - Accent6 15 3 2 2" xfId="15846" xr:uid="{00000000-0005-0000-0000-0000734F0000}"/>
    <cellStyle name="40% - Accent6 15 3 2 2 2" xfId="39688" xr:uid="{22B70888-0299-4C93-A87C-E9F63A9CAD9E}"/>
    <cellStyle name="40% - Accent6 15 3 2 3" xfId="23792" xr:uid="{00000000-0005-0000-0000-0000744F0000}"/>
    <cellStyle name="40% - Accent6 15 3 2 3 2" xfId="47624" xr:uid="{B7249B57-A007-4CBF-9267-69852F423A85}"/>
    <cellStyle name="40% - Accent6 15 3 2 4" xfId="31747" xr:uid="{FB5C66AF-EE0C-41C8-9843-5AFE8C815B6B}"/>
    <cellStyle name="40% - Accent6 15 3 3" xfId="12308" xr:uid="{00000000-0005-0000-0000-0000754F0000}"/>
    <cellStyle name="40% - Accent6 15 3 3 2" xfId="36157" xr:uid="{B23624E7-8C65-4D05-A448-CBE7CF8B2306}"/>
    <cellStyle name="40% - Accent6 15 3 4" xfId="20263" xr:uid="{00000000-0005-0000-0000-0000764F0000}"/>
    <cellStyle name="40% - Accent6 15 3 4 2" xfId="44095" xr:uid="{21B7BDB2-9EFB-41D2-AD97-08BB111299E0}"/>
    <cellStyle name="40% - Accent6 15 3 5" xfId="28216" xr:uid="{6AD5F9E5-4DCC-423C-A709-9016D6146C80}"/>
    <cellStyle name="40% - Accent6 15 4" xfId="6103" xr:uid="{00000000-0005-0000-0000-0000774F0000}"/>
    <cellStyle name="40% - Accent6 15 4 2" xfId="14087" xr:uid="{00000000-0005-0000-0000-0000784F0000}"/>
    <cellStyle name="40% - Accent6 15 4 2 2" xfId="37930" xr:uid="{16623FCC-D328-4D2C-999F-F49742044B22}"/>
    <cellStyle name="40% - Accent6 15 4 3" xfId="22035" xr:uid="{00000000-0005-0000-0000-0000794F0000}"/>
    <cellStyle name="40% - Accent6 15 4 3 2" xfId="45867" xr:uid="{D02C0ADC-69E5-48A9-AFBF-5E9A04EBBB51}"/>
    <cellStyle name="40% - Accent6 15 4 4" xfId="29989" xr:uid="{E4C4E25F-FDC5-4F8D-AB2F-F0178E70DB18}"/>
    <cellStyle name="40% - Accent6 15 5" xfId="9656" xr:uid="{00000000-0005-0000-0000-00007A4F0000}"/>
    <cellStyle name="40% - Accent6 15 5 2" xfId="17614" xr:uid="{00000000-0005-0000-0000-00007B4F0000}"/>
    <cellStyle name="40% - Accent6 15 5 2 2" xfId="41454" xr:uid="{2B64B88B-62C4-4186-8534-0DDB137B9CAF}"/>
    <cellStyle name="40% - Accent6 15 5 3" xfId="25558" xr:uid="{00000000-0005-0000-0000-00007C4F0000}"/>
    <cellStyle name="40% - Accent6 15 5 3 2" xfId="49390" xr:uid="{6F21AA96-4EDA-418E-A83E-EC3270AFBCFB}"/>
    <cellStyle name="40% - Accent6 15 5 4" xfId="33513" xr:uid="{3758FC94-F787-4319-92F8-AAD5402B03BE}"/>
    <cellStyle name="40% - Accent6 15 6" xfId="10552" xr:uid="{00000000-0005-0000-0000-00007D4F0000}"/>
    <cellStyle name="40% - Accent6 15 6 2" xfId="34401" xr:uid="{4084343F-DCD6-47D4-AAFA-19C010F925ED}"/>
    <cellStyle name="40% - Accent6 15 7" xfId="18507" xr:uid="{00000000-0005-0000-0000-00007E4F0000}"/>
    <cellStyle name="40% - Accent6 15 7 2" xfId="42339" xr:uid="{AABA78D8-FC27-4A78-BB06-D8CBDA99B2EA}"/>
    <cellStyle name="40% - Accent6 15 8" xfId="26459" xr:uid="{70597E3F-39ED-4FD9-8F58-5D904D1FEF6F}"/>
    <cellStyle name="40% - Accent6 15_Exh G" xfId="3341" xr:uid="{00000000-0005-0000-0000-00007F4F0000}"/>
    <cellStyle name="40% - Accent6 16" xfId="854" xr:uid="{00000000-0005-0000-0000-0000804F0000}"/>
    <cellStyle name="40% - Accent6 16 2" xfId="1793" xr:uid="{00000000-0005-0000-0000-0000814F0000}"/>
    <cellStyle name="40% - Accent6 16 2 2" xfId="5314" xr:uid="{00000000-0005-0000-0000-0000824F0000}"/>
    <cellStyle name="40% - Accent6 16 2 2 2" xfId="8905" xr:uid="{00000000-0005-0000-0000-0000834F0000}"/>
    <cellStyle name="40% - Accent6 16 2 2 2 2" xfId="16876" xr:uid="{00000000-0005-0000-0000-0000844F0000}"/>
    <cellStyle name="40% - Accent6 16 2 2 2 2 2" xfId="40718" xr:uid="{6BF90B9C-A18F-49CE-81A1-3002F59386E3}"/>
    <cellStyle name="40% - Accent6 16 2 2 2 3" xfId="24822" xr:uid="{00000000-0005-0000-0000-0000854F0000}"/>
    <cellStyle name="40% - Accent6 16 2 2 2 3 2" xfId="48654" xr:uid="{936EDFF9-E8EF-4A4D-862D-79397C6FB29B}"/>
    <cellStyle name="40% - Accent6 16 2 2 2 4" xfId="32777" xr:uid="{CB659100-3566-4DB6-8D22-F58A792C56B4}"/>
    <cellStyle name="40% - Accent6 16 2 2 3" xfId="13338" xr:uid="{00000000-0005-0000-0000-0000864F0000}"/>
    <cellStyle name="40% - Accent6 16 2 2 3 2" xfId="37187" xr:uid="{D49653FB-B60B-4C18-BA3E-3030DF37BC5C}"/>
    <cellStyle name="40% - Accent6 16 2 2 4" xfId="21293" xr:uid="{00000000-0005-0000-0000-0000874F0000}"/>
    <cellStyle name="40% - Accent6 16 2 2 4 2" xfId="45125" xr:uid="{D5FDCEEE-8AB2-45FA-9F67-07A6E1B64AB3}"/>
    <cellStyle name="40% - Accent6 16 2 2 5" xfId="29246" xr:uid="{307DC634-445D-4102-9271-FBA6F17811D2}"/>
    <cellStyle name="40% - Accent6 16 2 3" xfId="7146" xr:uid="{00000000-0005-0000-0000-0000884F0000}"/>
    <cellStyle name="40% - Accent6 16 2 3 2" xfId="15118" xr:uid="{00000000-0005-0000-0000-0000894F0000}"/>
    <cellStyle name="40% - Accent6 16 2 3 2 2" xfId="38960" xr:uid="{7D791E97-DF8F-4064-804B-DBE5FC8172D9}"/>
    <cellStyle name="40% - Accent6 16 2 3 3" xfId="23065" xr:uid="{00000000-0005-0000-0000-00008A4F0000}"/>
    <cellStyle name="40% - Accent6 16 2 3 3 2" xfId="46897" xr:uid="{90DE0E44-5670-4CB3-972E-8970B0717665}"/>
    <cellStyle name="40% - Accent6 16 2 3 4" xfId="31019" xr:uid="{A2CD1E5D-A3FE-429A-914F-3DB537D6CDC7}"/>
    <cellStyle name="40% - Accent6 16 2 4" xfId="11582" xr:uid="{00000000-0005-0000-0000-00008B4F0000}"/>
    <cellStyle name="40% - Accent6 16 2 4 2" xfId="35431" xr:uid="{AC325946-D885-4BA5-81DE-0DF8CE72AF6A}"/>
    <cellStyle name="40% - Accent6 16 2 5" xfId="19537" xr:uid="{00000000-0005-0000-0000-00008C4F0000}"/>
    <cellStyle name="40% - Accent6 16 2 5 2" xfId="43369" xr:uid="{2DFD7DB7-7535-4B1E-9EEB-222FBC8400BE}"/>
    <cellStyle name="40% - Accent6 16 2 6" xfId="27489" xr:uid="{16279FE3-0F97-4298-AE18-E81148E8AC10}"/>
    <cellStyle name="40% - Accent6 16 2_Exh G" xfId="3344" xr:uid="{00000000-0005-0000-0000-00008D4F0000}"/>
    <cellStyle name="40% - Accent6 16 3" xfId="4435" xr:uid="{00000000-0005-0000-0000-00008E4F0000}"/>
    <cellStyle name="40% - Accent6 16 3 2" xfId="8027" xr:uid="{00000000-0005-0000-0000-00008F4F0000}"/>
    <cellStyle name="40% - Accent6 16 3 2 2" xfId="15998" xr:uid="{00000000-0005-0000-0000-0000904F0000}"/>
    <cellStyle name="40% - Accent6 16 3 2 2 2" xfId="39840" xr:uid="{BFB5F1B5-0232-4C82-A44D-1B862F9A853F}"/>
    <cellStyle name="40% - Accent6 16 3 2 3" xfId="23944" xr:uid="{00000000-0005-0000-0000-0000914F0000}"/>
    <cellStyle name="40% - Accent6 16 3 2 3 2" xfId="47776" xr:uid="{9C0A2721-B9A1-4BC3-8588-6E598E8E03A6}"/>
    <cellStyle name="40% - Accent6 16 3 2 4" xfId="31899" xr:uid="{02E249AC-C630-46BA-A036-05B31966738D}"/>
    <cellStyle name="40% - Accent6 16 3 3" xfId="12460" xr:uid="{00000000-0005-0000-0000-0000924F0000}"/>
    <cellStyle name="40% - Accent6 16 3 3 2" xfId="36309" xr:uid="{3EDA14EE-963D-445C-9DBE-C515B1342758}"/>
    <cellStyle name="40% - Accent6 16 3 4" xfId="20415" xr:uid="{00000000-0005-0000-0000-0000934F0000}"/>
    <cellStyle name="40% - Accent6 16 3 4 2" xfId="44247" xr:uid="{666015CE-1FC3-472A-BDFB-5B06A1EECF26}"/>
    <cellStyle name="40% - Accent6 16 3 5" xfId="28368" xr:uid="{86865F4D-C901-4524-A01D-A4BF775494B3}"/>
    <cellStyle name="40% - Accent6 16 4" xfId="6265" xr:uid="{00000000-0005-0000-0000-0000944F0000}"/>
    <cellStyle name="40% - Accent6 16 4 2" xfId="14240" xr:uid="{00000000-0005-0000-0000-0000954F0000}"/>
    <cellStyle name="40% - Accent6 16 4 2 2" xfId="38082" xr:uid="{5C8C2345-D055-4EBD-B509-E89FBFF9A2AB}"/>
    <cellStyle name="40% - Accent6 16 4 3" xfId="22187" xr:uid="{00000000-0005-0000-0000-0000964F0000}"/>
    <cellStyle name="40% - Accent6 16 4 3 2" xfId="46019" xr:uid="{E6E3FBBA-C000-4499-BB9A-A69D3021D8A5}"/>
    <cellStyle name="40% - Accent6 16 4 4" xfId="30141" xr:uid="{62EC8CA9-E488-4ABF-AF71-DA56FD10A932}"/>
    <cellStyle name="40% - Accent6 16 5" xfId="9808" xr:uid="{00000000-0005-0000-0000-0000974F0000}"/>
    <cellStyle name="40% - Accent6 16 5 2" xfId="17766" xr:uid="{00000000-0005-0000-0000-0000984F0000}"/>
    <cellStyle name="40% - Accent6 16 5 2 2" xfId="41606" xr:uid="{52D17F3E-A79B-43B5-AFF6-3E023D04529E}"/>
    <cellStyle name="40% - Accent6 16 5 3" xfId="25710" xr:uid="{00000000-0005-0000-0000-0000994F0000}"/>
    <cellStyle name="40% - Accent6 16 5 3 2" xfId="49542" xr:uid="{DFC74780-16C6-4E7D-B766-7E3FAA5A037D}"/>
    <cellStyle name="40% - Accent6 16 5 4" xfId="33665" xr:uid="{2DEDE8C2-B90A-4A0D-8123-D5CCCF113DBD}"/>
    <cellStyle name="40% - Accent6 16 6" xfId="10704" xr:uid="{00000000-0005-0000-0000-00009A4F0000}"/>
    <cellStyle name="40% - Accent6 16 6 2" xfId="34553" xr:uid="{3D573962-D560-43A8-B2CF-C0918E93CFB5}"/>
    <cellStyle name="40% - Accent6 16 7" xfId="18659" xr:uid="{00000000-0005-0000-0000-00009B4F0000}"/>
    <cellStyle name="40% - Accent6 16 7 2" xfId="42491" xr:uid="{B0F578D6-AF57-40D4-A8D5-31D7B54337C3}"/>
    <cellStyle name="40% - Accent6 16 8" xfId="26611" xr:uid="{F4B5477C-01B5-40F9-B21D-F5D4045D6B8B}"/>
    <cellStyle name="40% - Accent6 16_Exh G" xfId="3343" xr:uid="{00000000-0005-0000-0000-00009C4F0000}"/>
    <cellStyle name="40% - Accent6 17" xfId="49805" xr:uid="{60AD41B5-0542-4FE1-8B26-83CEFE52DEAC}"/>
    <cellStyle name="40% - Accent6 2" xfId="605" xr:uid="{00000000-0005-0000-0000-00009D4F0000}"/>
    <cellStyle name="40% - Accent6 2 10" xfId="18508" xr:uid="{00000000-0005-0000-0000-00009E4F0000}"/>
    <cellStyle name="40% - Accent6 2 10 2" xfId="42340" xr:uid="{5FF041EF-CE50-444F-A116-6F512827CA4F}"/>
    <cellStyle name="40% - Accent6 2 11" xfId="26460" xr:uid="{D93C9509-9238-4FC8-987E-CF1610111F58}"/>
    <cellStyle name="40% - Accent6 2 12" xfId="49790" xr:uid="{175283D7-0F46-41BF-8D02-EBBBCDC91C77}"/>
    <cellStyle name="40% - Accent6 2 13" xfId="49818" xr:uid="{E4A7DADC-2FAE-4279-B5E9-85ACB7F036E4}"/>
    <cellStyle name="40% - Accent6 2 2" xfId="606" xr:uid="{00000000-0005-0000-0000-00009F4F0000}"/>
    <cellStyle name="40% - Accent6 2 2 10" xfId="26461" xr:uid="{192F8296-3361-4498-ADE5-3F326A9B17D0}"/>
    <cellStyle name="40% - Accent6 2 2 2" xfId="607" xr:uid="{00000000-0005-0000-0000-0000A04F0000}"/>
    <cellStyle name="40% - Accent6 2 2 2 2" xfId="1635" xr:uid="{00000000-0005-0000-0000-0000A14F0000}"/>
    <cellStyle name="40% - Accent6 2 2 2 2 2" xfId="5165" xr:uid="{00000000-0005-0000-0000-0000A24F0000}"/>
    <cellStyle name="40% - Accent6 2 2 2 2 2 2" xfId="8756" xr:uid="{00000000-0005-0000-0000-0000A34F0000}"/>
    <cellStyle name="40% - Accent6 2 2 2 2 2 2 2" xfId="16727" xr:uid="{00000000-0005-0000-0000-0000A44F0000}"/>
    <cellStyle name="40% - Accent6 2 2 2 2 2 2 2 2" xfId="40569" xr:uid="{CD851387-620B-482D-AD05-65F956CAFAEA}"/>
    <cellStyle name="40% - Accent6 2 2 2 2 2 2 3" xfId="24673" xr:uid="{00000000-0005-0000-0000-0000A54F0000}"/>
    <cellStyle name="40% - Accent6 2 2 2 2 2 2 3 2" xfId="48505" xr:uid="{D5F4A459-4493-47CC-9870-72B5AD0EA324}"/>
    <cellStyle name="40% - Accent6 2 2 2 2 2 2 4" xfId="32628" xr:uid="{0B5C4C9D-A938-441A-89C8-49895E60807D}"/>
    <cellStyle name="40% - Accent6 2 2 2 2 2 3" xfId="13189" xr:uid="{00000000-0005-0000-0000-0000A64F0000}"/>
    <cellStyle name="40% - Accent6 2 2 2 2 2 3 2" xfId="37038" xr:uid="{C4E0D618-ACBE-460C-AFBC-8B94902F2D69}"/>
    <cellStyle name="40% - Accent6 2 2 2 2 2 4" xfId="21144" xr:uid="{00000000-0005-0000-0000-0000A74F0000}"/>
    <cellStyle name="40% - Accent6 2 2 2 2 2 4 2" xfId="44976" xr:uid="{E2DC602B-A25D-41F2-BDBB-61D8F716DD53}"/>
    <cellStyle name="40% - Accent6 2 2 2 2 2 5" xfId="29097" xr:uid="{EB1FDEA4-776C-46E9-89B0-9AAEC48575D4}"/>
    <cellStyle name="40% - Accent6 2 2 2 2 3" xfId="6997" xr:uid="{00000000-0005-0000-0000-0000A84F0000}"/>
    <cellStyle name="40% - Accent6 2 2 2 2 3 2" xfId="14969" xr:uid="{00000000-0005-0000-0000-0000A94F0000}"/>
    <cellStyle name="40% - Accent6 2 2 2 2 3 2 2" xfId="38811" xr:uid="{0D060449-CC96-4712-B232-375F149107C2}"/>
    <cellStyle name="40% - Accent6 2 2 2 2 3 3" xfId="22916" xr:uid="{00000000-0005-0000-0000-0000AA4F0000}"/>
    <cellStyle name="40% - Accent6 2 2 2 2 3 3 2" xfId="46748" xr:uid="{29520847-803C-4DE8-92C3-6505A1673F4B}"/>
    <cellStyle name="40% - Accent6 2 2 2 2 3 4" xfId="30870" xr:uid="{3384C2B0-0976-417F-B2F4-02F67FBEB379}"/>
    <cellStyle name="40% - Accent6 2 2 2 2 4" xfId="11433" xr:uid="{00000000-0005-0000-0000-0000AB4F0000}"/>
    <cellStyle name="40% - Accent6 2 2 2 2 4 2" xfId="35282" xr:uid="{016D12C0-64C8-4AC2-8372-DAED88AF549F}"/>
    <cellStyle name="40% - Accent6 2 2 2 2 5" xfId="19388" xr:uid="{00000000-0005-0000-0000-0000AC4F0000}"/>
    <cellStyle name="40% - Accent6 2 2 2 2 5 2" xfId="43220" xr:uid="{74737B67-2EFF-480B-B2F8-757682683FAB}"/>
    <cellStyle name="40% - Accent6 2 2 2 2 6" xfId="27340" xr:uid="{5974C96C-4F27-4F04-A453-DED02BC04EB8}"/>
    <cellStyle name="40% - Accent6 2 2 2 2_Exh G" xfId="3348" xr:uid="{00000000-0005-0000-0000-0000AD4F0000}"/>
    <cellStyle name="40% - Accent6 2 2 2 3" xfId="4286" xr:uid="{00000000-0005-0000-0000-0000AE4F0000}"/>
    <cellStyle name="40% - Accent6 2 2 2 3 2" xfId="7878" xr:uid="{00000000-0005-0000-0000-0000AF4F0000}"/>
    <cellStyle name="40% - Accent6 2 2 2 3 2 2" xfId="15849" xr:uid="{00000000-0005-0000-0000-0000B04F0000}"/>
    <cellStyle name="40% - Accent6 2 2 2 3 2 2 2" xfId="39691" xr:uid="{3C30CC71-2B3B-4964-AC6C-AE779AEBFF13}"/>
    <cellStyle name="40% - Accent6 2 2 2 3 2 3" xfId="23795" xr:uid="{00000000-0005-0000-0000-0000B14F0000}"/>
    <cellStyle name="40% - Accent6 2 2 2 3 2 3 2" xfId="47627" xr:uid="{49F6CE24-22FA-4426-A4B5-8A4E54E78C80}"/>
    <cellStyle name="40% - Accent6 2 2 2 3 2 4" xfId="31750" xr:uid="{A842E899-0C96-46D0-9336-B05C188129B8}"/>
    <cellStyle name="40% - Accent6 2 2 2 3 3" xfId="12311" xr:uid="{00000000-0005-0000-0000-0000B24F0000}"/>
    <cellStyle name="40% - Accent6 2 2 2 3 3 2" xfId="36160" xr:uid="{07896E57-A170-485F-9FD4-674DF250223B}"/>
    <cellStyle name="40% - Accent6 2 2 2 3 4" xfId="20266" xr:uid="{00000000-0005-0000-0000-0000B34F0000}"/>
    <cellStyle name="40% - Accent6 2 2 2 3 4 2" xfId="44098" xr:uid="{A577424B-C67E-4678-A700-61520A563DAE}"/>
    <cellStyle name="40% - Accent6 2 2 2 3 5" xfId="28219" xr:uid="{0A83A990-AAE3-4C3D-9FF6-6CD80957B2EF}"/>
    <cellStyle name="40% - Accent6 2 2 2 4" xfId="6106" xr:uid="{00000000-0005-0000-0000-0000B44F0000}"/>
    <cellStyle name="40% - Accent6 2 2 2 4 2" xfId="14090" xr:uid="{00000000-0005-0000-0000-0000B54F0000}"/>
    <cellStyle name="40% - Accent6 2 2 2 4 2 2" xfId="37933" xr:uid="{34A1DE59-0476-49B7-83E1-784F7DDC8339}"/>
    <cellStyle name="40% - Accent6 2 2 2 4 3" xfId="22038" xr:uid="{00000000-0005-0000-0000-0000B64F0000}"/>
    <cellStyle name="40% - Accent6 2 2 2 4 3 2" xfId="45870" xr:uid="{D2411554-DC84-484E-B22D-10ABBA0C1535}"/>
    <cellStyle name="40% - Accent6 2 2 2 4 4" xfId="29992" xr:uid="{15339FC7-EDAC-46D2-970D-627DDBC5A781}"/>
    <cellStyle name="40% - Accent6 2 2 2 5" xfId="9659" xr:uid="{00000000-0005-0000-0000-0000B74F0000}"/>
    <cellStyle name="40% - Accent6 2 2 2 5 2" xfId="17617" xr:uid="{00000000-0005-0000-0000-0000B84F0000}"/>
    <cellStyle name="40% - Accent6 2 2 2 5 2 2" xfId="41457" xr:uid="{818C43B5-FDA7-4AE1-BF15-41456CE398F0}"/>
    <cellStyle name="40% - Accent6 2 2 2 5 3" xfId="25561" xr:uid="{00000000-0005-0000-0000-0000B94F0000}"/>
    <cellStyle name="40% - Accent6 2 2 2 5 3 2" xfId="49393" xr:uid="{6FE336F7-37F5-457A-AFAD-D548CAE12F0A}"/>
    <cellStyle name="40% - Accent6 2 2 2 5 4" xfId="33516" xr:uid="{9BCB1B53-1B8F-457F-9CDA-DF6AD376C54B}"/>
    <cellStyle name="40% - Accent6 2 2 2 6" xfId="10555" xr:uid="{00000000-0005-0000-0000-0000BA4F0000}"/>
    <cellStyle name="40% - Accent6 2 2 2 6 2" xfId="34404" xr:uid="{79AD3B10-DBE0-4A2B-A246-B524883C887A}"/>
    <cellStyle name="40% - Accent6 2 2 2 7" xfId="18510" xr:uid="{00000000-0005-0000-0000-0000BB4F0000}"/>
    <cellStyle name="40% - Accent6 2 2 2 7 2" xfId="42342" xr:uid="{7488CE5A-DF2F-4254-BACA-2DBA64AF8D6D}"/>
    <cellStyle name="40% - Accent6 2 2 2 8" xfId="26462" xr:uid="{DC13BFFE-678B-4ED7-A92F-2535A0F7D071}"/>
    <cellStyle name="40% - Accent6 2 2 2_Exh G" xfId="3347" xr:uid="{00000000-0005-0000-0000-0000BC4F0000}"/>
    <cellStyle name="40% - Accent6 2 2 3" xfId="996" xr:uid="{00000000-0005-0000-0000-0000BD4F0000}"/>
    <cellStyle name="40% - Accent6 2 2 3 2" xfId="1910" xr:uid="{00000000-0005-0000-0000-0000BE4F0000}"/>
    <cellStyle name="40% - Accent6 2 2 3 2 2" xfId="5428" xr:uid="{00000000-0005-0000-0000-0000BF4F0000}"/>
    <cellStyle name="40% - Accent6 2 2 3 2 2 2" xfId="9019" xr:uid="{00000000-0005-0000-0000-0000C04F0000}"/>
    <cellStyle name="40% - Accent6 2 2 3 2 2 2 2" xfId="16990" xr:uid="{00000000-0005-0000-0000-0000C14F0000}"/>
    <cellStyle name="40% - Accent6 2 2 3 2 2 2 2 2" xfId="40832" xr:uid="{92E2F511-F3F2-485D-A089-68FB8BC4A8F8}"/>
    <cellStyle name="40% - Accent6 2 2 3 2 2 2 3" xfId="24936" xr:uid="{00000000-0005-0000-0000-0000C24F0000}"/>
    <cellStyle name="40% - Accent6 2 2 3 2 2 2 3 2" xfId="48768" xr:uid="{78E6C9EC-BD86-480C-8009-8A0F3B38A30A}"/>
    <cellStyle name="40% - Accent6 2 2 3 2 2 2 4" xfId="32891" xr:uid="{80A033E2-0752-49E6-B0B4-BF8EEB8F1F58}"/>
    <cellStyle name="40% - Accent6 2 2 3 2 2 3" xfId="13452" xr:uid="{00000000-0005-0000-0000-0000C34F0000}"/>
    <cellStyle name="40% - Accent6 2 2 3 2 2 3 2" xfId="37301" xr:uid="{92637EA3-13FE-4BFC-819D-5FD45230035F}"/>
    <cellStyle name="40% - Accent6 2 2 3 2 2 4" xfId="21407" xr:uid="{00000000-0005-0000-0000-0000C44F0000}"/>
    <cellStyle name="40% - Accent6 2 2 3 2 2 4 2" xfId="45239" xr:uid="{CEC2CED0-3E3A-4EAD-9A8D-7721DD242EDE}"/>
    <cellStyle name="40% - Accent6 2 2 3 2 2 5" xfId="29360" xr:uid="{6AEF02F6-B890-4D20-8253-F8A0A417714E}"/>
    <cellStyle name="40% - Accent6 2 2 3 2 3" xfId="7260" xr:uid="{00000000-0005-0000-0000-0000C54F0000}"/>
    <cellStyle name="40% - Accent6 2 2 3 2 3 2" xfId="15232" xr:uid="{00000000-0005-0000-0000-0000C64F0000}"/>
    <cellStyle name="40% - Accent6 2 2 3 2 3 2 2" xfId="39074" xr:uid="{5491F8B1-D9C1-412F-91C8-06521F97B2C3}"/>
    <cellStyle name="40% - Accent6 2 2 3 2 3 3" xfId="23179" xr:uid="{00000000-0005-0000-0000-0000C74F0000}"/>
    <cellStyle name="40% - Accent6 2 2 3 2 3 3 2" xfId="47011" xr:uid="{F469C348-AC8D-4D44-98B3-866EF090AB9D}"/>
    <cellStyle name="40% - Accent6 2 2 3 2 3 4" xfId="31133" xr:uid="{F1E47ABB-A6F0-4120-926A-1B8829852383}"/>
    <cellStyle name="40% - Accent6 2 2 3 2 4" xfId="11696" xr:uid="{00000000-0005-0000-0000-0000C84F0000}"/>
    <cellStyle name="40% - Accent6 2 2 3 2 4 2" xfId="35545" xr:uid="{2E65BC09-146B-4797-BCC5-9FB5824A8F6A}"/>
    <cellStyle name="40% - Accent6 2 2 3 2 5" xfId="19651" xr:uid="{00000000-0005-0000-0000-0000C94F0000}"/>
    <cellStyle name="40% - Accent6 2 2 3 2 5 2" xfId="43483" xr:uid="{C5E36A12-493C-4C9E-9758-06D936CD7B10}"/>
    <cellStyle name="40% - Accent6 2 2 3 2 6" xfId="27603" xr:uid="{AE59B789-7F96-4A44-B3B5-9A7777851519}"/>
    <cellStyle name="40% - Accent6 2 2 3 2_Exh G" xfId="3350" xr:uid="{00000000-0005-0000-0000-0000CA4F0000}"/>
    <cellStyle name="40% - Accent6 2 2 3 3" xfId="4549" xr:uid="{00000000-0005-0000-0000-0000CB4F0000}"/>
    <cellStyle name="40% - Accent6 2 2 3 3 2" xfId="8141" xr:uid="{00000000-0005-0000-0000-0000CC4F0000}"/>
    <cellStyle name="40% - Accent6 2 2 3 3 2 2" xfId="16112" xr:uid="{00000000-0005-0000-0000-0000CD4F0000}"/>
    <cellStyle name="40% - Accent6 2 2 3 3 2 2 2" xfId="39954" xr:uid="{597879F1-3B36-436C-AB2C-363A6A66B2EC}"/>
    <cellStyle name="40% - Accent6 2 2 3 3 2 3" xfId="24058" xr:uid="{00000000-0005-0000-0000-0000CE4F0000}"/>
    <cellStyle name="40% - Accent6 2 2 3 3 2 3 2" xfId="47890" xr:uid="{C6A46B81-64CA-42BC-95B3-0E115CB13CB5}"/>
    <cellStyle name="40% - Accent6 2 2 3 3 2 4" xfId="32013" xr:uid="{F3E44702-152D-4F44-BC18-18D8DA189E40}"/>
    <cellStyle name="40% - Accent6 2 2 3 3 3" xfId="12574" xr:uid="{00000000-0005-0000-0000-0000CF4F0000}"/>
    <cellStyle name="40% - Accent6 2 2 3 3 3 2" xfId="36423" xr:uid="{9DA805B0-238A-417A-9C16-FDB7AD0ED1A6}"/>
    <cellStyle name="40% - Accent6 2 2 3 3 4" xfId="20529" xr:uid="{00000000-0005-0000-0000-0000D04F0000}"/>
    <cellStyle name="40% - Accent6 2 2 3 3 4 2" xfId="44361" xr:uid="{1B5D4F49-D72A-4374-87C1-DD2254A2C2E5}"/>
    <cellStyle name="40% - Accent6 2 2 3 3 5" xfId="28482" xr:uid="{4E66315B-4C47-4074-AA44-29C9D8CF92CB}"/>
    <cellStyle name="40% - Accent6 2 2 3 4" xfId="6379" xr:uid="{00000000-0005-0000-0000-0000D14F0000}"/>
    <cellStyle name="40% - Accent6 2 2 3 4 2" xfId="14354" xr:uid="{00000000-0005-0000-0000-0000D24F0000}"/>
    <cellStyle name="40% - Accent6 2 2 3 4 2 2" xfId="38196" xr:uid="{C103F86B-D618-46F1-AF80-64FF97B10085}"/>
    <cellStyle name="40% - Accent6 2 2 3 4 3" xfId="22301" xr:uid="{00000000-0005-0000-0000-0000D34F0000}"/>
    <cellStyle name="40% - Accent6 2 2 3 4 3 2" xfId="46133" xr:uid="{AC009930-D884-4ECA-87AC-2EF16E0E034C}"/>
    <cellStyle name="40% - Accent6 2 2 3 4 4" xfId="30255" xr:uid="{2050C034-BA14-4424-B87B-F6CB04EFA1B9}"/>
    <cellStyle name="40% - Accent6 2 2 3 5" xfId="9922" xr:uid="{00000000-0005-0000-0000-0000D44F0000}"/>
    <cellStyle name="40% - Accent6 2 2 3 5 2" xfId="17880" xr:uid="{00000000-0005-0000-0000-0000D54F0000}"/>
    <cellStyle name="40% - Accent6 2 2 3 5 2 2" xfId="41720" xr:uid="{80638169-CF82-4C18-ADCE-14394A8831E0}"/>
    <cellStyle name="40% - Accent6 2 2 3 5 3" xfId="25824" xr:uid="{00000000-0005-0000-0000-0000D64F0000}"/>
    <cellStyle name="40% - Accent6 2 2 3 5 3 2" xfId="49656" xr:uid="{9576FAA3-B262-43B1-8617-D4A267D8FC18}"/>
    <cellStyle name="40% - Accent6 2 2 3 5 4" xfId="33779" xr:uid="{8810780F-F732-4D24-B31F-7ACC43211A08}"/>
    <cellStyle name="40% - Accent6 2 2 3 6" xfId="10818" xr:uid="{00000000-0005-0000-0000-0000D74F0000}"/>
    <cellStyle name="40% - Accent6 2 2 3 6 2" xfId="34667" xr:uid="{B389DA91-BEBF-467E-9BCE-8EEB0C7ED58B}"/>
    <cellStyle name="40% - Accent6 2 2 3 7" xfId="18773" xr:uid="{00000000-0005-0000-0000-0000D84F0000}"/>
    <cellStyle name="40% - Accent6 2 2 3 7 2" xfId="42605" xr:uid="{62B507EE-C278-4F20-A5C7-576CADA7AF5D}"/>
    <cellStyle name="40% - Accent6 2 2 3 8" xfId="26725" xr:uid="{7723A5CB-E822-45A9-B9D4-05EBCBD0A197}"/>
    <cellStyle name="40% - Accent6 2 2 3_Exh G" xfId="3349" xr:uid="{00000000-0005-0000-0000-0000D94F0000}"/>
    <cellStyle name="40% - Accent6 2 2 4" xfId="1634" xr:uid="{00000000-0005-0000-0000-0000DA4F0000}"/>
    <cellStyle name="40% - Accent6 2 2 4 2" xfId="5164" xr:uid="{00000000-0005-0000-0000-0000DB4F0000}"/>
    <cellStyle name="40% - Accent6 2 2 4 2 2" xfId="8755" xr:uid="{00000000-0005-0000-0000-0000DC4F0000}"/>
    <cellStyle name="40% - Accent6 2 2 4 2 2 2" xfId="16726" xr:uid="{00000000-0005-0000-0000-0000DD4F0000}"/>
    <cellStyle name="40% - Accent6 2 2 4 2 2 2 2" xfId="40568" xr:uid="{B34CF830-8DA6-4BEC-8530-9FDCAC5C081C}"/>
    <cellStyle name="40% - Accent6 2 2 4 2 2 3" xfId="24672" xr:uid="{00000000-0005-0000-0000-0000DE4F0000}"/>
    <cellStyle name="40% - Accent6 2 2 4 2 2 3 2" xfId="48504" xr:uid="{F04643DA-813A-4BBD-9B1D-06F155ACB946}"/>
    <cellStyle name="40% - Accent6 2 2 4 2 2 4" xfId="32627" xr:uid="{F3ED2823-828D-4D0C-817F-4BC69F1DF6EC}"/>
    <cellStyle name="40% - Accent6 2 2 4 2 3" xfId="13188" xr:uid="{00000000-0005-0000-0000-0000DF4F0000}"/>
    <cellStyle name="40% - Accent6 2 2 4 2 3 2" xfId="37037" xr:uid="{B2A00C70-25B0-4AD7-B6BF-37810F2364BC}"/>
    <cellStyle name="40% - Accent6 2 2 4 2 4" xfId="21143" xr:uid="{00000000-0005-0000-0000-0000E04F0000}"/>
    <cellStyle name="40% - Accent6 2 2 4 2 4 2" xfId="44975" xr:uid="{8FE7A1A2-F577-49C9-88B5-F258DC767E1D}"/>
    <cellStyle name="40% - Accent6 2 2 4 2 5" xfId="29096" xr:uid="{2F648A23-A6F9-4A3F-85F0-124F5BCD90C5}"/>
    <cellStyle name="40% - Accent6 2 2 4 3" xfId="6996" xr:uid="{00000000-0005-0000-0000-0000E14F0000}"/>
    <cellStyle name="40% - Accent6 2 2 4 3 2" xfId="14968" xr:uid="{00000000-0005-0000-0000-0000E24F0000}"/>
    <cellStyle name="40% - Accent6 2 2 4 3 2 2" xfId="38810" xr:uid="{1499494A-9196-4B7F-ACC3-5EE396617273}"/>
    <cellStyle name="40% - Accent6 2 2 4 3 3" xfId="22915" xr:uid="{00000000-0005-0000-0000-0000E34F0000}"/>
    <cellStyle name="40% - Accent6 2 2 4 3 3 2" xfId="46747" xr:uid="{FD882CC5-F33D-470A-A8D3-7CE628D8E0FA}"/>
    <cellStyle name="40% - Accent6 2 2 4 3 4" xfId="30869" xr:uid="{CDE861DC-C0DB-47FD-B0A5-57C1EBAF4A9C}"/>
    <cellStyle name="40% - Accent6 2 2 4 4" xfId="11432" xr:uid="{00000000-0005-0000-0000-0000E44F0000}"/>
    <cellStyle name="40% - Accent6 2 2 4 4 2" xfId="35281" xr:uid="{D2F3B6A6-60B8-480F-8804-2F3C977E1692}"/>
    <cellStyle name="40% - Accent6 2 2 4 5" xfId="19387" xr:uid="{00000000-0005-0000-0000-0000E54F0000}"/>
    <cellStyle name="40% - Accent6 2 2 4 5 2" xfId="43219" xr:uid="{75157F5D-C7D7-4E73-852F-5CED0E054D87}"/>
    <cellStyle name="40% - Accent6 2 2 4 6" xfId="27339" xr:uid="{DFE232E7-B9AE-4ECC-BE34-EAF6CED8C4E6}"/>
    <cellStyle name="40% - Accent6 2 2 4_Exh G" xfId="3351" xr:uid="{00000000-0005-0000-0000-0000E64F0000}"/>
    <cellStyle name="40% - Accent6 2 2 5" xfId="4285" xr:uid="{00000000-0005-0000-0000-0000E74F0000}"/>
    <cellStyle name="40% - Accent6 2 2 5 2" xfId="7877" xr:uid="{00000000-0005-0000-0000-0000E84F0000}"/>
    <cellStyle name="40% - Accent6 2 2 5 2 2" xfId="15848" xr:uid="{00000000-0005-0000-0000-0000E94F0000}"/>
    <cellStyle name="40% - Accent6 2 2 5 2 2 2" xfId="39690" xr:uid="{452C1CD2-A8F3-4286-80CB-F41779BD9AAB}"/>
    <cellStyle name="40% - Accent6 2 2 5 2 3" xfId="23794" xr:uid="{00000000-0005-0000-0000-0000EA4F0000}"/>
    <cellStyle name="40% - Accent6 2 2 5 2 3 2" xfId="47626" xr:uid="{3FA51536-9969-4CE8-B01E-8A164313662C}"/>
    <cellStyle name="40% - Accent6 2 2 5 2 4" xfId="31749" xr:uid="{DF88DD38-FC2F-4AD9-832D-FF3FDED351AB}"/>
    <cellStyle name="40% - Accent6 2 2 5 3" xfId="12310" xr:uid="{00000000-0005-0000-0000-0000EB4F0000}"/>
    <cellStyle name="40% - Accent6 2 2 5 3 2" xfId="36159" xr:uid="{4DEE56EA-3203-4833-868C-07AF9B75207B}"/>
    <cellStyle name="40% - Accent6 2 2 5 4" xfId="20265" xr:uid="{00000000-0005-0000-0000-0000EC4F0000}"/>
    <cellStyle name="40% - Accent6 2 2 5 4 2" xfId="44097" xr:uid="{8559EDAE-ADCA-44C0-93B7-9BE164874252}"/>
    <cellStyle name="40% - Accent6 2 2 5 5" xfId="28218" xr:uid="{7311A4F5-35E8-4B10-828B-863CAFA225CC}"/>
    <cellStyle name="40% - Accent6 2 2 6" xfId="6105" xr:uid="{00000000-0005-0000-0000-0000ED4F0000}"/>
    <cellStyle name="40% - Accent6 2 2 6 2" xfId="14089" xr:uid="{00000000-0005-0000-0000-0000EE4F0000}"/>
    <cellStyle name="40% - Accent6 2 2 6 2 2" xfId="37932" xr:uid="{A395C6A2-9368-45CF-B5E3-B1E90FC4B91B}"/>
    <cellStyle name="40% - Accent6 2 2 6 3" xfId="22037" xr:uid="{00000000-0005-0000-0000-0000EF4F0000}"/>
    <cellStyle name="40% - Accent6 2 2 6 3 2" xfId="45869" xr:uid="{A48B708C-8F68-4B50-B837-0B3D0F4AF2E8}"/>
    <cellStyle name="40% - Accent6 2 2 6 4" xfId="29991" xr:uid="{408E9FAF-BBF0-4908-BB32-593F94E54564}"/>
    <cellStyle name="40% - Accent6 2 2 7" xfId="9658" xr:uid="{00000000-0005-0000-0000-0000F04F0000}"/>
    <cellStyle name="40% - Accent6 2 2 7 2" xfId="17616" xr:uid="{00000000-0005-0000-0000-0000F14F0000}"/>
    <cellStyle name="40% - Accent6 2 2 7 2 2" xfId="41456" xr:uid="{89392616-BAB2-4AC1-929E-953123B352AA}"/>
    <cellStyle name="40% - Accent6 2 2 7 3" xfId="25560" xr:uid="{00000000-0005-0000-0000-0000F24F0000}"/>
    <cellStyle name="40% - Accent6 2 2 7 3 2" xfId="49392" xr:uid="{4640FED4-803A-4D2B-A6B6-B26FBFBE945A}"/>
    <cellStyle name="40% - Accent6 2 2 7 4" xfId="33515" xr:uid="{C3D0B778-7C89-4866-8112-D11E7145C04C}"/>
    <cellStyle name="40% - Accent6 2 2 8" xfId="10554" xr:uid="{00000000-0005-0000-0000-0000F34F0000}"/>
    <cellStyle name="40% - Accent6 2 2 8 2" xfId="34403" xr:uid="{D1C3ED96-2012-48E0-9B39-25FA37FB81A9}"/>
    <cellStyle name="40% - Accent6 2 2 9" xfId="18509" xr:uid="{00000000-0005-0000-0000-0000F44F0000}"/>
    <cellStyle name="40% - Accent6 2 2 9 2" xfId="42341" xr:uid="{B5200C83-FFA7-4353-889E-B1BE188E25F6}"/>
    <cellStyle name="40% - Accent6 2 2_Exh G" xfId="3346" xr:uid="{00000000-0005-0000-0000-0000F54F0000}"/>
    <cellStyle name="40% - Accent6 2 3" xfId="608" xr:uid="{00000000-0005-0000-0000-0000F64F0000}"/>
    <cellStyle name="40% - Accent6 2 3 2" xfId="1636" xr:uid="{00000000-0005-0000-0000-0000F74F0000}"/>
    <cellStyle name="40% - Accent6 2 3 2 2" xfId="5166" xr:uid="{00000000-0005-0000-0000-0000F84F0000}"/>
    <cellStyle name="40% - Accent6 2 3 2 2 2" xfId="8757" xr:uid="{00000000-0005-0000-0000-0000F94F0000}"/>
    <cellStyle name="40% - Accent6 2 3 2 2 2 2" xfId="16728" xr:uid="{00000000-0005-0000-0000-0000FA4F0000}"/>
    <cellStyle name="40% - Accent6 2 3 2 2 2 2 2" xfId="40570" xr:uid="{9A6D42DC-9AA5-487A-AE04-21D146EBD145}"/>
    <cellStyle name="40% - Accent6 2 3 2 2 2 3" xfId="24674" xr:uid="{00000000-0005-0000-0000-0000FB4F0000}"/>
    <cellStyle name="40% - Accent6 2 3 2 2 2 3 2" xfId="48506" xr:uid="{E910EE80-C296-4C81-9B36-634F08C3D0E1}"/>
    <cellStyle name="40% - Accent6 2 3 2 2 2 4" xfId="32629" xr:uid="{2A589C8C-720E-46B4-BCF0-1CD9073F4736}"/>
    <cellStyle name="40% - Accent6 2 3 2 2 3" xfId="13190" xr:uid="{00000000-0005-0000-0000-0000FC4F0000}"/>
    <cellStyle name="40% - Accent6 2 3 2 2 3 2" xfId="37039" xr:uid="{E7329E87-D2F3-4312-A91B-543732ED010F}"/>
    <cellStyle name="40% - Accent6 2 3 2 2 4" xfId="21145" xr:uid="{00000000-0005-0000-0000-0000FD4F0000}"/>
    <cellStyle name="40% - Accent6 2 3 2 2 4 2" xfId="44977" xr:uid="{31CD9FCE-E9B2-4EE2-BE90-B6F4507B4F55}"/>
    <cellStyle name="40% - Accent6 2 3 2 2 5" xfId="29098" xr:uid="{81D6DAB6-7D30-422B-AAF2-C297B0797BED}"/>
    <cellStyle name="40% - Accent6 2 3 2 3" xfId="6998" xr:uid="{00000000-0005-0000-0000-0000FE4F0000}"/>
    <cellStyle name="40% - Accent6 2 3 2 3 2" xfId="14970" xr:uid="{00000000-0005-0000-0000-0000FF4F0000}"/>
    <cellStyle name="40% - Accent6 2 3 2 3 2 2" xfId="38812" xr:uid="{125EEC2B-14F2-4FF4-ACB2-1EE76ECBE6F9}"/>
    <cellStyle name="40% - Accent6 2 3 2 3 3" xfId="22917" xr:uid="{00000000-0005-0000-0000-000000500000}"/>
    <cellStyle name="40% - Accent6 2 3 2 3 3 2" xfId="46749" xr:uid="{41105193-1125-459D-9004-A74B9C6D3054}"/>
    <cellStyle name="40% - Accent6 2 3 2 3 4" xfId="30871" xr:uid="{6D80BE45-78E8-4CE3-9FF9-B98EFCF695B1}"/>
    <cellStyle name="40% - Accent6 2 3 2 4" xfId="11434" xr:uid="{00000000-0005-0000-0000-000001500000}"/>
    <cellStyle name="40% - Accent6 2 3 2 4 2" xfId="35283" xr:uid="{7D613177-B954-4689-8330-DD11D0086EA6}"/>
    <cellStyle name="40% - Accent6 2 3 2 5" xfId="19389" xr:uid="{00000000-0005-0000-0000-000002500000}"/>
    <cellStyle name="40% - Accent6 2 3 2 5 2" xfId="43221" xr:uid="{4A17AEBA-FB61-4E6D-B7F3-B28220B8D55B}"/>
    <cellStyle name="40% - Accent6 2 3 2 6" xfId="27341" xr:uid="{53D0A9F6-41F1-4493-A7BF-5BFE1613EF95}"/>
    <cellStyle name="40% - Accent6 2 3 2_Exh G" xfId="3353" xr:uid="{00000000-0005-0000-0000-000003500000}"/>
    <cellStyle name="40% - Accent6 2 3 3" xfId="4287" xr:uid="{00000000-0005-0000-0000-000004500000}"/>
    <cellStyle name="40% - Accent6 2 3 3 2" xfId="7879" xr:uid="{00000000-0005-0000-0000-000005500000}"/>
    <cellStyle name="40% - Accent6 2 3 3 2 2" xfId="15850" xr:uid="{00000000-0005-0000-0000-000006500000}"/>
    <cellStyle name="40% - Accent6 2 3 3 2 2 2" xfId="39692" xr:uid="{3A13FAD6-16C1-4EE6-87E2-78A10D941A3A}"/>
    <cellStyle name="40% - Accent6 2 3 3 2 3" xfId="23796" xr:uid="{00000000-0005-0000-0000-000007500000}"/>
    <cellStyle name="40% - Accent6 2 3 3 2 3 2" xfId="47628" xr:uid="{559C39D7-9446-41FF-861E-DD9D9C275F26}"/>
    <cellStyle name="40% - Accent6 2 3 3 2 4" xfId="31751" xr:uid="{A229FEE6-FFC7-417A-8A8D-537E9D0A3316}"/>
    <cellStyle name="40% - Accent6 2 3 3 3" xfId="12312" xr:uid="{00000000-0005-0000-0000-000008500000}"/>
    <cellStyle name="40% - Accent6 2 3 3 3 2" xfId="36161" xr:uid="{B6F7C44F-E6E2-4539-BEA0-CAC75A7CCF88}"/>
    <cellStyle name="40% - Accent6 2 3 3 4" xfId="20267" xr:uid="{00000000-0005-0000-0000-000009500000}"/>
    <cellStyle name="40% - Accent6 2 3 3 4 2" xfId="44099" xr:uid="{78CD1330-3CA5-44B8-BA92-6416B47DC47F}"/>
    <cellStyle name="40% - Accent6 2 3 3 5" xfId="28220" xr:uid="{8ED40D9C-60B3-4AD4-B855-D73BB67D4252}"/>
    <cellStyle name="40% - Accent6 2 3 4" xfId="6107" xr:uid="{00000000-0005-0000-0000-00000A500000}"/>
    <cellStyle name="40% - Accent6 2 3 4 2" xfId="14091" xr:uid="{00000000-0005-0000-0000-00000B500000}"/>
    <cellStyle name="40% - Accent6 2 3 4 2 2" xfId="37934" xr:uid="{6DF4A13A-A008-4232-B30F-36B1C92C8027}"/>
    <cellStyle name="40% - Accent6 2 3 4 3" xfId="22039" xr:uid="{00000000-0005-0000-0000-00000C500000}"/>
    <cellStyle name="40% - Accent6 2 3 4 3 2" xfId="45871" xr:uid="{FCAFEE4B-FBD9-49EB-8248-509059A9625E}"/>
    <cellStyle name="40% - Accent6 2 3 4 4" xfId="29993" xr:uid="{7A581268-A1A0-4E1C-B1AF-C3203FA2C90B}"/>
    <cellStyle name="40% - Accent6 2 3 5" xfId="9660" xr:uid="{00000000-0005-0000-0000-00000D500000}"/>
    <cellStyle name="40% - Accent6 2 3 5 2" xfId="17618" xr:uid="{00000000-0005-0000-0000-00000E500000}"/>
    <cellStyle name="40% - Accent6 2 3 5 2 2" xfId="41458" xr:uid="{5A0463AB-62D5-4257-BFDD-FEC30ACD19E8}"/>
    <cellStyle name="40% - Accent6 2 3 5 3" xfId="25562" xr:uid="{00000000-0005-0000-0000-00000F500000}"/>
    <cellStyle name="40% - Accent6 2 3 5 3 2" xfId="49394" xr:uid="{094DAC3F-6478-4961-A89F-9AC5304F0A55}"/>
    <cellStyle name="40% - Accent6 2 3 5 4" xfId="33517" xr:uid="{EA425899-406D-42D6-8C83-7DCFA2B3C73F}"/>
    <cellStyle name="40% - Accent6 2 3 6" xfId="10556" xr:uid="{00000000-0005-0000-0000-000010500000}"/>
    <cellStyle name="40% - Accent6 2 3 6 2" xfId="34405" xr:uid="{8F14E62D-E6BF-4958-A462-3F3F8BEA5CF4}"/>
    <cellStyle name="40% - Accent6 2 3 7" xfId="18511" xr:uid="{00000000-0005-0000-0000-000011500000}"/>
    <cellStyle name="40% - Accent6 2 3 7 2" xfId="42343" xr:uid="{2AC5F2CD-364F-4DB4-85C0-B7909F3CD155}"/>
    <cellStyle name="40% - Accent6 2 3 8" xfId="26463" xr:uid="{26BBF15F-BF76-4564-AEBF-66E3CD6748C8}"/>
    <cellStyle name="40% - Accent6 2 3_Exh G" xfId="3352" xr:uid="{00000000-0005-0000-0000-000012500000}"/>
    <cellStyle name="40% - Accent6 2 4" xfId="995" xr:uid="{00000000-0005-0000-0000-000013500000}"/>
    <cellStyle name="40% - Accent6 2 4 2" xfId="1909" xr:uid="{00000000-0005-0000-0000-000014500000}"/>
    <cellStyle name="40% - Accent6 2 4 2 2" xfId="5427" xr:uid="{00000000-0005-0000-0000-000015500000}"/>
    <cellStyle name="40% - Accent6 2 4 2 2 2" xfId="9018" xr:uid="{00000000-0005-0000-0000-000016500000}"/>
    <cellStyle name="40% - Accent6 2 4 2 2 2 2" xfId="16989" xr:uid="{00000000-0005-0000-0000-000017500000}"/>
    <cellStyle name="40% - Accent6 2 4 2 2 2 2 2" xfId="40831" xr:uid="{EDE0A371-19F7-4092-9EA1-6A9565183AD7}"/>
    <cellStyle name="40% - Accent6 2 4 2 2 2 3" xfId="24935" xr:uid="{00000000-0005-0000-0000-000018500000}"/>
    <cellStyle name="40% - Accent6 2 4 2 2 2 3 2" xfId="48767" xr:uid="{9F7B1345-51EF-4AE5-9794-DDE550F8AD66}"/>
    <cellStyle name="40% - Accent6 2 4 2 2 2 4" xfId="32890" xr:uid="{12228A7D-CD85-40B5-8832-2942207CF734}"/>
    <cellStyle name="40% - Accent6 2 4 2 2 3" xfId="13451" xr:uid="{00000000-0005-0000-0000-000019500000}"/>
    <cellStyle name="40% - Accent6 2 4 2 2 3 2" xfId="37300" xr:uid="{F9C8D3CB-DB39-4803-9789-32397AF14A97}"/>
    <cellStyle name="40% - Accent6 2 4 2 2 4" xfId="21406" xr:uid="{00000000-0005-0000-0000-00001A500000}"/>
    <cellStyle name="40% - Accent6 2 4 2 2 4 2" xfId="45238" xr:uid="{2FC6A38C-099A-4F1C-87C4-996676514824}"/>
    <cellStyle name="40% - Accent6 2 4 2 2 5" xfId="29359" xr:uid="{9C6F60CA-EF5B-443B-B228-770ADDD8ED5F}"/>
    <cellStyle name="40% - Accent6 2 4 2 3" xfId="7259" xr:uid="{00000000-0005-0000-0000-00001B500000}"/>
    <cellStyle name="40% - Accent6 2 4 2 3 2" xfId="15231" xr:uid="{00000000-0005-0000-0000-00001C500000}"/>
    <cellStyle name="40% - Accent6 2 4 2 3 2 2" xfId="39073" xr:uid="{5DAC30A8-5AC1-40F7-8E98-22AFBD2195CA}"/>
    <cellStyle name="40% - Accent6 2 4 2 3 3" xfId="23178" xr:uid="{00000000-0005-0000-0000-00001D500000}"/>
    <cellStyle name="40% - Accent6 2 4 2 3 3 2" xfId="47010" xr:uid="{D03F8FA7-FCA6-4543-81F5-75CD8CC595F9}"/>
    <cellStyle name="40% - Accent6 2 4 2 3 4" xfId="31132" xr:uid="{AF13B4D7-2548-414B-9E1C-8E622A0992E0}"/>
    <cellStyle name="40% - Accent6 2 4 2 4" xfId="11695" xr:uid="{00000000-0005-0000-0000-00001E500000}"/>
    <cellStyle name="40% - Accent6 2 4 2 4 2" xfId="35544" xr:uid="{9136739B-9A55-44AD-8E58-F37A1A6F2001}"/>
    <cellStyle name="40% - Accent6 2 4 2 5" xfId="19650" xr:uid="{00000000-0005-0000-0000-00001F500000}"/>
    <cellStyle name="40% - Accent6 2 4 2 5 2" xfId="43482" xr:uid="{504F4D3C-4E02-4289-93C6-E0A287DD32B5}"/>
    <cellStyle name="40% - Accent6 2 4 2 6" xfId="27602" xr:uid="{4248D35E-A3F1-4629-BC8D-D247723D897E}"/>
    <cellStyle name="40% - Accent6 2 4 2_Exh G" xfId="3355" xr:uid="{00000000-0005-0000-0000-000020500000}"/>
    <cellStyle name="40% - Accent6 2 4 3" xfId="4548" xr:uid="{00000000-0005-0000-0000-000021500000}"/>
    <cellStyle name="40% - Accent6 2 4 3 2" xfId="8140" xr:uid="{00000000-0005-0000-0000-000022500000}"/>
    <cellStyle name="40% - Accent6 2 4 3 2 2" xfId="16111" xr:uid="{00000000-0005-0000-0000-000023500000}"/>
    <cellStyle name="40% - Accent6 2 4 3 2 2 2" xfId="39953" xr:uid="{E7D53730-549D-4C97-8AFB-006E33F88BDE}"/>
    <cellStyle name="40% - Accent6 2 4 3 2 3" xfId="24057" xr:uid="{00000000-0005-0000-0000-000024500000}"/>
    <cellStyle name="40% - Accent6 2 4 3 2 3 2" xfId="47889" xr:uid="{FC4BC907-799F-4A19-8F05-F57A7D800611}"/>
    <cellStyle name="40% - Accent6 2 4 3 2 4" xfId="32012" xr:uid="{D0F0FDFC-0382-4211-B531-EA24F89C0BF9}"/>
    <cellStyle name="40% - Accent6 2 4 3 3" xfId="12573" xr:uid="{00000000-0005-0000-0000-000025500000}"/>
    <cellStyle name="40% - Accent6 2 4 3 3 2" xfId="36422" xr:uid="{2202397F-D517-4BD2-BEA9-7F79B826E014}"/>
    <cellStyle name="40% - Accent6 2 4 3 4" xfId="20528" xr:uid="{00000000-0005-0000-0000-000026500000}"/>
    <cellStyle name="40% - Accent6 2 4 3 4 2" xfId="44360" xr:uid="{1A79527D-EF50-4E70-B7BD-DDCA575F246A}"/>
    <cellStyle name="40% - Accent6 2 4 3 5" xfId="28481" xr:uid="{5E32DAC9-3DF8-416E-8767-2CE6D1E27CB8}"/>
    <cellStyle name="40% - Accent6 2 4 4" xfId="6378" xr:uid="{00000000-0005-0000-0000-000027500000}"/>
    <cellStyle name="40% - Accent6 2 4 4 2" xfId="14353" xr:uid="{00000000-0005-0000-0000-000028500000}"/>
    <cellStyle name="40% - Accent6 2 4 4 2 2" xfId="38195" xr:uid="{A6457EA7-9880-411B-A1A8-6EABE80ADAF1}"/>
    <cellStyle name="40% - Accent6 2 4 4 3" xfId="22300" xr:uid="{00000000-0005-0000-0000-000029500000}"/>
    <cellStyle name="40% - Accent6 2 4 4 3 2" xfId="46132" xr:uid="{C33D3268-9F29-4458-AE15-61C071D76530}"/>
    <cellStyle name="40% - Accent6 2 4 4 4" xfId="30254" xr:uid="{B59C47C2-4618-47AB-99B2-1D8CA3DF2B74}"/>
    <cellStyle name="40% - Accent6 2 4 5" xfId="9921" xr:uid="{00000000-0005-0000-0000-00002A500000}"/>
    <cellStyle name="40% - Accent6 2 4 5 2" xfId="17879" xr:uid="{00000000-0005-0000-0000-00002B500000}"/>
    <cellStyle name="40% - Accent6 2 4 5 2 2" xfId="41719" xr:uid="{8ECF5975-E440-407E-96F8-67E573D94FC4}"/>
    <cellStyle name="40% - Accent6 2 4 5 3" xfId="25823" xr:uid="{00000000-0005-0000-0000-00002C500000}"/>
    <cellStyle name="40% - Accent6 2 4 5 3 2" xfId="49655" xr:uid="{BFEE44EB-CAA7-421E-8F60-059BEAAB6FD0}"/>
    <cellStyle name="40% - Accent6 2 4 5 4" xfId="33778" xr:uid="{A404773B-3DF5-4462-BA02-21F5FDCF5002}"/>
    <cellStyle name="40% - Accent6 2 4 6" xfId="10817" xr:uid="{00000000-0005-0000-0000-00002D500000}"/>
    <cellStyle name="40% - Accent6 2 4 6 2" xfId="34666" xr:uid="{0E82D043-0DA9-432B-965D-0E469A681C81}"/>
    <cellStyle name="40% - Accent6 2 4 7" xfId="18772" xr:uid="{00000000-0005-0000-0000-00002E500000}"/>
    <cellStyle name="40% - Accent6 2 4 7 2" xfId="42604" xr:uid="{3274C5A6-5F4B-4EE4-906B-AD5291DB2AA5}"/>
    <cellStyle name="40% - Accent6 2 4 8" xfId="26724" xr:uid="{E33FB468-A554-4B77-BC09-D842A5A59023}"/>
    <cellStyle name="40% - Accent6 2 4_Exh G" xfId="3354" xr:uid="{00000000-0005-0000-0000-00002F500000}"/>
    <cellStyle name="40% - Accent6 2 5" xfId="1633" xr:uid="{00000000-0005-0000-0000-000030500000}"/>
    <cellStyle name="40% - Accent6 2 5 2" xfId="5163" xr:uid="{00000000-0005-0000-0000-000031500000}"/>
    <cellStyle name="40% - Accent6 2 5 2 2" xfId="8754" xr:uid="{00000000-0005-0000-0000-000032500000}"/>
    <cellStyle name="40% - Accent6 2 5 2 2 2" xfId="16725" xr:uid="{00000000-0005-0000-0000-000033500000}"/>
    <cellStyle name="40% - Accent6 2 5 2 2 2 2" xfId="40567" xr:uid="{E8AF5AD7-E4F4-4A22-85BA-3FBABC14E012}"/>
    <cellStyle name="40% - Accent6 2 5 2 2 3" xfId="24671" xr:uid="{00000000-0005-0000-0000-000034500000}"/>
    <cellStyle name="40% - Accent6 2 5 2 2 3 2" xfId="48503" xr:uid="{2DF777C4-6799-41CB-9ABE-9C9EC13E834B}"/>
    <cellStyle name="40% - Accent6 2 5 2 2 4" xfId="32626" xr:uid="{15A5795F-BB17-49A4-8020-15800AA8B782}"/>
    <cellStyle name="40% - Accent6 2 5 2 3" xfId="13187" xr:uid="{00000000-0005-0000-0000-000035500000}"/>
    <cellStyle name="40% - Accent6 2 5 2 3 2" xfId="37036" xr:uid="{607789A1-84C4-4BCD-ABC8-2BB7E7702B93}"/>
    <cellStyle name="40% - Accent6 2 5 2 4" xfId="21142" xr:uid="{00000000-0005-0000-0000-000036500000}"/>
    <cellStyle name="40% - Accent6 2 5 2 4 2" xfId="44974" xr:uid="{72FECBC7-29E9-41DF-A7E4-3A9D09DCA2E7}"/>
    <cellStyle name="40% - Accent6 2 5 2 5" xfId="29095" xr:uid="{EF8BF902-EC45-435D-8E2B-0F1FD6915CDF}"/>
    <cellStyle name="40% - Accent6 2 5 3" xfId="6995" xr:uid="{00000000-0005-0000-0000-000037500000}"/>
    <cellStyle name="40% - Accent6 2 5 3 2" xfId="14967" xr:uid="{00000000-0005-0000-0000-000038500000}"/>
    <cellStyle name="40% - Accent6 2 5 3 2 2" xfId="38809" xr:uid="{41C672BB-7FB3-4EBD-8B92-8B93C97ADF01}"/>
    <cellStyle name="40% - Accent6 2 5 3 3" xfId="22914" xr:uid="{00000000-0005-0000-0000-000039500000}"/>
    <cellStyle name="40% - Accent6 2 5 3 3 2" xfId="46746" xr:uid="{1FDB1FE8-DCA5-46FE-B400-B238635A43A5}"/>
    <cellStyle name="40% - Accent6 2 5 3 4" xfId="30868" xr:uid="{F2649440-AF0B-43A4-A629-FD201D7D496F}"/>
    <cellStyle name="40% - Accent6 2 5 4" xfId="11431" xr:uid="{00000000-0005-0000-0000-00003A500000}"/>
    <cellStyle name="40% - Accent6 2 5 4 2" xfId="35280" xr:uid="{1D895AE6-EF32-4EE2-A6C4-8C4D1BE38C13}"/>
    <cellStyle name="40% - Accent6 2 5 5" xfId="19386" xr:uid="{00000000-0005-0000-0000-00003B500000}"/>
    <cellStyle name="40% - Accent6 2 5 5 2" xfId="43218" xr:uid="{56C2BB4A-FD3C-4570-B005-AECDD2148CF9}"/>
    <cellStyle name="40% - Accent6 2 5 6" xfId="27338" xr:uid="{0FDA655D-132B-4C8D-8DF5-49E396B1BD89}"/>
    <cellStyle name="40% - Accent6 2 5_Exh G" xfId="3356" xr:uid="{00000000-0005-0000-0000-00003C500000}"/>
    <cellStyle name="40% - Accent6 2 6" xfId="4284" xr:uid="{00000000-0005-0000-0000-00003D500000}"/>
    <cellStyle name="40% - Accent6 2 6 2" xfId="7876" xr:uid="{00000000-0005-0000-0000-00003E500000}"/>
    <cellStyle name="40% - Accent6 2 6 2 2" xfId="15847" xr:uid="{00000000-0005-0000-0000-00003F500000}"/>
    <cellStyle name="40% - Accent6 2 6 2 2 2" xfId="39689" xr:uid="{D7D99038-40B3-460E-A4B8-BCF83EC70D6B}"/>
    <cellStyle name="40% - Accent6 2 6 2 3" xfId="23793" xr:uid="{00000000-0005-0000-0000-000040500000}"/>
    <cellStyle name="40% - Accent6 2 6 2 3 2" xfId="47625" xr:uid="{8CB813BA-446B-47BD-A421-E367EE9ACCE9}"/>
    <cellStyle name="40% - Accent6 2 6 2 4" xfId="31748" xr:uid="{CD299C41-738D-4C84-9280-FB43282F0560}"/>
    <cellStyle name="40% - Accent6 2 6 3" xfId="12309" xr:uid="{00000000-0005-0000-0000-000041500000}"/>
    <cellStyle name="40% - Accent6 2 6 3 2" xfId="36158" xr:uid="{A06A3684-610B-4C0C-B148-FCB02E5C6F73}"/>
    <cellStyle name="40% - Accent6 2 6 4" xfId="20264" xr:uid="{00000000-0005-0000-0000-000042500000}"/>
    <cellStyle name="40% - Accent6 2 6 4 2" xfId="44096" xr:uid="{6679C25D-FE13-4141-8F7C-ED6A712CC6C0}"/>
    <cellStyle name="40% - Accent6 2 6 5" xfId="28217" xr:uid="{35FE7DD1-C5D1-4DE2-BD09-2DC7D7AEB43B}"/>
    <cellStyle name="40% - Accent6 2 7" xfId="6104" xr:uid="{00000000-0005-0000-0000-000043500000}"/>
    <cellStyle name="40% - Accent6 2 7 2" xfId="14088" xr:uid="{00000000-0005-0000-0000-000044500000}"/>
    <cellStyle name="40% - Accent6 2 7 2 2" xfId="37931" xr:uid="{365DB7C7-A70F-44C4-AE10-6163342C61CA}"/>
    <cellStyle name="40% - Accent6 2 7 3" xfId="22036" xr:uid="{00000000-0005-0000-0000-000045500000}"/>
    <cellStyle name="40% - Accent6 2 7 3 2" xfId="45868" xr:uid="{E1767211-2083-41FD-9958-19653FC43DDC}"/>
    <cellStyle name="40% - Accent6 2 7 4" xfId="29990" xr:uid="{0D7F0C37-9117-4C2D-9A44-B976FBC340E4}"/>
    <cellStyle name="40% - Accent6 2 8" xfId="9657" xr:uid="{00000000-0005-0000-0000-000046500000}"/>
    <cellStyle name="40% - Accent6 2 8 2" xfId="17615" xr:uid="{00000000-0005-0000-0000-000047500000}"/>
    <cellStyle name="40% - Accent6 2 8 2 2" xfId="41455" xr:uid="{53A74AB6-9A9A-4E6D-8ED5-1E1550DB4757}"/>
    <cellStyle name="40% - Accent6 2 8 3" xfId="25559" xr:uid="{00000000-0005-0000-0000-000048500000}"/>
    <cellStyle name="40% - Accent6 2 8 3 2" xfId="49391" xr:uid="{20F2414E-894F-4A99-9646-E4EF6BF9B1C5}"/>
    <cellStyle name="40% - Accent6 2 8 4" xfId="33514" xr:uid="{C38FBC85-C6D0-444E-95D2-2D3ADE60E08C}"/>
    <cellStyle name="40% - Accent6 2 9" xfId="10553" xr:uid="{00000000-0005-0000-0000-000049500000}"/>
    <cellStyle name="40% - Accent6 2 9 2" xfId="34402" xr:uid="{A6AB9402-D7E8-4FD4-BE12-288DAF134A1C}"/>
    <cellStyle name="40% - Accent6 2_Exh G" xfId="3345" xr:uid="{00000000-0005-0000-0000-00004A500000}"/>
    <cellStyle name="40% - Accent6 3" xfId="609" xr:uid="{00000000-0005-0000-0000-00004B500000}"/>
    <cellStyle name="40% - Accent6 3 10" xfId="18512" xr:uid="{00000000-0005-0000-0000-00004C500000}"/>
    <cellStyle name="40% - Accent6 3 10 2" xfId="42344" xr:uid="{ED179ECE-3E59-41C5-A925-5F9704E094A5}"/>
    <cellStyle name="40% - Accent6 3 11" xfId="26464" xr:uid="{DE378BB5-6DF7-4264-91FB-70CC211A16CD}"/>
    <cellStyle name="40% - Accent6 3 12" xfId="49776" xr:uid="{DC3A46B5-4EAF-4E11-8C9A-2EB334DF966A}"/>
    <cellStyle name="40% - Accent6 3 13" xfId="49830" xr:uid="{73E4ADF5-EEDD-49EB-9881-6910580C8D2B}"/>
    <cellStyle name="40% - Accent6 3 2" xfId="610" xr:uid="{00000000-0005-0000-0000-00004D500000}"/>
    <cellStyle name="40% - Accent6 3 2 10" xfId="26465" xr:uid="{FAF63C38-5226-4CC5-8863-29E3FDB6D3D9}"/>
    <cellStyle name="40% - Accent6 3 2 2" xfId="611" xr:uid="{00000000-0005-0000-0000-00004E500000}"/>
    <cellStyle name="40% - Accent6 3 2 2 2" xfId="1639" xr:uid="{00000000-0005-0000-0000-00004F500000}"/>
    <cellStyle name="40% - Accent6 3 2 2 2 2" xfId="5169" xr:uid="{00000000-0005-0000-0000-000050500000}"/>
    <cellStyle name="40% - Accent6 3 2 2 2 2 2" xfId="8760" xr:uid="{00000000-0005-0000-0000-000051500000}"/>
    <cellStyle name="40% - Accent6 3 2 2 2 2 2 2" xfId="16731" xr:uid="{00000000-0005-0000-0000-000052500000}"/>
    <cellStyle name="40% - Accent6 3 2 2 2 2 2 2 2" xfId="40573" xr:uid="{749B2BC3-3D98-4822-BFC5-9D824EA1E35A}"/>
    <cellStyle name="40% - Accent6 3 2 2 2 2 2 3" xfId="24677" xr:uid="{00000000-0005-0000-0000-000053500000}"/>
    <cellStyle name="40% - Accent6 3 2 2 2 2 2 3 2" xfId="48509" xr:uid="{7F6B221F-0D3F-4687-9925-64C2D9DD6A7A}"/>
    <cellStyle name="40% - Accent6 3 2 2 2 2 2 4" xfId="32632" xr:uid="{08E148C2-369E-4FE8-BE2F-197237C7B8F8}"/>
    <cellStyle name="40% - Accent6 3 2 2 2 2 3" xfId="13193" xr:uid="{00000000-0005-0000-0000-000054500000}"/>
    <cellStyle name="40% - Accent6 3 2 2 2 2 3 2" xfId="37042" xr:uid="{78B6D18B-0434-4BD9-BD92-7B49655C68F8}"/>
    <cellStyle name="40% - Accent6 3 2 2 2 2 4" xfId="21148" xr:uid="{00000000-0005-0000-0000-000055500000}"/>
    <cellStyle name="40% - Accent6 3 2 2 2 2 4 2" xfId="44980" xr:uid="{C13A035D-4978-45B6-93FE-765DD96A777D}"/>
    <cellStyle name="40% - Accent6 3 2 2 2 2 5" xfId="29101" xr:uid="{D0788C64-2BF3-43DB-9856-3AB165DCA994}"/>
    <cellStyle name="40% - Accent6 3 2 2 2 3" xfId="7001" xr:uid="{00000000-0005-0000-0000-000056500000}"/>
    <cellStyle name="40% - Accent6 3 2 2 2 3 2" xfId="14973" xr:uid="{00000000-0005-0000-0000-000057500000}"/>
    <cellStyle name="40% - Accent6 3 2 2 2 3 2 2" xfId="38815" xr:uid="{F549EE15-5AC0-438C-960C-5B727DF444DA}"/>
    <cellStyle name="40% - Accent6 3 2 2 2 3 3" xfId="22920" xr:uid="{00000000-0005-0000-0000-000058500000}"/>
    <cellStyle name="40% - Accent6 3 2 2 2 3 3 2" xfId="46752" xr:uid="{DA7BDE21-F895-48EB-A6E2-00EA9B4CFC0F}"/>
    <cellStyle name="40% - Accent6 3 2 2 2 3 4" xfId="30874" xr:uid="{0740F41B-A497-4235-B010-E0AF6A9117D2}"/>
    <cellStyle name="40% - Accent6 3 2 2 2 4" xfId="11437" xr:uid="{00000000-0005-0000-0000-000059500000}"/>
    <cellStyle name="40% - Accent6 3 2 2 2 4 2" xfId="35286" xr:uid="{4528134B-0C14-4EAF-A832-54E4B6DDB9B3}"/>
    <cellStyle name="40% - Accent6 3 2 2 2 5" xfId="19392" xr:uid="{00000000-0005-0000-0000-00005A500000}"/>
    <cellStyle name="40% - Accent6 3 2 2 2 5 2" xfId="43224" xr:uid="{A894472D-F649-4E97-AE7C-27C3D5CE8597}"/>
    <cellStyle name="40% - Accent6 3 2 2 2 6" xfId="27344" xr:uid="{82296D70-61AF-4BA4-89E1-AA44FA513770}"/>
    <cellStyle name="40% - Accent6 3 2 2 2_Exh G" xfId="3360" xr:uid="{00000000-0005-0000-0000-00005B500000}"/>
    <cellStyle name="40% - Accent6 3 2 2 3" xfId="4290" xr:uid="{00000000-0005-0000-0000-00005C500000}"/>
    <cellStyle name="40% - Accent6 3 2 2 3 2" xfId="7882" xr:uid="{00000000-0005-0000-0000-00005D500000}"/>
    <cellStyle name="40% - Accent6 3 2 2 3 2 2" xfId="15853" xr:uid="{00000000-0005-0000-0000-00005E500000}"/>
    <cellStyle name="40% - Accent6 3 2 2 3 2 2 2" xfId="39695" xr:uid="{7AE1AA2A-D2C2-447F-8DFD-2BE31608F989}"/>
    <cellStyle name="40% - Accent6 3 2 2 3 2 3" xfId="23799" xr:uid="{00000000-0005-0000-0000-00005F500000}"/>
    <cellStyle name="40% - Accent6 3 2 2 3 2 3 2" xfId="47631" xr:uid="{1B545B99-1CC5-4E1C-8342-AD7418EA5C39}"/>
    <cellStyle name="40% - Accent6 3 2 2 3 2 4" xfId="31754" xr:uid="{2EF6B657-FF2B-4A7A-9AB7-4BFA0BACEF81}"/>
    <cellStyle name="40% - Accent6 3 2 2 3 3" xfId="12315" xr:uid="{00000000-0005-0000-0000-000060500000}"/>
    <cellStyle name="40% - Accent6 3 2 2 3 3 2" xfId="36164" xr:uid="{02936483-CE93-4523-8866-95DC75E65DFB}"/>
    <cellStyle name="40% - Accent6 3 2 2 3 4" xfId="20270" xr:uid="{00000000-0005-0000-0000-000061500000}"/>
    <cellStyle name="40% - Accent6 3 2 2 3 4 2" xfId="44102" xr:uid="{5F67C393-FE36-48B5-9FFB-641509800990}"/>
    <cellStyle name="40% - Accent6 3 2 2 3 5" xfId="28223" xr:uid="{9D43893C-B068-4DDC-8BCA-CE481AC5635D}"/>
    <cellStyle name="40% - Accent6 3 2 2 4" xfId="6110" xr:uid="{00000000-0005-0000-0000-000062500000}"/>
    <cellStyle name="40% - Accent6 3 2 2 4 2" xfId="14094" xr:uid="{00000000-0005-0000-0000-000063500000}"/>
    <cellStyle name="40% - Accent6 3 2 2 4 2 2" xfId="37937" xr:uid="{7DC6A1E4-5C1D-40FD-93AE-CDE0CF5C5D55}"/>
    <cellStyle name="40% - Accent6 3 2 2 4 3" xfId="22042" xr:uid="{00000000-0005-0000-0000-000064500000}"/>
    <cellStyle name="40% - Accent6 3 2 2 4 3 2" xfId="45874" xr:uid="{F863B094-8B1B-4011-838E-99F2124D84D9}"/>
    <cellStyle name="40% - Accent6 3 2 2 4 4" xfId="29996" xr:uid="{0AEA1CB5-D804-497F-AE0B-97BA9AAC2619}"/>
    <cellStyle name="40% - Accent6 3 2 2 5" xfId="9663" xr:uid="{00000000-0005-0000-0000-000065500000}"/>
    <cellStyle name="40% - Accent6 3 2 2 5 2" xfId="17621" xr:uid="{00000000-0005-0000-0000-000066500000}"/>
    <cellStyle name="40% - Accent6 3 2 2 5 2 2" xfId="41461" xr:uid="{52F0A6D6-D107-463B-A675-64F1E66B4EAE}"/>
    <cellStyle name="40% - Accent6 3 2 2 5 3" xfId="25565" xr:uid="{00000000-0005-0000-0000-000067500000}"/>
    <cellStyle name="40% - Accent6 3 2 2 5 3 2" xfId="49397" xr:uid="{0A805B59-95EE-434E-910D-33E4F20CCA5B}"/>
    <cellStyle name="40% - Accent6 3 2 2 5 4" xfId="33520" xr:uid="{FE6DED5F-7118-47A5-BF79-D6EEF2830E68}"/>
    <cellStyle name="40% - Accent6 3 2 2 6" xfId="10559" xr:uid="{00000000-0005-0000-0000-000068500000}"/>
    <cellStyle name="40% - Accent6 3 2 2 6 2" xfId="34408" xr:uid="{5396B941-C847-4E79-A759-8E2941FEE7CD}"/>
    <cellStyle name="40% - Accent6 3 2 2 7" xfId="18514" xr:uid="{00000000-0005-0000-0000-000069500000}"/>
    <cellStyle name="40% - Accent6 3 2 2 7 2" xfId="42346" xr:uid="{81704ECA-6A14-4D46-A618-B1198BF6DAB5}"/>
    <cellStyle name="40% - Accent6 3 2 2 8" xfId="26466" xr:uid="{E6C63614-57CE-4020-925C-DD3A3DC8F593}"/>
    <cellStyle name="40% - Accent6 3 2 2_Exh G" xfId="3359" xr:uid="{00000000-0005-0000-0000-00006A500000}"/>
    <cellStyle name="40% - Accent6 3 2 3" xfId="998" xr:uid="{00000000-0005-0000-0000-00006B500000}"/>
    <cellStyle name="40% - Accent6 3 2 3 2" xfId="1912" xr:uid="{00000000-0005-0000-0000-00006C500000}"/>
    <cellStyle name="40% - Accent6 3 2 3 2 2" xfId="5430" xr:uid="{00000000-0005-0000-0000-00006D500000}"/>
    <cellStyle name="40% - Accent6 3 2 3 2 2 2" xfId="9021" xr:uid="{00000000-0005-0000-0000-00006E500000}"/>
    <cellStyle name="40% - Accent6 3 2 3 2 2 2 2" xfId="16992" xr:uid="{00000000-0005-0000-0000-00006F500000}"/>
    <cellStyle name="40% - Accent6 3 2 3 2 2 2 2 2" xfId="40834" xr:uid="{6F4300BB-3DBC-4CFA-9E45-B854E1A8375A}"/>
    <cellStyle name="40% - Accent6 3 2 3 2 2 2 3" xfId="24938" xr:uid="{00000000-0005-0000-0000-000070500000}"/>
    <cellStyle name="40% - Accent6 3 2 3 2 2 2 3 2" xfId="48770" xr:uid="{C19F4356-848B-4D83-9211-1C47AD21EDB5}"/>
    <cellStyle name="40% - Accent6 3 2 3 2 2 2 4" xfId="32893" xr:uid="{52F1AADE-C6B4-4E77-A71F-36B033A42CEF}"/>
    <cellStyle name="40% - Accent6 3 2 3 2 2 3" xfId="13454" xr:uid="{00000000-0005-0000-0000-000071500000}"/>
    <cellStyle name="40% - Accent6 3 2 3 2 2 3 2" xfId="37303" xr:uid="{8F27F693-B32B-4CD2-8F6F-4D18A2B27442}"/>
    <cellStyle name="40% - Accent6 3 2 3 2 2 4" xfId="21409" xr:uid="{00000000-0005-0000-0000-000072500000}"/>
    <cellStyle name="40% - Accent6 3 2 3 2 2 4 2" xfId="45241" xr:uid="{24225DF7-C4D2-4B03-B51B-FE49419706C1}"/>
    <cellStyle name="40% - Accent6 3 2 3 2 2 5" xfId="29362" xr:uid="{5EEBFF25-99D8-4077-B4F3-7BE9907590AF}"/>
    <cellStyle name="40% - Accent6 3 2 3 2 3" xfId="7262" xr:uid="{00000000-0005-0000-0000-000073500000}"/>
    <cellStyle name="40% - Accent6 3 2 3 2 3 2" xfId="15234" xr:uid="{00000000-0005-0000-0000-000074500000}"/>
    <cellStyle name="40% - Accent6 3 2 3 2 3 2 2" xfId="39076" xr:uid="{9B8127A8-603C-461C-AFFA-5F7FC1DDBBD8}"/>
    <cellStyle name="40% - Accent6 3 2 3 2 3 3" xfId="23181" xr:uid="{00000000-0005-0000-0000-000075500000}"/>
    <cellStyle name="40% - Accent6 3 2 3 2 3 3 2" xfId="47013" xr:uid="{5844FA93-BC8E-4707-A425-039CFC3C1CB5}"/>
    <cellStyle name="40% - Accent6 3 2 3 2 3 4" xfId="31135" xr:uid="{FFD75291-1380-4FA7-8D99-C21F1EAB6B7E}"/>
    <cellStyle name="40% - Accent6 3 2 3 2 4" xfId="11698" xr:uid="{00000000-0005-0000-0000-000076500000}"/>
    <cellStyle name="40% - Accent6 3 2 3 2 4 2" xfId="35547" xr:uid="{DECEE99C-1874-4D98-AAF6-DA1A29D9396E}"/>
    <cellStyle name="40% - Accent6 3 2 3 2 5" xfId="19653" xr:uid="{00000000-0005-0000-0000-000077500000}"/>
    <cellStyle name="40% - Accent6 3 2 3 2 5 2" xfId="43485" xr:uid="{8DBD2DE1-084C-4872-A4B5-102886F79E31}"/>
    <cellStyle name="40% - Accent6 3 2 3 2 6" xfId="27605" xr:uid="{19C76554-2680-4E69-95DF-D929305DB77F}"/>
    <cellStyle name="40% - Accent6 3 2 3 2_Exh G" xfId="3362" xr:uid="{00000000-0005-0000-0000-000078500000}"/>
    <cellStyle name="40% - Accent6 3 2 3 3" xfId="4551" xr:uid="{00000000-0005-0000-0000-000079500000}"/>
    <cellStyle name="40% - Accent6 3 2 3 3 2" xfId="8143" xr:uid="{00000000-0005-0000-0000-00007A500000}"/>
    <cellStyle name="40% - Accent6 3 2 3 3 2 2" xfId="16114" xr:uid="{00000000-0005-0000-0000-00007B500000}"/>
    <cellStyle name="40% - Accent6 3 2 3 3 2 2 2" xfId="39956" xr:uid="{C1ED38F7-8AD5-425F-B7F8-8715E534C4A9}"/>
    <cellStyle name="40% - Accent6 3 2 3 3 2 3" xfId="24060" xr:uid="{00000000-0005-0000-0000-00007C500000}"/>
    <cellStyle name="40% - Accent6 3 2 3 3 2 3 2" xfId="47892" xr:uid="{263E6A77-80C5-42E8-8D87-0D56510742BB}"/>
    <cellStyle name="40% - Accent6 3 2 3 3 2 4" xfId="32015" xr:uid="{705D4E86-4C1D-4947-9457-6DE6F9533708}"/>
    <cellStyle name="40% - Accent6 3 2 3 3 3" xfId="12576" xr:uid="{00000000-0005-0000-0000-00007D500000}"/>
    <cellStyle name="40% - Accent6 3 2 3 3 3 2" xfId="36425" xr:uid="{9BE98E0F-9A7E-466D-A8B8-EB4DCB0CC34E}"/>
    <cellStyle name="40% - Accent6 3 2 3 3 4" xfId="20531" xr:uid="{00000000-0005-0000-0000-00007E500000}"/>
    <cellStyle name="40% - Accent6 3 2 3 3 4 2" xfId="44363" xr:uid="{533CB998-2182-4F73-B49D-5AA63E801D5E}"/>
    <cellStyle name="40% - Accent6 3 2 3 3 5" xfId="28484" xr:uid="{9730647F-4EBA-4136-B95E-CAB849511F2B}"/>
    <cellStyle name="40% - Accent6 3 2 3 4" xfId="6381" xr:uid="{00000000-0005-0000-0000-00007F500000}"/>
    <cellStyle name="40% - Accent6 3 2 3 4 2" xfId="14356" xr:uid="{00000000-0005-0000-0000-000080500000}"/>
    <cellStyle name="40% - Accent6 3 2 3 4 2 2" xfId="38198" xr:uid="{8E4E2544-A3FD-49B2-AC06-274B486AE028}"/>
    <cellStyle name="40% - Accent6 3 2 3 4 3" xfId="22303" xr:uid="{00000000-0005-0000-0000-000081500000}"/>
    <cellStyle name="40% - Accent6 3 2 3 4 3 2" xfId="46135" xr:uid="{C488D37F-DA1D-4588-B3FD-4F5816A09E6D}"/>
    <cellStyle name="40% - Accent6 3 2 3 4 4" xfId="30257" xr:uid="{557451F0-6E16-4099-8FF2-374F27FE6B8E}"/>
    <cellStyle name="40% - Accent6 3 2 3 5" xfId="9924" xr:uid="{00000000-0005-0000-0000-000082500000}"/>
    <cellStyle name="40% - Accent6 3 2 3 5 2" xfId="17882" xr:uid="{00000000-0005-0000-0000-000083500000}"/>
    <cellStyle name="40% - Accent6 3 2 3 5 2 2" xfId="41722" xr:uid="{8B04EFBC-4DE8-400A-9AF7-E916BABF6816}"/>
    <cellStyle name="40% - Accent6 3 2 3 5 3" xfId="25826" xr:uid="{00000000-0005-0000-0000-000084500000}"/>
    <cellStyle name="40% - Accent6 3 2 3 5 3 2" xfId="49658" xr:uid="{6793384E-355E-47F6-BBA6-92DBD16F5A0F}"/>
    <cellStyle name="40% - Accent6 3 2 3 5 4" xfId="33781" xr:uid="{654C7F14-B192-40D5-B24B-2EC86A92B1D1}"/>
    <cellStyle name="40% - Accent6 3 2 3 6" xfId="10820" xr:uid="{00000000-0005-0000-0000-000085500000}"/>
    <cellStyle name="40% - Accent6 3 2 3 6 2" xfId="34669" xr:uid="{18113516-05D3-48FB-B321-6F73242C1AF3}"/>
    <cellStyle name="40% - Accent6 3 2 3 7" xfId="18775" xr:uid="{00000000-0005-0000-0000-000086500000}"/>
    <cellStyle name="40% - Accent6 3 2 3 7 2" xfId="42607" xr:uid="{F1011FE8-D421-4334-AD0C-A7DD01FCE605}"/>
    <cellStyle name="40% - Accent6 3 2 3 8" xfId="26727" xr:uid="{6FE996C2-504D-4F67-AC18-42423854B326}"/>
    <cellStyle name="40% - Accent6 3 2 3_Exh G" xfId="3361" xr:uid="{00000000-0005-0000-0000-000087500000}"/>
    <cellStyle name="40% - Accent6 3 2 4" xfId="1638" xr:uid="{00000000-0005-0000-0000-000088500000}"/>
    <cellStyle name="40% - Accent6 3 2 4 2" xfId="5168" xr:uid="{00000000-0005-0000-0000-000089500000}"/>
    <cellStyle name="40% - Accent6 3 2 4 2 2" xfId="8759" xr:uid="{00000000-0005-0000-0000-00008A500000}"/>
    <cellStyle name="40% - Accent6 3 2 4 2 2 2" xfId="16730" xr:uid="{00000000-0005-0000-0000-00008B500000}"/>
    <cellStyle name="40% - Accent6 3 2 4 2 2 2 2" xfId="40572" xr:uid="{1D8419A5-3FE4-42C3-9638-15906D1122B4}"/>
    <cellStyle name="40% - Accent6 3 2 4 2 2 3" xfId="24676" xr:uid="{00000000-0005-0000-0000-00008C500000}"/>
    <cellStyle name="40% - Accent6 3 2 4 2 2 3 2" xfId="48508" xr:uid="{C9F9FA28-90CC-4A69-A7A1-57100D7BE31B}"/>
    <cellStyle name="40% - Accent6 3 2 4 2 2 4" xfId="32631" xr:uid="{723A51AA-1535-4AD9-AE13-E9F4622F88C5}"/>
    <cellStyle name="40% - Accent6 3 2 4 2 3" xfId="13192" xr:uid="{00000000-0005-0000-0000-00008D500000}"/>
    <cellStyle name="40% - Accent6 3 2 4 2 3 2" xfId="37041" xr:uid="{B9EF425C-A607-4D31-AFA4-6D28D7D600A8}"/>
    <cellStyle name="40% - Accent6 3 2 4 2 4" xfId="21147" xr:uid="{00000000-0005-0000-0000-00008E500000}"/>
    <cellStyle name="40% - Accent6 3 2 4 2 4 2" xfId="44979" xr:uid="{B5D7490A-4F71-4E9D-8BE8-81089C4A735A}"/>
    <cellStyle name="40% - Accent6 3 2 4 2 5" xfId="29100" xr:uid="{B4B32EA0-362B-4E12-931D-672E5B7B71E3}"/>
    <cellStyle name="40% - Accent6 3 2 4 3" xfId="7000" xr:uid="{00000000-0005-0000-0000-00008F500000}"/>
    <cellStyle name="40% - Accent6 3 2 4 3 2" xfId="14972" xr:uid="{00000000-0005-0000-0000-000090500000}"/>
    <cellStyle name="40% - Accent6 3 2 4 3 2 2" xfId="38814" xr:uid="{73CEA714-7343-41A0-8FC0-FE08961DD6E9}"/>
    <cellStyle name="40% - Accent6 3 2 4 3 3" xfId="22919" xr:uid="{00000000-0005-0000-0000-000091500000}"/>
    <cellStyle name="40% - Accent6 3 2 4 3 3 2" xfId="46751" xr:uid="{C63B6FBF-A2A4-4B2C-81C5-CAFE35D80A45}"/>
    <cellStyle name="40% - Accent6 3 2 4 3 4" xfId="30873" xr:uid="{474C94AD-4330-45FC-94DA-3BF42A7A1C2D}"/>
    <cellStyle name="40% - Accent6 3 2 4 4" xfId="11436" xr:uid="{00000000-0005-0000-0000-000092500000}"/>
    <cellStyle name="40% - Accent6 3 2 4 4 2" xfId="35285" xr:uid="{55B8D664-4B02-4991-A185-F563856C525E}"/>
    <cellStyle name="40% - Accent6 3 2 4 5" xfId="19391" xr:uid="{00000000-0005-0000-0000-000093500000}"/>
    <cellStyle name="40% - Accent6 3 2 4 5 2" xfId="43223" xr:uid="{426C7735-C03E-46E2-BC3F-7DB2D4093422}"/>
    <cellStyle name="40% - Accent6 3 2 4 6" xfId="27343" xr:uid="{471BB871-9D53-401D-9B66-F526F94E19AD}"/>
    <cellStyle name="40% - Accent6 3 2 4_Exh G" xfId="3363" xr:uid="{00000000-0005-0000-0000-000094500000}"/>
    <cellStyle name="40% - Accent6 3 2 5" xfId="4289" xr:uid="{00000000-0005-0000-0000-000095500000}"/>
    <cellStyle name="40% - Accent6 3 2 5 2" xfId="7881" xr:uid="{00000000-0005-0000-0000-000096500000}"/>
    <cellStyle name="40% - Accent6 3 2 5 2 2" xfId="15852" xr:uid="{00000000-0005-0000-0000-000097500000}"/>
    <cellStyle name="40% - Accent6 3 2 5 2 2 2" xfId="39694" xr:uid="{04E63727-DF5F-4174-B731-4AB78412F36A}"/>
    <cellStyle name="40% - Accent6 3 2 5 2 3" xfId="23798" xr:uid="{00000000-0005-0000-0000-000098500000}"/>
    <cellStyle name="40% - Accent6 3 2 5 2 3 2" xfId="47630" xr:uid="{0756A74D-7E47-4BA5-8689-2140A39B92AF}"/>
    <cellStyle name="40% - Accent6 3 2 5 2 4" xfId="31753" xr:uid="{2A449A52-6BC2-433C-A506-105D67401A8C}"/>
    <cellStyle name="40% - Accent6 3 2 5 3" xfId="12314" xr:uid="{00000000-0005-0000-0000-000099500000}"/>
    <cellStyle name="40% - Accent6 3 2 5 3 2" xfId="36163" xr:uid="{C82A37F8-CD5A-48C9-AA84-CA6AFF7E6F1B}"/>
    <cellStyle name="40% - Accent6 3 2 5 4" xfId="20269" xr:uid="{00000000-0005-0000-0000-00009A500000}"/>
    <cellStyle name="40% - Accent6 3 2 5 4 2" xfId="44101" xr:uid="{A149329F-A0C7-4507-B603-BDDDFD1BDDEA}"/>
    <cellStyle name="40% - Accent6 3 2 5 5" xfId="28222" xr:uid="{4846405B-653B-4A51-BE7B-4835D9C9CA2A}"/>
    <cellStyle name="40% - Accent6 3 2 6" xfId="6109" xr:uid="{00000000-0005-0000-0000-00009B500000}"/>
    <cellStyle name="40% - Accent6 3 2 6 2" xfId="14093" xr:uid="{00000000-0005-0000-0000-00009C500000}"/>
    <cellStyle name="40% - Accent6 3 2 6 2 2" xfId="37936" xr:uid="{387253D6-48A9-405E-AFD7-A3E170144E1E}"/>
    <cellStyle name="40% - Accent6 3 2 6 3" xfId="22041" xr:uid="{00000000-0005-0000-0000-00009D500000}"/>
    <cellStyle name="40% - Accent6 3 2 6 3 2" xfId="45873" xr:uid="{48CE4A02-92FD-4FBF-AF17-27131132E9BF}"/>
    <cellStyle name="40% - Accent6 3 2 6 4" xfId="29995" xr:uid="{18303C00-509C-40AC-B0FB-92271C3320D8}"/>
    <cellStyle name="40% - Accent6 3 2 7" xfId="9662" xr:uid="{00000000-0005-0000-0000-00009E500000}"/>
    <cellStyle name="40% - Accent6 3 2 7 2" xfId="17620" xr:uid="{00000000-0005-0000-0000-00009F500000}"/>
    <cellStyle name="40% - Accent6 3 2 7 2 2" xfId="41460" xr:uid="{7DEA49FB-0A91-4598-A10D-0452ABA15142}"/>
    <cellStyle name="40% - Accent6 3 2 7 3" xfId="25564" xr:uid="{00000000-0005-0000-0000-0000A0500000}"/>
    <cellStyle name="40% - Accent6 3 2 7 3 2" xfId="49396" xr:uid="{D59F577D-5120-479F-BE4B-054F8AA196E0}"/>
    <cellStyle name="40% - Accent6 3 2 7 4" xfId="33519" xr:uid="{6D9E63DD-9F5D-4374-A430-21559AA8EC2C}"/>
    <cellStyle name="40% - Accent6 3 2 8" xfId="10558" xr:uid="{00000000-0005-0000-0000-0000A1500000}"/>
    <cellStyle name="40% - Accent6 3 2 8 2" xfId="34407" xr:uid="{E5B5EC6D-AE53-4F42-938D-4AE84FC3EE5F}"/>
    <cellStyle name="40% - Accent6 3 2 9" xfId="18513" xr:uid="{00000000-0005-0000-0000-0000A2500000}"/>
    <cellStyle name="40% - Accent6 3 2 9 2" xfId="42345" xr:uid="{E9B5F682-F820-40E3-861B-019D52086546}"/>
    <cellStyle name="40% - Accent6 3 2_Exh G" xfId="3358" xr:uid="{00000000-0005-0000-0000-0000A3500000}"/>
    <cellStyle name="40% - Accent6 3 3" xfId="612" xr:uid="{00000000-0005-0000-0000-0000A4500000}"/>
    <cellStyle name="40% - Accent6 3 3 2" xfId="1640" xr:uid="{00000000-0005-0000-0000-0000A5500000}"/>
    <cellStyle name="40% - Accent6 3 3 2 2" xfId="5170" xr:uid="{00000000-0005-0000-0000-0000A6500000}"/>
    <cellStyle name="40% - Accent6 3 3 2 2 2" xfId="8761" xr:uid="{00000000-0005-0000-0000-0000A7500000}"/>
    <cellStyle name="40% - Accent6 3 3 2 2 2 2" xfId="16732" xr:uid="{00000000-0005-0000-0000-0000A8500000}"/>
    <cellStyle name="40% - Accent6 3 3 2 2 2 2 2" xfId="40574" xr:uid="{0ED7A1BD-0402-419A-8ED1-3171841BF06A}"/>
    <cellStyle name="40% - Accent6 3 3 2 2 2 3" xfId="24678" xr:uid="{00000000-0005-0000-0000-0000A9500000}"/>
    <cellStyle name="40% - Accent6 3 3 2 2 2 3 2" xfId="48510" xr:uid="{6A194D71-05BE-46A2-98C4-E1E2599EC5AD}"/>
    <cellStyle name="40% - Accent6 3 3 2 2 2 4" xfId="32633" xr:uid="{3B70E7D7-DD9C-4EAB-B4AD-F13D7826401F}"/>
    <cellStyle name="40% - Accent6 3 3 2 2 3" xfId="13194" xr:uid="{00000000-0005-0000-0000-0000AA500000}"/>
    <cellStyle name="40% - Accent6 3 3 2 2 3 2" xfId="37043" xr:uid="{6BC675DE-5102-4074-9153-13A1A082F12D}"/>
    <cellStyle name="40% - Accent6 3 3 2 2 4" xfId="21149" xr:uid="{00000000-0005-0000-0000-0000AB500000}"/>
    <cellStyle name="40% - Accent6 3 3 2 2 4 2" xfId="44981" xr:uid="{1E0BAD41-E2B3-460B-859F-4C1C9EDE5F7C}"/>
    <cellStyle name="40% - Accent6 3 3 2 2 5" xfId="29102" xr:uid="{A7B7868B-82AF-443D-937B-E18EAB5C53BE}"/>
    <cellStyle name="40% - Accent6 3 3 2 3" xfId="7002" xr:uid="{00000000-0005-0000-0000-0000AC500000}"/>
    <cellStyle name="40% - Accent6 3 3 2 3 2" xfId="14974" xr:uid="{00000000-0005-0000-0000-0000AD500000}"/>
    <cellStyle name="40% - Accent6 3 3 2 3 2 2" xfId="38816" xr:uid="{C45EAD56-64BB-4C6B-ACDF-AC2A41F98FD5}"/>
    <cellStyle name="40% - Accent6 3 3 2 3 3" xfId="22921" xr:uid="{00000000-0005-0000-0000-0000AE500000}"/>
    <cellStyle name="40% - Accent6 3 3 2 3 3 2" xfId="46753" xr:uid="{FCF39C67-92AE-4B1E-9664-93B9E0DF38A6}"/>
    <cellStyle name="40% - Accent6 3 3 2 3 4" xfId="30875" xr:uid="{CA8436A2-4F03-4EBD-9CF9-E205F50BC975}"/>
    <cellStyle name="40% - Accent6 3 3 2 4" xfId="11438" xr:uid="{00000000-0005-0000-0000-0000AF500000}"/>
    <cellStyle name="40% - Accent6 3 3 2 4 2" xfId="35287" xr:uid="{D1B64DC0-EF99-4204-BCA7-09184676BAA8}"/>
    <cellStyle name="40% - Accent6 3 3 2 5" xfId="19393" xr:uid="{00000000-0005-0000-0000-0000B0500000}"/>
    <cellStyle name="40% - Accent6 3 3 2 5 2" xfId="43225" xr:uid="{760542C3-5A45-410D-B06D-B3804720AD72}"/>
    <cellStyle name="40% - Accent6 3 3 2 6" xfId="27345" xr:uid="{D2CE6724-E786-4128-866E-3AF6B1C71D59}"/>
    <cellStyle name="40% - Accent6 3 3 2_Exh G" xfId="3365" xr:uid="{00000000-0005-0000-0000-0000B1500000}"/>
    <cellStyle name="40% - Accent6 3 3 3" xfId="4291" xr:uid="{00000000-0005-0000-0000-0000B2500000}"/>
    <cellStyle name="40% - Accent6 3 3 3 2" xfId="7883" xr:uid="{00000000-0005-0000-0000-0000B3500000}"/>
    <cellStyle name="40% - Accent6 3 3 3 2 2" xfId="15854" xr:uid="{00000000-0005-0000-0000-0000B4500000}"/>
    <cellStyle name="40% - Accent6 3 3 3 2 2 2" xfId="39696" xr:uid="{C14CE241-34DB-43C3-AD9F-5508E28999D1}"/>
    <cellStyle name="40% - Accent6 3 3 3 2 3" xfId="23800" xr:uid="{00000000-0005-0000-0000-0000B5500000}"/>
    <cellStyle name="40% - Accent6 3 3 3 2 3 2" xfId="47632" xr:uid="{9535510F-4462-4C46-A5B6-251DD2C28AE6}"/>
    <cellStyle name="40% - Accent6 3 3 3 2 4" xfId="31755" xr:uid="{AA3BA393-EF3A-43BD-8416-1F34BE90F2FA}"/>
    <cellStyle name="40% - Accent6 3 3 3 3" xfId="12316" xr:uid="{00000000-0005-0000-0000-0000B6500000}"/>
    <cellStyle name="40% - Accent6 3 3 3 3 2" xfId="36165" xr:uid="{F88DC779-E2C2-4996-BCF9-A98C7928BE74}"/>
    <cellStyle name="40% - Accent6 3 3 3 4" xfId="20271" xr:uid="{00000000-0005-0000-0000-0000B7500000}"/>
    <cellStyle name="40% - Accent6 3 3 3 4 2" xfId="44103" xr:uid="{244997DF-802F-45BC-9A7C-BF685175EF20}"/>
    <cellStyle name="40% - Accent6 3 3 3 5" xfId="28224" xr:uid="{5A69778B-83F7-4300-8F8C-5CE6769684AB}"/>
    <cellStyle name="40% - Accent6 3 3 4" xfId="6111" xr:uid="{00000000-0005-0000-0000-0000B8500000}"/>
    <cellStyle name="40% - Accent6 3 3 4 2" xfId="14095" xr:uid="{00000000-0005-0000-0000-0000B9500000}"/>
    <cellStyle name="40% - Accent6 3 3 4 2 2" xfId="37938" xr:uid="{F0AA9854-55BA-475E-9FD8-C08E7B11FBA3}"/>
    <cellStyle name="40% - Accent6 3 3 4 3" xfId="22043" xr:uid="{00000000-0005-0000-0000-0000BA500000}"/>
    <cellStyle name="40% - Accent6 3 3 4 3 2" xfId="45875" xr:uid="{7738EAE0-9482-4A30-B758-FE675F8D6D1E}"/>
    <cellStyle name="40% - Accent6 3 3 4 4" xfId="29997" xr:uid="{DE453C16-632D-4DFE-AE11-B7A4ECAC5353}"/>
    <cellStyle name="40% - Accent6 3 3 5" xfId="9664" xr:uid="{00000000-0005-0000-0000-0000BB500000}"/>
    <cellStyle name="40% - Accent6 3 3 5 2" xfId="17622" xr:uid="{00000000-0005-0000-0000-0000BC500000}"/>
    <cellStyle name="40% - Accent6 3 3 5 2 2" xfId="41462" xr:uid="{38E4B7A4-8661-4A6A-AE9E-15AC8DC292EE}"/>
    <cellStyle name="40% - Accent6 3 3 5 3" xfId="25566" xr:uid="{00000000-0005-0000-0000-0000BD500000}"/>
    <cellStyle name="40% - Accent6 3 3 5 3 2" xfId="49398" xr:uid="{170CDDF6-C2A2-44C8-8A92-F357AA27BD7F}"/>
    <cellStyle name="40% - Accent6 3 3 5 4" xfId="33521" xr:uid="{109BB603-084C-4249-A2CD-A43F0BC5ABA4}"/>
    <cellStyle name="40% - Accent6 3 3 6" xfId="10560" xr:uid="{00000000-0005-0000-0000-0000BE500000}"/>
    <cellStyle name="40% - Accent6 3 3 6 2" xfId="34409" xr:uid="{B2ECA3B4-B5CA-476F-8BEC-30CBCB580F25}"/>
    <cellStyle name="40% - Accent6 3 3 7" xfId="18515" xr:uid="{00000000-0005-0000-0000-0000BF500000}"/>
    <cellStyle name="40% - Accent6 3 3 7 2" xfId="42347" xr:uid="{B7874429-3B7C-4867-BFA6-D7C24EC29928}"/>
    <cellStyle name="40% - Accent6 3 3 8" xfId="26467" xr:uid="{C5A2593A-A2DA-4DDC-96D8-348A23799574}"/>
    <cellStyle name="40% - Accent6 3 3_Exh G" xfId="3364" xr:uid="{00000000-0005-0000-0000-0000C0500000}"/>
    <cellStyle name="40% - Accent6 3 4" xfId="997" xr:uid="{00000000-0005-0000-0000-0000C1500000}"/>
    <cellStyle name="40% - Accent6 3 4 2" xfId="1911" xr:uid="{00000000-0005-0000-0000-0000C2500000}"/>
    <cellStyle name="40% - Accent6 3 4 2 2" xfId="5429" xr:uid="{00000000-0005-0000-0000-0000C3500000}"/>
    <cellStyle name="40% - Accent6 3 4 2 2 2" xfId="9020" xr:uid="{00000000-0005-0000-0000-0000C4500000}"/>
    <cellStyle name="40% - Accent6 3 4 2 2 2 2" xfId="16991" xr:uid="{00000000-0005-0000-0000-0000C5500000}"/>
    <cellStyle name="40% - Accent6 3 4 2 2 2 2 2" xfId="40833" xr:uid="{A65CA1A7-A7B6-4109-B6CD-9E3719BF2813}"/>
    <cellStyle name="40% - Accent6 3 4 2 2 2 3" xfId="24937" xr:uid="{00000000-0005-0000-0000-0000C6500000}"/>
    <cellStyle name="40% - Accent6 3 4 2 2 2 3 2" xfId="48769" xr:uid="{286788A1-24DE-4612-AFB4-89D58EED5A46}"/>
    <cellStyle name="40% - Accent6 3 4 2 2 2 4" xfId="32892" xr:uid="{1E6C2240-948B-4C95-B39B-5BAEF115CA2B}"/>
    <cellStyle name="40% - Accent6 3 4 2 2 3" xfId="13453" xr:uid="{00000000-0005-0000-0000-0000C7500000}"/>
    <cellStyle name="40% - Accent6 3 4 2 2 3 2" xfId="37302" xr:uid="{AA4EF23F-DFDC-4F06-8F2C-3D458697CCE0}"/>
    <cellStyle name="40% - Accent6 3 4 2 2 4" xfId="21408" xr:uid="{00000000-0005-0000-0000-0000C8500000}"/>
    <cellStyle name="40% - Accent6 3 4 2 2 4 2" xfId="45240" xr:uid="{EAE9E66C-C589-4DD4-8EF9-D5864291F7E7}"/>
    <cellStyle name="40% - Accent6 3 4 2 2 5" xfId="29361" xr:uid="{9B894ADE-2192-4E5E-AC4A-B34847B28281}"/>
    <cellStyle name="40% - Accent6 3 4 2 3" xfId="7261" xr:uid="{00000000-0005-0000-0000-0000C9500000}"/>
    <cellStyle name="40% - Accent6 3 4 2 3 2" xfId="15233" xr:uid="{00000000-0005-0000-0000-0000CA500000}"/>
    <cellStyle name="40% - Accent6 3 4 2 3 2 2" xfId="39075" xr:uid="{09E17CBD-7FBD-4BF7-8826-A1FDF95DEFE3}"/>
    <cellStyle name="40% - Accent6 3 4 2 3 3" xfId="23180" xr:uid="{00000000-0005-0000-0000-0000CB500000}"/>
    <cellStyle name="40% - Accent6 3 4 2 3 3 2" xfId="47012" xr:uid="{D4A622B2-4AB1-401C-B747-4C27243F79B0}"/>
    <cellStyle name="40% - Accent6 3 4 2 3 4" xfId="31134" xr:uid="{D951D9E9-7B7A-4A2A-AE83-F4DD15BE8A3F}"/>
    <cellStyle name="40% - Accent6 3 4 2 4" xfId="11697" xr:uid="{00000000-0005-0000-0000-0000CC500000}"/>
    <cellStyle name="40% - Accent6 3 4 2 4 2" xfId="35546" xr:uid="{23D9B7F2-1724-44B7-A282-8D2513165888}"/>
    <cellStyle name="40% - Accent6 3 4 2 5" xfId="19652" xr:uid="{00000000-0005-0000-0000-0000CD500000}"/>
    <cellStyle name="40% - Accent6 3 4 2 5 2" xfId="43484" xr:uid="{9A6A504B-4177-4B2F-B5F7-56F3B38AA224}"/>
    <cellStyle name="40% - Accent6 3 4 2 6" xfId="27604" xr:uid="{7165C0B1-AEE7-4BA7-9D61-8B3B6B64E8C5}"/>
    <cellStyle name="40% - Accent6 3 4 2_Exh G" xfId="3367" xr:uid="{00000000-0005-0000-0000-0000CE500000}"/>
    <cellStyle name="40% - Accent6 3 4 3" xfId="4550" xr:uid="{00000000-0005-0000-0000-0000CF500000}"/>
    <cellStyle name="40% - Accent6 3 4 3 2" xfId="8142" xr:uid="{00000000-0005-0000-0000-0000D0500000}"/>
    <cellStyle name="40% - Accent6 3 4 3 2 2" xfId="16113" xr:uid="{00000000-0005-0000-0000-0000D1500000}"/>
    <cellStyle name="40% - Accent6 3 4 3 2 2 2" xfId="39955" xr:uid="{E0E2F42E-AE47-4AC1-BAAD-459621D1FF23}"/>
    <cellStyle name="40% - Accent6 3 4 3 2 3" xfId="24059" xr:uid="{00000000-0005-0000-0000-0000D2500000}"/>
    <cellStyle name="40% - Accent6 3 4 3 2 3 2" xfId="47891" xr:uid="{92E3CF3F-00D7-4161-9E99-5019712E7461}"/>
    <cellStyle name="40% - Accent6 3 4 3 2 4" xfId="32014" xr:uid="{8D90DED0-7432-40C9-A8BF-1FEDE3D978C6}"/>
    <cellStyle name="40% - Accent6 3 4 3 3" xfId="12575" xr:uid="{00000000-0005-0000-0000-0000D3500000}"/>
    <cellStyle name="40% - Accent6 3 4 3 3 2" xfId="36424" xr:uid="{DB43D3B0-3BEC-4BDC-BAE5-6AB55196AD5A}"/>
    <cellStyle name="40% - Accent6 3 4 3 4" xfId="20530" xr:uid="{00000000-0005-0000-0000-0000D4500000}"/>
    <cellStyle name="40% - Accent6 3 4 3 4 2" xfId="44362" xr:uid="{E44066DA-160E-4F9F-918A-C010EC0FE611}"/>
    <cellStyle name="40% - Accent6 3 4 3 5" xfId="28483" xr:uid="{BCCF89CD-FD52-4CBF-99CD-F72BCD1DEE3F}"/>
    <cellStyle name="40% - Accent6 3 4 4" xfId="6380" xr:uid="{00000000-0005-0000-0000-0000D5500000}"/>
    <cellStyle name="40% - Accent6 3 4 4 2" xfId="14355" xr:uid="{00000000-0005-0000-0000-0000D6500000}"/>
    <cellStyle name="40% - Accent6 3 4 4 2 2" xfId="38197" xr:uid="{D86E8EA4-A502-4CDE-8B45-CEA2B8E7F19A}"/>
    <cellStyle name="40% - Accent6 3 4 4 3" xfId="22302" xr:uid="{00000000-0005-0000-0000-0000D7500000}"/>
    <cellStyle name="40% - Accent6 3 4 4 3 2" xfId="46134" xr:uid="{4EE29BA0-836F-4567-AFBD-EE60E712FF30}"/>
    <cellStyle name="40% - Accent6 3 4 4 4" xfId="30256" xr:uid="{A2FA0D9E-5361-48D9-B04B-AC0CDF019360}"/>
    <cellStyle name="40% - Accent6 3 4 5" xfId="9923" xr:uid="{00000000-0005-0000-0000-0000D8500000}"/>
    <cellStyle name="40% - Accent6 3 4 5 2" xfId="17881" xr:uid="{00000000-0005-0000-0000-0000D9500000}"/>
    <cellStyle name="40% - Accent6 3 4 5 2 2" xfId="41721" xr:uid="{5D6B915A-6509-4FAE-BD48-F98148C73371}"/>
    <cellStyle name="40% - Accent6 3 4 5 3" xfId="25825" xr:uid="{00000000-0005-0000-0000-0000DA500000}"/>
    <cellStyle name="40% - Accent6 3 4 5 3 2" xfId="49657" xr:uid="{76703A81-176F-4980-ADC0-FB4A53D1860C}"/>
    <cellStyle name="40% - Accent6 3 4 5 4" xfId="33780" xr:uid="{15F4340D-CE35-462A-902C-B22B5F36BDF3}"/>
    <cellStyle name="40% - Accent6 3 4 6" xfId="10819" xr:uid="{00000000-0005-0000-0000-0000DB500000}"/>
    <cellStyle name="40% - Accent6 3 4 6 2" xfId="34668" xr:uid="{D094C6E4-6072-4645-83C2-B8D40FC56FC6}"/>
    <cellStyle name="40% - Accent6 3 4 7" xfId="18774" xr:uid="{00000000-0005-0000-0000-0000DC500000}"/>
    <cellStyle name="40% - Accent6 3 4 7 2" xfId="42606" xr:uid="{FF9481D0-FAD5-4F9B-A0FE-C54E6067C4FD}"/>
    <cellStyle name="40% - Accent6 3 4 8" xfId="26726" xr:uid="{8030D0BF-2450-4DC6-9C15-B345708EFBB6}"/>
    <cellStyle name="40% - Accent6 3 4_Exh G" xfId="3366" xr:uid="{00000000-0005-0000-0000-0000DD500000}"/>
    <cellStyle name="40% - Accent6 3 5" xfId="1637" xr:uid="{00000000-0005-0000-0000-0000DE500000}"/>
    <cellStyle name="40% - Accent6 3 5 2" xfId="5167" xr:uid="{00000000-0005-0000-0000-0000DF500000}"/>
    <cellStyle name="40% - Accent6 3 5 2 2" xfId="8758" xr:uid="{00000000-0005-0000-0000-0000E0500000}"/>
    <cellStyle name="40% - Accent6 3 5 2 2 2" xfId="16729" xr:uid="{00000000-0005-0000-0000-0000E1500000}"/>
    <cellStyle name="40% - Accent6 3 5 2 2 2 2" xfId="40571" xr:uid="{746B1F3F-030D-4ED9-B6BA-46AF4D1391FD}"/>
    <cellStyle name="40% - Accent6 3 5 2 2 3" xfId="24675" xr:uid="{00000000-0005-0000-0000-0000E2500000}"/>
    <cellStyle name="40% - Accent6 3 5 2 2 3 2" xfId="48507" xr:uid="{025B0876-220C-4983-9F60-44CE49608308}"/>
    <cellStyle name="40% - Accent6 3 5 2 2 4" xfId="32630" xr:uid="{5C8D41BD-5B91-48B5-B003-43D43AA76649}"/>
    <cellStyle name="40% - Accent6 3 5 2 3" xfId="13191" xr:uid="{00000000-0005-0000-0000-0000E3500000}"/>
    <cellStyle name="40% - Accent6 3 5 2 3 2" xfId="37040" xr:uid="{99A8BA62-4E43-41D9-AF4A-410F4894DDD2}"/>
    <cellStyle name="40% - Accent6 3 5 2 4" xfId="21146" xr:uid="{00000000-0005-0000-0000-0000E4500000}"/>
    <cellStyle name="40% - Accent6 3 5 2 4 2" xfId="44978" xr:uid="{0828AC8A-BA82-4EC7-A6B2-DF4706F4E3D5}"/>
    <cellStyle name="40% - Accent6 3 5 2 5" xfId="29099" xr:uid="{6F3F733C-D738-4FB3-9520-CAEB64646592}"/>
    <cellStyle name="40% - Accent6 3 5 3" xfId="6999" xr:uid="{00000000-0005-0000-0000-0000E5500000}"/>
    <cellStyle name="40% - Accent6 3 5 3 2" xfId="14971" xr:uid="{00000000-0005-0000-0000-0000E6500000}"/>
    <cellStyle name="40% - Accent6 3 5 3 2 2" xfId="38813" xr:uid="{5D878F42-8883-4C17-849E-34167E57A17A}"/>
    <cellStyle name="40% - Accent6 3 5 3 3" xfId="22918" xr:uid="{00000000-0005-0000-0000-0000E7500000}"/>
    <cellStyle name="40% - Accent6 3 5 3 3 2" xfId="46750" xr:uid="{7DE609BB-43F2-4B17-A249-80E138DF02C2}"/>
    <cellStyle name="40% - Accent6 3 5 3 4" xfId="30872" xr:uid="{DDDDF15F-550A-4B9D-B7D6-A6934E796613}"/>
    <cellStyle name="40% - Accent6 3 5 4" xfId="11435" xr:uid="{00000000-0005-0000-0000-0000E8500000}"/>
    <cellStyle name="40% - Accent6 3 5 4 2" xfId="35284" xr:uid="{5C169740-BE9F-4484-8DAC-0A470E7AAED4}"/>
    <cellStyle name="40% - Accent6 3 5 5" xfId="19390" xr:uid="{00000000-0005-0000-0000-0000E9500000}"/>
    <cellStyle name="40% - Accent6 3 5 5 2" xfId="43222" xr:uid="{3AC271D7-1FD1-4E37-AF4D-EA1A64F6FCE0}"/>
    <cellStyle name="40% - Accent6 3 5 6" xfId="27342" xr:uid="{6D2F0A0F-F270-4066-9A6D-37CA3B8682D3}"/>
    <cellStyle name="40% - Accent6 3 5_Exh G" xfId="3368" xr:uid="{00000000-0005-0000-0000-0000EA500000}"/>
    <cellStyle name="40% - Accent6 3 6" xfId="4288" xr:uid="{00000000-0005-0000-0000-0000EB500000}"/>
    <cellStyle name="40% - Accent6 3 6 2" xfId="7880" xr:uid="{00000000-0005-0000-0000-0000EC500000}"/>
    <cellStyle name="40% - Accent6 3 6 2 2" xfId="15851" xr:uid="{00000000-0005-0000-0000-0000ED500000}"/>
    <cellStyle name="40% - Accent6 3 6 2 2 2" xfId="39693" xr:uid="{99BBEC8E-4CA1-4B50-92FF-15C3A681DC04}"/>
    <cellStyle name="40% - Accent6 3 6 2 3" xfId="23797" xr:uid="{00000000-0005-0000-0000-0000EE500000}"/>
    <cellStyle name="40% - Accent6 3 6 2 3 2" xfId="47629" xr:uid="{5F8892B0-4993-4D1B-9BF0-7DEF8F112C49}"/>
    <cellStyle name="40% - Accent6 3 6 2 4" xfId="31752" xr:uid="{C64F866A-B81A-46CB-A6FF-19C07F3A15AC}"/>
    <cellStyle name="40% - Accent6 3 6 3" xfId="12313" xr:uid="{00000000-0005-0000-0000-0000EF500000}"/>
    <cellStyle name="40% - Accent6 3 6 3 2" xfId="36162" xr:uid="{A6F43EB9-7EFB-4A2F-902E-EE9CC9B8592D}"/>
    <cellStyle name="40% - Accent6 3 6 4" xfId="20268" xr:uid="{00000000-0005-0000-0000-0000F0500000}"/>
    <cellStyle name="40% - Accent6 3 6 4 2" xfId="44100" xr:uid="{0FB52BE3-2D85-48BD-A47E-5D3A617280E3}"/>
    <cellStyle name="40% - Accent6 3 6 5" xfId="28221" xr:uid="{334693B9-03D7-4B4C-A76F-8378EBCB9004}"/>
    <cellStyle name="40% - Accent6 3 7" xfId="6108" xr:uid="{00000000-0005-0000-0000-0000F1500000}"/>
    <cellStyle name="40% - Accent6 3 7 2" xfId="14092" xr:uid="{00000000-0005-0000-0000-0000F2500000}"/>
    <cellStyle name="40% - Accent6 3 7 2 2" xfId="37935" xr:uid="{FCD519DE-5D39-4B65-8579-58263C6DF5F4}"/>
    <cellStyle name="40% - Accent6 3 7 3" xfId="22040" xr:uid="{00000000-0005-0000-0000-0000F3500000}"/>
    <cellStyle name="40% - Accent6 3 7 3 2" xfId="45872" xr:uid="{1D072422-C4E2-4102-B6AF-A6A87ECB5123}"/>
    <cellStyle name="40% - Accent6 3 7 4" xfId="29994" xr:uid="{DD1F0CB0-F99F-48B0-B417-05AAB11D43DA}"/>
    <cellStyle name="40% - Accent6 3 8" xfId="9661" xr:uid="{00000000-0005-0000-0000-0000F4500000}"/>
    <cellStyle name="40% - Accent6 3 8 2" xfId="17619" xr:uid="{00000000-0005-0000-0000-0000F5500000}"/>
    <cellStyle name="40% - Accent6 3 8 2 2" xfId="41459" xr:uid="{12709D2D-DA6B-4BEB-AA12-0AF45067312A}"/>
    <cellStyle name="40% - Accent6 3 8 3" xfId="25563" xr:uid="{00000000-0005-0000-0000-0000F6500000}"/>
    <cellStyle name="40% - Accent6 3 8 3 2" xfId="49395" xr:uid="{420F8A2E-AA5C-498B-BD9C-71CF6BB19423}"/>
    <cellStyle name="40% - Accent6 3 8 4" xfId="33518" xr:uid="{642681FD-17A6-4515-9180-2823C71F7A82}"/>
    <cellStyle name="40% - Accent6 3 9" xfId="10557" xr:uid="{00000000-0005-0000-0000-0000F7500000}"/>
    <cellStyle name="40% - Accent6 3 9 2" xfId="34406" xr:uid="{15DA9398-1414-4D97-A841-A68A5BC80A4B}"/>
    <cellStyle name="40% - Accent6 3_Exh G" xfId="3357" xr:uid="{00000000-0005-0000-0000-0000F8500000}"/>
    <cellStyle name="40% - Accent6 4" xfId="613" xr:uid="{00000000-0005-0000-0000-0000F9500000}"/>
    <cellStyle name="40% - Accent6 4 10" xfId="18516" xr:uid="{00000000-0005-0000-0000-0000FA500000}"/>
    <cellStyle name="40% - Accent6 4 10 2" xfId="42348" xr:uid="{6FD748B1-57EC-42E4-B019-2FD866D14311}"/>
    <cellStyle name="40% - Accent6 4 11" xfId="26468" xr:uid="{7B55A2BC-3896-4A20-9D70-CE149F7B9962}"/>
    <cellStyle name="40% - Accent6 4 2" xfId="614" xr:uid="{00000000-0005-0000-0000-0000FB500000}"/>
    <cellStyle name="40% - Accent6 4 2 10" xfId="26469" xr:uid="{28807FF4-B1D1-4A1F-A3F6-5473D5F27B28}"/>
    <cellStyle name="40% - Accent6 4 2 2" xfId="615" xr:uid="{00000000-0005-0000-0000-0000FC500000}"/>
    <cellStyle name="40% - Accent6 4 2 2 2" xfId="1643" xr:uid="{00000000-0005-0000-0000-0000FD500000}"/>
    <cellStyle name="40% - Accent6 4 2 2 2 2" xfId="5173" xr:uid="{00000000-0005-0000-0000-0000FE500000}"/>
    <cellStyle name="40% - Accent6 4 2 2 2 2 2" xfId="8764" xr:uid="{00000000-0005-0000-0000-0000FF500000}"/>
    <cellStyle name="40% - Accent6 4 2 2 2 2 2 2" xfId="16735" xr:uid="{00000000-0005-0000-0000-000000510000}"/>
    <cellStyle name="40% - Accent6 4 2 2 2 2 2 2 2" xfId="40577" xr:uid="{CC67D155-9288-44C3-BE67-0D982094A631}"/>
    <cellStyle name="40% - Accent6 4 2 2 2 2 2 3" xfId="24681" xr:uid="{00000000-0005-0000-0000-000001510000}"/>
    <cellStyle name="40% - Accent6 4 2 2 2 2 2 3 2" xfId="48513" xr:uid="{75F84C03-98A0-4F3A-9928-7B0DC338DD75}"/>
    <cellStyle name="40% - Accent6 4 2 2 2 2 2 4" xfId="32636" xr:uid="{C92E9FE8-B565-4E2D-969E-F76426A34598}"/>
    <cellStyle name="40% - Accent6 4 2 2 2 2 3" xfId="13197" xr:uid="{00000000-0005-0000-0000-000002510000}"/>
    <cellStyle name="40% - Accent6 4 2 2 2 2 3 2" xfId="37046" xr:uid="{D574968F-A7B9-4009-A937-6055A3E02618}"/>
    <cellStyle name="40% - Accent6 4 2 2 2 2 4" xfId="21152" xr:uid="{00000000-0005-0000-0000-000003510000}"/>
    <cellStyle name="40% - Accent6 4 2 2 2 2 4 2" xfId="44984" xr:uid="{A7B43D28-9B93-4C5B-BD34-469F4A58F137}"/>
    <cellStyle name="40% - Accent6 4 2 2 2 2 5" xfId="29105" xr:uid="{CB9DC330-7983-4A1E-9F0E-8E34B945CDFA}"/>
    <cellStyle name="40% - Accent6 4 2 2 2 3" xfId="7005" xr:uid="{00000000-0005-0000-0000-000004510000}"/>
    <cellStyle name="40% - Accent6 4 2 2 2 3 2" xfId="14977" xr:uid="{00000000-0005-0000-0000-000005510000}"/>
    <cellStyle name="40% - Accent6 4 2 2 2 3 2 2" xfId="38819" xr:uid="{D2E5409B-D0CB-46D1-AED2-5525FDEE5DEF}"/>
    <cellStyle name="40% - Accent6 4 2 2 2 3 3" xfId="22924" xr:uid="{00000000-0005-0000-0000-000006510000}"/>
    <cellStyle name="40% - Accent6 4 2 2 2 3 3 2" xfId="46756" xr:uid="{384D9D34-0276-4DB4-92B1-80769309C33C}"/>
    <cellStyle name="40% - Accent6 4 2 2 2 3 4" xfId="30878" xr:uid="{E52E9D89-1F18-429D-BEC3-DE2F88FD7492}"/>
    <cellStyle name="40% - Accent6 4 2 2 2 4" xfId="11441" xr:uid="{00000000-0005-0000-0000-000007510000}"/>
    <cellStyle name="40% - Accent6 4 2 2 2 4 2" xfId="35290" xr:uid="{286A73E7-6C6A-40CF-8199-FA5DCA8B7592}"/>
    <cellStyle name="40% - Accent6 4 2 2 2 5" xfId="19396" xr:uid="{00000000-0005-0000-0000-000008510000}"/>
    <cellStyle name="40% - Accent6 4 2 2 2 5 2" xfId="43228" xr:uid="{EF79CF26-1995-4328-81E8-E93BB9CB7D60}"/>
    <cellStyle name="40% - Accent6 4 2 2 2 6" xfId="27348" xr:uid="{A8D1B89B-9307-4DD2-8FED-ECDDD6FE4D90}"/>
    <cellStyle name="40% - Accent6 4 2 2 2_Exh G" xfId="3372" xr:uid="{00000000-0005-0000-0000-000009510000}"/>
    <cellStyle name="40% - Accent6 4 2 2 3" xfId="4294" xr:uid="{00000000-0005-0000-0000-00000A510000}"/>
    <cellStyle name="40% - Accent6 4 2 2 3 2" xfId="7886" xr:uid="{00000000-0005-0000-0000-00000B510000}"/>
    <cellStyle name="40% - Accent6 4 2 2 3 2 2" xfId="15857" xr:uid="{00000000-0005-0000-0000-00000C510000}"/>
    <cellStyle name="40% - Accent6 4 2 2 3 2 2 2" xfId="39699" xr:uid="{86C8958B-CBF2-4E0A-B137-5C364622391A}"/>
    <cellStyle name="40% - Accent6 4 2 2 3 2 3" xfId="23803" xr:uid="{00000000-0005-0000-0000-00000D510000}"/>
    <cellStyle name="40% - Accent6 4 2 2 3 2 3 2" xfId="47635" xr:uid="{617E82F5-01A6-46F3-A078-247EB7B35621}"/>
    <cellStyle name="40% - Accent6 4 2 2 3 2 4" xfId="31758" xr:uid="{0C5BA2F9-0E0F-42AD-B130-F1A5C4077376}"/>
    <cellStyle name="40% - Accent6 4 2 2 3 3" xfId="12319" xr:uid="{00000000-0005-0000-0000-00000E510000}"/>
    <cellStyle name="40% - Accent6 4 2 2 3 3 2" xfId="36168" xr:uid="{1CF0C9DB-2D8F-47DD-BDDC-6AFC57D45747}"/>
    <cellStyle name="40% - Accent6 4 2 2 3 4" xfId="20274" xr:uid="{00000000-0005-0000-0000-00000F510000}"/>
    <cellStyle name="40% - Accent6 4 2 2 3 4 2" xfId="44106" xr:uid="{B9772989-848C-4205-8654-5F0C26DE00E8}"/>
    <cellStyle name="40% - Accent6 4 2 2 3 5" xfId="28227" xr:uid="{96EDB814-A19E-4815-BFBF-7B63A3C43DFB}"/>
    <cellStyle name="40% - Accent6 4 2 2 4" xfId="6114" xr:uid="{00000000-0005-0000-0000-000010510000}"/>
    <cellStyle name="40% - Accent6 4 2 2 4 2" xfId="14098" xr:uid="{00000000-0005-0000-0000-000011510000}"/>
    <cellStyle name="40% - Accent6 4 2 2 4 2 2" xfId="37941" xr:uid="{E356F56D-CB0B-4535-AE61-6E87313D0C72}"/>
    <cellStyle name="40% - Accent6 4 2 2 4 3" xfId="22046" xr:uid="{00000000-0005-0000-0000-000012510000}"/>
    <cellStyle name="40% - Accent6 4 2 2 4 3 2" xfId="45878" xr:uid="{5A05A832-7F1E-45FD-BA5B-8CC0936573F5}"/>
    <cellStyle name="40% - Accent6 4 2 2 4 4" xfId="30000" xr:uid="{B35EC214-9FD6-41EE-B273-E2FB7585D7F8}"/>
    <cellStyle name="40% - Accent6 4 2 2 5" xfId="9667" xr:uid="{00000000-0005-0000-0000-000013510000}"/>
    <cellStyle name="40% - Accent6 4 2 2 5 2" xfId="17625" xr:uid="{00000000-0005-0000-0000-000014510000}"/>
    <cellStyle name="40% - Accent6 4 2 2 5 2 2" xfId="41465" xr:uid="{950D3116-4AE2-4A43-B460-598EC22CD971}"/>
    <cellStyle name="40% - Accent6 4 2 2 5 3" xfId="25569" xr:uid="{00000000-0005-0000-0000-000015510000}"/>
    <cellStyle name="40% - Accent6 4 2 2 5 3 2" xfId="49401" xr:uid="{EFC2C0AB-07AC-4B77-90DF-982E5D124726}"/>
    <cellStyle name="40% - Accent6 4 2 2 5 4" xfId="33524" xr:uid="{03BFBBD0-3B91-4C13-829F-5377492B9094}"/>
    <cellStyle name="40% - Accent6 4 2 2 6" xfId="10563" xr:uid="{00000000-0005-0000-0000-000016510000}"/>
    <cellStyle name="40% - Accent6 4 2 2 6 2" xfId="34412" xr:uid="{247ED26B-ECA3-41BC-978E-A920CFD6B000}"/>
    <cellStyle name="40% - Accent6 4 2 2 7" xfId="18518" xr:uid="{00000000-0005-0000-0000-000017510000}"/>
    <cellStyle name="40% - Accent6 4 2 2 7 2" xfId="42350" xr:uid="{7C61B77A-FD93-42C8-B79A-7059911228D7}"/>
    <cellStyle name="40% - Accent6 4 2 2 8" xfId="26470" xr:uid="{CCC29379-4847-4501-92F2-3D61C3C21989}"/>
    <cellStyle name="40% - Accent6 4 2 2_Exh G" xfId="3371" xr:uid="{00000000-0005-0000-0000-000018510000}"/>
    <cellStyle name="40% - Accent6 4 2 3" xfId="1000" xr:uid="{00000000-0005-0000-0000-000019510000}"/>
    <cellStyle name="40% - Accent6 4 2 3 2" xfId="1914" xr:uid="{00000000-0005-0000-0000-00001A510000}"/>
    <cellStyle name="40% - Accent6 4 2 3 2 2" xfId="5432" xr:uid="{00000000-0005-0000-0000-00001B510000}"/>
    <cellStyle name="40% - Accent6 4 2 3 2 2 2" xfId="9023" xr:uid="{00000000-0005-0000-0000-00001C510000}"/>
    <cellStyle name="40% - Accent6 4 2 3 2 2 2 2" xfId="16994" xr:uid="{00000000-0005-0000-0000-00001D510000}"/>
    <cellStyle name="40% - Accent6 4 2 3 2 2 2 2 2" xfId="40836" xr:uid="{91CD2E98-1591-49B1-A326-FC0F50F7E53E}"/>
    <cellStyle name="40% - Accent6 4 2 3 2 2 2 3" xfId="24940" xr:uid="{00000000-0005-0000-0000-00001E510000}"/>
    <cellStyle name="40% - Accent6 4 2 3 2 2 2 3 2" xfId="48772" xr:uid="{8418CB0E-AE41-4A5E-A062-5AAAC39DF3AB}"/>
    <cellStyle name="40% - Accent6 4 2 3 2 2 2 4" xfId="32895" xr:uid="{1D0B6784-69F6-4B2C-A995-A5F48DED5EAB}"/>
    <cellStyle name="40% - Accent6 4 2 3 2 2 3" xfId="13456" xr:uid="{00000000-0005-0000-0000-00001F510000}"/>
    <cellStyle name="40% - Accent6 4 2 3 2 2 3 2" xfId="37305" xr:uid="{E3785634-BB82-47E4-9533-F5F6A3A5F2D1}"/>
    <cellStyle name="40% - Accent6 4 2 3 2 2 4" xfId="21411" xr:uid="{00000000-0005-0000-0000-000020510000}"/>
    <cellStyle name="40% - Accent6 4 2 3 2 2 4 2" xfId="45243" xr:uid="{86276A09-512E-464C-B350-2D6ACF1CFAEE}"/>
    <cellStyle name="40% - Accent6 4 2 3 2 2 5" xfId="29364" xr:uid="{166F25BF-36FE-43CD-AA84-BDB735030906}"/>
    <cellStyle name="40% - Accent6 4 2 3 2 3" xfId="7264" xr:uid="{00000000-0005-0000-0000-000021510000}"/>
    <cellStyle name="40% - Accent6 4 2 3 2 3 2" xfId="15236" xr:uid="{00000000-0005-0000-0000-000022510000}"/>
    <cellStyle name="40% - Accent6 4 2 3 2 3 2 2" xfId="39078" xr:uid="{F2FD4050-44F1-42A5-B100-BA186BD3A920}"/>
    <cellStyle name="40% - Accent6 4 2 3 2 3 3" xfId="23183" xr:uid="{00000000-0005-0000-0000-000023510000}"/>
    <cellStyle name="40% - Accent6 4 2 3 2 3 3 2" xfId="47015" xr:uid="{89339B6A-52F2-4A31-B90C-0ED0E830A171}"/>
    <cellStyle name="40% - Accent6 4 2 3 2 3 4" xfId="31137" xr:uid="{198AF271-53E4-495C-BE6E-DF5F638FADBB}"/>
    <cellStyle name="40% - Accent6 4 2 3 2 4" xfId="11700" xr:uid="{00000000-0005-0000-0000-000024510000}"/>
    <cellStyle name="40% - Accent6 4 2 3 2 4 2" xfId="35549" xr:uid="{E9AE5A61-2A37-496C-A6F8-08B45348DC1A}"/>
    <cellStyle name="40% - Accent6 4 2 3 2 5" xfId="19655" xr:uid="{00000000-0005-0000-0000-000025510000}"/>
    <cellStyle name="40% - Accent6 4 2 3 2 5 2" xfId="43487" xr:uid="{3241E2B3-1A0C-4B9E-B646-B1B62156812C}"/>
    <cellStyle name="40% - Accent6 4 2 3 2 6" xfId="27607" xr:uid="{04EED3E4-7966-4FF0-BA4A-888D68C9AD42}"/>
    <cellStyle name="40% - Accent6 4 2 3 2_Exh G" xfId="3374" xr:uid="{00000000-0005-0000-0000-000026510000}"/>
    <cellStyle name="40% - Accent6 4 2 3 3" xfId="4553" xr:uid="{00000000-0005-0000-0000-000027510000}"/>
    <cellStyle name="40% - Accent6 4 2 3 3 2" xfId="8145" xr:uid="{00000000-0005-0000-0000-000028510000}"/>
    <cellStyle name="40% - Accent6 4 2 3 3 2 2" xfId="16116" xr:uid="{00000000-0005-0000-0000-000029510000}"/>
    <cellStyle name="40% - Accent6 4 2 3 3 2 2 2" xfId="39958" xr:uid="{5DD8BCA8-FC1B-4A8B-B2CF-E7DD1B1D5252}"/>
    <cellStyle name="40% - Accent6 4 2 3 3 2 3" xfId="24062" xr:uid="{00000000-0005-0000-0000-00002A510000}"/>
    <cellStyle name="40% - Accent6 4 2 3 3 2 3 2" xfId="47894" xr:uid="{79956D53-E554-40BD-90AA-F891DB2F5AB2}"/>
    <cellStyle name="40% - Accent6 4 2 3 3 2 4" xfId="32017" xr:uid="{BC9EB1A6-CB73-4175-83C6-95674E1D48E2}"/>
    <cellStyle name="40% - Accent6 4 2 3 3 3" xfId="12578" xr:uid="{00000000-0005-0000-0000-00002B510000}"/>
    <cellStyle name="40% - Accent6 4 2 3 3 3 2" xfId="36427" xr:uid="{71D0DB59-DF12-472B-8568-46FA96407C81}"/>
    <cellStyle name="40% - Accent6 4 2 3 3 4" xfId="20533" xr:uid="{00000000-0005-0000-0000-00002C510000}"/>
    <cellStyle name="40% - Accent6 4 2 3 3 4 2" xfId="44365" xr:uid="{3DF12F93-ACF0-4F55-90FA-A01A8B43F17E}"/>
    <cellStyle name="40% - Accent6 4 2 3 3 5" xfId="28486" xr:uid="{C0183457-ADE3-4594-9A4D-45BCABE68985}"/>
    <cellStyle name="40% - Accent6 4 2 3 4" xfId="6383" xr:uid="{00000000-0005-0000-0000-00002D510000}"/>
    <cellStyle name="40% - Accent6 4 2 3 4 2" xfId="14358" xr:uid="{00000000-0005-0000-0000-00002E510000}"/>
    <cellStyle name="40% - Accent6 4 2 3 4 2 2" xfId="38200" xr:uid="{E57EBF2D-2F65-4D70-B4CC-A8F259F43A3B}"/>
    <cellStyle name="40% - Accent6 4 2 3 4 3" xfId="22305" xr:uid="{00000000-0005-0000-0000-00002F510000}"/>
    <cellStyle name="40% - Accent6 4 2 3 4 3 2" xfId="46137" xr:uid="{52A0D707-E0EE-43D4-A81E-ABC30254245D}"/>
    <cellStyle name="40% - Accent6 4 2 3 4 4" xfId="30259" xr:uid="{03A9F307-0E80-4613-83EF-409D05A8DC3A}"/>
    <cellStyle name="40% - Accent6 4 2 3 5" xfId="9926" xr:uid="{00000000-0005-0000-0000-000030510000}"/>
    <cellStyle name="40% - Accent6 4 2 3 5 2" xfId="17884" xr:uid="{00000000-0005-0000-0000-000031510000}"/>
    <cellStyle name="40% - Accent6 4 2 3 5 2 2" xfId="41724" xr:uid="{7C5DAC19-2DC5-4A13-92ED-A08B955B1825}"/>
    <cellStyle name="40% - Accent6 4 2 3 5 3" xfId="25828" xr:uid="{00000000-0005-0000-0000-000032510000}"/>
    <cellStyle name="40% - Accent6 4 2 3 5 3 2" xfId="49660" xr:uid="{219CE6D8-C23F-42CE-A81B-C181C6F59A43}"/>
    <cellStyle name="40% - Accent6 4 2 3 5 4" xfId="33783" xr:uid="{1B0DEC84-C4E6-4871-96EE-856EA9787F5B}"/>
    <cellStyle name="40% - Accent6 4 2 3 6" xfId="10822" xr:uid="{00000000-0005-0000-0000-000033510000}"/>
    <cellStyle name="40% - Accent6 4 2 3 6 2" xfId="34671" xr:uid="{C0D0A47F-9653-4543-A976-FDEEB25B176C}"/>
    <cellStyle name="40% - Accent6 4 2 3 7" xfId="18777" xr:uid="{00000000-0005-0000-0000-000034510000}"/>
    <cellStyle name="40% - Accent6 4 2 3 7 2" xfId="42609" xr:uid="{271D7E1F-35E6-412E-ABCE-4CC02283A7DE}"/>
    <cellStyle name="40% - Accent6 4 2 3 8" xfId="26729" xr:uid="{E46CE0CB-A0C8-46BE-8D67-EFAF91A3910E}"/>
    <cellStyle name="40% - Accent6 4 2 3_Exh G" xfId="3373" xr:uid="{00000000-0005-0000-0000-000035510000}"/>
    <cellStyle name="40% - Accent6 4 2 4" xfId="1642" xr:uid="{00000000-0005-0000-0000-000036510000}"/>
    <cellStyle name="40% - Accent6 4 2 4 2" xfId="5172" xr:uid="{00000000-0005-0000-0000-000037510000}"/>
    <cellStyle name="40% - Accent6 4 2 4 2 2" xfId="8763" xr:uid="{00000000-0005-0000-0000-000038510000}"/>
    <cellStyle name="40% - Accent6 4 2 4 2 2 2" xfId="16734" xr:uid="{00000000-0005-0000-0000-000039510000}"/>
    <cellStyle name="40% - Accent6 4 2 4 2 2 2 2" xfId="40576" xr:uid="{8A8BD9E8-1292-4A12-9E5A-ED13E830BB66}"/>
    <cellStyle name="40% - Accent6 4 2 4 2 2 3" xfId="24680" xr:uid="{00000000-0005-0000-0000-00003A510000}"/>
    <cellStyle name="40% - Accent6 4 2 4 2 2 3 2" xfId="48512" xr:uid="{C4D56E69-A13A-4D2A-9B7D-BBBD3973677A}"/>
    <cellStyle name="40% - Accent6 4 2 4 2 2 4" xfId="32635" xr:uid="{98DA9053-7573-4FD6-9A3B-D4D9F3FD6A9E}"/>
    <cellStyle name="40% - Accent6 4 2 4 2 3" xfId="13196" xr:uid="{00000000-0005-0000-0000-00003B510000}"/>
    <cellStyle name="40% - Accent6 4 2 4 2 3 2" xfId="37045" xr:uid="{1288F343-F8DE-48B1-AA47-1B2F7083CE83}"/>
    <cellStyle name="40% - Accent6 4 2 4 2 4" xfId="21151" xr:uid="{00000000-0005-0000-0000-00003C510000}"/>
    <cellStyle name="40% - Accent6 4 2 4 2 4 2" xfId="44983" xr:uid="{8F90FC45-C782-4D96-A1A5-58BE192B148A}"/>
    <cellStyle name="40% - Accent6 4 2 4 2 5" xfId="29104" xr:uid="{6401DC63-FB87-4EDD-9F5D-8154792D9601}"/>
    <cellStyle name="40% - Accent6 4 2 4 3" xfId="7004" xr:uid="{00000000-0005-0000-0000-00003D510000}"/>
    <cellStyle name="40% - Accent6 4 2 4 3 2" xfId="14976" xr:uid="{00000000-0005-0000-0000-00003E510000}"/>
    <cellStyle name="40% - Accent6 4 2 4 3 2 2" xfId="38818" xr:uid="{3664429A-9442-4248-ADAE-7E2B3C834EF2}"/>
    <cellStyle name="40% - Accent6 4 2 4 3 3" xfId="22923" xr:uid="{00000000-0005-0000-0000-00003F510000}"/>
    <cellStyle name="40% - Accent6 4 2 4 3 3 2" xfId="46755" xr:uid="{C3EB66D9-C7E2-4C2A-A13A-EFF15F745649}"/>
    <cellStyle name="40% - Accent6 4 2 4 3 4" xfId="30877" xr:uid="{37068026-9171-4739-A44A-E57505371614}"/>
    <cellStyle name="40% - Accent6 4 2 4 4" xfId="11440" xr:uid="{00000000-0005-0000-0000-000040510000}"/>
    <cellStyle name="40% - Accent6 4 2 4 4 2" xfId="35289" xr:uid="{0DE36DBA-E316-47AE-B518-1495578482FC}"/>
    <cellStyle name="40% - Accent6 4 2 4 5" xfId="19395" xr:uid="{00000000-0005-0000-0000-000041510000}"/>
    <cellStyle name="40% - Accent6 4 2 4 5 2" xfId="43227" xr:uid="{86223D2C-E639-48A5-A10D-BFCDFC01DBD4}"/>
    <cellStyle name="40% - Accent6 4 2 4 6" xfId="27347" xr:uid="{375A0B94-0EE5-4B35-94EC-9FB25EAD1299}"/>
    <cellStyle name="40% - Accent6 4 2 4_Exh G" xfId="3375" xr:uid="{00000000-0005-0000-0000-000042510000}"/>
    <cellStyle name="40% - Accent6 4 2 5" xfId="4293" xr:uid="{00000000-0005-0000-0000-000043510000}"/>
    <cellStyle name="40% - Accent6 4 2 5 2" xfId="7885" xr:uid="{00000000-0005-0000-0000-000044510000}"/>
    <cellStyle name="40% - Accent6 4 2 5 2 2" xfId="15856" xr:uid="{00000000-0005-0000-0000-000045510000}"/>
    <cellStyle name="40% - Accent6 4 2 5 2 2 2" xfId="39698" xr:uid="{A3F57EB8-A6A0-467A-A614-726B3EECE392}"/>
    <cellStyle name="40% - Accent6 4 2 5 2 3" xfId="23802" xr:uid="{00000000-0005-0000-0000-000046510000}"/>
    <cellStyle name="40% - Accent6 4 2 5 2 3 2" xfId="47634" xr:uid="{5074350D-7D84-458D-B4B9-508651E0DB32}"/>
    <cellStyle name="40% - Accent6 4 2 5 2 4" xfId="31757" xr:uid="{F8E30698-58A1-4BBB-AE98-16AD0FC10EAD}"/>
    <cellStyle name="40% - Accent6 4 2 5 3" xfId="12318" xr:uid="{00000000-0005-0000-0000-000047510000}"/>
    <cellStyle name="40% - Accent6 4 2 5 3 2" xfId="36167" xr:uid="{B96999A8-E909-4187-AB46-71AC49CF7016}"/>
    <cellStyle name="40% - Accent6 4 2 5 4" xfId="20273" xr:uid="{00000000-0005-0000-0000-000048510000}"/>
    <cellStyle name="40% - Accent6 4 2 5 4 2" xfId="44105" xr:uid="{0B21973A-0421-402C-ACCB-A616EA2113FF}"/>
    <cellStyle name="40% - Accent6 4 2 5 5" xfId="28226" xr:uid="{3E3EA5B8-B91E-4EBD-ACBC-C6BC4B4E253E}"/>
    <cellStyle name="40% - Accent6 4 2 6" xfId="6113" xr:uid="{00000000-0005-0000-0000-000049510000}"/>
    <cellStyle name="40% - Accent6 4 2 6 2" xfId="14097" xr:uid="{00000000-0005-0000-0000-00004A510000}"/>
    <cellStyle name="40% - Accent6 4 2 6 2 2" xfId="37940" xr:uid="{EB7AF977-5D4F-42C1-84C3-8444AF1C7458}"/>
    <cellStyle name="40% - Accent6 4 2 6 3" xfId="22045" xr:uid="{00000000-0005-0000-0000-00004B510000}"/>
    <cellStyle name="40% - Accent6 4 2 6 3 2" xfId="45877" xr:uid="{39E2EDCC-1703-4F85-8759-4709807A201A}"/>
    <cellStyle name="40% - Accent6 4 2 6 4" xfId="29999" xr:uid="{1659D7DE-CC8F-4402-8D78-63293F0744A5}"/>
    <cellStyle name="40% - Accent6 4 2 7" xfId="9666" xr:uid="{00000000-0005-0000-0000-00004C510000}"/>
    <cellStyle name="40% - Accent6 4 2 7 2" xfId="17624" xr:uid="{00000000-0005-0000-0000-00004D510000}"/>
    <cellStyle name="40% - Accent6 4 2 7 2 2" xfId="41464" xr:uid="{8C5FAA2B-ED75-4068-B482-B79118FC1459}"/>
    <cellStyle name="40% - Accent6 4 2 7 3" xfId="25568" xr:uid="{00000000-0005-0000-0000-00004E510000}"/>
    <cellStyle name="40% - Accent6 4 2 7 3 2" xfId="49400" xr:uid="{1E0ABE2E-0C86-41FA-99C8-55EF6750AF41}"/>
    <cellStyle name="40% - Accent6 4 2 7 4" xfId="33523" xr:uid="{133A5CB9-770F-4F8F-A4DD-6976CDC26EA4}"/>
    <cellStyle name="40% - Accent6 4 2 8" xfId="10562" xr:uid="{00000000-0005-0000-0000-00004F510000}"/>
    <cellStyle name="40% - Accent6 4 2 8 2" xfId="34411" xr:uid="{B6DFF1C6-8507-43A6-9281-E5113C794C28}"/>
    <cellStyle name="40% - Accent6 4 2 9" xfId="18517" xr:uid="{00000000-0005-0000-0000-000050510000}"/>
    <cellStyle name="40% - Accent6 4 2 9 2" xfId="42349" xr:uid="{B28EBB3A-F0AB-4B02-82B8-166EEFE9DB62}"/>
    <cellStyle name="40% - Accent6 4 2_Exh G" xfId="3370" xr:uid="{00000000-0005-0000-0000-000051510000}"/>
    <cellStyle name="40% - Accent6 4 3" xfId="616" xr:uid="{00000000-0005-0000-0000-000052510000}"/>
    <cellStyle name="40% - Accent6 4 3 2" xfId="1644" xr:uid="{00000000-0005-0000-0000-000053510000}"/>
    <cellStyle name="40% - Accent6 4 3 2 2" xfId="5174" xr:uid="{00000000-0005-0000-0000-000054510000}"/>
    <cellStyle name="40% - Accent6 4 3 2 2 2" xfId="8765" xr:uid="{00000000-0005-0000-0000-000055510000}"/>
    <cellStyle name="40% - Accent6 4 3 2 2 2 2" xfId="16736" xr:uid="{00000000-0005-0000-0000-000056510000}"/>
    <cellStyle name="40% - Accent6 4 3 2 2 2 2 2" xfId="40578" xr:uid="{2C2842CA-DB78-436F-A28A-CDFC8C76C52F}"/>
    <cellStyle name="40% - Accent6 4 3 2 2 2 3" xfId="24682" xr:uid="{00000000-0005-0000-0000-000057510000}"/>
    <cellStyle name="40% - Accent6 4 3 2 2 2 3 2" xfId="48514" xr:uid="{D556AB9D-0BAD-4E24-8300-153265407179}"/>
    <cellStyle name="40% - Accent6 4 3 2 2 2 4" xfId="32637" xr:uid="{EEA4AAE2-D7F8-4E80-921D-14B4714D399F}"/>
    <cellStyle name="40% - Accent6 4 3 2 2 3" xfId="13198" xr:uid="{00000000-0005-0000-0000-000058510000}"/>
    <cellStyle name="40% - Accent6 4 3 2 2 3 2" xfId="37047" xr:uid="{8A13B110-5740-44ED-8D58-16B06BA7BE9A}"/>
    <cellStyle name="40% - Accent6 4 3 2 2 4" xfId="21153" xr:uid="{00000000-0005-0000-0000-000059510000}"/>
    <cellStyle name="40% - Accent6 4 3 2 2 4 2" xfId="44985" xr:uid="{24AFE7E2-6229-46C2-93E6-AFE28912697D}"/>
    <cellStyle name="40% - Accent6 4 3 2 2 5" xfId="29106" xr:uid="{AB021C4E-768C-44D7-A0FC-293A7A77C30E}"/>
    <cellStyle name="40% - Accent6 4 3 2 3" xfId="7006" xr:uid="{00000000-0005-0000-0000-00005A510000}"/>
    <cellStyle name="40% - Accent6 4 3 2 3 2" xfId="14978" xr:uid="{00000000-0005-0000-0000-00005B510000}"/>
    <cellStyle name="40% - Accent6 4 3 2 3 2 2" xfId="38820" xr:uid="{6B227A1C-3D0F-4608-9633-EFE58A62B524}"/>
    <cellStyle name="40% - Accent6 4 3 2 3 3" xfId="22925" xr:uid="{00000000-0005-0000-0000-00005C510000}"/>
    <cellStyle name="40% - Accent6 4 3 2 3 3 2" xfId="46757" xr:uid="{5E4C1597-74F9-4773-9D91-DBBF83DA4320}"/>
    <cellStyle name="40% - Accent6 4 3 2 3 4" xfId="30879" xr:uid="{F1FAD473-724E-45DC-A94C-768C697D4A13}"/>
    <cellStyle name="40% - Accent6 4 3 2 4" xfId="11442" xr:uid="{00000000-0005-0000-0000-00005D510000}"/>
    <cellStyle name="40% - Accent6 4 3 2 4 2" xfId="35291" xr:uid="{8BF64AA1-2956-42BA-964D-913F309917AE}"/>
    <cellStyle name="40% - Accent6 4 3 2 5" xfId="19397" xr:uid="{00000000-0005-0000-0000-00005E510000}"/>
    <cellStyle name="40% - Accent6 4 3 2 5 2" xfId="43229" xr:uid="{7091D34F-4265-42A3-AB62-AACD95467A34}"/>
    <cellStyle name="40% - Accent6 4 3 2 6" xfId="27349" xr:uid="{226AAC2A-D63E-431F-8DCC-1F131D3F79E2}"/>
    <cellStyle name="40% - Accent6 4 3 2_Exh G" xfId="3377" xr:uid="{00000000-0005-0000-0000-00005F510000}"/>
    <cellStyle name="40% - Accent6 4 3 3" xfId="4295" xr:uid="{00000000-0005-0000-0000-000060510000}"/>
    <cellStyle name="40% - Accent6 4 3 3 2" xfId="7887" xr:uid="{00000000-0005-0000-0000-000061510000}"/>
    <cellStyle name="40% - Accent6 4 3 3 2 2" xfId="15858" xr:uid="{00000000-0005-0000-0000-000062510000}"/>
    <cellStyle name="40% - Accent6 4 3 3 2 2 2" xfId="39700" xr:uid="{751F0896-A620-45CC-BADC-A7748A8DFE7C}"/>
    <cellStyle name="40% - Accent6 4 3 3 2 3" xfId="23804" xr:uid="{00000000-0005-0000-0000-000063510000}"/>
    <cellStyle name="40% - Accent6 4 3 3 2 3 2" xfId="47636" xr:uid="{4166F0C6-3FFF-49B1-A950-D166D6CC09E6}"/>
    <cellStyle name="40% - Accent6 4 3 3 2 4" xfId="31759" xr:uid="{4C3A7090-A04B-4F8A-B0BB-18A19C4AEAB0}"/>
    <cellStyle name="40% - Accent6 4 3 3 3" xfId="12320" xr:uid="{00000000-0005-0000-0000-000064510000}"/>
    <cellStyle name="40% - Accent6 4 3 3 3 2" xfId="36169" xr:uid="{90970A1A-F41F-4686-97DE-DD635E68B9B1}"/>
    <cellStyle name="40% - Accent6 4 3 3 4" xfId="20275" xr:uid="{00000000-0005-0000-0000-000065510000}"/>
    <cellStyle name="40% - Accent6 4 3 3 4 2" xfId="44107" xr:uid="{140245DA-0D21-4404-992F-EA769505479B}"/>
    <cellStyle name="40% - Accent6 4 3 3 5" xfId="28228" xr:uid="{9B5CFE0B-070B-48E5-82F7-ECE221B7BF89}"/>
    <cellStyle name="40% - Accent6 4 3 4" xfId="6115" xr:uid="{00000000-0005-0000-0000-000066510000}"/>
    <cellStyle name="40% - Accent6 4 3 4 2" xfId="14099" xr:uid="{00000000-0005-0000-0000-000067510000}"/>
    <cellStyle name="40% - Accent6 4 3 4 2 2" xfId="37942" xr:uid="{7BD3EA6C-9DE0-4D86-B0E7-0FC490D927BB}"/>
    <cellStyle name="40% - Accent6 4 3 4 3" xfId="22047" xr:uid="{00000000-0005-0000-0000-000068510000}"/>
    <cellStyle name="40% - Accent6 4 3 4 3 2" xfId="45879" xr:uid="{78EA692A-05E0-4C1A-8D31-76046BE4705B}"/>
    <cellStyle name="40% - Accent6 4 3 4 4" xfId="30001" xr:uid="{613300C9-FFE7-439D-AE91-F8D270667233}"/>
    <cellStyle name="40% - Accent6 4 3 5" xfId="9668" xr:uid="{00000000-0005-0000-0000-000069510000}"/>
    <cellStyle name="40% - Accent6 4 3 5 2" xfId="17626" xr:uid="{00000000-0005-0000-0000-00006A510000}"/>
    <cellStyle name="40% - Accent6 4 3 5 2 2" xfId="41466" xr:uid="{177A6548-1F9F-40DB-A0AC-9F9EC1E31714}"/>
    <cellStyle name="40% - Accent6 4 3 5 3" xfId="25570" xr:uid="{00000000-0005-0000-0000-00006B510000}"/>
    <cellStyle name="40% - Accent6 4 3 5 3 2" xfId="49402" xr:uid="{73331CFC-DA5C-4895-8206-1719D2B610CF}"/>
    <cellStyle name="40% - Accent6 4 3 5 4" xfId="33525" xr:uid="{0BD9CFC8-C54E-4409-8E9F-236140B781CD}"/>
    <cellStyle name="40% - Accent6 4 3 6" xfId="10564" xr:uid="{00000000-0005-0000-0000-00006C510000}"/>
    <cellStyle name="40% - Accent6 4 3 6 2" xfId="34413" xr:uid="{EA32FA7D-420F-44F8-8742-81D12FDE7D54}"/>
    <cellStyle name="40% - Accent6 4 3 7" xfId="18519" xr:uid="{00000000-0005-0000-0000-00006D510000}"/>
    <cellStyle name="40% - Accent6 4 3 7 2" xfId="42351" xr:uid="{A8336C2D-2DEA-4A10-8C14-C523D2FAB0EF}"/>
    <cellStyle name="40% - Accent6 4 3 8" xfId="26471" xr:uid="{6F358A0F-80D9-48F8-A88B-B3CD91D13623}"/>
    <cellStyle name="40% - Accent6 4 3_Exh G" xfId="3376" xr:uid="{00000000-0005-0000-0000-00006E510000}"/>
    <cellStyle name="40% - Accent6 4 4" xfId="999" xr:uid="{00000000-0005-0000-0000-00006F510000}"/>
    <cellStyle name="40% - Accent6 4 4 2" xfId="1913" xr:uid="{00000000-0005-0000-0000-000070510000}"/>
    <cellStyle name="40% - Accent6 4 4 2 2" xfId="5431" xr:uid="{00000000-0005-0000-0000-000071510000}"/>
    <cellStyle name="40% - Accent6 4 4 2 2 2" xfId="9022" xr:uid="{00000000-0005-0000-0000-000072510000}"/>
    <cellStyle name="40% - Accent6 4 4 2 2 2 2" xfId="16993" xr:uid="{00000000-0005-0000-0000-000073510000}"/>
    <cellStyle name="40% - Accent6 4 4 2 2 2 2 2" xfId="40835" xr:uid="{8C52A7C4-8D4E-4C31-BF18-8AB71EC58590}"/>
    <cellStyle name="40% - Accent6 4 4 2 2 2 3" xfId="24939" xr:uid="{00000000-0005-0000-0000-000074510000}"/>
    <cellStyle name="40% - Accent6 4 4 2 2 2 3 2" xfId="48771" xr:uid="{FA886DBE-D3A8-4647-AF00-3266B8849AB4}"/>
    <cellStyle name="40% - Accent6 4 4 2 2 2 4" xfId="32894" xr:uid="{5F52844E-DA99-4352-B34E-283CAD09C5E0}"/>
    <cellStyle name="40% - Accent6 4 4 2 2 3" xfId="13455" xr:uid="{00000000-0005-0000-0000-000075510000}"/>
    <cellStyle name="40% - Accent6 4 4 2 2 3 2" xfId="37304" xr:uid="{BE4B989F-B40C-47ED-85B3-402155C74128}"/>
    <cellStyle name="40% - Accent6 4 4 2 2 4" xfId="21410" xr:uid="{00000000-0005-0000-0000-000076510000}"/>
    <cellStyle name="40% - Accent6 4 4 2 2 4 2" xfId="45242" xr:uid="{E1AB5766-5B25-4FE0-A622-9200F706F489}"/>
    <cellStyle name="40% - Accent6 4 4 2 2 5" xfId="29363" xr:uid="{DE678693-1B57-4339-845B-6ACB05CAB2D8}"/>
    <cellStyle name="40% - Accent6 4 4 2 3" xfId="7263" xr:uid="{00000000-0005-0000-0000-000077510000}"/>
    <cellStyle name="40% - Accent6 4 4 2 3 2" xfId="15235" xr:uid="{00000000-0005-0000-0000-000078510000}"/>
    <cellStyle name="40% - Accent6 4 4 2 3 2 2" xfId="39077" xr:uid="{F6023DC4-9CB2-4060-94E7-5CB5662EC88A}"/>
    <cellStyle name="40% - Accent6 4 4 2 3 3" xfId="23182" xr:uid="{00000000-0005-0000-0000-000079510000}"/>
    <cellStyle name="40% - Accent6 4 4 2 3 3 2" xfId="47014" xr:uid="{8A0F4DB4-49D0-482A-BA6C-5D41C64347A8}"/>
    <cellStyle name="40% - Accent6 4 4 2 3 4" xfId="31136" xr:uid="{AA668814-5B65-44B3-B00B-27B6DD616B03}"/>
    <cellStyle name="40% - Accent6 4 4 2 4" xfId="11699" xr:uid="{00000000-0005-0000-0000-00007A510000}"/>
    <cellStyle name="40% - Accent6 4 4 2 4 2" xfId="35548" xr:uid="{8D9D2AA7-FC09-42A4-8C4B-A25E21C6AAEC}"/>
    <cellStyle name="40% - Accent6 4 4 2 5" xfId="19654" xr:uid="{00000000-0005-0000-0000-00007B510000}"/>
    <cellStyle name="40% - Accent6 4 4 2 5 2" xfId="43486" xr:uid="{82239EC3-C2E1-478B-835D-579E69154C3A}"/>
    <cellStyle name="40% - Accent6 4 4 2 6" xfId="27606" xr:uid="{401863DC-95EC-44D1-B506-4DC1BDEB0094}"/>
    <cellStyle name="40% - Accent6 4 4 2_Exh G" xfId="3379" xr:uid="{00000000-0005-0000-0000-00007C510000}"/>
    <cellStyle name="40% - Accent6 4 4 3" xfId="4552" xr:uid="{00000000-0005-0000-0000-00007D510000}"/>
    <cellStyle name="40% - Accent6 4 4 3 2" xfId="8144" xr:uid="{00000000-0005-0000-0000-00007E510000}"/>
    <cellStyle name="40% - Accent6 4 4 3 2 2" xfId="16115" xr:uid="{00000000-0005-0000-0000-00007F510000}"/>
    <cellStyle name="40% - Accent6 4 4 3 2 2 2" xfId="39957" xr:uid="{1C059893-CCC8-4E58-9B1A-6DE14F86A6D5}"/>
    <cellStyle name="40% - Accent6 4 4 3 2 3" xfId="24061" xr:uid="{00000000-0005-0000-0000-000080510000}"/>
    <cellStyle name="40% - Accent6 4 4 3 2 3 2" xfId="47893" xr:uid="{BF51CFCD-ACCD-40A0-BAE0-C8C4713DA835}"/>
    <cellStyle name="40% - Accent6 4 4 3 2 4" xfId="32016" xr:uid="{35C187DE-0C59-4551-B360-E8C7095544D9}"/>
    <cellStyle name="40% - Accent6 4 4 3 3" xfId="12577" xr:uid="{00000000-0005-0000-0000-000081510000}"/>
    <cellStyle name="40% - Accent6 4 4 3 3 2" xfId="36426" xr:uid="{769B5352-B0B2-4E7F-9C5A-C07257D20CE8}"/>
    <cellStyle name="40% - Accent6 4 4 3 4" xfId="20532" xr:uid="{00000000-0005-0000-0000-000082510000}"/>
    <cellStyle name="40% - Accent6 4 4 3 4 2" xfId="44364" xr:uid="{21761440-07F1-4D4C-B98E-47F779BE1C44}"/>
    <cellStyle name="40% - Accent6 4 4 3 5" xfId="28485" xr:uid="{B21B985B-0D55-46B5-AA44-50848BD37218}"/>
    <cellStyle name="40% - Accent6 4 4 4" xfId="6382" xr:uid="{00000000-0005-0000-0000-000083510000}"/>
    <cellStyle name="40% - Accent6 4 4 4 2" xfId="14357" xr:uid="{00000000-0005-0000-0000-000084510000}"/>
    <cellStyle name="40% - Accent6 4 4 4 2 2" xfId="38199" xr:uid="{484387E5-B95A-4E82-828B-91D3586FC199}"/>
    <cellStyle name="40% - Accent6 4 4 4 3" xfId="22304" xr:uid="{00000000-0005-0000-0000-000085510000}"/>
    <cellStyle name="40% - Accent6 4 4 4 3 2" xfId="46136" xr:uid="{B54EBDED-EF5D-43C6-939A-050A0913EF04}"/>
    <cellStyle name="40% - Accent6 4 4 4 4" xfId="30258" xr:uid="{A0D9CEDE-E1DA-44F1-9FE0-7D3BB8D24BD6}"/>
    <cellStyle name="40% - Accent6 4 4 5" xfId="9925" xr:uid="{00000000-0005-0000-0000-000086510000}"/>
    <cellStyle name="40% - Accent6 4 4 5 2" xfId="17883" xr:uid="{00000000-0005-0000-0000-000087510000}"/>
    <cellStyle name="40% - Accent6 4 4 5 2 2" xfId="41723" xr:uid="{69885435-F8EA-4BF0-BCC9-DD8E680C75B9}"/>
    <cellStyle name="40% - Accent6 4 4 5 3" xfId="25827" xr:uid="{00000000-0005-0000-0000-000088510000}"/>
    <cellStyle name="40% - Accent6 4 4 5 3 2" xfId="49659" xr:uid="{05C88E38-F96F-4AFB-A3AA-CE11DC0DFF7A}"/>
    <cellStyle name="40% - Accent6 4 4 5 4" xfId="33782" xr:uid="{3DC0955C-D2AF-4DFA-AD1C-AE7C9C98459A}"/>
    <cellStyle name="40% - Accent6 4 4 6" xfId="10821" xr:uid="{00000000-0005-0000-0000-000089510000}"/>
    <cellStyle name="40% - Accent6 4 4 6 2" xfId="34670" xr:uid="{A29D26D2-9D74-4694-8D66-5EFDD384DF88}"/>
    <cellStyle name="40% - Accent6 4 4 7" xfId="18776" xr:uid="{00000000-0005-0000-0000-00008A510000}"/>
    <cellStyle name="40% - Accent6 4 4 7 2" xfId="42608" xr:uid="{CB3BBB67-6C93-4662-9D79-EB47EC965CE5}"/>
    <cellStyle name="40% - Accent6 4 4 8" xfId="26728" xr:uid="{0860BD92-2023-47EC-BD91-20406C0AE3B9}"/>
    <cellStyle name="40% - Accent6 4 4_Exh G" xfId="3378" xr:uid="{00000000-0005-0000-0000-00008B510000}"/>
    <cellStyle name="40% - Accent6 4 5" xfId="1641" xr:uid="{00000000-0005-0000-0000-00008C510000}"/>
    <cellStyle name="40% - Accent6 4 5 2" xfId="5171" xr:uid="{00000000-0005-0000-0000-00008D510000}"/>
    <cellStyle name="40% - Accent6 4 5 2 2" xfId="8762" xr:uid="{00000000-0005-0000-0000-00008E510000}"/>
    <cellStyle name="40% - Accent6 4 5 2 2 2" xfId="16733" xr:uid="{00000000-0005-0000-0000-00008F510000}"/>
    <cellStyle name="40% - Accent6 4 5 2 2 2 2" xfId="40575" xr:uid="{812A0F73-38BB-4EC4-AE96-D6F325743AC8}"/>
    <cellStyle name="40% - Accent6 4 5 2 2 3" xfId="24679" xr:uid="{00000000-0005-0000-0000-000090510000}"/>
    <cellStyle name="40% - Accent6 4 5 2 2 3 2" xfId="48511" xr:uid="{3A87966C-3D3A-4A54-9558-02B2329985AC}"/>
    <cellStyle name="40% - Accent6 4 5 2 2 4" xfId="32634" xr:uid="{9088373D-2E84-4641-9447-B5434B930576}"/>
    <cellStyle name="40% - Accent6 4 5 2 3" xfId="13195" xr:uid="{00000000-0005-0000-0000-000091510000}"/>
    <cellStyle name="40% - Accent6 4 5 2 3 2" xfId="37044" xr:uid="{FDF7316E-3160-4713-BAB3-83011891662D}"/>
    <cellStyle name="40% - Accent6 4 5 2 4" xfId="21150" xr:uid="{00000000-0005-0000-0000-000092510000}"/>
    <cellStyle name="40% - Accent6 4 5 2 4 2" xfId="44982" xr:uid="{60171DCA-2475-4F25-9A4F-3671770AD5B5}"/>
    <cellStyle name="40% - Accent6 4 5 2 5" xfId="29103" xr:uid="{8D8D56A1-0450-4DFB-BF25-06B1EAD6F34A}"/>
    <cellStyle name="40% - Accent6 4 5 3" xfId="7003" xr:uid="{00000000-0005-0000-0000-000093510000}"/>
    <cellStyle name="40% - Accent6 4 5 3 2" xfId="14975" xr:uid="{00000000-0005-0000-0000-000094510000}"/>
    <cellStyle name="40% - Accent6 4 5 3 2 2" xfId="38817" xr:uid="{D67B139D-BDC4-4B2B-9730-7238B6DEC2A6}"/>
    <cellStyle name="40% - Accent6 4 5 3 3" xfId="22922" xr:uid="{00000000-0005-0000-0000-000095510000}"/>
    <cellStyle name="40% - Accent6 4 5 3 3 2" xfId="46754" xr:uid="{E42B14B6-4F6F-4217-9839-8D1229768FA8}"/>
    <cellStyle name="40% - Accent6 4 5 3 4" xfId="30876" xr:uid="{ACFBED31-B8A9-426E-91F9-D12A67A33587}"/>
    <cellStyle name="40% - Accent6 4 5 4" xfId="11439" xr:uid="{00000000-0005-0000-0000-000096510000}"/>
    <cellStyle name="40% - Accent6 4 5 4 2" xfId="35288" xr:uid="{21488BEC-041A-4AA6-8588-9629E90C7CBC}"/>
    <cellStyle name="40% - Accent6 4 5 5" xfId="19394" xr:uid="{00000000-0005-0000-0000-000097510000}"/>
    <cellStyle name="40% - Accent6 4 5 5 2" xfId="43226" xr:uid="{8E6EA14F-1927-4591-B08D-49017EB2E34F}"/>
    <cellStyle name="40% - Accent6 4 5 6" xfId="27346" xr:uid="{4CFF39EC-BCEE-4034-B261-B1A5FBC4E5A0}"/>
    <cellStyle name="40% - Accent6 4 5_Exh G" xfId="3380" xr:uid="{00000000-0005-0000-0000-000098510000}"/>
    <cellStyle name="40% - Accent6 4 6" xfId="4292" xr:uid="{00000000-0005-0000-0000-000099510000}"/>
    <cellStyle name="40% - Accent6 4 6 2" xfId="7884" xr:uid="{00000000-0005-0000-0000-00009A510000}"/>
    <cellStyle name="40% - Accent6 4 6 2 2" xfId="15855" xr:uid="{00000000-0005-0000-0000-00009B510000}"/>
    <cellStyle name="40% - Accent6 4 6 2 2 2" xfId="39697" xr:uid="{F5FF0AB5-01BB-48D9-B81C-59147F2A5DC0}"/>
    <cellStyle name="40% - Accent6 4 6 2 3" xfId="23801" xr:uid="{00000000-0005-0000-0000-00009C510000}"/>
    <cellStyle name="40% - Accent6 4 6 2 3 2" xfId="47633" xr:uid="{148D30EC-ED5B-4D17-8891-498A08547CF2}"/>
    <cellStyle name="40% - Accent6 4 6 2 4" xfId="31756" xr:uid="{EC5EAFF1-C2CF-445A-A9E0-660955A6A00F}"/>
    <cellStyle name="40% - Accent6 4 6 3" xfId="12317" xr:uid="{00000000-0005-0000-0000-00009D510000}"/>
    <cellStyle name="40% - Accent6 4 6 3 2" xfId="36166" xr:uid="{67ED891F-09E1-4D7E-9ECC-6DB92B8EB97E}"/>
    <cellStyle name="40% - Accent6 4 6 4" xfId="20272" xr:uid="{00000000-0005-0000-0000-00009E510000}"/>
    <cellStyle name="40% - Accent6 4 6 4 2" xfId="44104" xr:uid="{8A8BFC45-2702-45E8-983F-3F799A11BD7C}"/>
    <cellStyle name="40% - Accent6 4 6 5" xfId="28225" xr:uid="{08A76233-F66C-4288-BD5C-D7206B3BB6EE}"/>
    <cellStyle name="40% - Accent6 4 7" xfId="6112" xr:uid="{00000000-0005-0000-0000-00009F510000}"/>
    <cellStyle name="40% - Accent6 4 7 2" xfId="14096" xr:uid="{00000000-0005-0000-0000-0000A0510000}"/>
    <cellStyle name="40% - Accent6 4 7 2 2" xfId="37939" xr:uid="{8A203E6D-1FD1-4964-A9AE-05F3BD70E44A}"/>
    <cellStyle name="40% - Accent6 4 7 3" xfId="22044" xr:uid="{00000000-0005-0000-0000-0000A1510000}"/>
    <cellStyle name="40% - Accent6 4 7 3 2" xfId="45876" xr:uid="{3FDD310A-7CC3-4996-B03F-51D93BA1CE32}"/>
    <cellStyle name="40% - Accent6 4 7 4" xfId="29998" xr:uid="{AC07AAF5-D272-44F1-B7C5-5D9E47EFA148}"/>
    <cellStyle name="40% - Accent6 4 8" xfId="9665" xr:uid="{00000000-0005-0000-0000-0000A2510000}"/>
    <cellStyle name="40% - Accent6 4 8 2" xfId="17623" xr:uid="{00000000-0005-0000-0000-0000A3510000}"/>
    <cellStyle name="40% - Accent6 4 8 2 2" xfId="41463" xr:uid="{6762E14E-8533-49AA-BE1B-3021FF17D19A}"/>
    <cellStyle name="40% - Accent6 4 8 3" xfId="25567" xr:uid="{00000000-0005-0000-0000-0000A4510000}"/>
    <cellStyle name="40% - Accent6 4 8 3 2" xfId="49399" xr:uid="{98CB8B15-7501-41FD-A188-6B68CD321CE2}"/>
    <cellStyle name="40% - Accent6 4 8 4" xfId="33522" xr:uid="{8C971A4C-E60B-4E55-9310-DE879948320C}"/>
    <cellStyle name="40% - Accent6 4 9" xfId="10561" xr:uid="{00000000-0005-0000-0000-0000A5510000}"/>
    <cellStyle name="40% - Accent6 4 9 2" xfId="34410" xr:uid="{A2EDB1AD-EDFF-4EA2-9988-AD330A1095FD}"/>
    <cellStyle name="40% - Accent6 4_Exh G" xfId="3369" xr:uid="{00000000-0005-0000-0000-0000A6510000}"/>
    <cellStyle name="40% - Accent6 5" xfId="617" xr:uid="{00000000-0005-0000-0000-0000A7510000}"/>
    <cellStyle name="40% - Accent6 5 10" xfId="18520" xr:uid="{00000000-0005-0000-0000-0000A8510000}"/>
    <cellStyle name="40% - Accent6 5 10 2" xfId="42352" xr:uid="{F79F55D0-98DB-4457-B5B4-7C9296AEBF71}"/>
    <cellStyle name="40% - Accent6 5 11" xfId="26472" xr:uid="{1016D9C5-AF62-466F-8BD5-EF8D60F20105}"/>
    <cellStyle name="40% - Accent6 5 2" xfId="618" xr:uid="{00000000-0005-0000-0000-0000A9510000}"/>
    <cellStyle name="40% - Accent6 5 2 2" xfId="619" xr:uid="{00000000-0005-0000-0000-0000AA510000}"/>
    <cellStyle name="40% - Accent6 5 2 2 2" xfId="1647" xr:uid="{00000000-0005-0000-0000-0000AB510000}"/>
    <cellStyle name="40% - Accent6 5 2 2 2 2" xfId="5177" xr:uid="{00000000-0005-0000-0000-0000AC510000}"/>
    <cellStyle name="40% - Accent6 5 2 2 2 2 2" xfId="8768" xr:uid="{00000000-0005-0000-0000-0000AD510000}"/>
    <cellStyle name="40% - Accent6 5 2 2 2 2 2 2" xfId="16739" xr:uid="{00000000-0005-0000-0000-0000AE510000}"/>
    <cellStyle name="40% - Accent6 5 2 2 2 2 2 2 2" xfId="40581" xr:uid="{65EBA95E-2C20-4EDC-B029-AC1F6F9373F4}"/>
    <cellStyle name="40% - Accent6 5 2 2 2 2 2 3" xfId="24685" xr:uid="{00000000-0005-0000-0000-0000AF510000}"/>
    <cellStyle name="40% - Accent6 5 2 2 2 2 2 3 2" xfId="48517" xr:uid="{7DA43E45-724F-431B-8D00-240A48C2B680}"/>
    <cellStyle name="40% - Accent6 5 2 2 2 2 2 4" xfId="32640" xr:uid="{D0C6EF1B-FB31-45DF-B3AE-211F271772C5}"/>
    <cellStyle name="40% - Accent6 5 2 2 2 2 3" xfId="13201" xr:uid="{00000000-0005-0000-0000-0000B0510000}"/>
    <cellStyle name="40% - Accent6 5 2 2 2 2 3 2" xfId="37050" xr:uid="{42679A0C-9B24-484C-B1F2-D25EDED51130}"/>
    <cellStyle name="40% - Accent6 5 2 2 2 2 4" xfId="21156" xr:uid="{00000000-0005-0000-0000-0000B1510000}"/>
    <cellStyle name="40% - Accent6 5 2 2 2 2 4 2" xfId="44988" xr:uid="{BDA0D92B-E619-457A-96BA-5981477A8F35}"/>
    <cellStyle name="40% - Accent6 5 2 2 2 2 5" xfId="29109" xr:uid="{F4C404BA-E089-4D74-A44A-B6574B12DB26}"/>
    <cellStyle name="40% - Accent6 5 2 2 2 3" xfId="7009" xr:uid="{00000000-0005-0000-0000-0000B2510000}"/>
    <cellStyle name="40% - Accent6 5 2 2 2 3 2" xfId="14981" xr:uid="{00000000-0005-0000-0000-0000B3510000}"/>
    <cellStyle name="40% - Accent6 5 2 2 2 3 2 2" xfId="38823" xr:uid="{04800E31-78B4-439D-A3D9-482308E72414}"/>
    <cellStyle name="40% - Accent6 5 2 2 2 3 3" xfId="22928" xr:uid="{00000000-0005-0000-0000-0000B4510000}"/>
    <cellStyle name="40% - Accent6 5 2 2 2 3 3 2" xfId="46760" xr:uid="{E18F9149-892E-4B77-8933-C8F7A0E284A1}"/>
    <cellStyle name="40% - Accent6 5 2 2 2 3 4" xfId="30882" xr:uid="{7E52851D-8831-4BE8-9550-C7FE8DB63CDA}"/>
    <cellStyle name="40% - Accent6 5 2 2 2 4" xfId="11445" xr:uid="{00000000-0005-0000-0000-0000B5510000}"/>
    <cellStyle name="40% - Accent6 5 2 2 2 4 2" xfId="35294" xr:uid="{4B9E1D13-942D-486E-948A-9FA968279DE6}"/>
    <cellStyle name="40% - Accent6 5 2 2 2 5" xfId="19400" xr:uid="{00000000-0005-0000-0000-0000B6510000}"/>
    <cellStyle name="40% - Accent6 5 2 2 2 5 2" xfId="43232" xr:uid="{79E19183-EA32-417B-8778-CA02A1E8D21C}"/>
    <cellStyle name="40% - Accent6 5 2 2 2 6" xfId="27352" xr:uid="{9A7D67E8-AC21-4378-B6CE-95618CD07EC1}"/>
    <cellStyle name="40% - Accent6 5 2 2 2_Exh G" xfId="3384" xr:uid="{00000000-0005-0000-0000-0000B7510000}"/>
    <cellStyle name="40% - Accent6 5 2 2 3" xfId="4298" xr:uid="{00000000-0005-0000-0000-0000B8510000}"/>
    <cellStyle name="40% - Accent6 5 2 2 3 2" xfId="7890" xr:uid="{00000000-0005-0000-0000-0000B9510000}"/>
    <cellStyle name="40% - Accent6 5 2 2 3 2 2" xfId="15861" xr:uid="{00000000-0005-0000-0000-0000BA510000}"/>
    <cellStyle name="40% - Accent6 5 2 2 3 2 2 2" xfId="39703" xr:uid="{07C386D6-51A9-481F-98E6-BC0B0C3FD924}"/>
    <cellStyle name="40% - Accent6 5 2 2 3 2 3" xfId="23807" xr:uid="{00000000-0005-0000-0000-0000BB510000}"/>
    <cellStyle name="40% - Accent6 5 2 2 3 2 3 2" xfId="47639" xr:uid="{5E454745-628F-43D0-BC3D-5724D4DD3ED4}"/>
    <cellStyle name="40% - Accent6 5 2 2 3 2 4" xfId="31762" xr:uid="{A1DB4942-DA34-4A44-BFB9-E972598CF576}"/>
    <cellStyle name="40% - Accent6 5 2 2 3 3" xfId="12323" xr:uid="{00000000-0005-0000-0000-0000BC510000}"/>
    <cellStyle name="40% - Accent6 5 2 2 3 3 2" xfId="36172" xr:uid="{7714105F-93A5-46D6-B1F7-6702F389E06D}"/>
    <cellStyle name="40% - Accent6 5 2 2 3 4" xfId="20278" xr:uid="{00000000-0005-0000-0000-0000BD510000}"/>
    <cellStyle name="40% - Accent6 5 2 2 3 4 2" xfId="44110" xr:uid="{7F398CBB-E660-464D-858F-CC8658C17E6C}"/>
    <cellStyle name="40% - Accent6 5 2 2 3 5" xfId="28231" xr:uid="{35E100E6-EF52-40F7-92EB-AC7BEADA574B}"/>
    <cellStyle name="40% - Accent6 5 2 2 4" xfId="6118" xr:uid="{00000000-0005-0000-0000-0000BE510000}"/>
    <cellStyle name="40% - Accent6 5 2 2 4 2" xfId="14102" xr:uid="{00000000-0005-0000-0000-0000BF510000}"/>
    <cellStyle name="40% - Accent6 5 2 2 4 2 2" xfId="37945" xr:uid="{7B27D2E7-883D-44DE-A5FB-E470FF88423F}"/>
    <cellStyle name="40% - Accent6 5 2 2 4 3" xfId="22050" xr:uid="{00000000-0005-0000-0000-0000C0510000}"/>
    <cellStyle name="40% - Accent6 5 2 2 4 3 2" xfId="45882" xr:uid="{D769D8ED-F910-45ED-BD46-6F11DF92D8BD}"/>
    <cellStyle name="40% - Accent6 5 2 2 4 4" xfId="30004" xr:uid="{4E09B309-761B-42D8-9D1B-55F282AF1569}"/>
    <cellStyle name="40% - Accent6 5 2 2 5" xfId="9671" xr:uid="{00000000-0005-0000-0000-0000C1510000}"/>
    <cellStyle name="40% - Accent6 5 2 2 5 2" xfId="17629" xr:uid="{00000000-0005-0000-0000-0000C2510000}"/>
    <cellStyle name="40% - Accent6 5 2 2 5 2 2" xfId="41469" xr:uid="{BB4A77A4-CB74-49C5-8559-11AACE15A921}"/>
    <cellStyle name="40% - Accent6 5 2 2 5 3" xfId="25573" xr:uid="{00000000-0005-0000-0000-0000C3510000}"/>
    <cellStyle name="40% - Accent6 5 2 2 5 3 2" xfId="49405" xr:uid="{74623320-E138-4008-ACF5-1A07CA58027B}"/>
    <cellStyle name="40% - Accent6 5 2 2 5 4" xfId="33528" xr:uid="{D640E451-C04F-434B-BC63-2B6A0FF44134}"/>
    <cellStyle name="40% - Accent6 5 2 2 6" xfId="10567" xr:uid="{00000000-0005-0000-0000-0000C4510000}"/>
    <cellStyle name="40% - Accent6 5 2 2 6 2" xfId="34416" xr:uid="{96281171-A8C3-4503-AF74-8CA3316F5DFF}"/>
    <cellStyle name="40% - Accent6 5 2 2 7" xfId="18522" xr:uid="{00000000-0005-0000-0000-0000C5510000}"/>
    <cellStyle name="40% - Accent6 5 2 2 7 2" xfId="42354" xr:uid="{CD458316-BB2E-4AEB-B64A-ACFB2CCA4C99}"/>
    <cellStyle name="40% - Accent6 5 2 2 8" xfId="26474" xr:uid="{667AFC6A-9173-46A0-8286-7D39DF772BF6}"/>
    <cellStyle name="40% - Accent6 5 2 2_Exh G" xfId="3383" xr:uid="{00000000-0005-0000-0000-0000C6510000}"/>
    <cellStyle name="40% - Accent6 5 2 3" xfId="1646" xr:uid="{00000000-0005-0000-0000-0000C7510000}"/>
    <cellStyle name="40% - Accent6 5 2 3 2" xfId="5176" xr:uid="{00000000-0005-0000-0000-0000C8510000}"/>
    <cellStyle name="40% - Accent6 5 2 3 2 2" xfId="8767" xr:uid="{00000000-0005-0000-0000-0000C9510000}"/>
    <cellStyle name="40% - Accent6 5 2 3 2 2 2" xfId="16738" xr:uid="{00000000-0005-0000-0000-0000CA510000}"/>
    <cellStyle name="40% - Accent6 5 2 3 2 2 2 2" xfId="40580" xr:uid="{AF951FC8-48F2-4A36-B7EE-489A0EA602A1}"/>
    <cellStyle name="40% - Accent6 5 2 3 2 2 3" xfId="24684" xr:uid="{00000000-0005-0000-0000-0000CB510000}"/>
    <cellStyle name="40% - Accent6 5 2 3 2 2 3 2" xfId="48516" xr:uid="{3BBD1C90-A614-4FBE-9456-DA36B5FA763D}"/>
    <cellStyle name="40% - Accent6 5 2 3 2 2 4" xfId="32639" xr:uid="{1DAB0C09-37F3-47E3-B09C-3C69D1B63FD4}"/>
    <cellStyle name="40% - Accent6 5 2 3 2 3" xfId="13200" xr:uid="{00000000-0005-0000-0000-0000CC510000}"/>
    <cellStyle name="40% - Accent6 5 2 3 2 3 2" xfId="37049" xr:uid="{8B6E7964-41BC-43F1-B697-72399C67FAE5}"/>
    <cellStyle name="40% - Accent6 5 2 3 2 4" xfId="21155" xr:uid="{00000000-0005-0000-0000-0000CD510000}"/>
    <cellStyle name="40% - Accent6 5 2 3 2 4 2" xfId="44987" xr:uid="{DD4E5D01-8C42-4BF2-8B16-473D0630D99E}"/>
    <cellStyle name="40% - Accent6 5 2 3 2 5" xfId="29108" xr:uid="{4CDF276A-B110-4DB7-942F-C10D01DBA25B}"/>
    <cellStyle name="40% - Accent6 5 2 3 3" xfId="7008" xr:uid="{00000000-0005-0000-0000-0000CE510000}"/>
    <cellStyle name="40% - Accent6 5 2 3 3 2" xfId="14980" xr:uid="{00000000-0005-0000-0000-0000CF510000}"/>
    <cellStyle name="40% - Accent6 5 2 3 3 2 2" xfId="38822" xr:uid="{F5E841AA-2F16-408F-82A2-0963F5A9CD93}"/>
    <cellStyle name="40% - Accent6 5 2 3 3 3" xfId="22927" xr:uid="{00000000-0005-0000-0000-0000D0510000}"/>
    <cellStyle name="40% - Accent6 5 2 3 3 3 2" xfId="46759" xr:uid="{9F88277F-9A9C-4FB4-A178-07E478B7444E}"/>
    <cellStyle name="40% - Accent6 5 2 3 3 4" xfId="30881" xr:uid="{769F6C96-65B2-4315-A853-07C46AFB20BF}"/>
    <cellStyle name="40% - Accent6 5 2 3 4" xfId="11444" xr:uid="{00000000-0005-0000-0000-0000D1510000}"/>
    <cellStyle name="40% - Accent6 5 2 3 4 2" xfId="35293" xr:uid="{FA17520A-540F-4894-BA6A-92BD57A1F9B3}"/>
    <cellStyle name="40% - Accent6 5 2 3 5" xfId="19399" xr:uid="{00000000-0005-0000-0000-0000D2510000}"/>
    <cellStyle name="40% - Accent6 5 2 3 5 2" xfId="43231" xr:uid="{234A79B8-01B6-4FCB-A36C-7533E195023C}"/>
    <cellStyle name="40% - Accent6 5 2 3 6" xfId="27351" xr:uid="{D8FDC847-1D3C-496F-8CB0-4EF14FC7DD38}"/>
    <cellStyle name="40% - Accent6 5 2 3_Exh G" xfId="3385" xr:uid="{00000000-0005-0000-0000-0000D3510000}"/>
    <cellStyle name="40% - Accent6 5 2 4" xfId="4297" xr:uid="{00000000-0005-0000-0000-0000D4510000}"/>
    <cellStyle name="40% - Accent6 5 2 4 2" xfId="7889" xr:uid="{00000000-0005-0000-0000-0000D5510000}"/>
    <cellStyle name="40% - Accent6 5 2 4 2 2" xfId="15860" xr:uid="{00000000-0005-0000-0000-0000D6510000}"/>
    <cellStyle name="40% - Accent6 5 2 4 2 2 2" xfId="39702" xr:uid="{3D355006-8617-433C-8AAF-330F2CB98C3D}"/>
    <cellStyle name="40% - Accent6 5 2 4 2 3" xfId="23806" xr:uid="{00000000-0005-0000-0000-0000D7510000}"/>
    <cellStyle name="40% - Accent6 5 2 4 2 3 2" xfId="47638" xr:uid="{A1E62EC4-F683-45E5-9820-9376B12F7168}"/>
    <cellStyle name="40% - Accent6 5 2 4 2 4" xfId="31761" xr:uid="{7C1FBC15-3EA7-4184-BA01-A2EA3F1FBD3D}"/>
    <cellStyle name="40% - Accent6 5 2 4 3" xfId="12322" xr:uid="{00000000-0005-0000-0000-0000D8510000}"/>
    <cellStyle name="40% - Accent6 5 2 4 3 2" xfId="36171" xr:uid="{AC1C8EE7-F149-4F05-B1AA-E7A9DBC8873D}"/>
    <cellStyle name="40% - Accent6 5 2 4 4" xfId="20277" xr:uid="{00000000-0005-0000-0000-0000D9510000}"/>
    <cellStyle name="40% - Accent6 5 2 4 4 2" xfId="44109" xr:uid="{C3747CD0-C9A9-422C-882F-96B6A68DED19}"/>
    <cellStyle name="40% - Accent6 5 2 4 5" xfId="28230" xr:uid="{BE062116-9625-4604-AD6A-A5A8C69DC84C}"/>
    <cellStyle name="40% - Accent6 5 2 5" xfId="6117" xr:uid="{00000000-0005-0000-0000-0000DA510000}"/>
    <cellStyle name="40% - Accent6 5 2 5 2" xfId="14101" xr:uid="{00000000-0005-0000-0000-0000DB510000}"/>
    <cellStyle name="40% - Accent6 5 2 5 2 2" xfId="37944" xr:uid="{E3341DA3-34A0-4983-9591-38A4365A3D62}"/>
    <cellStyle name="40% - Accent6 5 2 5 3" xfId="22049" xr:uid="{00000000-0005-0000-0000-0000DC510000}"/>
    <cellStyle name="40% - Accent6 5 2 5 3 2" xfId="45881" xr:uid="{9682DC8F-549E-4728-B3BE-B7C1827548E4}"/>
    <cellStyle name="40% - Accent6 5 2 5 4" xfId="30003" xr:uid="{C14B91F4-6AC7-4615-A29C-F10E3F65CED2}"/>
    <cellStyle name="40% - Accent6 5 2 6" xfId="9670" xr:uid="{00000000-0005-0000-0000-0000DD510000}"/>
    <cellStyle name="40% - Accent6 5 2 6 2" xfId="17628" xr:uid="{00000000-0005-0000-0000-0000DE510000}"/>
    <cellStyle name="40% - Accent6 5 2 6 2 2" xfId="41468" xr:uid="{9208EF40-0096-486C-84F4-7A226E43CF4C}"/>
    <cellStyle name="40% - Accent6 5 2 6 3" xfId="25572" xr:uid="{00000000-0005-0000-0000-0000DF510000}"/>
    <cellStyle name="40% - Accent6 5 2 6 3 2" xfId="49404" xr:uid="{DABF6CD8-5AAE-4C4D-A04B-59EFA18BAB31}"/>
    <cellStyle name="40% - Accent6 5 2 6 4" xfId="33527" xr:uid="{A0D7AED3-0962-4E7B-83F6-649EAE6F36B1}"/>
    <cellStyle name="40% - Accent6 5 2 7" xfId="10566" xr:uid="{00000000-0005-0000-0000-0000E0510000}"/>
    <cellStyle name="40% - Accent6 5 2 7 2" xfId="34415" xr:uid="{3A2ED33D-2D56-49A3-94EB-B0DBD9C67764}"/>
    <cellStyle name="40% - Accent6 5 2 8" xfId="18521" xr:uid="{00000000-0005-0000-0000-0000E1510000}"/>
    <cellStyle name="40% - Accent6 5 2 8 2" xfId="42353" xr:uid="{C2BF3B11-ACF4-40A3-9CC8-50FE3B68EBA7}"/>
    <cellStyle name="40% - Accent6 5 2 9" xfId="26473" xr:uid="{6E614F7D-40C4-4B54-A0E0-C468E2B763FC}"/>
    <cellStyle name="40% - Accent6 5 2_Exh G" xfId="3382" xr:uid="{00000000-0005-0000-0000-0000E2510000}"/>
    <cellStyle name="40% - Accent6 5 3" xfId="620" xr:uid="{00000000-0005-0000-0000-0000E3510000}"/>
    <cellStyle name="40% - Accent6 5 3 2" xfId="1648" xr:uid="{00000000-0005-0000-0000-0000E4510000}"/>
    <cellStyle name="40% - Accent6 5 3 2 2" xfId="5178" xr:uid="{00000000-0005-0000-0000-0000E5510000}"/>
    <cellStyle name="40% - Accent6 5 3 2 2 2" xfId="8769" xr:uid="{00000000-0005-0000-0000-0000E6510000}"/>
    <cellStyle name="40% - Accent6 5 3 2 2 2 2" xfId="16740" xr:uid="{00000000-0005-0000-0000-0000E7510000}"/>
    <cellStyle name="40% - Accent6 5 3 2 2 2 2 2" xfId="40582" xr:uid="{53FD9843-9E90-40DC-89C3-AFAF313A6047}"/>
    <cellStyle name="40% - Accent6 5 3 2 2 2 3" xfId="24686" xr:uid="{00000000-0005-0000-0000-0000E8510000}"/>
    <cellStyle name="40% - Accent6 5 3 2 2 2 3 2" xfId="48518" xr:uid="{339771B2-458D-4629-8573-1C8D78046A6B}"/>
    <cellStyle name="40% - Accent6 5 3 2 2 2 4" xfId="32641" xr:uid="{C3FFFFB7-E5C4-433F-9E76-713DC9D22019}"/>
    <cellStyle name="40% - Accent6 5 3 2 2 3" xfId="13202" xr:uid="{00000000-0005-0000-0000-0000E9510000}"/>
    <cellStyle name="40% - Accent6 5 3 2 2 3 2" xfId="37051" xr:uid="{2C41319B-A88A-4A65-A694-8AE2C1354FA1}"/>
    <cellStyle name="40% - Accent6 5 3 2 2 4" xfId="21157" xr:uid="{00000000-0005-0000-0000-0000EA510000}"/>
    <cellStyle name="40% - Accent6 5 3 2 2 4 2" xfId="44989" xr:uid="{CC169268-4E54-47A8-9925-3478844B8E2E}"/>
    <cellStyle name="40% - Accent6 5 3 2 2 5" xfId="29110" xr:uid="{77AB169C-7127-4147-8DBB-510D4BED18FA}"/>
    <cellStyle name="40% - Accent6 5 3 2 3" xfId="7010" xr:uid="{00000000-0005-0000-0000-0000EB510000}"/>
    <cellStyle name="40% - Accent6 5 3 2 3 2" xfId="14982" xr:uid="{00000000-0005-0000-0000-0000EC510000}"/>
    <cellStyle name="40% - Accent6 5 3 2 3 2 2" xfId="38824" xr:uid="{97E90F0F-E772-4515-ABFE-27CE52E1F984}"/>
    <cellStyle name="40% - Accent6 5 3 2 3 3" xfId="22929" xr:uid="{00000000-0005-0000-0000-0000ED510000}"/>
    <cellStyle name="40% - Accent6 5 3 2 3 3 2" xfId="46761" xr:uid="{E98FA80D-1515-4113-A1A4-22670A93E74E}"/>
    <cellStyle name="40% - Accent6 5 3 2 3 4" xfId="30883" xr:uid="{12FA24EE-4C6A-4B0E-86EF-EF2076056275}"/>
    <cellStyle name="40% - Accent6 5 3 2 4" xfId="11446" xr:uid="{00000000-0005-0000-0000-0000EE510000}"/>
    <cellStyle name="40% - Accent6 5 3 2 4 2" xfId="35295" xr:uid="{27F423DB-F9E9-4CF5-9ACC-5098EB46960C}"/>
    <cellStyle name="40% - Accent6 5 3 2 5" xfId="19401" xr:uid="{00000000-0005-0000-0000-0000EF510000}"/>
    <cellStyle name="40% - Accent6 5 3 2 5 2" xfId="43233" xr:uid="{BC92A851-D05D-4685-A54B-F2262D0728CA}"/>
    <cellStyle name="40% - Accent6 5 3 2 6" xfId="27353" xr:uid="{E83F4064-4AD4-49B6-81BD-A418F18390E6}"/>
    <cellStyle name="40% - Accent6 5 3 2_Exh G" xfId="3387" xr:uid="{00000000-0005-0000-0000-0000F0510000}"/>
    <cellStyle name="40% - Accent6 5 3 3" xfId="4299" xr:uid="{00000000-0005-0000-0000-0000F1510000}"/>
    <cellStyle name="40% - Accent6 5 3 3 2" xfId="7891" xr:uid="{00000000-0005-0000-0000-0000F2510000}"/>
    <cellStyle name="40% - Accent6 5 3 3 2 2" xfId="15862" xr:uid="{00000000-0005-0000-0000-0000F3510000}"/>
    <cellStyle name="40% - Accent6 5 3 3 2 2 2" xfId="39704" xr:uid="{E9A95342-48D5-4CF0-BAC2-4EF514ADC999}"/>
    <cellStyle name="40% - Accent6 5 3 3 2 3" xfId="23808" xr:uid="{00000000-0005-0000-0000-0000F4510000}"/>
    <cellStyle name="40% - Accent6 5 3 3 2 3 2" xfId="47640" xr:uid="{250BF221-D317-4499-A703-AFA9054C46D2}"/>
    <cellStyle name="40% - Accent6 5 3 3 2 4" xfId="31763" xr:uid="{EE68A53D-9691-4E94-B9C3-475661257987}"/>
    <cellStyle name="40% - Accent6 5 3 3 3" xfId="12324" xr:uid="{00000000-0005-0000-0000-0000F5510000}"/>
    <cellStyle name="40% - Accent6 5 3 3 3 2" xfId="36173" xr:uid="{B28AB2DA-7E55-484C-931B-10B633345DE5}"/>
    <cellStyle name="40% - Accent6 5 3 3 4" xfId="20279" xr:uid="{00000000-0005-0000-0000-0000F6510000}"/>
    <cellStyle name="40% - Accent6 5 3 3 4 2" xfId="44111" xr:uid="{CD49B216-03FC-4234-9E55-6669BEC06469}"/>
    <cellStyle name="40% - Accent6 5 3 3 5" xfId="28232" xr:uid="{226F8D40-FE9D-4F78-85E0-DF112066B6C5}"/>
    <cellStyle name="40% - Accent6 5 3 4" xfId="6119" xr:uid="{00000000-0005-0000-0000-0000F7510000}"/>
    <cellStyle name="40% - Accent6 5 3 4 2" xfId="14103" xr:uid="{00000000-0005-0000-0000-0000F8510000}"/>
    <cellStyle name="40% - Accent6 5 3 4 2 2" xfId="37946" xr:uid="{35F80CA9-075F-421D-9561-6CF1D2C3F5A9}"/>
    <cellStyle name="40% - Accent6 5 3 4 3" xfId="22051" xr:uid="{00000000-0005-0000-0000-0000F9510000}"/>
    <cellStyle name="40% - Accent6 5 3 4 3 2" xfId="45883" xr:uid="{D5E172BD-33C9-43B9-A7A9-60BD5564DFC2}"/>
    <cellStyle name="40% - Accent6 5 3 4 4" xfId="30005" xr:uid="{4C74D798-A91D-4803-9DA8-966CE1FD5B4E}"/>
    <cellStyle name="40% - Accent6 5 3 5" xfId="9672" xr:uid="{00000000-0005-0000-0000-0000FA510000}"/>
    <cellStyle name="40% - Accent6 5 3 5 2" xfId="17630" xr:uid="{00000000-0005-0000-0000-0000FB510000}"/>
    <cellStyle name="40% - Accent6 5 3 5 2 2" xfId="41470" xr:uid="{963214CA-0977-4F2A-8AC9-E3A84A590E05}"/>
    <cellStyle name="40% - Accent6 5 3 5 3" xfId="25574" xr:uid="{00000000-0005-0000-0000-0000FC510000}"/>
    <cellStyle name="40% - Accent6 5 3 5 3 2" xfId="49406" xr:uid="{6E2136C1-7D82-4257-8637-316E023C1678}"/>
    <cellStyle name="40% - Accent6 5 3 5 4" xfId="33529" xr:uid="{7ECCF8F5-79E0-48CE-BDE7-880377DD8D6E}"/>
    <cellStyle name="40% - Accent6 5 3 6" xfId="10568" xr:uid="{00000000-0005-0000-0000-0000FD510000}"/>
    <cellStyle name="40% - Accent6 5 3 6 2" xfId="34417" xr:uid="{6F45049C-1E1B-4616-86F1-31A331F04951}"/>
    <cellStyle name="40% - Accent6 5 3 7" xfId="18523" xr:uid="{00000000-0005-0000-0000-0000FE510000}"/>
    <cellStyle name="40% - Accent6 5 3 7 2" xfId="42355" xr:uid="{89F66773-AF9E-4FAB-8A7C-1F541B1C5B3F}"/>
    <cellStyle name="40% - Accent6 5 3 8" xfId="26475" xr:uid="{8DC43149-8768-4FF3-BACB-82A8518BEE55}"/>
    <cellStyle name="40% - Accent6 5 3_Exh G" xfId="3386" xr:uid="{00000000-0005-0000-0000-0000FF510000}"/>
    <cellStyle name="40% - Accent6 5 4" xfId="1001" xr:uid="{00000000-0005-0000-0000-000000520000}"/>
    <cellStyle name="40% - Accent6 5 5" xfId="1645" xr:uid="{00000000-0005-0000-0000-000001520000}"/>
    <cellStyle name="40% - Accent6 5 5 2" xfId="5175" xr:uid="{00000000-0005-0000-0000-000002520000}"/>
    <cellStyle name="40% - Accent6 5 5 2 2" xfId="8766" xr:uid="{00000000-0005-0000-0000-000003520000}"/>
    <cellStyle name="40% - Accent6 5 5 2 2 2" xfId="16737" xr:uid="{00000000-0005-0000-0000-000004520000}"/>
    <cellStyle name="40% - Accent6 5 5 2 2 2 2" xfId="40579" xr:uid="{3C1BF84F-AB1C-471B-B805-D5700FC11219}"/>
    <cellStyle name="40% - Accent6 5 5 2 2 3" xfId="24683" xr:uid="{00000000-0005-0000-0000-000005520000}"/>
    <cellStyle name="40% - Accent6 5 5 2 2 3 2" xfId="48515" xr:uid="{E31C8676-30B1-45DD-93F1-E3C025F8858A}"/>
    <cellStyle name="40% - Accent6 5 5 2 2 4" xfId="32638" xr:uid="{779AB55E-3990-42FB-A433-41BFD860F7D0}"/>
    <cellStyle name="40% - Accent6 5 5 2 3" xfId="13199" xr:uid="{00000000-0005-0000-0000-000006520000}"/>
    <cellStyle name="40% - Accent6 5 5 2 3 2" xfId="37048" xr:uid="{BC12DE96-5D53-4DD6-9557-D062ACC28680}"/>
    <cellStyle name="40% - Accent6 5 5 2 4" xfId="21154" xr:uid="{00000000-0005-0000-0000-000007520000}"/>
    <cellStyle name="40% - Accent6 5 5 2 4 2" xfId="44986" xr:uid="{DBDD2BE6-0B37-47EE-828F-EFBBA2E1AB18}"/>
    <cellStyle name="40% - Accent6 5 5 2 5" xfId="29107" xr:uid="{F3F4E7E2-0C6D-4ECA-8627-55E379A14DD2}"/>
    <cellStyle name="40% - Accent6 5 5 3" xfId="7007" xr:uid="{00000000-0005-0000-0000-000008520000}"/>
    <cellStyle name="40% - Accent6 5 5 3 2" xfId="14979" xr:uid="{00000000-0005-0000-0000-000009520000}"/>
    <cellStyle name="40% - Accent6 5 5 3 2 2" xfId="38821" xr:uid="{198022B5-43F8-466D-8847-03CC9ED302E9}"/>
    <cellStyle name="40% - Accent6 5 5 3 3" xfId="22926" xr:uid="{00000000-0005-0000-0000-00000A520000}"/>
    <cellStyle name="40% - Accent6 5 5 3 3 2" xfId="46758" xr:uid="{9A97ACC9-41BD-4FE1-B43D-F99894309A52}"/>
    <cellStyle name="40% - Accent6 5 5 3 4" xfId="30880" xr:uid="{B85AA21A-B278-4E0A-B87F-B3DDFFD4F192}"/>
    <cellStyle name="40% - Accent6 5 5 4" xfId="11443" xr:uid="{00000000-0005-0000-0000-00000B520000}"/>
    <cellStyle name="40% - Accent6 5 5 4 2" xfId="35292" xr:uid="{D1639AD9-9918-441A-8841-C99E1180561C}"/>
    <cellStyle name="40% - Accent6 5 5 5" xfId="19398" xr:uid="{00000000-0005-0000-0000-00000C520000}"/>
    <cellStyle name="40% - Accent6 5 5 5 2" xfId="43230" xr:uid="{F26646E2-42CB-42F5-8601-149DFA497B66}"/>
    <cellStyle name="40% - Accent6 5 5 6" xfId="27350" xr:uid="{FD07E02C-5AB1-4BC4-A526-4165404A33C1}"/>
    <cellStyle name="40% - Accent6 5 5_Exh G" xfId="3388" xr:uid="{00000000-0005-0000-0000-00000D520000}"/>
    <cellStyle name="40% - Accent6 5 6" xfId="4296" xr:uid="{00000000-0005-0000-0000-00000E520000}"/>
    <cellStyle name="40% - Accent6 5 6 2" xfId="7888" xr:uid="{00000000-0005-0000-0000-00000F520000}"/>
    <cellStyle name="40% - Accent6 5 6 2 2" xfId="15859" xr:uid="{00000000-0005-0000-0000-000010520000}"/>
    <cellStyle name="40% - Accent6 5 6 2 2 2" xfId="39701" xr:uid="{7177AA40-7F85-4915-AF3D-20F339D615E3}"/>
    <cellStyle name="40% - Accent6 5 6 2 3" xfId="23805" xr:uid="{00000000-0005-0000-0000-000011520000}"/>
    <cellStyle name="40% - Accent6 5 6 2 3 2" xfId="47637" xr:uid="{94BDBECD-4A5F-4C24-BFB9-8C53C9D93166}"/>
    <cellStyle name="40% - Accent6 5 6 2 4" xfId="31760" xr:uid="{BBB9C8AA-13CB-4E00-9E1D-1AC504330FE9}"/>
    <cellStyle name="40% - Accent6 5 6 3" xfId="12321" xr:uid="{00000000-0005-0000-0000-000012520000}"/>
    <cellStyle name="40% - Accent6 5 6 3 2" xfId="36170" xr:uid="{0F4144A6-24DC-4717-8C13-E8E053DAACC6}"/>
    <cellStyle name="40% - Accent6 5 6 4" xfId="20276" xr:uid="{00000000-0005-0000-0000-000013520000}"/>
    <cellStyle name="40% - Accent6 5 6 4 2" xfId="44108" xr:uid="{AF23DF5B-A913-44C4-A5DF-42B08AB0C850}"/>
    <cellStyle name="40% - Accent6 5 6 5" xfId="28229" xr:uid="{589E11C1-7A3E-46CE-8817-D02C794D2D3D}"/>
    <cellStyle name="40% - Accent6 5 7" xfId="6116" xr:uid="{00000000-0005-0000-0000-000014520000}"/>
    <cellStyle name="40% - Accent6 5 7 2" xfId="14100" xr:uid="{00000000-0005-0000-0000-000015520000}"/>
    <cellStyle name="40% - Accent6 5 7 2 2" xfId="37943" xr:uid="{9811112C-75B7-4451-A667-BA2A01793E57}"/>
    <cellStyle name="40% - Accent6 5 7 3" xfId="22048" xr:uid="{00000000-0005-0000-0000-000016520000}"/>
    <cellStyle name="40% - Accent6 5 7 3 2" xfId="45880" xr:uid="{9B982EE7-F4F7-45CD-8F73-3BFB41624AD9}"/>
    <cellStyle name="40% - Accent6 5 7 4" xfId="30002" xr:uid="{B752CC31-B44E-4CB3-A883-BFAC2C6D8B83}"/>
    <cellStyle name="40% - Accent6 5 8" xfId="9669" xr:uid="{00000000-0005-0000-0000-000017520000}"/>
    <cellStyle name="40% - Accent6 5 8 2" xfId="17627" xr:uid="{00000000-0005-0000-0000-000018520000}"/>
    <cellStyle name="40% - Accent6 5 8 2 2" xfId="41467" xr:uid="{D14FE814-5058-4B28-9DE1-2B36955E61A1}"/>
    <cellStyle name="40% - Accent6 5 8 3" xfId="25571" xr:uid="{00000000-0005-0000-0000-000019520000}"/>
    <cellStyle name="40% - Accent6 5 8 3 2" xfId="49403" xr:uid="{F384E4B5-4CD2-409E-9830-041E839D3350}"/>
    <cellStyle name="40% - Accent6 5 8 4" xfId="33526" xr:uid="{6E781DF7-0951-4C8B-8C58-5B7368A4546E}"/>
    <cellStyle name="40% - Accent6 5 9" xfId="10565" xr:uid="{00000000-0005-0000-0000-00001A520000}"/>
    <cellStyle name="40% - Accent6 5 9 2" xfId="34414" xr:uid="{01F21F70-D01A-4E6E-91BD-EBCEB3CE61D0}"/>
    <cellStyle name="40% - Accent6 5_Exh G" xfId="3381" xr:uid="{00000000-0005-0000-0000-00001B520000}"/>
    <cellStyle name="40% - Accent6 6" xfId="621" xr:uid="{00000000-0005-0000-0000-00001C520000}"/>
    <cellStyle name="40% - Accent6 6 10" xfId="18524" xr:uid="{00000000-0005-0000-0000-00001D520000}"/>
    <cellStyle name="40% - Accent6 6 10 2" xfId="42356" xr:uid="{64760FFF-8209-4F04-8DC6-1AE65773EB0A}"/>
    <cellStyle name="40% - Accent6 6 11" xfId="26476" xr:uid="{EFEF5E6F-FDD9-4CE9-A1B7-409435026436}"/>
    <cellStyle name="40% - Accent6 6 2" xfId="622" xr:uid="{00000000-0005-0000-0000-00001E520000}"/>
    <cellStyle name="40% - Accent6 6 2 2" xfId="623" xr:uid="{00000000-0005-0000-0000-00001F520000}"/>
    <cellStyle name="40% - Accent6 6 2 2 2" xfId="1651" xr:uid="{00000000-0005-0000-0000-000020520000}"/>
    <cellStyle name="40% - Accent6 6 2 2 2 2" xfId="5181" xr:uid="{00000000-0005-0000-0000-000021520000}"/>
    <cellStyle name="40% - Accent6 6 2 2 2 2 2" xfId="8772" xr:uid="{00000000-0005-0000-0000-000022520000}"/>
    <cellStyle name="40% - Accent6 6 2 2 2 2 2 2" xfId="16743" xr:uid="{00000000-0005-0000-0000-000023520000}"/>
    <cellStyle name="40% - Accent6 6 2 2 2 2 2 2 2" xfId="40585" xr:uid="{8A54F2D4-FBFE-43BD-A9CC-82B46A7C7A72}"/>
    <cellStyle name="40% - Accent6 6 2 2 2 2 2 3" xfId="24689" xr:uid="{00000000-0005-0000-0000-000024520000}"/>
    <cellStyle name="40% - Accent6 6 2 2 2 2 2 3 2" xfId="48521" xr:uid="{61E122ED-A5B3-4123-B778-9BC7B96D214B}"/>
    <cellStyle name="40% - Accent6 6 2 2 2 2 2 4" xfId="32644" xr:uid="{DE2B9EA7-8DBC-42F0-AEB5-2D0431D7819B}"/>
    <cellStyle name="40% - Accent6 6 2 2 2 2 3" xfId="13205" xr:uid="{00000000-0005-0000-0000-000025520000}"/>
    <cellStyle name="40% - Accent6 6 2 2 2 2 3 2" xfId="37054" xr:uid="{AC2DDCA2-6675-46AC-A351-9FAF75604978}"/>
    <cellStyle name="40% - Accent6 6 2 2 2 2 4" xfId="21160" xr:uid="{00000000-0005-0000-0000-000026520000}"/>
    <cellStyle name="40% - Accent6 6 2 2 2 2 4 2" xfId="44992" xr:uid="{2F3154C8-CE14-4E26-B3EC-7C8B09AC6F34}"/>
    <cellStyle name="40% - Accent6 6 2 2 2 2 5" xfId="29113" xr:uid="{1159A6FD-94BA-477C-84E3-15D67415F805}"/>
    <cellStyle name="40% - Accent6 6 2 2 2 3" xfId="7013" xr:uid="{00000000-0005-0000-0000-000027520000}"/>
    <cellStyle name="40% - Accent6 6 2 2 2 3 2" xfId="14985" xr:uid="{00000000-0005-0000-0000-000028520000}"/>
    <cellStyle name="40% - Accent6 6 2 2 2 3 2 2" xfId="38827" xr:uid="{81342E33-247F-401F-B1E4-F69598252DB9}"/>
    <cellStyle name="40% - Accent6 6 2 2 2 3 3" xfId="22932" xr:uid="{00000000-0005-0000-0000-000029520000}"/>
    <cellStyle name="40% - Accent6 6 2 2 2 3 3 2" xfId="46764" xr:uid="{007852D3-92EB-4360-B62F-DA336A3DADBA}"/>
    <cellStyle name="40% - Accent6 6 2 2 2 3 4" xfId="30886" xr:uid="{DCE1B17D-09D5-43CC-AE90-A1E20A0F3641}"/>
    <cellStyle name="40% - Accent6 6 2 2 2 4" xfId="11449" xr:uid="{00000000-0005-0000-0000-00002A520000}"/>
    <cellStyle name="40% - Accent6 6 2 2 2 4 2" xfId="35298" xr:uid="{BE285B6D-37E2-4B03-897B-3600D217FEBB}"/>
    <cellStyle name="40% - Accent6 6 2 2 2 5" xfId="19404" xr:uid="{00000000-0005-0000-0000-00002B520000}"/>
    <cellStyle name="40% - Accent6 6 2 2 2 5 2" xfId="43236" xr:uid="{D9E8D121-F33B-4019-BE3C-BDA8F89E13B4}"/>
    <cellStyle name="40% - Accent6 6 2 2 2 6" xfId="27356" xr:uid="{543E3313-8A83-42A1-AFE5-6B2A34838E9E}"/>
    <cellStyle name="40% - Accent6 6 2 2 2_Exh G" xfId="3392" xr:uid="{00000000-0005-0000-0000-00002C520000}"/>
    <cellStyle name="40% - Accent6 6 2 2 3" xfId="4302" xr:uid="{00000000-0005-0000-0000-00002D520000}"/>
    <cellStyle name="40% - Accent6 6 2 2 3 2" xfId="7894" xr:uid="{00000000-0005-0000-0000-00002E520000}"/>
    <cellStyle name="40% - Accent6 6 2 2 3 2 2" xfId="15865" xr:uid="{00000000-0005-0000-0000-00002F520000}"/>
    <cellStyle name="40% - Accent6 6 2 2 3 2 2 2" xfId="39707" xr:uid="{CAAA3EAF-1F58-4A7C-9AFD-51C1EADE792C}"/>
    <cellStyle name="40% - Accent6 6 2 2 3 2 3" xfId="23811" xr:uid="{00000000-0005-0000-0000-000030520000}"/>
    <cellStyle name="40% - Accent6 6 2 2 3 2 3 2" xfId="47643" xr:uid="{FB1D9BEA-CB54-4809-8220-FB90036A41F9}"/>
    <cellStyle name="40% - Accent6 6 2 2 3 2 4" xfId="31766" xr:uid="{CDC2C5B4-743B-4A6E-8E28-75BF74BD0530}"/>
    <cellStyle name="40% - Accent6 6 2 2 3 3" xfId="12327" xr:uid="{00000000-0005-0000-0000-000031520000}"/>
    <cellStyle name="40% - Accent6 6 2 2 3 3 2" xfId="36176" xr:uid="{1D9D2583-5586-4E85-9419-410EB49433E8}"/>
    <cellStyle name="40% - Accent6 6 2 2 3 4" xfId="20282" xr:uid="{00000000-0005-0000-0000-000032520000}"/>
    <cellStyle name="40% - Accent6 6 2 2 3 4 2" xfId="44114" xr:uid="{3FF3BEFF-B0E9-4E24-B654-E4C33C4B7D13}"/>
    <cellStyle name="40% - Accent6 6 2 2 3 5" xfId="28235" xr:uid="{AD8409D9-EF5B-4C76-BF54-D339BAB410BE}"/>
    <cellStyle name="40% - Accent6 6 2 2 4" xfId="6122" xr:uid="{00000000-0005-0000-0000-000033520000}"/>
    <cellStyle name="40% - Accent6 6 2 2 4 2" xfId="14106" xr:uid="{00000000-0005-0000-0000-000034520000}"/>
    <cellStyle name="40% - Accent6 6 2 2 4 2 2" xfId="37949" xr:uid="{F0BB7BC9-0A62-4E0C-824A-C0628A152E0B}"/>
    <cellStyle name="40% - Accent6 6 2 2 4 3" xfId="22054" xr:uid="{00000000-0005-0000-0000-000035520000}"/>
    <cellStyle name="40% - Accent6 6 2 2 4 3 2" xfId="45886" xr:uid="{276E8A5C-679E-4107-B0BA-F725EAB12EDD}"/>
    <cellStyle name="40% - Accent6 6 2 2 4 4" xfId="30008" xr:uid="{00FB8557-C675-4934-8393-BBD925F0074F}"/>
    <cellStyle name="40% - Accent6 6 2 2 5" xfId="9675" xr:uid="{00000000-0005-0000-0000-000036520000}"/>
    <cellStyle name="40% - Accent6 6 2 2 5 2" xfId="17633" xr:uid="{00000000-0005-0000-0000-000037520000}"/>
    <cellStyle name="40% - Accent6 6 2 2 5 2 2" xfId="41473" xr:uid="{E33CF5EA-1C37-4D91-AC00-C329C3C1CBD0}"/>
    <cellStyle name="40% - Accent6 6 2 2 5 3" xfId="25577" xr:uid="{00000000-0005-0000-0000-000038520000}"/>
    <cellStyle name="40% - Accent6 6 2 2 5 3 2" xfId="49409" xr:uid="{DD2A3362-364D-40C4-A9BB-B58E9E07583C}"/>
    <cellStyle name="40% - Accent6 6 2 2 5 4" xfId="33532" xr:uid="{AB0E9D6E-BD14-402A-B760-43B73CC6BDD1}"/>
    <cellStyle name="40% - Accent6 6 2 2 6" xfId="10571" xr:uid="{00000000-0005-0000-0000-000039520000}"/>
    <cellStyle name="40% - Accent6 6 2 2 6 2" xfId="34420" xr:uid="{4B669610-16C9-4179-879D-A54C4C7C679B}"/>
    <cellStyle name="40% - Accent6 6 2 2 7" xfId="18526" xr:uid="{00000000-0005-0000-0000-00003A520000}"/>
    <cellStyle name="40% - Accent6 6 2 2 7 2" xfId="42358" xr:uid="{67A4EEB0-E8B9-429F-8981-3EB508DC9F61}"/>
    <cellStyle name="40% - Accent6 6 2 2 8" xfId="26478" xr:uid="{E93E42C0-77CF-45F3-BB41-337D4650D474}"/>
    <cellStyle name="40% - Accent6 6 2 2_Exh G" xfId="3391" xr:uid="{00000000-0005-0000-0000-00003B520000}"/>
    <cellStyle name="40% - Accent6 6 2 3" xfId="1650" xr:uid="{00000000-0005-0000-0000-00003C520000}"/>
    <cellStyle name="40% - Accent6 6 2 3 2" xfId="5180" xr:uid="{00000000-0005-0000-0000-00003D520000}"/>
    <cellStyle name="40% - Accent6 6 2 3 2 2" xfId="8771" xr:uid="{00000000-0005-0000-0000-00003E520000}"/>
    <cellStyle name="40% - Accent6 6 2 3 2 2 2" xfId="16742" xr:uid="{00000000-0005-0000-0000-00003F520000}"/>
    <cellStyle name="40% - Accent6 6 2 3 2 2 2 2" xfId="40584" xr:uid="{2D7D230C-BC9C-44DD-B79E-715E79F121A6}"/>
    <cellStyle name="40% - Accent6 6 2 3 2 2 3" xfId="24688" xr:uid="{00000000-0005-0000-0000-000040520000}"/>
    <cellStyle name="40% - Accent6 6 2 3 2 2 3 2" xfId="48520" xr:uid="{6743F740-C22D-4CD4-9FEF-E77E4F54E29E}"/>
    <cellStyle name="40% - Accent6 6 2 3 2 2 4" xfId="32643" xr:uid="{78FCBD3E-6E3D-4556-AA14-14EB450C03E6}"/>
    <cellStyle name="40% - Accent6 6 2 3 2 3" xfId="13204" xr:uid="{00000000-0005-0000-0000-000041520000}"/>
    <cellStyle name="40% - Accent6 6 2 3 2 3 2" xfId="37053" xr:uid="{F444CD6C-0644-4641-B64C-F524E1F50DEB}"/>
    <cellStyle name="40% - Accent6 6 2 3 2 4" xfId="21159" xr:uid="{00000000-0005-0000-0000-000042520000}"/>
    <cellStyle name="40% - Accent6 6 2 3 2 4 2" xfId="44991" xr:uid="{927AB0C8-4A39-40E7-BA5B-88427C9ECE6B}"/>
    <cellStyle name="40% - Accent6 6 2 3 2 5" xfId="29112" xr:uid="{DE66D92E-3F39-431F-A974-106CEE74BD37}"/>
    <cellStyle name="40% - Accent6 6 2 3 3" xfId="7012" xr:uid="{00000000-0005-0000-0000-000043520000}"/>
    <cellStyle name="40% - Accent6 6 2 3 3 2" xfId="14984" xr:uid="{00000000-0005-0000-0000-000044520000}"/>
    <cellStyle name="40% - Accent6 6 2 3 3 2 2" xfId="38826" xr:uid="{E6FA1E35-BBD7-462E-9665-74B0639704A2}"/>
    <cellStyle name="40% - Accent6 6 2 3 3 3" xfId="22931" xr:uid="{00000000-0005-0000-0000-000045520000}"/>
    <cellStyle name="40% - Accent6 6 2 3 3 3 2" xfId="46763" xr:uid="{39BABEF5-8EB8-4B56-9148-5B99CDA92912}"/>
    <cellStyle name="40% - Accent6 6 2 3 3 4" xfId="30885" xr:uid="{DDE5E50B-FC10-4402-9480-A6059891D41F}"/>
    <cellStyle name="40% - Accent6 6 2 3 4" xfId="11448" xr:uid="{00000000-0005-0000-0000-000046520000}"/>
    <cellStyle name="40% - Accent6 6 2 3 4 2" xfId="35297" xr:uid="{D8E21EFA-788B-4CC1-86C7-AFF1F8184A63}"/>
    <cellStyle name="40% - Accent6 6 2 3 5" xfId="19403" xr:uid="{00000000-0005-0000-0000-000047520000}"/>
    <cellStyle name="40% - Accent6 6 2 3 5 2" xfId="43235" xr:uid="{F09ED7DC-5798-456A-BE82-A53DB1E28802}"/>
    <cellStyle name="40% - Accent6 6 2 3 6" xfId="27355" xr:uid="{74761539-4D0F-4E0A-ABFE-6871BB009ED2}"/>
    <cellStyle name="40% - Accent6 6 2 3_Exh G" xfId="3393" xr:uid="{00000000-0005-0000-0000-000048520000}"/>
    <cellStyle name="40% - Accent6 6 2 4" xfId="4301" xr:uid="{00000000-0005-0000-0000-000049520000}"/>
    <cellStyle name="40% - Accent6 6 2 4 2" xfId="7893" xr:uid="{00000000-0005-0000-0000-00004A520000}"/>
    <cellStyle name="40% - Accent6 6 2 4 2 2" xfId="15864" xr:uid="{00000000-0005-0000-0000-00004B520000}"/>
    <cellStyle name="40% - Accent6 6 2 4 2 2 2" xfId="39706" xr:uid="{06082773-69AC-498F-ABD9-084BBF5C6373}"/>
    <cellStyle name="40% - Accent6 6 2 4 2 3" xfId="23810" xr:uid="{00000000-0005-0000-0000-00004C520000}"/>
    <cellStyle name="40% - Accent6 6 2 4 2 3 2" xfId="47642" xr:uid="{6FB77034-F445-420C-B4DD-C59071ECD85A}"/>
    <cellStyle name="40% - Accent6 6 2 4 2 4" xfId="31765" xr:uid="{D32D101C-32F6-4844-9E40-F92336ACBD77}"/>
    <cellStyle name="40% - Accent6 6 2 4 3" xfId="12326" xr:uid="{00000000-0005-0000-0000-00004D520000}"/>
    <cellStyle name="40% - Accent6 6 2 4 3 2" xfId="36175" xr:uid="{50797C2A-6D0D-4F88-9FCC-B471486F86AD}"/>
    <cellStyle name="40% - Accent6 6 2 4 4" xfId="20281" xr:uid="{00000000-0005-0000-0000-00004E520000}"/>
    <cellStyle name="40% - Accent6 6 2 4 4 2" xfId="44113" xr:uid="{72F904C2-2D8E-4FFF-8C0F-6BB74186B68D}"/>
    <cellStyle name="40% - Accent6 6 2 4 5" xfId="28234" xr:uid="{A7234789-A572-4AAE-9F35-10CE76F39BA7}"/>
    <cellStyle name="40% - Accent6 6 2 5" xfId="6121" xr:uid="{00000000-0005-0000-0000-00004F520000}"/>
    <cellStyle name="40% - Accent6 6 2 5 2" xfId="14105" xr:uid="{00000000-0005-0000-0000-000050520000}"/>
    <cellStyle name="40% - Accent6 6 2 5 2 2" xfId="37948" xr:uid="{6B253474-1755-4A94-A405-2CE7743E8134}"/>
    <cellStyle name="40% - Accent6 6 2 5 3" xfId="22053" xr:uid="{00000000-0005-0000-0000-000051520000}"/>
    <cellStyle name="40% - Accent6 6 2 5 3 2" xfId="45885" xr:uid="{8F59C27F-827D-4FD1-9C94-23A0240018CB}"/>
    <cellStyle name="40% - Accent6 6 2 5 4" xfId="30007" xr:uid="{8846FD7C-B270-42F5-B3ED-D4F0695F58F8}"/>
    <cellStyle name="40% - Accent6 6 2 6" xfId="9674" xr:uid="{00000000-0005-0000-0000-000052520000}"/>
    <cellStyle name="40% - Accent6 6 2 6 2" xfId="17632" xr:uid="{00000000-0005-0000-0000-000053520000}"/>
    <cellStyle name="40% - Accent6 6 2 6 2 2" xfId="41472" xr:uid="{B901C3EB-6D5E-4E0A-A2DD-204856DF7881}"/>
    <cellStyle name="40% - Accent6 6 2 6 3" xfId="25576" xr:uid="{00000000-0005-0000-0000-000054520000}"/>
    <cellStyle name="40% - Accent6 6 2 6 3 2" xfId="49408" xr:uid="{A9542B2F-CDB6-4E43-8954-0E0809F0188B}"/>
    <cellStyle name="40% - Accent6 6 2 6 4" xfId="33531" xr:uid="{CB76C7F6-F77C-4831-90B6-577A87A8428D}"/>
    <cellStyle name="40% - Accent6 6 2 7" xfId="10570" xr:uid="{00000000-0005-0000-0000-000055520000}"/>
    <cellStyle name="40% - Accent6 6 2 7 2" xfId="34419" xr:uid="{3A940529-77A7-4728-B84F-1C1AEE01DD86}"/>
    <cellStyle name="40% - Accent6 6 2 8" xfId="18525" xr:uid="{00000000-0005-0000-0000-000056520000}"/>
    <cellStyle name="40% - Accent6 6 2 8 2" xfId="42357" xr:uid="{892AB1A8-FD40-4AF2-84D9-8A28718E4C4B}"/>
    <cellStyle name="40% - Accent6 6 2 9" xfId="26477" xr:uid="{FEA5CB1A-FC5A-4BA8-92A2-D81C1CA6DAA9}"/>
    <cellStyle name="40% - Accent6 6 2_Exh G" xfId="3390" xr:uid="{00000000-0005-0000-0000-000057520000}"/>
    <cellStyle name="40% - Accent6 6 3" xfId="624" xr:uid="{00000000-0005-0000-0000-000058520000}"/>
    <cellStyle name="40% - Accent6 6 3 2" xfId="1652" xr:uid="{00000000-0005-0000-0000-000059520000}"/>
    <cellStyle name="40% - Accent6 6 3 2 2" xfId="5182" xr:uid="{00000000-0005-0000-0000-00005A520000}"/>
    <cellStyle name="40% - Accent6 6 3 2 2 2" xfId="8773" xr:uid="{00000000-0005-0000-0000-00005B520000}"/>
    <cellStyle name="40% - Accent6 6 3 2 2 2 2" xfId="16744" xr:uid="{00000000-0005-0000-0000-00005C520000}"/>
    <cellStyle name="40% - Accent6 6 3 2 2 2 2 2" xfId="40586" xr:uid="{A5AE6B38-3F43-48D0-A1A8-4FF4116AEE78}"/>
    <cellStyle name="40% - Accent6 6 3 2 2 2 3" xfId="24690" xr:uid="{00000000-0005-0000-0000-00005D520000}"/>
    <cellStyle name="40% - Accent6 6 3 2 2 2 3 2" xfId="48522" xr:uid="{1F94BC84-45D3-4FE0-A0AB-9C3FC9FCF99D}"/>
    <cellStyle name="40% - Accent6 6 3 2 2 2 4" xfId="32645" xr:uid="{33968656-9FFC-4E00-8D57-C882309DF23F}"/>
    <cellStyle name="40% - Accent6 6 3 2 2 3" xfId="13206" xr:uid="{00000000-0005-0000-0000-00005E520000}"/>
    <cellStyle name="40% - Accent6 6 3 2 2 3 2" xfId="37055" xr:uid="{1F4BBB3D-53F9-4161-B78D-D9A2E355B1D5}"/>
    <cellStyle name="40% - Accent6 6 3 2 2 4" xfId="21161" xr:uid="{00000000-0005-0000-0000-00005F520000}"/>
    <cellStyle name="40% - Accent6 6 3 2 2 4 2" xfId="44993" xr:uid="{6BE8DAB8-57AF-49B6-8F33-584B3EF41F73}"/>
    <cellStyle name="40% - Accent6 6 3 2 2 5" xfId="29114" xr:uid="{EB317FC4-5BCF-41A0-AAC7-A336A4ADD587}"/>
    <cellStyle name="40% - Accent6 6 3 2 3" xfId="7014" xr:uid="{00000000-0005-0000-0000-000060520000}"/>
    <cellStyle name="40% - Accent6 6 3 2 3 2" xfId="14986" xr:uid="{00000000-0005-0000-0000-000061520000}"/>
    <cellStyle name="40% - Accent6 6 3 2 3 2 2" xfId="38828" xr:uid="{072059A9-A01B-4CBE-89EE-F7188C09DEB2}"/>
    <cellStyle name="40% - Accent6 6 3 2 3 3" xfId="22933" xr:uid="{00000000-0005-0000-0000-000062520000}"/>
    <cellStyle name="40% - Accent6 6 3 2 3 3 2" xfId="46765" xr:uid="{E947436D-9E16-4451-93CA-4E691A4CB9B8}"/>
    <cellStyle name="40% - Accent6 6 3 2 3 4" xfId="30887" xr:uid="{17F6434E-7475-495C-A568-BABFC5CA03E3}"/>
    <cellStyle name="40% - Accent6 6 3 2 4" xfId="11450" xr:uid="{00000000-0005-0000-0000-000063520000}"/>
    <cellStyle name="40% - Accent6 6 3 2 4 2" xfId="35299" xr:uid="{D21E0E3C-F4D8-4905-A170-EE49C76525EC}"/>
    <cellStyle name="40% - Accent6 6 3 2 5" xfId="19405" xr:uid="{00000000-0005-0000-0000-000064520000}"/>
    <cellStyle name="40% - Accent6 6 3 2 5 2" xfId="43237" xr:uid="{AB05250B-9219-4C2D-AD6C-8131B2AAD17A}"/>
    <cellStyle name="40% - Accent6 6 3 2 6" xfId="27357" xr:uid="{5192968D-8BE0-478C-A3BC-1D5D0DE85C12}"/>
    <cellStyle name="40% - Accent6 6 3 2_Exh G" xfId="3395" xr:uid="{00000000-0005-0000-0000-000065520000}"/>
    <cellStyle name="40% - Accent6 6 3 3" xfId="4303" xr:uid="{00000000-0005-0000-0000-000066520000}"/>
    <cellStyle name="40% - Accent6 6 3 3 2" xfId="7895" xr:uid="{00000000-0005-0000-0000-000067520000}"/>
    <cellStyle name="40% - Accent6 6 3 3 2 2" xfId="15866" xr:uid="{00000000-0005-0000-0000-000068520000}"/>
    <cellStyle name="40% - Accent6 6 3 3 2 2 2" xfId="39708" xr:uid="{9450ECB9-14A3-41CA-8E2A-F28F26ACEEF7}"/>
    <cellStyle name="40% - Accent6 6 3 3 2 3" xfId="23812" xr:uid="{00000000-0005-0000-0000-000069520000}"/>
    <cellStyle name="40% - Accent6 6 3 3 2 3 2" xfId="47644" xr:uid="{EFA9FE92-7CAB-4658-BDB8-9473948EBFAA}"/>
    <cellStyle name="40% - Accent6 6 3 3 2 4" xfId="31767" xr:uid="{D57CE18D-8DCA-4EA2-B610-787D9CCCCD20}"/>
    <cellStyle name="40% - Accent6 6 3 3 3" xfId="12328" xr:uid="{00000000-0005-0000-0000-00006A520000}"/>
    <cellStyle name="40% - Accent6 6 3 3 3 2" xfId="36177" xr:uid="{7EBA56AD-D7F7-4801-AC48-3A2917B9EC4D}"/>
    <cellStyle name="40% - Accent6 6 3 3 4" xfId="20283" xr:uid="{00000000-0005-0000-0000-00006B520000}"/>
    <cellStyle name="40% - Accent6 6 3 3 4 2" xfId="44115" xr:uid="{11081EE4-305A-4090-8E9F-04E37DF70E32}"/>
    <cellStyle name="40% - Accent6 6 3 3 5" xfId="28236" xr:uid="{2853160F-DED3-42BB-B944-CA14EC2C37D0}"/>
    <cellStyle name="40% - Accent6 6 3 4" xfId="6123" xr:uid="{00000000-0005-0000-0000-00006C520000}"/>
    <cellStyle name="40% - Accent6 6 3 4 2" xfId="14107" xr:uid="{00000000-0005-0000-0000-00006D520000}"/>
    <cellStyle name="40% - Accent6 6 3 4 2 2" xfId="37950" xr:uid="{A0FE1713-1B3D-47EA-8EB4-1577B11FEA07}"/>
    <cellStyle name="40% - Accent6 6 3 4 3" xfId="22055" xr:uid="{00000000-0005-0000-0000-00006E520000}"/>
    <cellStyle name="40% - Accent6 6 3 4 3 2" xfId="45887" xr:uid="{251075B3-B484-4665-BC05-9091E99C1846}"/>
    <cellStyle name="40% - Accent6 6 3 4 4" xfId="30009" xr:uid="{626B8E04-64AC-4882-940B-4B33141663F8}"/>
    <cellStyle name="40% - Accent6 6 3 5" xfId="9676" xr:uid="{00000000-0005-0000-0000-00006F520000}"/>
    <cellStyle name="40% - Accent6 6 3 5 2" xfId="17634" xr:uid="{00000000-0005-0000-0000-000070520000}"/>
    <cellStyle name="40% - Accent6 6 3 5 2 2" xfId="41474" xr:uid="{C9FC4EEE-6D74-49A8-959E-31B259ACE0F9}"/>
    <cellStyle name="40% - Accent6 6 3 5 3" xfId="25578" xr:uid="{00000000-0005-0000-0000-000071520000}"/>
    <cellStyle name="40% - Accent6 6 3 5 3 2" xfId="49410" xr:uid="{D2BB9B17-901D-4C3C-AC28-FD4751C8DF6A}"/>
    <cellStyle name="40% - Accent6 6 3 5 4" xfId="33533" xr:uid="{73658309-4A1C-4A89-BC85-5A6DCCAAA23E}"/>
    <cellStyle name="40% - Accent6 6 3 6" xfId="10572" xr:uid="{00000000-0005-0000-0000-000072520000}"/>
    <cellStyle name="40% - Accent6 6 3 6 2" xfId="34421" xr:uid="{DB46F55B-D096-4619-BD1C-09470942A28F}"/>
    <cellStyle name="40% - Accent6 6 3 7" xfId="18527" xr:uid="{00000000-0005-0000-0000-000073520000}"/>
    <cellStyle name="40% - Accent6 6 3 7 2" xfId="42359" xr:uid="{0BFAD6D3-A5CF-4620-8306-9CE8923A36EA}"/>
    <cellStyle name="40% - Accent6 6 3 8" xfId="26479" xr:uid="{F1BF959A-9389-42A4-BE6A-8BFC2B052411}"/>
    <cellStyle name="40% - Accent6 6 3_Exh G" xfId="3394" xr:uid="{00000000-0005-0000-0000-000074520000}"/>
    <cellStyle name="40% - Accent6 6 4" xfId="1002" xr:uid="{00000000-0005-0000-0000-000075520000}"/>
    <cellStyle name="40% - Accent6 6 4 2" xfId="1915" xr:uid="{00000000-0005-0000-0000-000076520000}"/>
    <cellStyle name="40% - Accent6 6 4 2 2" xfId="5433" xr:uid="{00000000-0005-0000-0000-000077520000}"/>
    <cellStyle name="40% - Accent6 6 4 2 2 2" xfId="9024" xr:uid="{00000000-0005-0000-0000-000078520000}"/>
    <cellStyle name="40% - Accent6 6 4 2 2 2 2" xfId="16995" xr:uid="{00000000-0005-0000-0000-000079520000}"/>
    <cellStyle name="40% - Accent6 6 4 2 2 2 2 2" xfId="40837" xr:uid="{713BC468-ECA9-47F9-8451-7823AC9719DB}"/>
    <cellStyle name="40% - Accent6 6 4 2 2 2 3" xfId="24941" xr:uid="{00000000-0005-0000-0000-00007A520000}"/>
    <cellStyle name="40% - Accent6 6 4 2 2 2 3 2" xfId="48773" xr:uid="{06CBA5A4-66CC-450D-B5DD-86BCE1F906D2}"/>
    <cellStyle name="40% - Accent6 6 4 2 2 2 4" xfId="32896" xr:uid="{34E77E67-9057-42B8-9074-C181A62115B1}"/>
    <cellStyle name="40% - Accent6 6 4 2 2 3" xfId="13457" xr:uid="{00000000-0005-0000-0000-00007B520000}"/>
    <cellStyle name="40% - Accent6 6 4 2 2 3 2" xfId="37306" xr:uid="{30C8680A-F845-4EF7-B8D7-53DE6B76A6E3}"/>
    <cellStyle name="40% - Accent6 6 4 2 2 4" xfId="21412" xr:uid="{00000000-0005-0000-0000-00007C520000}"/>
    <cellStyle name="40% - Accent6 6 4 2 2 4 2" xfId="45244" xr:uid="{CC2C53FF-F7B8-4181-8D11-D35C59ED4D67}"/>
    <cellStyle name="40% - Accent6 6 4 2 2 5" xfId="29365" xr:uid="{A134FA3E-3A74-486F-A8FE-3193D9474911}"/>
    <cellStyle name="40% - Accent6 6 4 2 3" xfId="7265" xr:uid="{00000000-0005-0000-0000-00007D520000}"/>
    <cellStyle name="40% - Accent6 6 4 2 3 2" xfId="15237" xr:uid="{00000000-0005-0000-0000-00007E520000}"/>
    <cellStyle name="40% - Accent6 6 4 2 3 2 2" xfId="39079" xr:uid="{CF3DC562-03D6-45B2-B843-8F7C7DB087EA}"/>
    <cellStyle name="40% - Accent6 6 4 2 3 3" xfId="23184" xr:uid="{00000000-0005-0000-0000-00007F520000}"/>
    <cellStyle name="40% - Accent6 6 4 2 3 3 2" xfId="47016" xr:uid="{1C63D0D7-A1D1-4056-B56E-46B09CDA6A99}"/>
    <cellStyle name="40% - Accent6 6 4 2 3 4" xfId="31138" xr:uid="{9C1EBD95-756C-459A-AA91-D696BDFEBE8C}"/>
    <cellStyle name="40% - Accent6 6 4 2 4" xfId="11701" xr:uid="{00000000-0005-0000-0000-000080520000}"/>
    <cellStyle name="40% - Accent6 6 4 2 4 2" xfId="35550" xr:uid="{311D93FB-416E-4B41-9CD0-C85CAE425F31}"/>
    <cellStyle name="40% - Accent6 6 4 2 5" xfId="19656" xr:uid="{00000000-0005-0000-0000-000081520000}"/>
    <cellStyle name="40% - Accent6 6 4 2 5 2" xfId="43488" xr:uid="{2B11E986-872E-4782-8B1F-5F6618B587BA}"/>
    <cellStyle name="40% - Accent6 6 4 2 6" xfId="27608" xr:uid="{B19046C8-2CFD-4085-938B-DFBC3D72F583}"/>
    <cellStyle name="40% - Accent6 6 4 2_Exh G" xfId="3397" xr:uid="{00000000-0005-0000-0000-000082520000}"/>
    <cellStyle name="40% - Accent6 6 4 3" xfId="4554" xr:uid="{00000000-0005-0000-0000-000083520000}"/>
    <cellStyle name="40% - Accent6 6 4 3 2" xfId="8146" xr:uid="{00000000-0005-0000-0000-000084520000}"/>
    <cellStyle name="40% - Accent6 6 4 3 2 2" xfId="16117" xr:uid="{00000000-0005-0000-0000-000085520000}"/>
    <cellStyle name="40% - Accent6 6 4 3 2 2 2" xfId="39959" xr:uid="{496C1135-E6E5-4096-95C2-7921035CE824}"/>
    <cellStyle name="40% - Accent6 6 4 3 2 3" xfId="24063" xr:uid="{00000000-0005-0000-0000-000086520000}"/>
    <cellStyle name="40% - Accent6 6 4 3 2 3 2" xfId="47895" xr:uid="{B69694E3-C16E-4044-B556-1187464731F4}"/>
    <cellStyle name="40% - Accent6 6 4 3 2 4" xfId="32018" xr:uid="{A05D9E42-24A9-4B25-9BF0-A7B3DF512396}"/>
    <cellStyle name="40% - Accent6 6 4 3 3" xfId="12579" xr:uid="{00000000-0005-0000-0000-000087520000}"/>
    <cellStyle name="40% - Accent6 6 4 3 3 2" xfId="36428" xr:uid="{7C74D53A-1A63-4A67-85D6-AC45BAA821EE}"/>
    <cellStyle name="40% - Accent6 6 4 3 4" xfId="20534" xr:uid="{00000000-0005-0000-0000-000088520000}"/>
    <cellStyle name="40% - Accent6 6 4 3 4 2" xfId="44366" xr:uid="{4986BFB2-6B27-4B8E-8979-6645FEB4E8D0}"/>
    <cellStyle name="40% - Accent6 6 4 3 5" xfId="28487" xr:uid="{23C05268-3AFC-4275-941E-C70A97DA604A}"/>
    <cellStyle name="40% - Accent6 6 4 4" xfId="6384" xr:uid="{00000000-0005-0000-0000-000089520000}"/>
    <cellStyle name="40% - Accent6 6 4 4 2" xfId="14359" xr:uid="{00000000-0005-0000-0000-00008A520000}"/>
    <cellStyle name="40% - Accent6 6 4 4 2 2" xfId="38201" xr:uid="{4A951FD7-3FFF-4009-8EB5-E2F0EDE4C59D}"/>
    <cellStyle name="40% - Accent6 6 4 4 3" xfId="22306" xr:uid="{00000000-0005-0000-0000-00008B520000}"/>
    <cellStyle name="40% - Accent6 6 4 4 3 2" xfId="46138" xr:uid="{546225AF-69E9-4B02-A521-1A4B7659EF61}"/>
    <cellStyle name="40% - Accent6 6 4 4 4" xfId="30260" xr:uid="{E2128103-AB2F-410B-B545-5AC93361CE73}"/>
    <cellStyle name="40% - Accent6 6 4 5" xfId="9927" xr:uid="{00000000-0005-0000-0000-00008C520000}"/>
    <cellStyle name="40% - Accent6 6 4 5 2" xfId="17885" xr:uid="{00000000-0005-0000-0000-00008D520000}"/>
    <cellStyle name="40% - Accent6 6 4 5 2 2" xfId="41725" xr:uid="{AD76DE82-C4BC-47CB-B8C8-E1F590D5099E}"/>
    <cellStyle name="40% - Accent6 6 4 5 3" xfId="25829" xr:uid="{00000000-0005-0000-0000-00008E520000}"/>
    <cellStyle name="40% - Accent6 6 4 5 3 2" xfId="49661" xr:uid="{FF048C67-9E0E-4CA6-8AE3-6C2B32A6CDAD}"/>
    <cellStyle name="40% - Accent6 6 4 5 4" xfId="33784" xr:uid="{4CD43B71-1E01-4FC7-B159-B2A008DDF283}"/>
    <cellStyle name="40% - Accent6 6 4 6" xfId="10823" xr:uid="{00000000-0005-0000-0000-00008F520000}"/>
    <cellStyle name="40% - Accent6 6 4 6 2" xfId="34672" xr:uid="{409F7511-0351-47B6-8FD7-3B8D1B2E72E2}"/>
    <cellStyle name="40% - Accent6 6 4 7" xfId="18778" xr:uid="{00000000-0005-0000-0000-000090520000}"/>
    <cellStyle name="40% - Accent6 6 4 7 2" xfId="42610" xr:uid="{39C1EC91-108C-42FE-A93E-D6A05A628B22}"/>
    <cellStyle name="40% - Accent6 6 4 8" xfId="26730" xr:uid="{EAF287BE-DF90-4BE9-BDCB-2BBBE79EF35A}"/>
    <cellStyle name="40% - Accent6 6 4_Exh G" xfId="3396" xr:uid="{00000000-0005-0000-0000-000091520000}"/>
    <cellStyle name="40% - Accent6 6 5" xfId="1649" xr:uid="{00000000-0005-0000-0000-000092520000}"/>
    <cellStyle name="40% - Accent6 6 5 2" xfId="5179" xr:uid="{00000000-0005-0000-0000-000093520000}"/>
    <cellStyle name="40% - Accent6 6 5 2 2" xfId="8770" xr:uid="{00000000-0005-0000-0000-000094520000}"/>
    <cellStyle name="40% - Accent6 6 5 2 2 2" xfId="16741" xr:uid="{00000000-0005-0000-0000-000095520000}"/>
    <cellStyle name="40% - Accent6 6 5 2 2 2 2" xfId="40583" xr:uid="{38384FA4-4D1F-4179-BAA9-1A653F2168F8}"/>
    <cellStyle name="40% - Accent6 6 5 2 2 3" xfId="24687" xr:uid="{00000000-0005-0000-0000-000096520000}"/>
    <cellStyle name="40% - Accent6 6 5 2 2 3 2" xfId="48519" xr:uid="{B91D17FB-3DE1-45ED-9603-64AED8E98259}"/>
    <cellStyle name="40% - Accent6 6 5 2 2 4" xfId="32642" xr:uid="{20FAC14E-73D1-4C8B-9C28-8A5398DE441D}"/>
    <cellStyle name="40% - Accent6 6 5 2 3" xfId="13203" xr:uid="{00000000-0005-0000-0000-000097520000}"/>
    <cellStyle name="40% - Accent6 6 5 2 3 2" xfId="37052" xr:uid="{A97B6DED-031F-46C0-9174-7C1A36F39A43}"/>
    <cellStyle name="40% - Accent6 6 5 2 4" xfId="21158" xr:uid="{00000000-0005-0000-0000-000098520000}"/>
    <cellStyle name="40% - Accent6 6 5 2 4 2" xfId="44990" xr:uid="{95B192E6-6137-403B-99FC-43AF5145AD80}"/>
    <cellStyle name="40% - Accent6 6 5 2 5" xfId="29111" xr:uid="{23E924BD-29E6-431C-A191-51BA6C871A5B}"/>
    <cellStyle name="40% - Accent6 6 5 3" xfId="7011" xr:uid="{00000000-0005-0000-0000-000099520000}"/>
    <cellStyle name="40% - Accent6 6 5 3 2" xfId="14983" xr:uid="{00000000-0005-0000-0000-00009A520000}"/>
    <cellStyle name="40% - Accent6 6 5 3 2 2" xfId="38825" xr:uid="{18FBE1C6-902A-418B-979A-405845E8CB31}"/>
    <cellStyle name="40% - Accent6 6 5 3 3" xfId="22930" xr:uid="{00000000-0005-0000-0000-00009B520000}"/>
    <cellStyle name="40% - Accent6 6 5 3 3 2" xfId="46762" xr:uid="{ACFB6C85-C57A-4F19-A9BC-50B84FF1F4CC}"/>
    <cellStyle name="40% - Accent6 6 5 3 4" xfId="30884" xr:uid="{E865A647-9848-4B24-8C28-8772A4FD9290}"/>
    <cellStyle name="40% - Accent6 6 5 4" xfId="11447" xr:uid="{00000000-0005-0000-0000-00009C520000}"/>
    <cellStyle name="40% - Accent6 6 5 4 2" xfId="35296" xr:uid="{6C6915E1-CA2B-4E38-905E-11215D6F2553}"/>
    <cellStyle name="40% - Accent6 6 5 5" xfId="19402" xr:uid="{00000000-0005-0000-0000-00009D520000}"/>
    <cellStyle name="40% - Accent6 6 5 5 2" xfId="43234" xr:uid="{229E196F-CCB5-4344-A58F-496BE8444841}"/>
    <cellStyle name="40% - Accent6 6 5 6" xfId="27354" xr:uid="{E12CC03D-26D0-4160-A13F-75CDF2B585B8}"/>
    <cellStyle name="40% - Accent6 6 5_Exh G" xfId="3398" xr:uid="{00000000-0005-0000-0000-00009E520000}"/>
    <cellStyle name="40% - Accent6 6 6" xfId="4300" xr:uid="{00000000-0005-0000-0000-00009F520000}"/>
    <cellStyle name="40% - Accent6 6 6 2" xfId="7892" xr:uid="{00000000-0005-0000-0000-0000A0520000}"/>
    <cellStyle name="40% - Accent6 6 6 2 2" xfId="15863" xr:uid="{00000000-0005-0000-0000-0000A1520000}"/>
    <cellStyle name="40% - Accent6 6 6 2 2 2" xfId="39705" xr:uid="{BE8D807B-5B30-469F-B251-775D7CE906EE}"/>
    <cellStyle name="40% - Accent6 6 6 2 3" xfId="23809" xr:uid="{00000000-0005-0000-0000-0000A2520000}"/>
    <cellStyle name="40% - Accent6 6 6 2 3 2" xfId="47641" xr:uid="{D6A23058-D9FC-4E64-B33E-449D003D91CA}"/>
    <cellStyle name="40% - Accent6 6 6 2 4" xfId="31764" xr:uid="{1A4703CA-C2B7-4376-A7B6-1634F00782AB}"/>
    <cellStyle name="40% - Accent6 6 6 3" xfId="12325" xr:uid="{00000000-0005-0000-0000-0000A3520000}"/>
    <cellStyle name="40% - Accent6 6 6 3 2" xfId="36174" xr:uid="{1E7BE054-80AA-45D9-B6D0-873ECB045BE9}"/>
    <cellStyle name="40% - Accent6 6 6 4" xfId="20280" xr:uid="{00000000-0005-0000-0000-0000A4520000}"/>
    <cellStyle name="40% - Accent6 6 6 4 2" xfId="44112" xr:uid="{38A6C5C7-13B7-4167-BE42-03A7220278E1}"/>
    <cellStyle name="40% - Accent6 6 6 5" xfId="28233" xr:uid="{A43C5D03-F37B-4797-9134-469A0C03AEA6}"/>
    <cellStyle name="40% - Accent6 6 7" xfId="6120" xr:uid="{00000000-0005-0000-0000-0000A5520000}"/>
    <cellStyle name="40% - Accent6 6 7 2" xfId="14104" xr:uid="{00000000-0005-0000-0000-0000A6520000}"/>
    <cellStyle name="40% - Accent6 6 7 2 2" xfId="37947" xr:uid="{0A941F70-F3DD-4998-81FB-90FA6783A34E}"/>
    <cellStyle name="40% - Accent6 6 7 3" xfId="22052" xr:uid="{00000000-0005-0000-0000-0000A7520000}"/>
    <cellStyle name="40% - Accent6 6 7 3 2" xfId="45884" xr:uid="{9E133B5F-C861-4889-ACF9-29B724B9851D}"/>
    <cellStyle name="40% - Accent6 6 7 4" xfId="30006" xr:uid="{33719CD8-FA54-4741-9380-75337CCC778D}"/>
    <cellStyle name="40% - Accent6 6 8" xfId="9673" xr:uid="{00000000-0005-0000-0000-0000A8520000}"/>
    <cellStyle name="40% - Accent6 6 8 2" xfId="17631" xr:uid="{00000000-0005-0000-0000-0000A9520000}"/>
    <cellStyle name="40% - Accent6 6 8 2 2" xfId="41471" xr:uid="{691EE2B5-1097-4FF5-84CE-98A32A97557D}"/>
    <cellStyle name="40% - Accent6 6 8 3" xfId="25575" xr:uid="{00000000-0005-0000-0000-0000AA520000}"/>
    <cellStyle name="40% - Accent6 6 8 3 2" xfId="49407" xr:uid="{25468608-12A0-44E2-B8C8-4D8153A22060}"/>
    <cellStyle name="40% - Accent6 6 8 4" xfId="33530" xr:uid="{BCC85719-FD52-4CEF-AE09-BC95B524D5D3}"/>
    <cellStyle name="40% - Accent6 6 9" xfId="10569" xr:uid="{00000000-0005-0000-0000-0000AB520000}"/>
    <cellStyle name="40% - Accent6 6 9 2" xfId="34418" xr:uid="{13FE85EC-5266-4EC3-8159-0603554368A5}"/>
    <cellStyle name="40% - Accent6 6_Exh G" xfId="3389" xr:uid="{00000000-0005-0000-0000-0000AC520000}"/>
    <cellStyle name="40% - Accent6 7" xfId="625" xr:uid="{00000000-0005-0000-0000-0000AD520000}"/>
    <cellStyle name="40% - Accent6 7 10" xfId="18528" xr:uid="{00000000-0005-0000-0000-0000AE520000}"/>
    <cellStyle name="40% - Accent6 7 10 2" xfId="42360" xr:uid="{4D248CB2-9EBF-4C7D-BCBA-4FD51DC97E91}"/>
    <cellStyle name="40% - Accent6 7 11" xfId="26480" xr:uid="{E8EB6987-1F15-47DA-989E-9C45600BE1D8}"/>
    <cellStyle name="40% - Accent6 7 2" xfId="626" xr:uid="{00000000-0005-0000-0000-0000AF520000}"/>
    <cellStyle name="40% - Accent6 7 2 2" xfId="627" xr:uid="{00000000-0005-0000-0000-0000B0520000}"/>
    <cellStyle name="40% - Accent6 7 2 2 2" xfId="1655" xr:uid="{00000000-0005-0000-0000-0000B1520000}"/>
    <cellStyle name="40% - Accent6 7 2 2 2 2" xfId="5185" xr:uid="{00000000-0005-0000-0000-0000B2520000}"/>
    <cellStyle name="40% - Accent6 7 2 2 2 2 2" xfId="8776" xr:uid="{00000000-0005-0000-0000-0000B3520000}"/>
    <cellStyle name="40% - Accent6 7 2 2 2 2 2 2" xfId="16747" xr:uid="{00000000-0005-0000-0000-0000B4520000}"/>
    <cellStyle name="40% - Accent6 7 2 2 2 2 2 2 2" xfId="40589" xr:uid="{401D4C7B-5AC7-4381-AE10-68420E1AF2F2}"/>
    <cellStyle name="40% - Accent6 7 2 2 2 2 2 3" xfId="24693" xr:uid="{00000000-0005-0000-0000-0000B5520000}"/>
    <cellStyle name="40% - Accent6 7 2 2 2 2 2 3 2" xfId="48525" xr:uid="{E7CF4023-C204-41DA-A0B3-EA496A2B9FFA}"/>
    <cellStyle name="40% - Accent6 7 2 2 2 2 2 4" xfId="32648" xr:uid="{9C883449-9AAF-4E4B-BBEA-D2498393F3A9}"/>
    <cellStyle name="40% - Accent6 7 2 2 2 2 3" xfId="13209" xr:uid="{00000000-0005-0000-0000-0000B6520000}"/>
    <cellStyle name="40% - Accent6 7 2 2 2 2 3 2" xfId="37058" xr:uid="{9C240C26-0DFA-4BB6-9DCF-C03F3A63B116}"/>
    <cellStyle name="40% - Accent6 7 2 2 2 2 4" xfId="21164" xr:uid="{00000000-0005-0000-0000-0000B7520000}"/>
    <cellStyle name="40% - Accent6 7 2 2 2 2 4 2" xfId="44996" xr:uid="{A2C066F7-40B1-4036-AA1E-1258841490FE}"/>
    <cellStyle name="40% - Accent6 7 2 2 2 2 5" xfId="29117" xr:uid="{7E1ECAEB-6D43-4BDB-8FAF-185654DAD315}"/>
    <cellStyle name="40% - Accent6 7 2 2 2 3" xfId="7017" xr:uid="{00000000-0005-0000-0000-0000B8520000}"/>
    <cellStyle name="40% - Accent6 7 2 2 2 3 2" xfId="14989" xr:uid="{00000000-0005-0000-0000-0000B9520000}"/>
    <cellStyle name="40% - Accent6 7 2 2 2 3 2 2" xfId="38831" xr:uid="{DA9AF116-CA54-4F7C-A977-11DA11C4E0F6}"/>
    <cellStyle name="40% - Accent6 7 2 2 2 3 3" xfId="22936" xr:uid="{00000000-0005-0000-0000-0000BA520000}"/>
    <cellStyle name="40% - Accent6 7 2 2 2 3 3 2" xfId="46768" xr:uid="{99701FFB-950F-475E-B19A-27003539D979}"/>
    <cellStyle name="40% - Accent6 7 2 2 2 3 4" xfId="30890" xr:uid="{E29BC28B-48BF-486D-A389-B3643C549011}"/>
    <cellStyle name="40% - Accent6 7 2 2 2 4" xfId="11453" xr:uid="{00000000-0005-0000-0000-0000BB520000}"/>
    <cellStyle name="40% - Accent6 7 2 2 2 4 2" xfId="35302" xr:uid="{7A5685CE-62B5-4307-A7BD-5BCEBC3BB228}"/>
    <cellStyle name="40% - Accent6 7 2 2 2 5" xfId="19408" xr:uid="{00000000-0005-0000-0000-0000BC520000}"/>
    <cellStyle name="40% - Accent6 7 2 2 2 5 2" xfId="43240" xr:uid="{7CC5435D-A528-475B-8F79-56DA628DC7D3}"/>
    <cellStyle name="40% - Accent6 7 2 2 2 6" xfId="27360" xr:uid="{F8716913-0102-4BB7-98F6-97AB07DD0837}"/>
    <cellStyle name="40% - Accent6 7 2 2 2_Exh G" xfId="3402" xr:uid="{00000000-0005-0000-0000-0000BD520000}"/>
    <cellStyle name="40% - Accent6 7 2 2 3" xfId="4306" xr:uid="{00000000-0005-0000-0000-0000BE520000}"/>
    <cellStyle name="40% - Accent6 7 2 2 3 2" xfId="7898" xr:uid="{00000000-0005-0000-0000-0000BF520000}"/>
    <cellStyle name="40% - Accent6 7 2 2 3 2 2" xfId="15869" xr:uid="{00000000-0005-0000-0000-0000C0520000}"/>
    <cellStyle name="40% - Accent6 7 2 2 3 2 2 2" xfId="39711" xr:uid="{24E08AC9-EB93-4553-84BF-2EDDC2A53285}"/>
    <cellStyle name="40% - Accent6 7 2 2 3 2 3" xfId="23815" xr:uid="{00000000-0005-0000-0000-0000C1520000}"/>
    <cellStyle name="40% - Accent6 7 2 2 3 2 3 2" xfId="47647" xr:uid="{3B1ED591-DAA9-4E66-A4D7-9DD2404AF301}"/>
    <cellStyle name="40% - Accent6 7 2 2 3 2 4" xfId="31770" xr:uid="{F56E655D-94DD-45D8-8FE1-D54B051493B3}"/>
    <cellStyle name="40% - Accent6 7 2 2 3 3" xfId="12331" xr:uid="{00000000-0005-0000-0000-0000C2520000}"/>
    <cellStyle name="40% - Accent6 7 2 2 3 3 2" xfId="36180" xr:uid="{8F1BF56C-8DEB-4ECC-BF89-FD5829A1C70B}"/>
    <cellStyle name="40% - Accent6 7 2 2 3 4" xfId="20286" xr:uid="{00000000-0005-0000-0000-0000C3520000}"/>
    <cellStyle name="40% - Accent6 7 2 2 3 4 2" xfId="44118" xr:uid="{46DDA9E2-5C9C-4AEA-B96C-8D814F43FE35}"/>
    <cellStyle name="40% - Accent6 7 2 2 3 5" xfId="28239" xr:uid="{80B31D67-DB66-4E3C-81B6-98A8E4CE6AF2}"/>
    <cellStyle name="40% - Accent6 7 2 2 4" xfId="6126" xr:uid="{00000000-0005-0000-0000-0000C4520000}"/>
    <cellStyle name="40% - Accent6 7 2 2 4 2" xfId="14110" xr:uid="{00000000-0005-0000-0000-0000C5520000}"/>
    <cellStyle name="40% - Accent6 7 2 2 4 2 2" xfId="37953" xr:uid="{05CBCAB1-3BE9-4A9F-8CE0-C8C207CE3A36}"/>
    <cellStyle name="40% - Accent6 7 2 2 4 3" xfId="22058" xr:uid="{00000000-0005-0000-0000-0000C6520000}"/>
    <cellStyle name="40% - Accent6 7 2 2 4 3 2" xfId="45890" xr:uid="{CFEAC9D1-13EF-4CBF-B875-16C34496724B}"/>
    <cellStyle name="40% - Accent6 7 2 2 4 4" xfId="30012" xr:uid="{C642579B-4A2C-4B99-B429-01DA3AA7A401}"/>
    <cellStyle name="40% - Accent6 7 2 2 5" xfId="9679" xr:uid="{00000000-0005-0000-0000-0000C7520000}"/>
    <cellStyle name="40% - Accent6 7 2 2 5 2" xfId="17637" xr:uid="{00000000-0005-0000-0000-0000C8520000}"/>
    <cellStyle name="40% - Accent6 7 2 2 5 2 2" xfId="41477" xr:uid="{5E775A26-ACED-4368-936C-CB3A607860F3}"/>
    <cellStyle name="40% - Accent6 7 2 2 5 3" xfId="25581" xr:uid="{00000000-0005-0000-0000-0000C9520000}"/>
    <cellStyle name="40% - Accent6 7 2 2 5 3 2" xfId="49413" xr:uid="{5EDBDDF5-43C4-4D53-81A0-4A0211BB5436}"/>
    <cellStyle name="40% - Accent6 7 2 2 5 4" xfId="33536" xr:uid="{F5FA72CE-FFC8-4618-9124-67AB0260EA29}"/>
    <cellStyle name="40% - Accent6 7 2 2 6" xfId="10575" xr:uid="{00000000-0005-0000-0000-0000CA520000}"/>
    <cellStyle name="40% - Accent6 7 2 2 6 2" xfId="34424" xr:uid="{058FA6DF-31DE-40A0-BDEF-8660B788B6C8}"/>
    <cellStyle name="40% - Accent6 7 2 2 7" xfId="18530" xr:uid="{00000000-0005-0000-0000-0000CB520000}"/>
    <cellStyle name="40% - Accent6 7 2 2 7 2" xfId="42362" xr:uid="{1EE9A87E-214C-4ADA-B4B5-A5C1F7B920D1}"/>
    <cellStyle name="40% - Accent6 7 2 2 8" xfId="26482" xr:uid="{9679DF56-8291-4984-A331-2B4036B71546}"/>
    <cellStyle name="40% - Accent6 7 2 2_Exh G" xfId="3401" xr:uid="{00000000-0005-0000-0000-0000CC520000}"/>
    <cellStyle name="40% - Accent6 7 2 3" xfId="1654" xr:uid="{00000000-0005-0000-0000-0000CD520000}"/>
    <cellStyle name="40% - Accent6 7 2 3 2" xfId="5184" xr:uid="{00000000-0005-0000-0000-0000CE520000}"/>
    <cellStyle name="40% - Accent6 7 2 3 2 2" xfId="8775" xr:uid="{00000000-0005-0000-0000-0000CF520000}"/>
    <cellStyle name="40% - Accent6 7 2 3 2 2 2" xfId="16746" xr:uid="{00000000-0005-0000-0000-0000D0520000}"/>
    <cellStyle name="40% - Accent6 7 2 3 2 2 2 2" xfId="40588" xr:uid="{CB11A3A9-10E7-4C89-8A9C-9F2912FE9D1D}"/>
    <cellStyle name="40% - Accent6 7 2 3 2 2 3" xfId="24692" xr:uid="{00000000-0005-0000-0000-0000D1520000}"/>
    <cellStyle name="40% - Accent6 7 2 3 2 2 3 2" xfId="48524" xr:uid="{BE766861-D668-4A10-B1B7-3A1C5B51CC77}"/>
    <cellStyle name="40% - Accent6 7 2 3 2 2 4" xfId="32647" xr:uid="{294D732A-4150-4103-BA41-96673A21B4F9}"/>
    <cellStyle name="40% - Accent6 7 2 3 2 3" xfId="13208" xr:uid="{00000000-0005-0000-0000-0000D2520000}"/>
    <cellStyle name="40% - Accent6 7 2 3 2 3 2" xfId="37057" xr:uid="{40016165-B208-42C9-8EA4-8FC0950578BF}"/>
    <cellStyle name="40% - Accent6 7 2 3 2 4" xfId="21163" xr:uid="{00000000-0005-0000-0000-0000D3520000}"/>
    <cellStyle name="40% - Accent6 7 2 3 2 4 2" xfId="44995" xr:uid="{5DB961CF-D7F4-4EEB-AF5B-D480A6D6EF81}"/>
    <cellStyle name="40% - Accent6 7 2 3 2 5" xfId="29116" xr:uid="{9B07247B-A486-43F2-85C5-BEF014EE6AAC}"/>
    <cellStyle name="40% - Accent6 7 2 3 3" xfId="7016" xr:uid="{00000000-0005-0000-0000-0000D4520000}"/>
    <cellStyle name="40% - Accent6 7 2 3 3 2" xfId="14988" xr:uid="{00000000-0005-0000-0000-0000D5520000}"/>
    <cellStyle name="40% - Accent6 7 2 3 3 2 2" xfId="38830" xr:uid="{01C9D880-262B-466A-8A9C-8272977BB438}"/>
    <cellStyle name="40% - Accent6 7 2 3 3 3" xfId="22935" xr:uid="{00000000-0005-0000-0000-0000D6520000}"/>
    <cellStyle name="40% - Accent6 7 2 3 3 3 2" xfId="46767" xr:uid="{F693EC24-1028-473C-B4F4-8D2328D0C8A5}"/>
    <cellStyle name="40% - Accent6 7 2 3 3 4" xfId="30889" xr:uid="{1E232974-4943-4313-B32A-0453EFAD87E6}"/>
    <cellStyle name="40% - Accent6 7 2 3 4" xfId="11452" xr:uid="{00000000-0005-0000-0000-0000D7520000}"/>
    <cellStyle name="40% - Accent6 7 2 3 4 2" xfId="35301" xr:uid="{933294FF-AA0A-46B6-8C35-1CBBA4C25943}"/>
    <cellStyle name="40% - Accent6 7 2 3 5" xfId="19407" xr:uid="{00000000-0005-0000-0000-0000D8520000}"/>
    <cellStyle name="40% - Accent6 7 2 3 5 2" xfId="43239" xr:uid="{CD3930BE-71A5-41E0-BB3E-2B3D39EA02A6}"/>
    <cellStyle name="40% - Accent6 7 2 3 6" xfId="27359" xr:uid="{1EBDC490-2EA4-4C8A-9239-DCBA40E04623}"/>
    <cellStyle name="40% - Accent6 7 2 3_Exh G" xfId="3403" xr:uid="{00000000-0005-0000-0000-0000D9520000}"/>
    <cellStyle name="40% - Accent6 7 2 4" xfId="4305" xr:uid="{00000000-0005-0000-0000-0000DA520000}"/>
    <cellStyle name="40% - Accent6 7 2 4 2" xfId="7897" xr:uid="{00000000-0005-0000-0000-0000DB520000}"/>
    <cellStyle name="40% - Accent6 7 2 4 2 2" xfId="15868" xr:uid="{00000000-0005-0000-0000-0000DC520000}"/>
    <cellStyle name="40% - Accent6 7 2 4 2 2 2" xfId="39710" xr:uid="{B5457F44-F70B-49D8-B6C2-68D851A6AE10}"/>
    <cellStyle name="40% - Accent6 7 2 4 2 3" xfId="23814" xr:uid="{00000000-0005-0000-0000-0000DD520000}"/>
    <cellStyle name="40% - Accent6 7 2 4 2 3 2" xfId="47646" xr:uid="{D47083DD-E96B-4258-A540-9BFD3B48AE11}"/>
    <cellStyle name="40% - Accent6 7 2 4 2 4" xfId="31769" xr:uid="{2F5F63AC-014D-44FF-98E0-3BE77433C21E}"/>
    <cellStyle name="40% - Accent6 7 2 4 3" xfId="12330" xr:uid="{00000000-0005-0000-0000-0000DE520000}"/>
    <cellStyle name="40% - Accent6 7 2 4 3 2" xfId="36179" xr:uid="{3AC6E39A-321E-4D98-BC65-50201E2C32CE}"/>
    <cellStyle name="40% - Accent6 7 2 4 4" xfId="20285" xr:uid="{00000000-0005-0000-0000-0000DF520000}"/>
    <cellStyle name="40% - Accent6 7 2 4 4 2" xfId="44117" xr:uid="{DF85237C-DE95-4307-B941-9A065B6709BB}"/>
    <cellStyle name="40% - Accent6 7 2 4 5" xfId="28238" xr:uid="{3784886C-E00D-429E-AC11-A5785F362134}"/>
    <cellStyle name="40% - Accent6 7 2 5" xfId="6125" xr:uid="{00000000-0005-0000-0000-0000E0520000}"/>
    <cellStyle name="40% - Accent6 7 2 5 2" xfId="14109" xr:uid="{00000000-0005-0000-0000-0000E1520000}"/>
    <cellStyle name="40% - Accent6 7 2 5 2 2" xfId="37952" xr:uid="{A5D93043-B096-4066-B05E-90A5771FD1B1}"/>
    <cellStyle name="40% - Accent6 7 2 5 3" xfId="22057" xr:uid="{00000000-0005-0000-0000-0000E2520000}"/>
    <cellStyle name="40% - Accent6 7 2 5 3 2" xfId="45889" xr:uid="{043C923C-83EC-48EC-88F9-947FCB8A01F4}"/>
    <cellStyle name="40% - Accent6 7 2 5 4" xfId="30011" xr:uid="{7BFD4888-11DC-44B6-BB83-4F8D5B836A96}"/>
    <cellStyle name="40% - Accent6 7 2 6" xfId="9678" xr:uid="{00000000-0005-0000-0000-0000E3520000}"/>
    <cellStyle name="40% - Accent6 7 2 6 2" xfId="17636" xr:uid="{00000000-0005-0000-0000-0000E4520000}"/>
    <cellStyle name="40% - Accent6 7 2 6 2 2" xfId="41476" xr:uid="{08036034-F9E0-47C6-BE9C-C53B0A623B29}"/>
    <cellStyle name="40% - Accent6 7 2 6 3" xfId="25580" xr:uid="{00000000-0005-0000-0000-0000E5520000}"/>
    <cellStyle name="40% - Accent6 7 2 6 3 2" xfId="49412" xr:uid="{679094EF-2F22-4449-A9C8-CCF2FFD9BE1E}"/>
    <cellStyle name="40% - Accent6 7 2 6 4" xfId="33535" xr:uid="{59B162A2-65CC-44B3-BAB8-B2415122F31F}"/>
    <cellStyle name="40% - Accent6 7 2 7" xfId="10574" xr:uid="{00000000-0005-0000-0000-0000E6520000}"/>
    <cellStyle name="40% - Accent6 7 2 7 2" xfId="34423" xr:uid="{A9BF1184-C681-435F-AA0C-BA79553D387E}"/>
    <cellStyle name="40% - Accent6 7 2 8" xfId="18529" xr:uid="{00000000-0005-0000-0000-0000E7520000}"/>
    <cellStyle name="40% - Accent6 7 2 8 2" xfId="42361" xr:uid="{D7FEFE1A-7447-46D3-B257-EA47C3CAEB11}"/>
    <cellStyle name="40% - Accent6 7 2 9" xfId="26481" xr:uid="{D7FD36D1-A6C6-492C-946A-FBE9870D502A}"/>
    <cellStyle name="40% - Accent6 7 2_Exh G" xfId="3400" xr:uid="{00000000-0005-0000-0000-0000E8520000}"/>
    <cellStyle name="40% - Accent6 7 3" xfId="628" xr:uid="{00000000-0005-0000-0000-0000E9520000}"/>
    <cellStyle name="40% - Accent6 7 3 2" xfId="1656" xr:uid="{00000000-0005-0000-0000-0000EA520000}"/>
    <cellStyle name="40% - Accent6 7 3 2 2" xfId="5186" xr:uid="{00000000-0005-0000-0000-0000EB520000}"/>
    <cellStyle name="40% - Accent6 7 3 2 2 2" xfId="8777" xr:uid="{00000000-0005-0000-0000-0000EC520000}"/>
    <cellStyle name="40% - Accent6 7 3 2 2 2 2" xfId="16748" xr:uid="{00000000-0005-0000-0000-0000ED520000}"/>
    <cellStyle name="40% - Accent6 7 3 2 2 2 2 2" xfId="40590" xr:uid="{4D9ADD71-F23F-4519-934D-F8233132FD01}"/>
    <cellStyle name="40% - Accent6 7 3 2 2 2 3" xfId="24694" xr:uid="{00000000-0005-0000-0000-0000EE520000}"/>
    <cellStyle name="40% - Accent6 7 3 2 2 2 3 2" xfId="48526" xr:uid="{CAE17EC5-6A51-472F-B3BE-6E7D4D0D46DA}"/>
    <cellStyle name="40% - Accent6 7 3 2 2 2 4" xfId="32649" xr:uid="{EDA88A5E-2BBB-49BB-9210-B6FFFB5C0B30}"/>
    <cellStyle name="40% - Accent6 7 3 2 2 3" xfId="13210" xr:uid="{00000000-0005-0000-0000-0000EF520000}"/>
    <cellStyle name="40% - Accent6 7 3 2 2 3 2" xfId="37059" xr:uid="{C7A12673-019E-46AF-BADC-C01A3D6F9187}"/>
    <cellStyle name="40% - Accent6 7 3 2 2 4" xfId="21165" xr:uid="{00000000-0005-0000-0000-0000F0520000}"/>
    <cellStyle name="40% - Accent6 7 3 2 2 4 2" xfId="44997" xr:uid="{F57887F7-1020-4A49-8AF1-41DDAFA66A27}"/>
    <cellStyle name="40% - Accent6 7 3 2 2 5" xfId="29118" xr:uid="{93A49C63-665B-43EB-8199-B2011E8D1F54}"/>
    <cellStyle name="40% - Accent6 7 3 2 3" xfId="7018" xr:uid="{00000000-0005-0000-0000-0000F1520000}"/>
    <cellStyle name="40% - Accent6 7 3 2 3 2" xfId="14990" xr:uid="{00000000-0005-0000-0000-0000F2520000}"/>
    <cellStyle name="40% - Accent6 7 3 2 3 2 2" xfId="38832" xr:uid="{09FDB7C2-0BB2-4454-BFB0-8A1CB72718ED}"/>
    <cellStyle name="40% - Accent6 7 3 2 3 3" xfId="22937" xr:uid="{00000000-0005-0000-0000-0000F3520000}"/>
    <cellStyle name="40% - Accent6 7 3 2 3 3 2" xfId="46769" xr:uid="{934FB91A-5086-48CE-8903-7E51C6D6916E}"/>
    <cellStyle name="40% - Accent6 7 3 2 3 4" xfId="30891" xr:uid="{0217C893-FFEF-4E0B-BA26-7474931056A2}"/>
    <cellStyle name="40% - Accent6 7 3 2 4" xfId="11454" xr:uid="{00000000-0005-0000-0000-0000F4520000}"/>
    <cellStyle name="40% - Accent6 7 3 2 4 2" xfId="35303" xr:uid="{2565C381-B7B4-4091-B195-7AB7E0F0D6D5}"/>
    <cellStyle name="40% - Accent6 7 3 2 5" xfId="19409" xr:uid="{00000000-0005-0000-0000-0000F5520000}"/>
    <cellStyle name="40% - Accent6 7 3 2 5 2" xfId="43241" xr:uid="{E47467C5-BB93-46C0-BAFC-2D9BA14F0E04}"/>
    <cellStyle name="40% - Accent6 7 3 2 6" xfId="27361" xr:uid="{9BDA7C22-9504-4236-A183-C787CD106EB4}"/>
    <cellStyle name="40% - Accent6 7 3 2_Exh G" xfId="3405" xr:uid="{00000000-0005-0000-0000-0000F6520000}"/>
    <cellStyle name="40% - Accent6 7 3 3" xfId="4307" xr:uid="{00000000-0005-0000-0000-0000F7520000}"/>
    <cellStyle name="40% - Accent6 7 3 3 2" xfId="7899" xr:uid="{00000000-0005-0000-0000-0000F8520000}"/>
    <cellStyle name="40% - Accent6 7 3 3 2 2" xfId="15870" xr:uid="{00000000-0005-0000-0000-0000F9520000}"/>
    <cellStyle name="40% - Accent6 7 3 3 2 2 2" xfId="39712" xr:uid="{B1F0FA3F-26AB-4A17-AA5B-9BB5CDE722FE}"/>
    <cellStyle name="40% - Accent6 7 3 3 2 3" xfId="23816" xr:uid="{00000000-0005-0000-0000-0000FA520000}"/>
    <cellStyle name="40% - Accent6 7 3 3 2 3 2" xfId="47648" xr:uid="{0DF253A0-750C-4490-89EC-CFD2E480B0E5}"/>
    <cellStyle name="40% - Accent6 7 3 3 2 4" xfId="31771" xr:uid="{C43C050F-FF53-4389-9C0E-1D6DFCF15AF7}"/>
    <cellStyle name="40% - Accent6 7 3 3 3" xfId="12332" xr:uid="{00000000-0005-0000-0000-0000FB520000}"/>
    <cellStyle name="40% - Accent6 7 3 3 3 2" xfId="36181" xr:uid="{7508CADE-42A6-4913-AA36-8AD5B66C47C4}"/>
    <cellStyle name="40% - Accent6 7 3 3 4" xfId="20287" xr:uid="{00000000-0005-0000-0000-0000FC520000}"/>
    <cellStyle name="40% - Accent6 7 3 3 4 2" xfId="44119" xr:uid="{0AB6D3BF-E219-4015-AA03-5F653966425D}"/>
    <cellStyle name="40% - Accent6 7 3 3 5" xfId="28240" xr:uid="{C1C4127D-D69C-4831-8F58-75FE2A149F5B}"/>
    <cellStyle name="40% - Accent6 7 3 4" xfId="6127" xr:uid="{00000000-0005-0000-0000-0000FD520000}"/>
    <cellStyle name="40% - Accent6 7 3 4 2" xfId="14111" xr:uid="{00000000-0005-0000-0000-0000FE520000}"/>
    <cellStyle name="40% - Accent6 7 3 4 2 2" xfId="37954" xr:uid="{1712B8AE-B335-4E21-A05E-A950FDCEF55A}"/>
    <cellStyle name="40% - Accent6 7 3 4 3" xfId="22059" xr:uid="{00000000-0005-0000-0000-0000FF520000}"/>
    <cellStyle name="40% - Accent6 7 3 4 3 2" xfId="45891" xr:uid="{07F60E94-CF62-408E-8B3D-2B162BD25587}"/>
    <cellStyle name="40% - Accent6 7 3 4 4" xfId="30013" xr:uid="{19960EAD-DD87-43B2-8EE8-D9A4A5DE13F2}"/>
    <cellStyle name="40% - Accent6 7 3 5" xfId="9680" xr:uid="{00000000-0005-0000-0000-000000530000}"/>
    <cellStyle name="40% - Accent6 7 3 5 2" xfId="17638" xr:uid="{00000000-0005-0000-0000-000001530000}"/>
    <cellStyle name="40% - Accent6 7 3 5 2 2" xfId="41478" xr:uid="{1C7D9D53-220A-4B3E-ADFE-5A9C1EDBC7C9}"/>
    <cellStyle name="40% - Accent6 7 3 5 3" xfId="25582" xr:uid="{00000000-0005-0000-0000-000002530000}"/>
    <cellStyle name="40% - Accent6 7 3 5 3 2" xfId="49414" xr:uid="{DA9EB19B-E782-403C-9470-36C07685C1F4}"/>
    <cellStyle name="40% - Accent6 7 3 5 4" xfId="33537" xr:uid="{61AF6BFA-24D4-435C-920A-9170032BB506}"/>
    <cellStyle name="40% - Accent6 7 3 6" xfId="10576" xr:uid="{00000000-0005-0000-0000-000003530000}"/>
    <cellStyle name="40% - Accent6 7 3 6 2" xfId="34425" xr:uid="{C5D03936-7BB5-45C2-B5A1-82291DD8F401}"/>
    <cellStyle name="40% - Accent6 7 3 7" xfId="18531" xr:uid="{00000000-0005-0000-0000-000004530000}"/>
    <cellStyle name="40% - Accent6 7 3 7 2" xfId="42363" xr:uid="{EBA46D7E-63D5-41AD-AF51-5B7714131E52}"/>
    <cellStyle name="40% - Accent6 7 3 8" xfId="26483" xr:uid="{866149C4-173C-4223-83F3-302AF65C9495}"/>
    <cellStyle name="40% - Accent6 7 3_Exh G" xfId="3404" xr:uid="{00000000-0005-0000-0000-000005530000}"/>
    <cellStyle name="40% - Accent6 7 4" xfId="1003" xr:uid="{00000000-0005-0000-0000-000006530000}"/>
    <cellStyle name="40% - Accent6 7 4 2" xfId="1916" xr:uid="{00000000-0005-0000-0000-000007530000}"/>
    <cellStyle name="40% - Accent6 7 4 2 2" xfId="5434" xr:uid="{00000000-0005-0000-0000-000008530000}"/>
    <cellStyle name="40% - Accent6 7 4 2 2 2" xfId="9025" xr:uid="{00000000-0005-0000-0000-000009530000}"/>
    <cellStyle name="40% - Accent6 7 4 2 2 2 2" xfId="16996" xr:uid="{00000000-0005-0000-0000-00000A530000}"/>
    <cellStyle name="40% - Accent6 7 4 2 2 2 2 2" xfId="40838" xr:uid="{36868620-F374-4F14-A4D0-2BAC46536A0C}"/>
    <cellStyle name="40% - Accent6 7 4 2 2 2 3" xfId="24942" xr:uid="{00000000-0005-0000-0000-00000B530000}"/>
    <cellStyle name="40% - Accent6 7 4 2 2 2 3 2" xfId="48774" xr:uid="{D27E3370-13F2-4125-A6FD-1BFE3F1D2773}"/>
    <cellStyle name="40% - Accent6 7 4 2 2 2 4" xfId="32897" xr:uid="{3F224E14-1608-4103-AB92-7291F5C5EB81}"/>
    <cellStyle name="40% - Accent6 7 4 2 2 3" xfId="13458" xr:uid="{00000000-0005-0000-0000-00000C530000}"/>
    <cellStyle name="40% - Accent6 7 4 2 2 3 2" xfId="37307" xr:uid="{7DECF6E1-DC6B-42D5-9D30-926D040BF7E0}"/>
    <cellStyle name="40% - Accent6 7 4 2 2 4" xfId="21413" xr:uid="{00000000-0005-0000-0000-00000D530000}"/>
    <cellStyle name="40% - Accent6 7 4 2 2 4 2" xfId="45245" xr:uid="{C16D3C54-07F4-41EF-98EF-7B4CD5F02445}"/>
    <cellStyle name="40% - Accent6 7 4 2 2 5" xfId="29366" xr:uid="{59E0A024-BD2E-47C5-8FC6-F562814639BF}"/>
    <cellStyle name="40% - Accent6 7 4 2 3" xfId="7266" xr:uid="{00000000-0005-0000-0000-00000E530000}"/>
    <cellStyle name="40% - Accent6 7 4 2 3 2" xfId="15238" xr:uid="{00000000-0005-0000-0000-00000F530000}"/>
    <cellStyle name="40% - Accent6 7 4 2 3 2 2" xfId="39080" xr:uid="{AE4982D9-4427-4E31-9237-AC1A83B7912A}"/>
    <cellStyle name="40% - Accent6 7 4 2 3 3" xfId="23185" xr:uid="{00000000-0005-0000-0000-000010530000}"/>
    <cellStyle name="40% - Accent6 7 4 2 3 3 2" xfId="47017" xr:uid="{BD745B8E-6CB3-4D41-8616-816AAC45CFE7}"/>
    <cellStyle name="40% - Accent6 7 4 2 3 4" xfId="31139" xr:uid="{BBF015E7-6AEA-4176-B2D5-8EC0730C7F09}"/>
    <cellStyle name="40% - Accent6 7 4 2 4" xfId="11702" xr:uid="{00000000-0005-0000-0000-000011530000}"/>
    <cellStyle name="40% - Accent6 7 4 2 4 2" xfId="35551" xr:uid="{80379948-D77B-49FC-AE83-E19F9E9DCEDE}"/>
    <cellStyle name="40% - Accent6 7 4 2 5" xfId="19657" xr:uid="{00000000-0005-0000-0000-000012530000}"/>
    <cellStyle name="40% - Accent6 7 4 2 5 2" xfId="43489" xr:uid="{D4A3EAFB-C268-4CAB-8258-A4BBDDBE632B}"/>
    <cellStyle name="40% - Accent6 7 4 2 6" xfId="27609" xr:uid="{6216B7C2-43AC-456C-A93E-4AEE0DC65187}"/>
    <cellStyle name="40% - Accent6 7 4 2_Exh G" xfId="3407" xr:uid="{00000000-0005-0000-0000-000013530000}"/>
    <cellStyle name="40% - Accent6 7 4 3" xfId="4555" xr:uid="{00000000-0005-0000-0000-000014530000}"/>
    <cellStyle name="40% - Accent6 7 4 3 2" xfId="8147" xr:uid="{00000000-0005-0000-0000-000015530000}"/>
    <cellStyle name="40% - Accent6 7 4 3 2 2" xfId="16118" xr:uid="{00000000-0005-0000-0000-000016530000}"/>
    <cellStyle name="40% - Accent6 7 4 3 2 2 2" xfId="39960" xr:uid="{20A8110E-2966-41EB-9414-5DC99911291A}"/>
    <cellStyle name="40% - Accent6 7 4 3 2 3" xfId="24064" xr:uid="{00000000-0005-0000-0000-000017530000}"/>
    <cellStyle name="40% - Accent6 7 4 3 2 3 2" xfId="47896" xr:uid="{934C2849-E329-4F1F-8EA0-319016702804}"/>
    <cellStyle name="40% - Accent6 7 4 3 2 4" xfId="32019" xr:uid="{F8C77F3E-9D98-423E-AF86-46D9221283BE}"/>
    <cellStyle name="40% - Accent6 7 4 3 3" xfId="12580" xr:uid="{00000000-0005-0000-0000-000018530000}"/>
    <cellStyle name="40% - Accent6 7 4 3 3 2" xfId="36429" xr:uid="{6534A2AD-C8F8-4A98-A80F-46FAEE2535EF}"/>
    <cellStyle name="40% - Accent6 7 4 3 4" xfId="20535" xr:uid="{00000000-0005-0000-0000-000019530000}"/>
    <cellStyle name="40% - Accent6 7 4 3 4 2" xfId="44367" xr:uid="{E49D161B-3387-4924-8707-8D96C714976C}"/>
    <cellStyle name="40% - Accent6 7 4 3 5" xfId="28488" xr:uid="{D698DB48-3AE9-49F4-A3FF-B89E435EE440}"/>
    <cellStyle name="40% - Accent6 7 4 4" xfId="6385" xr:uid="{00000000-0005-0000-0000-00001A530000}"/>
    <cellStyle name="40% - Accent6 7 4 4 2" xfId="14360" xr:uid="{00000000-0005-0000-0000-00001B530000}"/>
    <cellStyle name="40% - Accent6 7 4 4 2 2" xfId="38202" xr:uid="{1F0E3C86-6D8A-427E-8E33-87867F5B70A2}"/>
    <cellStyle name="40% - Accent6 7 4 4 3" xfId="22307" xr:uid="{00000000-0005-0000-0000-00001C530000}"/>
    <cellStyle name="40% - Accent6 7 4 4 3 2" xfId="46139" xr:uid="{70F582FA-F8EE-45C0-8C79-2810C7DFCA63}"/>
    <cellStyle name="40% - Accent6 7 4 4 4" xfId="30261" xr:uid="{438EDE3D-9480-4DF2-9493-C565F527D94C}"/>
    <cellStyle name="40% - Accent6 7 4 5" xfId="9928" xr:uid="{00000000-0005-0000-0000-00001D530000}"/>
    <cellStyle name="40% - Accent6 7 4 5 2" xfId="17886" xr:uid="{00000000-0005-0000-0000-00001E530000}"/>
    <cellStyle name="40% - Accent6 7 4 5 2 2" xfId="41726" xr:uid="{4570D772-0F40-4D40-85B9-1B4D2F0861D3}"/>
    <cellStyle name="40% - Accent6 7 4 5 3" xfId="25830" xr:uid="{00000000-0005-0000-0000-00001F530000}"/>
    <cellStyle name="40% - Accent6 7 4 5 3 2" xfId="49662" xr:uid="{3ACF9BB8-34AE-4F8B-A620-2B7AF07C27B0}"/>
    <cellStyle name="40% - Accent6 7 4 5 4" xfId="33785" xr:uid="{F7D68496-1475-4244-BEBE-79AF5166411D}"/>
    <cellStyle name="40% - Accent6 7 4 6" xfId="10824" xr:uid="{00000000-0005-0000-0000-000020530000}"/>
    <cellStyle name="40% - Accent6 7 4 6 2" xfId="34673" xr:uid="{64AE426F-FE3A-4C76-935C-EEBC1D386B16}"/>
    <cellStyle name="40% - Accent6 7 4 7" xfId="18779" xr:uid="{00000000-0005-0000-0000-000021530000}"/>
    <cellStyle name="40% - Accent6 7 4 7 2" xfId="42611" xr:uid="{19EEC012-C78B-43B1-B0E7-A84AE64E3A1C}"/>
    <cellStyle name="40% - Accent6 7 4 8" xfId="26731" xr:uid="{5C707D8E-CD6F-420E-A401-68BDF7A6427A}"/>
    <cellStyle name="40% - Accent6 7 4_Exh G" xfId="3406" xr:uid="{00000000-0005-0000-0000-000022530000}"/>
    <cellStyle name="40% - Accent6 7 5" xfId="1653" xr:uid="{00000000-0005-0000-0000-000023530000}"/>
    <cellStyle name="40% - Accent6 7 5 2" xfId="5183" xr:uid="{00000000-0005-0000-0000-000024530000}"/>
    <cellStyle name="40% - Accent6 7 5 2 2" xfId="8774" xr:uid="{00000000-0005-0000-0000-000025530000}"/>
    <cellStyle name="40% - Accent6 7 5 2 2 2" xfId="16745" xr:uid="{00000000-0005-0000-0000-000026530000}"/>
    <cellStyle name="40% - Accent6 7 5 2 2 2 2" xfId="40587" xr:uid="{6D621D88-2F48-4A2A-A951-1FFC3F0192B0}"/>
    <cellStyle name="40% - Accent6 7 5 2 2 3" xfId="24691" xr:uid="{00000000-0005-0000-0000-000027530000}"/>
    <cellStyle name="40% - Accent6 7 5 2 2 3 2" xfId="48523" xr:uid="{D628F54F-2FFC-4A25-A270-8A8083E24884}"/>
    <cellStyle name="40% - Accent6 7 5 2 2 4" xfId="32646" xr:uid="{851E5AE1-84C9-49C2-B7AB-89E2F030F66B}"/>
    <cellStyle name="40% - Accent6 7 5 2 3" xfId="13207" xr:uid="{00000000-0005-0000-0000-000028530000}"/>
    <cellStyle name="40% - Accent6 7 5 2 3 2" xfId="37056" xr:uid="{1FB1060B-7390-483C-BBD0-10AFE6FF7D21}"/>
    <cellStyle name="40% - Accent6 7 5 2 4" xfId="21162" xr:uid="{00000000-0005-0000-0000-000029530000}"/>
    <cellStyle name="40% - Accent6 7 5 2 4 2" xfId="44994" xr:uid="{D251FF5F-2B43-4E2E-8E59-F1200E4D166C}"/>
    <cellStyle name="40% - Accent6 7 5 2 5" xfId="29115" xr:uid="{970677A8-EB4F-4B83-AFC6-2081368BC488}"/>
    <cellStyle name="40% - Accent6 7 5 3" xfId="7015" xr:uid="{00000000-0005-0000-0000-00002A530000}"/>
    <cellStyle name="40% - Accent6 7 5 3 2" xfId="14987" xr:uid="{00000000-0005-0000-0000-00002B530000}"/>
    <cellStyle name="40% - Accent6 7 5 3 2 2" xfId="38829" xr:uid="{9D3F2F2D-61F6-46A2-82A1-A55CC78D2C06}"/>
    <cellStyle name="40% - Accent6 7 5 3 3" xfId="22934" xr:uid="{00000000-0005-0000-0000-00002C530000}"/>
    <cellStyle name="40% - Accent6 7 5 3 3 2" xfId="46766" xr:uid="{DDE1FDE1-5228-4087-B698-3B8DCE37418E}"/>
    <cellStyle name="40% - Accent6 7 5 3 4" xfId="30888" xr:uid="{A038F19C-90D3-4FD5-835B-36783A09F65C}"/>
    <cellStyle name="40% - Accent6 7 5 4" xfId="11451" xr:uid="{00000000-0005-0000-0000-00002D530000}"/>
    <cellStyle name="40% - Accent6 7 5 4 2" xfId="35300" xr:uid="{01792BE7-3261-4BED-B6FB-9BB6A1E9E0F1}"/>
    <cellStyle name="40% - Accent6 7 5 5" xfId="19406" xr:uid="{00000000-0005-0000-0000-00002E530000}"/>
    <cellStyle name="40% - Accent6 7 5 5 2" xfId="43238" xr:uid="{2F8116EF-CEF3-4A8C-8906-A7F61584E896}"/>
    <cellStyle name="40% - Accent6 7 5 6" xfId="27358" xr:uid="{FCCA90E8-A854-42BF-9E40-53A5601B96C5}"/>
    <cellStyle name="40% - Accent6 7 5_Exh G" xfId="3408" xr:uid="{00000000-0005-0000-0000-00002F530000}"/>
    <cellStyle name="40% - Accent6 7 6" xfId="4304" xr:uid="{00000000-0005-0000-0000-000030530000}"/>
    <cellStyle name="40% - Accent6 7 6 2" xfId="7896" xr:uid="{00000000-0005-0000-0000-000031530000}"/>
    <cellStyle name="40% - Accent6 7 6 2 2" xfId="15867" xr:uid="{00000000-0005-0000-0000-000032530000}"/>
    <cellStyle name="40% - Accent6 7 6 2 2 2" xfId="39709" xr:uid="{EBD6DE1B-C27B-43A2-8F42-96E66C336F96}"/>
    <cellStyle name="40% - Accent6 7 6 2 3" xfId="23813" xr:uid="{00000000-0005-0000-0000-000033530000}"/>
    <cellStyle name="40% - Accent6 7 6 2 3 2" xfId="47645" xr:uid="{8EC56B5E-DC8D-4BA9-95B1-67F6D9DB6774}"/>
    <cellStyle name="40% - Accent6 7 6 2 4" xfId="31768" xr:uid="{31BDC57F-A42D-49B8-B766-2B0955518AF9}"/>
    <cellStyle name="40% - Accent6 7 6 3" xfId="12329" xr:uid="{00000000-0005-0000-0000-000034530000}"/>
    <cellStyle name="40% - Accent6 7 6 3 2" xfId="36178" xr:uid="{6354A85F-29A2-4C9E-AB7A-BF5EDA78D6DF}"/>
    <cellStyle name="40% - Accent6 7 6 4" xfId="20284" xr:uid="{00000000-0005-0000-0000-000035530000}"/>
    <cellStyle name="40% - Accent6 7 6 4 2" xfId="44116" xr:uid="{BCD5DB45-2963-4D82-85C8-2B21019F4563}"/>
    <cellStyle name="40% - Accent6 7 6 5" xfId="28237" xr:uid="{06E63139-1DBA-4ABF-8790-620AF48D7D46}"/>
    <cellStyle name="40% - Accent6 7 7" xfId="6124" xr:uid="{00000000-0005-0000-0000-000036530000}"/>
    <cellStyle name="40% - Accent6 7 7 2" xfId="14108" xr:uid="{00000000-0005-0000-0000-000037530000}"/>
    <cellStyle name="40% - Accent6 7 7 2 2" xfId="37951" xr:uid="{3B9305E6-83A7-4E39-A7F6-8474B7B72618}"/>
    <cellStyle name="40% - Accent6 7 7 3" xfId="22056" xr:uid="{00000000-0005-0000-0000-000038530000}"/>
    <cellStyle name="40% - Accent6 7 7 3 2" xfId="45888" xr:uid="{A12C89CB-1B54-4644-B49B-552A18A8941B}"/>
    <cellStyle name="40% - Accent6 7 7 4" xfId="30010" xr:uid="{E27BF25C-FAC1-4277-AC03-FD3B70F58373}"/>
    <cellStyle name="40% - Accent6 7 8" xfId="9677" xr:uid="{00000000-0005-0000-0000-000039530000}"/>
    <cellStyle name="40% - Accent6 7 8 2" xfId="17635" xr:uid="{00000000-0005-0000-0000-00003A530000}"/>
    <cellStyle name="40% - Accent6 7 8 2 2" xfId="41475" xr:uid="{0F41E8D6-297E-4FBC-A191-0BAFF058B125}"/>
    <cellStyle name="40% - Accent6 7 8 3" xfId="25579" xr:uid="{00000000-0005-0000-0000-00003B530000}"/>
    <cellStyle name="40% - Accent6 7 8 3 2" xfId="49411" xr:uid="{B4634153-DECE-4036-889F-B802E4156BC4}"/>
    <cellStyle name="40% - Accent6 7 8 4" xfId="33534" xr:uid="{3FAF89EC-02B0-4623-B24A-FDC52BA50A77}"/>
    <cellStyle name="40% - Accent6 7 9" xfId="10573" xr:uid="{00000000-0005-0000-0000-00003C530000}"/>
    <cellStyle name="40% - Accent6 7 9 2" xfId="34422" xr:uid="{237FA92A-6452-446C-A6DC-224D5A74104A}"/>
    <cellStyle name="40% - Accent6 7_Exh G" xfId="3399" xr:uid="{00000000-0005-0000-0000-00003D530000}"/>
    <cellStyle name="40% - Accent6 8" xfId="629" xr:uid="{00000000-0005-0000-0000-00003E530000}"/>
    <cellStyle name="40% - Accent6 8 10" xfId="18532" xr:uid="{00000000-0005-0000-0000-00003F530000}"/>
    <cellStyle name="40% - Accent6 8 10 2" xfId="42364" xr:uid="{091449C7-0F0C-4E83-88B7-A52C47D957E7}"/>
    <cellStyle name="40% - Accent6 8 11" xfId="26484" xr:uid="{886BE811-F256-4988-8DE3-263E776DE2DE}"/>
    <cellStyle name="40% - Accent6 8 2" xfId="630" xr:uid="{00000000-0005-0000-0000-000040530000}"/>
    <cellStyle name="40% - Accent6 8 2 2" xfId="631" xr:uid="{00000000-0005-0000-0000-000041530000}"/>
    <cellStyle name="40% - Accent6 8 2 2 2" xfId="1659" xr:uid="{00000000-0005-0000-0000-000042530000}"/>
    <cellStyle name="40% - Accent6 8 2 2 2 2" xfId="5189" xr:uid="{00000000-0005-0000-0000-000043530000}"/>
    <cellStyle name="40% - Accent6 8 2 2 2 2 2" xfId="8780" xr:uid="{00000000-0005-0000-0000-000044530000}"/>
    <cellStyle name="40% - Accent6 8 2 2 2 2 2 2" xfId="16751" xr:uid="{00000000-0005-0000-0000-000045530000}"/>
    <cellStyle name="40% - Accent6 8 2 2 2 2 2 2 2" xfId="40593" xr:uid="{F312D4EC-A88E-4AAA-8EAE-5ACAC2F2BD43}"/>
    <cellStyle name="40% - Accent6 8 2 2 2 2 2 3" xfId="24697" xr:uid="{00000000-0005-0000-0000-000046530000}"/>
    <cellStyle name="40% - Accent6 8 2 2 2 2 2 3 2" xfId="48529" xr:uid="{C9501EA4-450C-4A49-A62C-6A4E9BD7E82A}"/>
    <cellStyle name="40% - Accent6 8 2 2 2 2 2 4" xfId="32652" xr:uid="{AFDA603C-D15B-4851-B619-CAAA1D0323FA}"/>
    <cellStyle name="40% - Accent6 8 2 2 2 2 3" xfId="13213" xr:uid="{00000000-0005-0000-0000-000047530000}"/>
    <cellStyle name="40% - Accent6 8 2 2 2 2 3 2" xfId="37062" xr:uid="{C5B9D1FC-8E19-4EDF-9700-0949109DEB97}"/>
    <cellStyle name="40% - Accent6 8 2 2 2 2 4" xfId="21168" xr:uid="{00000000-0005-0000-0000-000048530000}"/>
    <cellStyle name="40% - Accent6 8 2 2 2 2 4 2" xfId="45000" xr:uid="{8613F7AC-409D-4C09-9303-187803634667}"/>
    <cellStyle name="40% - Accent6 8 2 2 2 2 5" xfId="29121" xr:uid="{E905B5A9-3A3F-436B-A836-33638ACD39A6}"/>
    <cellStyle name="40% - Accent6 8 2 2 2 3" xfId="7021" xr:uid="{00000000-0005-0000-0000-000049530000}"/>
    <cellStyle name="40% - Accent6 8 2 2 2 3 2" xfId="14993" xr:uid="{00000000-0005-0000-0000-00004A530000}"/>
    <cellStyle name="40% - Accent6 8 2 2 2 3 2 2" xfId="38835" xr:uid="{DA4A02B4-6A1B-4F92-A14E-1F152DD5402C}"/>
    <cellStyle name="40% - Accent6 8 2 2 2 3 3" xfId="22940" xr:uid="{00000000-0005-0000-0000-00004B530000}"/>
    <cellStyle name="40% - Accent6 8 2 2 2 3 3 2" xfId="46772" xr:uid="{7C9076EC-1B41-4DC0-B5E5-D5E51AA55B17}"/>
    <cellStyle name="40% - Accent6 8 2 2 2 3 4" xfId="30894" xr:uid="{6A100320-77B3-4946-A22B-C271DDB35707}"/>
    <cellStyle name="40% - Accent6 8 2 2 2 4" xfId="11457" xr:uid="{00000000-0005-0000-0000-00004C530000}"/>
    <cellStyle name="40% - Accent6 8 2 2 2 4 2" xfId="35306" xr:uid="{2CD02E3A-8E93-4C85-8693-1301248F5534}"/>
    <cellStyle name="40% - Accent6 8 2 2 2 5" xfId="19412" xr:uid="{00000000-0005-0000-0000-00004D530000}"/>
    <cellStyle name="40% - Accent6 8 2 2 2 5 2" xfId="43244" xr:uid="{E8E0F6E1-00B6-4C15-964C-80D99E6ADC44}"/>
    <cellStyle name="40% - Accent6 8 2 2 2 6" xfId="27364" xr:uid="{7DD78881-9E80-4FA7-878C-064993220DE8}"/>
    <cellStyle name="40% - Accent6 8 2 2 2_Exh G" xfId="3412" xr:uid="{00000000-0005-0000-0000-00004E530000}"/>
    <cellStyle name="40% - Accent6 8 2 2 3" xfId="4310" xr:uid="{00000000-0005-0000-0000-00004F530000}"/>
    <cellStyle name="40% - Accent6 8 2 2 3 2" xfId="7902" xr:uid="{00000000-0005-0000-0000-000050530000}"/>
    <cellStyle name="40% - Accent6 8 2 2 3 2 2" xfId="15873" xr:uid="{00000000-0005-0000-0000-000051530000}"/>
    <cellStyle name="40% - Accent6 8 2 2 3 2 2 2" xfId="39715" xr:uid="{650F9D69-AE87-4ABE-B341-AE6F9F72E13B}"/>
    <cellStyle name="40% - Accent6 8 2 2 3 2 3" xfId="23819" xr:uid="{00000000-0005-0000-0000-000052530000}"/>
    <cellStyle name="40% - Accent6 8 2 2 3 2 3 2" xfId="47651" xr:uid="{8DA3723B-60B9-41E2-85D8-92903CCFD935}"/>
    <cellStyle name="40% - Accent6 8 2 2 3 2 4" xfId="31774" xr:uid="{7A111855-83BB-4204-8AE9-A269586DC4AE}"/>
    <cellStyle name="40% - Accent6 8 2 2 3 3" xfId="12335" xr:uid="{00000000-0005-0000-0000-000053530000}"/>
    <cellStyle name="40% - Accent6 8 2 2 3 3 2" xfId="36184" xr:uid="{C87E2A0B-88F2-4F7B-84BE-799F87D3196A}"/>
    <cellStyle name="40% - Accent6 8 2 2 3 4" xfId="20290" xr:uid="{00000000-0005-0000-0000-000054530000}"/>
    <cellStyle name="40% - Accent6 8 2 2 3 4 2" xfId="44122" xr:uid="{B29F3BFD-5B54-48B2-B3CB-74F71B4E359A}"/>
    <cellStyle name="40% - Accent6 8 2 2 3 5" xfId="28243" xr:uid="{1A0DBC36-24D9-4F56-A73E-B8523B377EA7}"/>
    <cellStyle name="40% - Accent6 8 2 2 4" xfId="6130" xr:uid="{00000000-0005-0000-0000-000055530000}"/>
    <cellStyle name="40% - Accent6 8 2 2 4 2" xfId="14114" xr:uid="{00000000-0005-0000-0000-000056530000}"/>
    <cellStyle name="40% - Accent6 8 2 2 4 2 2" xfId="37957" xr:uid="{B9CF8A29-87C0-46FC-905F-698B0EDE0383}"/>
    <cellStyle name="40% - Accent6 8 2 2 4 3" xfId="22062" xr:uid="{00000000-0005-0000-0000-000057530000}"/>
    <cellStyle name="40% - Accent6 8 2 2 4 3 2" xfId="45894" xr:uid="{0DDC1775-5A29-404C-BC9A-E7B5012B097A}"/>
    <cellStyle name="40% - Accent6 8 2 2 4 4" xfId="30016" xr:uid="{20817223-2A50-425C-AD55-15DE448FEC3C}"/>
    <cellStyle name="40% - Accent6 8 2 2 5" xfId="9683" xr:uid="{00000000-0005-0000-0000-000058530000}"/>
    <cellStyle name="40% - Accent6 8 2 2 5 2" xfId="17641" xr:uid="{00000000-0005-0000-0000-000059530000}"/>
    <cellStyle name="40% - Accent6 8 2 2 5 2 2" xfId="41481" xr:uid="{5CE3D41C-A514-4653-9580-CE84323DCED8}"/>
    <cellStyle name="40% - Accent6 8 2 2 5 3" xfId="25585" xr:uid="{00000000-0005-0000-0000-00005A530000}"/>
    <cellStyle name="40% - Accent6 8 2 2 5 3 2" xfId="49417" xr:uid="{59DE80DC-C785-4DEC-9613-5ED243DC56D1}"/>
    <cellStyle name="40% - Accent6 8 2 2 5 4" xfId="33540" xr:uid="{E1052FA5-A8E8-47A8-BDD8-A2DD125F5CF4}"/>
    <cellStyle name="40% - Accent6 8 2 2 6" xfId="10579" xr:uid="{00000000-0005-0000-0000-00005B530000}"/>
    <cellStyle name="40% - Accent6 8 2 2 6 2" xfId="34428" xr:uid="{E0773725-5AA2-46DC-88BE-D1312DA5DB58}"/>
    <cellStyle name="40% - Accent6 8 2 2 7" xfId="18534" xr:uid="{00000000-0005-0000-0000-00005C530000}"/>
    <cellStyle name="40% - Accent6 8 2 2 7 2" xfId="42366" xr:uid="{24200212-A585-4A0A-BE88-5A43A4ADE65B}"/>
    <cellStyle name="40% - Accent6 8 2 2 8" xfId="26486" xr:uid="{795755D9-60A5-4079-BBA5-B2FB3B46DA27}"/>
    <cellStyle name="40% - Accent6 8 2 2_Exh G" xfId="3411" xr:uid="{00000000-0005-0000-0000-00005D530000}"/>
    <cellStyle name="40% - Accent6 8 2 3" xfId="1658" xr:uid="{00000000-0005-0000-0000-00005E530000}"/>
    <cellStyle name="40% - Accent6 8 2 3 2" xfId="5188" xr:uid="{00000000-0005-0000-0000-00005F530000}"/>
    <cellStyle name="40% - Accent6 8 2 3 2 2" xfId="8779" xr:uid="{00000000-0005-0000-0000-000060530000}"/>
    <cellStyle name="40% - Accent6 8 2 3 2 2 2" xfId="16750" xr:uid="{00000000-0005-0000-0000-000061530000}"/>
    <cellStyle name="40% - Accent6 8 2 3 2 2 2 2" xfId="40592" xr:uid="{EFF57F98-4380-4A57-9BED-E7708563559B}"/>
    <cellStyle name="40% - Accent6 8 2 3 2 2 3" xfId="24696" xr:uid="{00000000-0005-0000-0000-000062530000}"/>
    <cellStyle name="40% - Accent6 8 2 3 2 2 3 2" xfId="48528" xr:uid="{C999205F-5015-407F-98B2-1897F052205C}"/>
    <cellStyle name="40% - Accent6 8 2 3 2 2 4" xfId="32651" xr:uid="{4B1C0A0C-580F-4B71-A0A6-383D14D85B33}"/>
    <cellStyle name="40% - Accent6 8 2 3 2 3" xfId="13212" xr:uid="{00000000-0005-0000-0000-000063530000}"/>
    <cellStyle name="40% - Accent6 8 2 3 2 3 2" xfId="37061" xr:uid="{D378BF39-052D-455A-8942-0F07F9DC92F8}"/>
    <cellStyle name="40% - Accent6 8 2 3 2 4" xfId="21167" xr:uid="{00000000-0005-0000-0000-000064530000}"/>
    <cellStyle name="40% - Accent6 8 2 3 2 4 2" xfId="44999" xr:uid="{4E7D3B1F-D552-4F6E-9619-3A5A4D78CBA5}"/>
    <cellStyle name="40% - Accent6 8 2 3 2 5" xfId="29120" xr:uid="{4B846FB9-4D6F-4982-8F0E-42CEC0DBF828}"/>
    <cellStyle name="40% - Accent6 8 2 3 3" xfId="7020" xr:uid="{00000000-0005-0000-0000-000065530000}"/>
    <cellStyle name="40% - Accent6 8 2 3 3 2" xfId="14992" xr:uid="{00000000-0005-0000-0000-000066530000}"/>
    <cellStyle name="40% - Accent6 8 2 3 3 2 2" xfId="38834" xr:uid="{8018BCAE-E042-4301-A049-407E3A9375D1}"/>
    <cellStyle name="40% - Accent6 8 2 3 3 3" xfId="22939" xr:uid="{00000000-0005-0000-0000-000067530000}"/>
    <cellStyle name="40% - Accent6 8 2 3 3 3 2" xfId="46771" xr:uid="{507FB522-273C-4BA7-9504-42DADCE40EC1}"/>
    <cellStyle name="40% - Accent6 8 2 3 3 4" xfId="30893" xr:uid="{20FF835D-9300-4D65-95DD-76E621A59CB0}"/>
    <cellStyle name="40% - Accent6 8 2 3 4" xfId="11456" xr:uid="{00000000-0005-0000-0000-000068530000}"/>
    <cellStyle name="40% - Accent6 8 2 3 4 2" xfId="35305" xr:uid="{2ED505B1-4A81-44F4-B7E3-F0A4AB926518}"/>
    <cellStyle name="40% - Accent6 8 2 3 5" xfId="19411" xr:uid="{00000000-0005-0000-0000-000069530000}"/>
    <cellStyle name="40% - Accent6 8 2 3 5 2" xfId="43243" xr:uid="{6D86ABE0-D19B-4699-91ED-13E757F71F1C}"/>
    <cellStyle name="40% - Accent6 8 2 3 6" xfId="27363" xr:uid="{ACD0771B-A8E9-4C25-A366-445116E9E496}"/>
    <cellStyle name="40% - Accent6 8 2 3_Exh G" xfId="3413" xr:uid="{00000000-0005-0000-0000-00006A530000}"/>
    <cellStyle name="40% - Accent6 8 2 4" xfId="4309" xr:uid="{00000000-0005-0000-0000-00006B530000}"/>
    <cellStyle name="40% - Accent6 8 2 4 2" xfId="7901" xr:uid="{00000000-0005-0000-0000-00006C530000}"/>
    <cellStyle name="40% - Accent6 8 2 4 2 2" xfId="15872" xr:uid="{00000000-0005-0000-0000-00006D530000}"/>
    <cellStyle name="40% - Accent6 8 2 4 2 2 2" xfId="39714" xr:uid="{1229996E-10C1-4648-A1A6-6757EB925336}"/>
    <cellStyle name="40% - Accent6 8 2 4 2 3" xfId="23818" xr:uid="{00000000-0005-0000-0000-00006E530000}"/>
    <cellStyle name="40% - Accent6 8 2 4 2 3 2" xfId="47650" xr:uid="{FF2E7091-99FA-40A8-B4B5-80F6158B2EDC}"/>
    <cellStyle name="40% - Accent6 8 2 4 2 4" xfId="31773" xr:uid="{FD09CE3C-30EA-41F9-984B-63062118771E}"/>
    <cellStyle name="40% - Accent6 8 2 4 3" xfId="12334" xr:uid="{00000000-0005-0000-0000-00006F530000}"/>
    <cellStyle name="40% - Accent6 8 2 4 3 2" xfId="36183" xr:uid="{C09AE707-3547-4D09-87BA-B7209D5D2ABF}"/>
    <cellStyle name="40% - Accent6 8 2 4 4" xfId="20289" xr:uid="{00000000-0005-0000-0000-000070530000}"/>
    <cellStyle name="40% - Accent6 8 2 4 4 2" xfId="44121" xr:uid="{07465E25-D42D-452C-BCCC-03430142D5F9}"/>
    <cellStyle name="40% - Accent6 8 2 4 5" xfId="28242" xr:uid="{4F698F21-E2E7-4BB1-9AFD-3D9104CED768}"/>
    <cellStyle name="40% - Accent6 8 2 5" xfId="6129" xr:uid="{00000000-0005-0000-0000-000071530000}"/>
    <cellStyle name="40% - Accent6 8 2 5 2" xfId="14113" xr:uid="{00000000-0005-0000-0000-000072530000}"/>
    <cellStyle name="40% - Accent6 8 2 5 2 2" xfId="37956" xr:uid="{41099B4A-97DE-4777-A6C5-F05192259C63}"/>
    <cellStyle name="40% - Accent6 8 2 5 3" xfId="22061" xr:uid="{00000000-0005-0000-0000-000073530000}"/>
    <cellStyle name="40% - Accent6 8 2 5 3 2" xfId="45893" xr:uid="{C8FA4A17-F304-4FBF-A006-27FC42F78391}"/>
    <cellStyle name="40% - Accent6 8 2 5 4" xfId="30015" xr:uid="{D68076E6-1C9F-4ED7-8C40-772094C34114}"/>
    <cellStyle name="40% - Accent6 8 2 6" xfId="9682" xr:uid="{00000000-0005-0000-0000-000074530000}"/>
    <cellStyle name="40% - Accent6 8 2 6 2" xfId="17640" xr:uid="{00000000-0005-0000-0000-000075530000}"/>
    <cellStyle name="40% - Accent6 8 2 6 2 2" xfId="41480" xr:uid="{4FC7CF2B-0159-44B6-963F-E71EB4542939}"/>
    <cellStyle name="40% - Accent6 8 2 6 3" xfId="25584" xr:uid="{00000000-0005-0000-0000-000076530000}"/>
    <cellStyle name="40% - Accent6 8 2 6 3 2" xfId="49416" xr:uid="{3BBED040-811F-4185-A118-A3A69A326F36}"/>
    <cellStyle name="40% - Accent6 8 2 6 4" xfId="33539" xr:uid="{0B33392D-D9E1-42F5-BCD5-BE33C152A435}"/>
    <cellStyle name="40% - Accent6 8 2 7" xfId="10578" xr:uid="{00000000-0005-0000-0000-000077530000}"/>
    <cellStyle name="40% - Accent6 8 2 7 2" xfId="34427" xr:uid="{DEF65C53-C226-47AF-ABD8-5EB52785FF62}"/>
    <cellStyle name="40% - Accent6 8 2 8" xfId="18533" xr:uid="{00000000-0005-0000-0000-000078530000}"/>
    <cellStyle name="40% - Accent6 8 2 8 2" xfId="42365" xr:uid="{9429A578-6164-411C-B43F-0ED317E4D27A}"/>
    <cellStyle name="40% - Accent6 8 2 9" xfId="26485" xr:uid="{EAB2596E-99EC-4702-A8F5-59282F1DFB8A}"/>
    <cellStyle name="40% - Accent6 8 2_Exh G" xfId="3410" xr:uid="{00000000-0005-0000-0000-000079530000}"/>
    <cellStyle name="40% - Accent6 8 3" xfId="632" xr:uid="{00000000-0005-0000-0000-00007A530000}"/>
    <cellStyle name="40% - Accent6 8 3 2" xfId="1660" xr:uid="{00000000-0005-0000-0000-00007B530000}"/>
    <cellStyle name="40% - Accent6 8 3 2 2" xfId="5190" xr:uid="{00000000-0005-0000-0000-00007C530000}"/>
    <cellStyle name="40% - Accent6 8 3 2 2 2" xfId="8781" xr:uid="{00000000-0005-0000-0000-00007D530000}"/>
    <cellStyle name="40% - Accent6 8 3 2 2 2 2" xfId="16752" xr:uid="{00000000-0005-0000-0000-00007E530000}"/>
    <cellStyle name="40% - Accent6 8 3 2 2 2 2 2" xfId="40594" xr:uid="{E99032C9-3433-4B68-9EF1-86315B8882B0}"/>
    <cellStyle name="40% - Accent6 8 3 2 2 2 3" xfId="24698" xr:uid="{00000000-0005-0000-0000-00007F530000}"/>
    <cellStyle name="40% - Accent6 8 3 2 2 2 3 2" xfId="48530" xr:uid="{F5B93F02-D2DF-42D8-A470-D662CAEEC097}"/>
    <cellStyle name="40% - Accent6 8 3 2 2 2 4" xfId="32653" xr:uid="{69143113-C345-4E7C-B6B4-B17EFFC1990B}"/>
    <cellStyle name="40% - Accent6 8 3 2 2 3" xfId="13214" xr:uid="{00000000-0005-0000-0000-000080530000}"/>
    <cellStyle name="40% - Accent6 8 3 2 2 3 2" xfId="37063" xr:uid="{3198FF04-80A2-44A8-AF04-3C613B0498F0}"/>
    <cellStyle name="40% - Accent6 8 3 2 2 4" xfId="21169" xr:uid="{00000000-0005-0000-0000-000081530000}"/>
    <cellStyle name="40% - Accent6 8 3 2 2 4 2" xfId="45001" xr:uid="{F5FC1FCE-1718-415D-8D27-A0B4A7CDFF69}"/>
    <cellStyle name="40% - Accent6 8 3 2 2 5" xfId="29122" xr:uid="{8075EBF2-3372-4779-B3E6-2111DEAB9BB7}"/>
    <cellStyle name="40% - Accent6 8 3 2 3" xfId="7022" xr:uid="{00000000-0005-0000-0000-000082530000}"/>
    <cellStyle name="40% - Accent6 8 3 2 3 2" xfId="14994" xr:uid="{00000000-0005-0000-0000-000083530000}"/>
    <cellStyle name="40% - Accent6 8 3 2 3 2 2" xfId="38836" xr:uid="{342505E9-C378-4549-BC70-40446B77C5AF}"/>
    <cellStyle name="40% - Accent6 8 3 2 3 3" xfId="22941" xr:uid="{00000000-0005-0000-0000-000084530000}"/>
    <cellStyle name="40% - Accent6 8 3 2 3 3 2" xfId="46773" xr:uid="{ADCDCC0F-E5A9-4C98-82B4-5A3D62C33313}"/>
    <cellStyle name="40% - Accent6 8 3 2 3 4" xfId="30895" xr:uid="{E60B2D23-1A14-436A-AE13-607A646E7D1C}"/>
    <cellStyle name="40% - Accent6 8 3 2 4" xfId="11458" xr:uid="{00000000-0005-0000-0000-000085530000}"/>
    <cellStyle name="40% - Accent6 8 3 2 4 2" xfId="35307" xr:uid="{F24DA323-7A80-433F-8B2F-D9FB582923C7}"/>
    <cellStyle name="40% - Accent6 8 3 2 5" xfId="19413" xr:uid="{00000000-0005-0000-0000-000086530000}"/>
    <cellStyle name="40% - Accent6 8 3 2 5 2" xfId="43245" xr:uid="{BE73F528-7E21-4629-9BAF-3C141C06D6BF}"/>
    <cellStyle name="40% - Accent6 8 3 2 6" xfId="27365" xr:uid="{B1361897-2732-46C5-A63D-1A4B9ED704C7}"/>
    <cellStyle name="40% - Accent6 8 3 2_Exh G" xfId="3415" xr:uid="{00000000-0005-0000-0000-000087530000}"/>
    <cellStyle name="40% - Accent6 8 3 3" xfId="4311" xr:uid="{00000000-0005-0000-0000-000088530000}"/>
    <cellStyle name="40% - Accent6 8 3 3 2" xfId="7903" xr:uid="{00000000-0005-0000-0000-000089530000}"/>
    <cellStyle name="40% - Accent6 8 3 3 2 2" xfId="15874" xr:uid="{00000000-0005-0000-0000-00008A530000}"/>
    <cellStyle name="40% - Accent6 8 3 3 2 2 2" xfId="39716" xr:uid="{6DC60885-0BC0-44F7-80DE-0258CF34E00F}"/>
    <cellStyle name="40% - Accent6 8 3 3 2 3" xfId="23820" xr:uid="{00000000-0005-0000-0000-00008B530000}"/>
    <cellStyle name="40% - Accent6 8 3 3 2 3 2" xfId="47652" xr:uid="{6A22A789-925F-45E9-936F-444994FF2650}"/>
    <cellStyle name="40% - Accent6 8 3 3 2 4" xfId="31775" xr:uid="{0964F6B1-C799-4FC2-8465-3D1C933C3672}"/>
    <cellStyle name="40% - Accent6 8 3 3 3" xfId="12336" xr:uid="{00000000-0005-0000-0000-00008C530000}"/>
    <cellStyle name="40% - Accent6 8 3 3 3 2" xfId="36185" xr:uid="{46B4D6B8-AD07-4AEF-A23F-03EDEE124550}"/>
    <cellStyle name="40% - Accent6 8 3 3 4" xfId="20291" xr:uid="{00000000-0005-0000-0000-00008D530000}"/>
    <cellStyle name="40% - Accent6 8 3 3 4 2" xfId="44123" xr:uid="{6ED40FE3-1F31-4953-8977-823C1AC09A0A}"/>
    <cellStyle name="40% - Accent6 8 3 3 5" xfId="28244" xr:uid="{C03CBA47-8228-406E-AFAB-28CA955B64F1}"/>
    <cellStyle name="40% - Accent6 8 3 4" xfId="6131" xr:uid="{00000000-0005-0000-0000-00008E530000}"/>
    <cellStyle name="40% - Accent6 8 3 4 2" xfId="14115" xr:uid="{00000000-0005-0000-0000-00008F530000}"/>
    <cellStyle name="40% - Accent6 8 3 4 2 2" xfId="37958" xr:uid="{455E0D02-AA46-460E-835B-613DFDD5DF1D}"/>
    <cellStyle name="40% - Accent6 8 3 4 3" xfId="22063" xr:uid="{00000000-0005-0000-0000-000090530000}"/>
    <cellStyle name="40% - Accent6 8 3 4 3 2" xfId="45895" xr:uid="{6989C29E-42D5-48C7-8D16-3CCD4E1387DA}"/>
    <cellStyle name="40% - Accent6 8 3 4 4" xfId="30017" xr:uid="{D1B1B797-B9B7-41C0-B0A5-A82A6DB1F3F6}"/>
    <cellStyle name="40% - Accent6 8 3 5" xfId="9684" xr:uid="{00000000-0005-0000-0000-000091530000}"/>
    <cellStyle name="40% - Accent6 8 3 5 2" xfId="17642" xr:uid="{00000000-0005-0000-0000-000092530000}"/>
    <cellStyle name="40% - Accent6 8 3 5 2 2" xfId="41482" xr:uid="{5C015A74-9870-425C-AEF5-DD0901D073D2}"/>
    <cellStyle name="40% - Accent6 8 3 5 3" xfId="25586" xr:uid="{00000000-0005-0000-0000-000093530000}"/>
    <cellStyle name="40% - Accent6 8 3 5 3 2" xfId="49418" xr:uid="{D7451EDE-B5AC-4AC4-B238-D3D017A58A98}"/>
    <cellStyle name="40% - Accent6 8 3 5 4" xfId="33541" xr:uid="{D529ED2B-D18A-4BCD-A6FA-493249FE158D}"/>
    <cellStyle name="40% - Accent6 8 3 6" xfId="10580" xr:uid="{00000000-0005-0000-0000-000094530000}"/>
    <cellStyle name="40% - Accent6 8 3 6 2" xfId="34429" xr:uid="{CBA9A93E-3D55-4927-BD81-009C4F3491B7}"/>
    <cellStyle name="40% - Accent6 8 3 7" xfId="18535" xr:uid="{00000000-0005-0000-0000-000095530000}"/>
    <cellStyle name="40% - Accent6 8 3 7 2" xfId="42367" xr:uid="{2E181C0F-D60F-429D-A576-0B936D1F9497}"/>
    <cellStyle name="40% - Accent6 8 3 8" xfId="26487" xr:uid="{A11C952D-A951-486B-91F2-7BE59B84C296}"/>
    <cellStyle name="40% - Accent6 8 3_Exh G" xfId="3414" xr:uid="{00000000-0005-0000-0000-000096530000}"/>
    <cellStyle name="40% - Accent6 8 4" xfId="1004" xr:uid="{00000000-0005-0000-0000-000097530000}"/>
    <cellStyle name="40% - Accent6 8 4 2" xfId="1917" xr:uid="{00000000-0005-0000-0000-000098530000}"/>
    <cellStyle name="40% - Accent6 8 4 2 2" xfId="5435" xr:uid="{00000000-0005-0000-0000-000099530000}"/>
    <cellStyle name="40% - Accent6 8 4 2 2 2" xfId="9026" xr:uid="{00000000-0005-0000-0000-00009A530000}"/>
    <cellStyle name="40% - Accent6 8 4 2 2 2 2" xfId="16997" xr:uid="{00000000-0005-0000-0000-00009B530000}"/>
    <cellStyle name="40% - Accent6 8 4 2 2 2 2 2" xfId="40839" xr:uid="{665E97BB-A197-4713-A314-B338B4052BEE}"/>
    <cellStyle name="40% - Accent6 8 4 2 2 2 3" xfId="24943" xr:uid="{00000000-0005-0000-0000-00009C530000}"/>
    <cellStyle name="40% - Accent6 8 4 2 2 2 3 2" xfId="48775" xr:uid="{431E24AA-15B3-462D-8958-361F7296C969}"/>
    <cellStyle name="40% - Accent6 8 4 2 2 2 4" xfId="32898" xr:uid="{907D6CF7-5477-46BB-B917-5B97ECEF454A}"/>
    <cellStyle name="40% - Accent6 8 4 2 2 3" xfId="13459" xr:uid="{00000000-0005-0000-0000-00009D530000}"/>
    <cellStyle name="40% - Accent6 8 4 2 2 3 2" xfId="37308" xr:uid="{DFAB198C-FC8D-4504-91EA-D5B8EA131BB2}"/>
    <cellStyle name="40% - Accent6 8 4 2 2 4" xfId="21414" xr:uid="{00000000-0005-0000-0000-00009E530000}"/>
    <cellStyle name="40% - Accent6 8 4 2 2 4 2" xfId="45246" xr:uid="{62FA47BF-BC18-4951-B409-8113D9D4D338}"/>
    <cellStyle name="40% - Accent6 8 4 2 2 5" xfId="29367" xr:uid="{9A1E7B90-64E6-444A-BA4A-F192C68A93B9}"/>
    <cellStyle name="40% - Accent6 8 4 2 3" xfId="7267" xr:uid="{00000000-0005-0000-0000-00009F530000}"/>
    <cellStyle name="40% - Accent6 8 4 2 3 2" xfId="15239" xr:uid="{00000000-0005-0000-0000-0000A0530000}"/>
    <cellStyle name="40% - Accent6 8 4 2 3 2 2" xfId="39081" xr:uid="{58B82B55-961C-433A-AD58-DCF1E0F04933}"/>
    <cellStyle name="40% - Accent6 8 4 2 3 3" xfId="23186" xr:uid="{00000000-0005-0000-0000-0000A1530000}"/>
    <cellStyle name="40% - Accent6 8 4 2 3 3 2" xfId="47018" xr:uid="{A0CFABC1-11C6-4D9D-98B6-8A26698D6867}"/>
    <cellStyle name="40% - Accent6 8 4 2 3 4" xfId="31140" xr:uid="{2194888E-9B4B-4CCD-9412-411876D0C7BE}"/>
    <cellStyle name="40% - Accent6 8 4 2 4" xfId="11703" xr:uid="{00000000-0005-0000-0000-0000A2530000}"/>
    <cellStyle name="40% - Accent6 8 4 2 4 2" xfId="35552" xr:uid="{2FADA401-D463-4E69-820A-1BBE6CF4FCC7}"/>
    <cellStyle name="40% - Accent6 8 4 2 5" xfId="19658" xr:uid="{00000000-0005-0000-0000-0000A3530000}"/>
    <cellStyle name="40% - Accent6 8 4 2 5 2" xfId="43490" xr:uid="{25973D6B-5C74-4CD1-BD8A-092D3181344C}"/>
    <cellStyle name="40% - Accent6 8 4 2 6" xfId="27610" xr:uid="{AC9EF199-451B-40EC-8125-5F0738AFFA19}"/>
    <cellStyle name="40% - Accent6 8 4 2_Exh G" xfId="3417" xr:uid="{00000000-0005-0000-0000-0000A4530000}"/>
    <cellStyle name="40% - Accent6 8 4 3" xfId="4556" xr:uid="{00000000-0005-0000-0000-0000A5530000}"/>
    <cellStyle name="40% - Accent6 8 4 3 2" xfId="8148" xr:uid="{00000000-0005-0000-0000-0000A6530000}"/>
    <cellStyle name="40% - Accent6 8 4 3 2 2" xfId="16119" xr:uid="{00000000-0005-0000-0000-0000A7530000}"/>
    <cellStyle name="40% - Accent6 8 4 3 2 2 2" xfId="39961" xr:uid="{9084BE5B-65CA-4CCC-A771-963FA27F100D}"/>
    <cellStyle name="40% - Accent6 8 4 3 2 3" xfId="24065" xr:uid="{00000000-0005-0000-0000-0000A8530000}"/>
    <cellStyle name="40% - Accent6 8 4 3 2 3 2" xfId="47897" xr:uid="{BE8790AA-2F1D-4805-ACA1-2E59F08C3D81}"/>
    <cellStyle name="40% - Accent6 8 4 3 2 4" xfId="32020" xr:uid="{0448FDC6-08E7-42D6-8EE4-1BEF609027DA}"/>
    <cellStyle name="40% - Accent6 8 4 3 3" xfId="12581" xr:uid="{00000000-0005-0000-0000-0000A9530000}"/>
    <cellStyle name="40% - Accent6 8 4 3 3 2" xfId="36430" xr:uid="{F87E9831-60E2-4AF9-8DD2-37272C9EE2AB}"/>
    <cellStyle name="40% - Accent6 8 4 3 4" xfId="20536" xr:uid="{00000000-0005-0000-0000-0000AA530000}"/>
    <cellStyle name="40% - Accent6 8 4 3 4 2" xfId="44368" xr:uid="{75751B56-FDFB-4ED1-899E-4A7BEAB2AE65}"/>
    <cellStyle name="40% - Accent6 8 4 3 5" xfId="28489" xr:uid="{F8E88D4F-E35F-41C0-B81F-F759C7D56291}"/>
    <cellStyle name="40% - Accent6 8 4 4" xfId="6386" xr:uid="{00000000-0005-0000-0000-0000AB530000}"/>
    <cellStyle name="40% - Accent6 8 4 4 2" xfId="14361" xr:uid="{00000000-0005-0000-0000-0000AC530000}"/>
    <cellStyle name="40% - Accent6 8 4 4 2 2" xfId="38203" xr:uid="{87790CAB-1A76-408F-A6C8-2584F1DE9E15}"/>
    <cellStyle name="40% - Accent6 8 4 4 3" xfId="22308" xr:uid="{00000000-0005-0000-0000-0000AD530000}"/>
    <cellStyle name="40% - Accent6 8 4 4 3 2" xfId="46140" xr:uid="{CC36D2A2-5BFB-4438-B954-93C0104C0A05}"/>
    <cellStyle name="40% - Accent6 8 4 4 4" xfId="30262" xr:uid="{2002A22D-3FA7-49A4-A501-C7AED9BB2DB9}"/>
    <cellStyle name="40% - Accent6 8 4 5" xfId="9929" xr:uid="{00000000-0005-0000-0000-0000AE530000}"/>
    <cellStyle name="40% - Accent6 8 4 5 2" xfId="17887" xr:uid="{00000000-0005-0000-0000-0000AF530000}"/>
    <cellStyle name="40% - Accent6 8 4 5 2 2" xfId="41727" xr:uid="{1721CC37-16BC-495B-A72B-AADC700ED5C5}"/>
    <cellStyle name="40% - Accent6 8 4 5 3" xfId="25831" xr:uid="{00000000-0005-0000-0000-0000B0530000}"/>
    <cellStyle name="40% - Accent6 8 4 5 3 2" xfId="49663" xr:uid="{7FA0A75B-FCF8-48D9-AF1E-E530E918DFA6}"/>
    <cellStyle name="40% - Accent6 8 4 5 4" xfId="33786" xr:uid="{067EEFCF-D3E2-47F5-BA15-C16C07B02D3E}"/>
    <cellStyle name="40% - Accent6 8 4 6" xfId="10825" xr:uid="{00000000-0005-0000-0000-0000B1530000}"/>
    <cellStyle name="40% - Accent6 8 4 6 2" xfId="34674" xr:uid="{61D9DAE1-6B19-499F-B14B-1AFF3424D2C8}"/>
    <cellStyle name="40% - Accent6 8 4 7" xfId="18780" xr:uid="{00000000-0005-0000-0000-0000B2530000}"/>
    <cellStyle name="40% - Accent6 8 4 7 2" xfId="42612" xr:uid="{0EF0A4A6-BD57-4F73-A9EE-8E80C3A1D3CD}"/>
    <cellStyle name="40% - Accent6 8 4 8" xfId="26732" xr:uid="{2F820DB0-FEC1-40C2-9A22-FF91BA55655E}"/>
    <cellStyle name="40% - Accent6 8 4_Exh G" xfId="3416" xr:uid="{00000000-0005-0000-0000-0000B3530000}"/>
    <cellStyle name="40% - Accent6 8 5" xfId="1657" xr:uid="{00000000-0005-0000-0000-0000B4530000}"/>
    <cellStyle name="40% - Accent6 8 5 2" xfId="5187" xr:uid="{00000000-0005-0000-0000-0000B5530000}"/>
    <cellStyle name="40% - Accent6 8 5 2 2" xfId="8778" xr:uid="{00000000-0005-0000-0000-0000B6530000}"/>
    <cellStyle name="40% - Accent6 8 5 2 2 2" xfId="16749" xr:uid="{00000000-0005-0000-0000-0000B7530000}"/>
    <cellStyle name="40% - Accent6 8 5 2 2 2 2" xfId="40591" xr:uid="{F245D009-9A28-4532-9A5A-E0703FCCD422}"/>
    <cellStyle name="40% - Accent6 8 5 2 2 3" xfId="24695" xr:uid="{00000000-0005-0000-0000-0000B8530000}"/>
    <cellStyle name="40% - Accent6 8 5 2 2 3 2" xfId="48527" xr:uid="{CFC7B5FC-E8BA-4BBB-BCD5-832373231B2D}"/>
    <cellStyle name="40% - Accent6 8 5 2 2 4" xfId="32650" xr:uid="{2B1E70E3-0738-4D21-907F-3D52DCB49E53}"/>
    <cellStyle name="40% - Accent6 8 5 2 3" xfId="13211" xr:uid="{00000000-0005-0000-0000-0000B9530000}"/>
    <cellStyle name="40% - Accent6 8 5 2 3 2" xfId="37060" xr:uid="{17E906D1-C9AA-4187-A705-BE6B3F88641F}"/>
    <cellStyle name="40% - Accent6 8 5 2 4" xfId="21166" xr:uid="{00000000-0005-0000-0000-0000BA530000}"/>
    <cellStyle name="40% - Accent6 8 5 2 4 2" xfId="44998" xr:uid="{F549A411-8DBB-49C2-B314-FD7FC22AA721}"/>
    <cellStyle name="40% - Accent6 8 5 2 5" xfId="29119" xr:uid="{B2ECDF2A-B77D-41B7-A90C-99ABF753653A}"/>
    <cellStyle name="40% - Accent6 8 5 3" xfId="7019" xr:uid="{00000000-0005-0000-0000-0000BB530000}"/>
    <cellStyle name="40% - Accent6 8 5 3 2" xfId="14991" xr:uid="{00000000-0005-0000-0000-0000BC530000}"/>
    <cellStyle name="40% - Accent6 8 5 3 2 2" xfId="38833" xr:uid="{6293DAFE-E083-45AD-8644-89B22B037100}"/>
    <cellStyle name="40% - Accent6 8 5 3 3" xfId="22938" xr:uid="{00000000-0005-0000-0000-0000BD530000}"/>
    <cellStyle name="40% - Accent6 8 5 3 3 2" xfId="46770" xr:uid="{52C6B5FE-8CD2-4C0E-AB20-2E983B458ED0}"/>
    <cellStyle name="40% - Accent6 8 5 3 4" xfId="30892" xr:uid="{BB883871-7E33-49AB-A5C2-737837ABCB77}"/>
    <cellStyle name="40% - Accent6 8 5 4" xfId="11455" xr:uid="{00000000-0005-0000-0000-0000BE530000}"/>
    <cellStyle name="40% - Accent6 8 5 4 2" xfId="35304" xr:uid="{490D3BCA-42A7-4607-9453-6C5631B153AB}"/>
    <cellStyle name="40% - Accent6 8 5 5" xfId="19410" xr:uid="{00000000-0005-0000-0000-0000BF530000}"/>
    <cellStyle name="40% - Accent6 8 5 5 2" xfId="43242" xr:uid="{19B4CF13-D76C-497E-9FA0-E1217822CDAC}"/>
    <cellStyle name="40% - Accent6 8 5 6" xfId="27362" xr:uid="{4899B4A1-91DB-4550-BC70-5023C1808496}"/>
    <cellStyle name="40% - Accent6 8 5_Exh G" xfId="3418" xr:uid="{00000000-0005-0000-0000-0000C0530000}"/>
    <cellStyle name="40% - Accent6 8 6" xfId="4308" xr:uid="{00000000-0005-0000-0000-0000C1530000}"/>
    <cellStyle name="40% - Accent6 8 6 2" xfId="7900" xr:uid="{00000000-0005-0000-0000-0000C2530000}"/>
    <cellStyle name="40% - Accent6 8 6 2 2" xfId="15871" xr:uid="{00000000-0005-0000-0000-0000C3530000}"/>
    <cellStyle name="40% - Accent6 8 6 2 2 2" xfId="39713" xr:uid="{D680F7B4-B1E7-4C0C-BFE0-0CF06733BD37}"/>
    <cellStyle name="40% - Accent6 8 6 2 3" xfId="23817" xr:uid="{00000000-0005-0000-0000-0000C4530000}"/>
    <cellStyle name="40% - Accent6 8 6 2 3 2" xfId="47649" xr:uid="{B480056B-F200-4B96-8597-32F91D782523}"/>
    <cellStyle name="40% - Accent6 8 6 2 4" xfId="31772" xr:uid="{FBBF7714-1A69-4657-862A-124BC04D9117}"/>
    <cellStyle name="40% - Accent6 8 6 3" xfId="12333" xr:uid="{00000000-0005-0000-0000-0000C5530000}"/>
    <cellStyle name="40% - Accent6 8 6 3 2" xfId="36182" xr:uid="{8732DA62-EDF3-489C-9BF7-96F5BA69D327}"/>
    <cellStyle name="40% - Accent6 8 6 4" xfId="20288" xr:uid="{00000000-0005-0000-0000-0000C6530000}"/>
    <cellStyle name="40% - Accent6 8 6 4 2" xfId="44120" xr:uid="{D9A18A03-2DB5-4EA0-ABCF-A5DF9296756F}"/>
    <cellStyle name="40% - Accent6 8 6 5" xfId="28241" xr:uid="{0B279F3B-D1C4-4ECA-BA24-0DA498FB6BE8}"/>
    <cellStyle name="40% - Accent6 8 7" xfId="6128" xr:uid="{00000000-0005-0000-0000-0000C7530000}"/>
    <cellStyle name="40% - Accent6 8 7 2" xfId="14112" xr:uid="{00000000-0005-0000-0000-0000C8530000}"/>
    <cellStyle name="40% - Accent6 8 7 2 2" xfId="37955" xr:uid="{F5D064A2-2C14-4EAB-8696-C1A12E3376BC}"/>
    <cellStyle name="40% - Accent6 8 7 3" xfId="22060" xr:uid="{00000000-0005-0000-0000-0000C9530000}"/>
    <cellStyle name="40% - Accent6 8 7 3 2" xfId="45892" xr:uid="{9223C36E-4273-4198-8AA5-5007E0A94C47}"/>
    <cellStyle name="40% - Accent6 8 7 4" xfId="30014" xr:uid="{BDF1DCF7-A498-49CF-8301-BCE7CABDB31F}"/>
    <cellStyle name="40% - Accent6 8 8" xfId="9681" xr:uid="{00000000-0005-0000-0000-0000CA530000}"/>
    <cellStyle name="40% - Accent6 8 8 2" xfId="17639" xr:uid="{00000000-0005-0000-0000-0000CB530000}"/>
    <cellStyle name="40% - Accent6 8 8 2 2" xfId="41479" xr:uid="{57451979-A5BD-410E-8832-EC2F6292899F}"/>
    <cellStyle name="40% - Accent6 8 8 3" xfId="25583" xr:uid="{00000000-0005-0000-0000-0000CC530000}"/>
    <cellStyle name="40% - Accent6 8 8 3 2" xfId="49415" xr:uid="{DE6EE7EB-4A8F-4E6C-BC94-CC687CB1712E}"/>
    <cellStyle name="40% - Accent6 8 8 4" xfId="33538" xr:uid="{50484575-3F9B-43A9-B9DB-2FDCF4D19A14}"/>
    <cellStyle name="40% - Accent6 8 9" xfId="10577" xr:uid="{00000000-0005-0000-0000-0000CD530000}"/>
    <cellStyle name="40% - Accent6 8 9 2" xfId="34426" xr:uid="{05DB6E8C-9885-4A3D-8C2B-8E8412C28AE5}"/>
    <cellStyle name="40% - Accent6 8_Exh G" xfId="3409" xr:uid="{00000000-0005-0000-0000-0000CE530000}"/>
    <cellStyle name="40% - Accent6 9" xfId="633" xr:uid="{00000000-0005-0000-0000-0000CF530000}"/>
    <cellStyle name="40% - Accent6 9 10" xfId="18536" xr:uid="{00000000-0005-0000-0000-0000D0530000}"/>
    <cellStyle name="40% - Accent6 9 10 2" xfId="42368" xr:uid="{571999CF-F652-4E3F-844E-6E272EA34978}"/>
    <cellStyle name="40% - Accent6 9 11" xfId="26488" xr:uid="{8A1F0043-0970-4D7C-85B0-BC853F79E368}"/>
    <cellStyle name="40% - Accent6 9 2" xfId="634" xr:uid="{00000000-0005-0000-0000-0000D1530000}"/>
    <cellStyle name="40% - Accent6 9 2 2" xfId="635" xr:uid="{00000000-0005-0000-0000-0000D2530000}"/>
    <cellStyle name="40% - Accent6 9 2 2 2" xfId="1663" xr:uid="{00000000-0005-0000-0000-0000D3530000}"/>
    <cellStyle name="40% - Accent6 9 2 2 2 2" xfId="5193" xr:uid="{00000000-0005-0000-0000-0000D4530000}"/>
    <cellStyle name="40% - Accent6 9 2 2 2 2 2" xfId="8784" xr:uid="{00000000-0005-0000-0000-0000D5530000}"/>
    <cellStyle name="40% - Accent6 9 2 2 2 2 2 2" xfId="16755" xr:uid="{00000000-0005-0000-0000-0000D6530000}"/>
    <cellStyle name="40% - Accent6 9 2 2 2 2 2 2 2" xfId="40597" xr:uid="{E1E87349-B95E-40AA-9288-368A83331521}"/>
    <cellStyle name="40% - Accent6 9 2 2 2 2 2 3" xfId="24701" xr:uid="{00000000-0005-0000-0000-0000D7530000}"/>
    <cellStyle name="40% - Accent6 9 2 2 2 2 2 3 2" xfId="48533" xr:uid="{9440CE7E-8E76-469B-9A7C-631EE7A0B3D3}"/>
    <cellStyle name="40% - Accent6 9 2 2 2 2 2 4" xfId="32656" xr:uid="{0E1DABBD-D211-4971-8280-65A808900C44}"/>
    <cellStyle name="40% - Accent6 9 2 2 2 2 3" xfId="13217" xr:uid="{00000000-0005-0000-0000-0000D8530000}"/>
    <cellStyle name="40% - Accent6 9 2 2 2 2 3 2" xfId="37066" xr:uid="{0A2DF928-FEFA-438A-9D53-D4A71B7B2A4F}"/>
    <cellStyle name="40% - Accent6 9 2 2 2 2 4" xfId="21172" xr:uid="{00000000-0005-0000-0000-0000D9530000}"/>
    <cellStyle name="40% - Accent6 9 2 2 2 2 4 2" xfId="45004" xr:uid="{000645C2-2ED3-46A8-B2BD-35E3611F5B06}"/>
    <cellStyle name="40% - Accent6 9 2 2 2 2 5" xfId="29125" xr:uid="{F8CAEEFC-1489-4B2D-B3AE-B4BB7DED7269}"/>
    <cellStyle name="40% - Accent6 9 2 2 2 3" xfId="7025" xr:uid="{00000000-0005-0000-0000-0000DA530000}"/>
    <cellStyle name="40% - Accent6 9 2 2 2 3 2" xfId="14997" xr:uid="{00000000-0005-0000-0000-0000DB530000}"/>
    <cellStyle name="40% - Accent6 9 2 2 2 3 2 2" xfId="38839" xr:uid="{DC084AAD-3881-43A2-92E3-AA2D38BA4514}"/>
    <cellStyle name="40% - Accent6 9 2 2 2 3 3" xfId="22944" xr:uid="{00000000-0005-0000-0000-0000DC530000}"/>
    <cellStyle name="40% - Accent6 9 2 2 2 3 3 2" xfId="46776" xr:uid="{59355269-8F49-4355-B757-03977A4A6729}"/>
    <cellStyle name="40% - Accent6 9 2 2 2 3 4" xfId="30898" xr:uid="{9190E271-BD6E-474C-95F9-B885F9F329C5}"/>
    <cellStyle name="40% - Accent6 9 2 2 2 4" xfId="11461" xr:uid="{00000000-0005-0000-0000-0000DD530000}"/>
    <cellStyle name="40% - Accent6 9 2 2 2 4 2" xfId="35310" xr:uid="{18F6B4D9-5116-48B1-BC7C-174839D77407}"/>
    <cellStyle name="40% - Accent6 9 2 2 2 5" xfId="19416" xr:uid="{00000000-0005-0000-0000-0000DE530000}"/>
    <cellStyle name="40% - Accent6 9 2 2 2 5 2" xfId="43248" xr:uid="{885E4B5E-EA41-4B97-A273-55B078054DE8}"/>
    <cellStyle name="40% - Accent6 9 2 2 2 6" xfId="27368" xr:uid="{716D65F1-F41D-46A3-A6BE-077434EDB6E6}"/>
    <cellStyle name="40% - Accent6 9 2 2 2_Exh G" xfId="3422" xr:uid="{00000000-0005-0000-0000-0000DF530000}"/>
    <cellStyle name="40% - Accent6 9 2 2 3" xfId="4314" xr:uid="{00000000-0005-0000-0000-0000E0530000}"/>
    <cellStyle name="40% - Accent6 9 2 2 3 2" xfId="7906" xr:uid="{00000000-0005-0000-0000-0000E1530000}"/>
    <cellStyle name="40% - Accent6 9 2 2 3 2 2" xfId="15877" xr:uid="{00000000-0005-0000-0000-0000E2530000}"/>
    <cellStyle name="40% - Accent6 9 2 2 3 2 2 2" xfId="39719" xr:uid="{6CC3C934-13D4-49BA-A1C0-F3FD284898A9}"/>
    <cellStyle name="40% - Accent6 9 2 2 3 2 3" xfId="23823" xr:uid="{00000000-0005-0000-0000-0000E3530000}"/>
    <cellStyle name="40% - Accent6 9 2 2 3 2 3 2" xfId="47655" xr:uid="{D399E77B-4A31-457D-80AC-19D64192B5AE}"/>
    <cellStyle name="40% - Accent6 9 2 2 3 2 4" xfId="31778" xr:uid="{7F625E15-17C8-4590-A0FE-51CF479760D8}"/>
    <cellStyle name="40% - Accent6 9 2 2 3 3" xfId="12339" xr:uid="{00000000-0005-0000-0000-0000E4530000}"/>
    <cellStyle name="40% - Accent6 9 2 2 3 3 2" xfId="36188" xr:uid="{93812450-9BC5-49A5-B258-8A6B01A73B69}"/>
    <cellStyle name="40% - Accent6 9 2 2 3 4" xfId="20294" xr:uid="{00000000-0005-0000-0000-0000E5530000}"/>
    <cellStyle name="40% - Accent6 9 2 2 3 4 2" xfId="44126" xr:uid="{9634EE8A-01BE-4B75-8A22-25D4D1A5D773}"/>
    <cellStyle name="40% - Accent6 9 2 2 3 5" xfId="28247" xr:uid="{516E8371-680C-4B62-A732-6D07340C4533}"/>
    <cellStyle name="40% - Accent6 9 2 2 4" xfId="6134" xr:uid="{00000000-0005-0000-0000-0000E6530000}"/>
    <cellStyle name="40% - Accent6 9 2 2 4 2" xfId="14118" xr:uid="{00000000-0005-0000-0000-0000E7530000}"/>
    <cellStyle name="40% - Accent6 9 2 2 4 2 2" xfId="37961" xr:uid="{849D227D-D535-46CE-9EDA-CACD7ADC49DF}"/>
    <cellStyle name="40% - Accent6 9 2 2 4 3" xfId="22066" xr:uid="{00000000-0005-0000-0000-0000E8530000}"/>
    <cellStyle name="40% - Accent6 9 2 2 4 3 2" xfId="45898" xr:uid="{2B1DC428-B2D6-425B-84F2-C4DC56EBEC3C}"/>
    <cellStyle name="40% - Accent6 9 2 2 4 4" xfId="30020" xr:uid="{9ECDEC03-4F6E-4BE9-95A9-A57D7C4C770D}"/>
    <cellStyle name="40% - Accent6 9 2 2 5" xfId="9687" xr:uid="{00000000-0005-0000-0000-0000E9530000}"/>
    <cellStyle name="40% - Accent6 9 2 2 5 2" xfId="17645" xr:uid="{00000000-0005-0000-0000-0000EA530000}"/>
    <cellStyle name="40% - Accent6 9 2 2 5 2 2" xfId="41485" xr:uid="{D3C44286-2B07-4A42-BDFC-9E9BA40744DB}"/>
    <cellStyle name="40% - Accent6 9 2 2 5 3" xfId="25589" xr:uid="{00000000-0005-0000-0000-0000EB530000}"/>
    <cellStyle name="40% - Accent6 9 2 2 5 3 2" xfId="49421" xr:uid="{2FC12F62-4965-4065-8B3B-74106582062E}"/>
    <cellStyle name="40% - Accent6 9 2 2 5 4" xfId="33544" xr:uid="{8F9EACAA-0528-4E51-9AAB-46D8C0F9BFC0}"/>
    <cellStyle name="40% - Accent6 9 2 2 6" xfId="10583" xr:uid="{00000000-0005-0000-0000-0000EC530000}"/>
    <cellStyle name="40% - Accent6 9 2 2 6 2" xfId="34432" xr:uid="{3FB167A1-4548-49C7-A16A-F346FBE85708}"/>
    <cellStyle name="40% - Accent6 9 2 2 7" xfId="18538" xr:uid="{00000000-0005-0000-0000-0000ED530000}"/>
    <cellStyle name="40% - Accent6 9 2 2 7 2" xfId="42370" xr:uid="{B01511F0-D656-4EE3-A2CF-6B11C1479C1F}"/>
    <cellStyle name="40% - Accent6 9 2 2 8" xfId="26490" xr:uid="{9BC1F673-8E47-4BD8-B38E-8E8CCF28E826}"/>
    <cellStyle name="40% - Accent6 9 2 2_Exh G" xfId="3421" xr:uid="{00000000-0005-0000-0000-0000EE530000}"/>
    <cellStyle name="40% - Accent6 9 2 3" xfId="1662" xr:uid="{00000000-0005-0000-0000-0000EF530000}"/>
    <cellStyle name="40% - Accent6 9 2 3 2" xfId="5192" xr:uid="{00000000-0005-0000-0000-0000F0530000}"/>
    <cellStyle name="40% - Accent6 9 2 3 2 2" xfId="8783" xr:uid="{00000000-0005-0000-0000-0000F1530000}"/>
    <cellStyle name="40% - Accent6 9 2 3 2 2 2" xfId="16754" xr:uid="{00000000-0005-0000-0000-0000F2530000}"/>
    <cellStyle name="40% - Accent6 9 2 3 2 2 2 2" xfId="40596" xr:uid="{D80309BD-B48C-40D5-BFEF-028AC7BA09EA}"/>
    <cellStyle name="40% - Accent6 9 2 3 2 2 3" xfId="24700" xr:uid="{00000000-0005-0000-0000-0000F3530000}"/>
    <cellStyle name="40% - Accent6 9 2 3 2 2 3 2" xfId="48532" xr:uid="{9440779A-6915-4612-8FFB-CC5ACFF2EEED}"/>
    <cellStyle name="40% - Accent6 9 2 3 2 2 4" xfId="32655" xr:uid="{59933F16-8F99-4296-8DCF-E3D497CCDA9E}"/>
    <cellStyle name="40% - Accent6 9 2 3 2 3" xfId="13216" xr:uid="{00000000-0005-0000-0000-0000F4530000}"/>
    <cellStyle name="40% - Accent6 9 2 3 2 3 2" xfId="37065" xr:uid="{A7B5B051-3B80-4F06-938D-3F49D7AA6B05}"/>
    <cellStyle name="40% - Accent6 9 2 3 2 4" xfId="21171" xr:uid="{00000000-0005-0000-0000-0000F5530000}"/>
    <cellStyle name="40% - Accent6 9 2 3 2 4 2" xfId="45003" xr:uid="{CDE0A4D9-5F69-418D-ABA6-D980BB8C6F57}"/>
    <cellStyle name="40% - Accent6 9 2 3 2 5" xfId="29124" xr:uid="{6B9E7745-CE5C-439C-8FB3-B088F95120D4}"/>
    <cellStyle name="40% - Accent6 9 2 3 3" xfId="7024" xr:uid="{00000000-0005-0000-0000-0000F6530000}"/>
    <cellStyle name="40% - Accent6 9 2 3 3 2" xfId="14996" xr:uid="{00000000-0005-0000-0000-0000F7530000}"/>
    <cellStyle name="40% - Accent6 9 2 3 3 2 2" xfId="38838" xr:uid="{63912BD4-DDF7-43BA-A2E8-68CCF1C1BA00}"/>
    <cellStyle name="40% - Accent6 9 2 3 3 3" xfId="22943" xr:uid="{00000000-0005-0000-0000-0000F8530000}"/>
    <cellStyle name="40% - Accent6 9 2 3 3 3 2" xfId="46775" xr:uid="{66CD058B-3D8F-4554-9BE4-D4A5910BAE3B}"/>
    <cellStyle name="40% - Accent6 9 2 3 3 4" xfId="30897" xr:uid="{71AE409B-8F59-404C-BB03-DEA33C91F906}"/>
    <cellStyle name="40% - Accent6 9 2 3 4" xfId="11460" xr:uid="{00000000-0005-0000-0000-0000F9530000}"/>
    <cellStyle name="40% - Accent6 9 2 3 4 2" xfId="35309" xr:uid="{DACE0F92-7935-4713-A599-31B3CFC5C821}"/>
    <cellStyle name="40% - Accent6 9 2 3 5" xfId="19415" xr:uid="{00000000-0005-0000-0000-0000FA530000}"/>
    <cellStyle name="40% - Accent6 9 2 3 5 2" xfId="43247" xr:uid="{416EE32E-3DE0-40E7-BC4C-A18A9010086B}"/>
    <cellStyle name="40% - Accent6 9 2 3 6" xfId="27367" xr:uid="{9CD5DD40-C10F-483A-8F83-012E5DABAFA4}"/>
    <cellStyle name="40% - Accent6 9 2 3_Exh G" xfId="3423" xr:uid="{00000000-0005-0000-0000-0000FB530000}"/>
    <cellStyle name="40% - Accent6 9 2 4" xfId="4313" xr:uid="{00000000-0005-0000-0000-0000FC530000}"/>
    <cellStyle name="40% - Accent6 9 2 4 2" xfId="7905" xr:uid="{00000000-0005-0000-0000-0000FD530000}"/>
    <cellStyle name="40% - Accent6 9 2 4 2 2" xfId="15876" xr:uid="{00000000-0005-0000-0000-0000FE530000}"/>
    <cellStyle name="40% - Accent6 9 2 4 2 2 2" xfId="39718" xr:uid="{2A8EC285-2CE5-4929-B9B1-61F81B5EDB5D}"/>
    <cellStyle name="40% - Accent6 9 2 4 2 3" xfId="23822" xr:uid="{00000000-0005-0000-0000-0000FF530000}"/>
    <cellStyle name="40% - Accent6 9 2 4 2 3 2" xfId="47654" xr:uid="{DA6AB1C0-4D2E-47BE-9279-99A93C04E8C7}"/>
    <cellStyle name="40% - Accent6 9 2 4 2 4" xfId="31777" xr:uid="{5709EE57-DA3F-4D6C-ADAA-7A1176F79C11}"/>
    <cellStyle name="40% - Accent6 9 2 4 3" xfId="12338" xr:uid="{00000000-0005-0000-0000-000000540000}"/>
    <cellStyle name="40% - Accent6 9 2 4 3 2" xfId="36187" xr:uid="{06CE907B-0D5C-4E7B-84CF-B22FA855D3A9}"/>
    <cellStyle name="40% - Accent6 9 2 4 4" xfId="20293" xr:uid="{00000000-0005-0000-0000-000001540000}"/>
    <cellStyle name="40% - Accent6 9 2 4 4 2" xfId="44125" xr:uid="{0994D0AF-85AF-4DB4-972D-4FEAFAD61FC9}"/>
    <cellStyle name="40% - Accent6 9 2 4 5" xfId="28246" xr:uid="{C692073F-ABDE-49AF-A217-A179734E9AAB}"/>
    <cellStyle name="40% - Accent6 9 2 5" xfId="6133" xr:uid="{00000000-0005-0000-0000-000002540000}"/>
    <cellStyle name="40% - Accent6 9 2 5 2" xfId="14117" xr:uid="{00000000-0005-0000-0000-000003540000}"/>
    <cellStyle name="40% - Accent6 9 2 5 2 2" xfId="37960" xr:uid="{E6D9A12B-4E32-4D4B-9028-727C99599CE7}"/>
    <cellStyle name="40% - Accent6 9 2 5 3" xfId="22065" xr:uid="{00000000-0005-0000-0000-000004540000}"/>
    <cellStyle name="40% - Accent6 9 2 5 3 2" xfId="45897" xr:uid="{F80856D9-F7C5-4D20-B31A-D49E9A33550D}"/>
    <cellStyle name="40% - Accent6 9 2 5 4" xfId="30019" xr:uid="{A53F95BB-98AD-459D-A5DA-1B29FD7C8988}"/>
    <cellStyle name="40% - Accent6 9 2 6" xfId="9686" xr:uid="{00000000-0005-0000-0000-000005540000}"/>
    <cellStyle name="40% - Accent6 9 2 6 2" xfId="17644" xr:uid="{00000000-0005-0000-0000-000006540000}"/>
    <cellStyle name="40% - Accent6 9 2 6 2 2" xfId="41484" xr:uid="{81619AB1-29B7-45DC-93AD-2BBF09AF5BE5}"/>
    <cellStyle name="40% - Accent6 9 2 6 3" xfId="25588" xr:uid="{00000000-0005-0000-0000-000007540000}"/>
    <cellStyle name="40% - Accent6 9 2 6 3 2" xfId="49420" xr:uid="{062A9F55-F674-4A28-9CD7-A87F11F7853C}"/>
    <cellStyle name="40% - Accent6 9 2 6 4" xfId="33543" xr:uid="{AEAAA64B-A6F1-408E-8DDC-3EFE7C94721E}"/>
    <cellStyle name="40% - Accent6 9 2 7" xfId="10582" xr:uid="{00000000-0005-0000-0000-000008540000}"/>
    <cellStyle name="40% - Accent6 9 2 7 2" xfId="34431" xr:uid="{2E5C212E-7BA3-4FEB-9DFF-641E8E9CFF41}"/>
    <cellStyle name="40% - Accent6 9 2 8" xfId="18537" xr:uid="{00000000-0005-0000-0000-000009540000}"/>
    <cellStyle name="40% - Accent6 9 2 8 2" xfId="42369" xr:uid="{B8C443B5-22AB-467A-B3D6-93047875CBEF}"/>
    <cellStyle name="40% - Accent6 9 2 9" xfId="26489" xr:uid="{806BD943-0158-452A-A9AF-48D164AFF7DA}"/>
    <cellStyle name="40% - Accent6 9 2_Exh G" xfId="3420" xr:uid="{00000000-0005-0000-0000-00000A540000}"/>
    <cellStyle name="40% - Accent6 9 3" xfId="636" xr:uid="{00000000-0005-0000-0000-00000B540000}"/>
    <cellStyle name="40% - Accent6 9 3 2" xfId="1664" xr:uid="{00000000-0005-0000-0000-00000C540000}"/>
    <cellStyle name="40% - Accent6 9 3 2 2" xfId="5194" xr:uid="{00000000-0005-0000-0000-00000D540000}"/>
    <cellStyle name="40% - Accent6 9 3 2 2 2" xfId="8785" xr:uid="{00000000-0005-0000-0000-00000E540000}"/>
    <cellStyle name="40% - Accent6 9 3 2 2 2 2" xfId="16756" xr:uid="{00000000-0005-0000-0000-00000F540000}"/>
    <cellStyle name="40% - Accent6 9 3 2 2 2 2 2" xfId="40598" xr:uid="{781E2256-CD8C-403F-A80F-E9571343338E}"/>
    <cellStyle name="40% - Accent6 9 3 2 2 2 3" xfId="24702" xr:uid="{00000000-0005-0000-0000-000010540000}"/>
    <cellStyle name="40% - Accent6 9 3 2 2 2 3 2" xfId="48534" xr:uid="{6B1E233E-3AE7-479B-A8FE-FED4BCBA9ED2}"/>
    <cellStyle name="40% - Accent6 9 3 2 2 2 4" xfId="32657" xr:uid="{1FDFA2B6-024B-4F84-AEFE-C83277414455}"/>
    <cellStyle name="40% - Accent6 9 3 2 2 3" xfId="13218" xr:uid="{00000000-0005-0000-0000-000011540000}"/>
    <cellStyle name="40% - Accent6 9 3 2 2 3 2" xfId="37067" xr:uid="{FAFC21CA-7D3B-4747-B390-462873EEB2A0}"/>
    <cellStyle name="40% - Accent6 9 3 2 2 4" xfId="21173" xr:uid="{00000000-0005-0000-0000-000012540000}"/>
    <cellStyle name="40% - Accent6 9 3 2 2 4 2" xfId="45005" xr:uid="{B5AD502A-2AD6-4DC2-809F-FA06DF295EDA}"/>
    <cellStyle name="40% - Accent6 9 3 2 2 5" xfId="29126" xr:uid="{FED52A87-7AF8-4C9F-8EA0-699862FBADF6}"/>
    <cellStyle name="40% - Accent6 9 3 2 3" xfId="7026" xr:uid="{00000000-0005-0000-0000-000013540000}"/>
    <cellStyle name="40% - Accent6 9 3 2 3 2" xfId="14998" xr:uid="{00000000-0005-0000-0000-000014540000}"/>
    <cellStyle name="40% - Accent6 9 3 2 3 2 2" xfId="38840" xr:uid="{F3760F94-B591-4981-BC67-2AA865C96C37}"/>
    <cellStyle name="40% - Accent6 9 3 2 3 3" xfId="22945" xr:uid="{00000000-0005-0000-0000-000015540000}"/>
    <cellStyle name="40% - Accent6 9 3 2 3 3 2" xfId="46777" xr:uid="{6EFAD090-4A23-4EA6-917C-16EE2F292839}"/>
    <cellStyle name="40% - Accent6 9 3 2 3 4" xfId="30899" xr:uid="{ECF2372B-03B0-443B-BB89-6DCF76D2714E}"/>
    <cellStyle name="40% - Accent6 9 3 2 4" xfId="11462" xr:uid="{00000000-0005-0000-0000-000016540000}"/>
    <cellStyle name="40% - Accent6 9 3 2 4 2" xfId="35311" xr:uid="{EFFDFF41-3661-46A2-9620-A2C68D190F2E}"/>
    <cellStyle name="40% - Accent6 9 3 2 5" xfId="19417" xr:uid="{00000000-0005-0000-0000-000017540000}"/>
    <cellStyle name="40% - Accent6 9 3 2 5 2" xfId="43249" xr:uid="{53B5D3D6-0ED8-4FE7-BE40-3766EED28226}"/>
    <cellStyle name="40% - Accent6 9 3 2 6" xfId="27369" xr:uid="{287A8F1D-01F7-44E3-BA0D-53A4D5ADC4F1}"/>
    <cellStyle name="40% - Accent6 9 3 2_Exh G" xfId="3425" xr:uid="{00000000-0005-0000-0000-000018540000}"/>
    <cellStyle name="40% - Accent6 9 3 3" xfId="4315" xr:uid="{00000000-0005-0000-0000-000019540000}"/>
    <cellStyle name="40% - Accent6 9 3 3 2" xfId="7907" xr:uid="{00000000-0005-0000-0000-00001A540000}"/>
    <cellStyle name="40% - Accent6 9 3 3 2 2" xfId="15878" xr:uid="{00000000-0005-0000-0000-00001B540000}"/>
    <cellStyle name="40% - Accent6 9 3 3 2 2 2" xfId="39720" xr:uid="{68063BDB-07E1-4CE8-9B8B-970FEF309FEC}"/>
    <cellStyle name="40% - Accent6 9 3 3 2 3" xfId="23824" xr:uid="{00000000-0005-0000-0000-00001C540000}"/>
    <cellStyle name="40% - Accent6 9 3 3 2 3 2" xfId="47656" xr:uid="{60847256-1FFD-4216-AB0B-8A3B3DAFD578}"/>
    <cellStyle name="40% - Accent6 9 3 3 2 4" xfId="31779" xr:uid="{85410899-EF75-4935-A789-1CAFAE362601}"/>
    <cellStyle name="40% - Accent6 9 3 3 3" xfId="12340" xr:uid="{00000000-0005-0000-0000-00001D540000}"/>
    <cellStyle name="40% - Accent6 9 3 3 3 2" xfId="36189" xr:uid="{C5AE9B09-6D49-46D1-80F0-9C1FA9A18D6B}"/>
    <cellStyle name="40% - Accent6 9 3 3 4" xfId="20295" xr:uid="{00000000-0005-0000-0000-00001E540000}"/>
    <cellStyle name="40% - Accent6 9 3 3 4 2" xfId="44127" xr:uid="{82905B4E-1F3F-47D4-A36A-03AB297ED7FC}"/>
    <cellStyle name="40% - Accent6 9 3 3 5" xfId="28248" xr:uid="{EB087CFA-7492-4EA7-A173-848089EF0513}"/>
    <cellStyle name="40% - Accent6 9 3 4" xfId="6135" xr:uid="{00000000-0005-0000-0000-00001F540000}"/>
    <cellStyle name="40% - Accent6 9 3 4 2" xfId="14119" xr:uid="{00000000-0005-0000-0000-000020540000}"/>
    <cellStyle name="40% - Accent6 9 3 4 2 2" xfId="37962" xr:uid="{E1A09004-2F9B-4725-8174-2282BB9FDB1F}"/>
    <cellStyle name="40% - Accent6 9 3 4 3" xfId="22067" xr:uid="{00000000-0005-0000-0000-000021540000}"/>
    <cellStyle name="40% - Accent6 9 3 4 3 2" xfId="45899" xr:uid="{BA67195B-416E-4FF4-8A2E-8EA40B5BBF97}"/>
    <cellStyle name="40% - Accent6 9 3 4 4" xfId="30021" xr:uid="{6099165E-672E-4C21-8D4A-1058D7D4BB91}"/>
    <cellStyle name="40% - Accent6 9 3 5" xfId="9688" xr:uid="{00000000-0005-0000-0000-000022540000}"/>
    <cellStyle name="40% - Accent6 9 3 5 2" xfId="17646" xr:uid="{00000000-0005-0000-0000-000023540000}"/>
    <cellStyle name="40% - Accent6 9 3 5 2 2" xfId="41486" xr:uid="{4B800651-EBF5-4FD5-BBC3-99524354239A}"/>
    <cellStyle name="40% - Accent6 9 3 5 3" xfId="25590" xr:uid="{00000000-0005-0000-0000-000024540000}"/>
    <cellStyle name="40% - Accent6 9 3 5 3 2" xfId="49422" xr:uid="{D1DBD442-AD66-4D97-8445-791CBA4CDBE7}"/>
    <cellStyle name="40% - Accent6 9 3 5 4" xfId="33545" xr:uid="{D471B2FC-D2EA-41F8-86FB-58B8105D8CDD}"/>
    <cellStyle name="40% - Accent6 9 3 6" xfId="10584" xr:uid="{00000000-0005-0000-0000-000025540000}"/>
    <cellStyle name="40% - Accent6 9 3 6 2" xfId="34433" xr:uid="{8F24490D-7241-4CAA-87F6-C9B7F84F0459}"/>
    <cellStyle name="40% - Accent6 9 3 7" xfId="18539" xr:uid="{00000000-0005-0000-0000-000026540000}"/>
    <cellStyle name="40% - Accent6 9 3 7 2" xfId="42371" xr:uid="{E034BC37-F647-4220-8E26-6B2169617E13}"/>
    <cellStyle name="40% - Accent6 9 3 8" xfId="26491" xr:uid="{4601917D-1324-4845-863E-2E361C0D2F8D}"/>
    <cellStyle name="40% - Accent6 9 3_Exh G" xfId="3424" xr:uid="{00000000-0005-0000-0000-000027540000}"/>
    <cellStyle name="40% - Accent6 9 4" xfId="1005" xr:uid="{00000000-0005-0000-0000-000028540000}"/>
    <cellStyle name="40% - Accent6 9 4 2" xfId="1918" xr:uid="{00000000-0005-0000-0000-000029540000}"/>
    <cellStyle name="40% - Accent6 9 4 2 2" xfId="5436" xr:uid="{00000000-0005-0000-0000-00002A540000}"/>
    <cellStyle name="40% - Accent6 9 4 2 2 2" xfId="9027" xr:uid="{00000000-0005-0000-0000-00002B540000}"/>
    <cellStyle name="40% - Accent6 9 4 2 2 2 2" xfId="16998" xr:uid="{00000000-0005-0000-0000-00002C540000}"/>
    <cellStyle name="40% - Accent6 9 4 2 2 2 2 2" xfId="40840" xr:uid="{1D9FB0B5-D0F0-4A6A-BF27-901B07F80BBE}"/>
    <cellStyle name="40% - Accent6 9 4 2 2 2 3" xfId="24944" xr:uid="{00000000-0005-0000-0000-00002D540000}"/>
    <cellStyle name="40% - Accent6 9 4 2 2 2 3 2" xfId="48776" xr:uid="{75E6E11E-1D66-4635-9AF1-BA89284FD95C}"/>
    <cellStyle name="40% - Accent6 9 4 2 2 2 4" xfId="32899" xr:uid="{EB9DE136-F266-457E-BC13-DC07CB94517B}"/>
    <cellStyle name="40% - Accent6 9 4 2 2 3" xfId="13460" xr:uid="{00000000-0005-0000-0000-00002E540000}"/>
    <cellStyle name="40% - Accent6 9 4 2 2 3 2" xfId="37309" xr:uid="{F9FE3374-E32D-4C26-828D-92D1CAE70BE8}"/>
    <cellStyle name="40% - Accent6 9 4 2 2 4" xfId="21415" xr:uid="{00000000-0005-0000-0000-00002F540000}"/>
    <cellStyle name="40% - Accent6 9 4 2 2 4 2" xfId="45247" xr:uid="{35608D4C-9FDF-41C5-9A34-C5C2E6B6255D}"/>
    <cellStyle name="40% - Accent6 9 4 2 2 5" xfId="29368" xr:uid="{D8868A12-7558-496D-803B-364F6D7A3819}"/>
    <cellStyle name="40% - Accent6 9 4 2 3" xfId="7268" xr:uid="{00000000-0005-0000-0000-000030540000}"/>
    <cellStyle name="40% - Accent6 9 4 2 3 2" xfId="15240" xr:uid="{00000000-0005-0000-0000-000031540000}"/>
    <cellStyle name="40% - Accent6 9 4 2 3 2 2" xfId="39082" xr:uid="{0B924937-7CF4-4C74-8433-B8F9599476E4}"/>
    <cellStyle name="40% - Accent6 9 4 2 3 3" xfId="23187" xr:uid="{00000000-0005-0000-0000-000032540000}"/>
    <cellStyle name="40% - Accent6 9 4 2 3 3 2" xfId="47019" xr:uid="{D9DD0A52-D589-4715-BA9A-5947921298CD}"/>
    <cellStyle name="40% - Accent6 9 4 2 3 4" xfId="31141" xr:uid="{51090985-F5A3-4527-9AE4-2B930A564105}"/>
    <cellStyle name="40% - Accent6 9 4 2 4" xfId="11704" xr:uid="{00000000-0005-0000-0000-000033540000}"/>
    <cellStyle name="40% - Accent6 9 4 2 4 2" xfId="35553" xr:uid="{EA165F09-A955-4154-AB39-C3949192D5AD}"/>
    <cellStyle name="40% - Accent6 9 4 2 5" xfId="19659" xr:uid="{00000000-0005-0000-0000-000034540000}"/>
    <cellStyle name="40% - Accent6 9 4 2 5 2" xfId="43491" xr:uid="{EE65C04F-4893-4A8A-8A6B-B48BE879CCBD}"/>
    <cellStyle name="40% - Accent6 9 4 2 6" xfId="27611" xr:uid="{7D0C3E57-D9D3-4D4A-93A1-4FC48BEB5745}"/>
    <cellStyle name="40% - Accent6 9 4 2_Exh G" xfId="3427" xr:uid="{00000000-0005-0000-0000-000035540000}"/>
    <cellStyle name="40% - Accent6 9 4 3" xfId="4557" xr:uid="{00000000-0005-0000-0000-000036540000}"/>
    <cellStyle name="40% - Accent6 9 4 3 2" xfId="8149" xr:uid="{00000000-0005-0000-0000-000037540000}"/>
    <cellStyle name="40% - Accent6 9 4 3 2 2" xfId="16120" xr:uid="{00000000-0005-0000-0000-000038540000}"/>
    <cellStyle name="40% - Accent6 9 4 3 2 2 2" xfId="39962" xr:uid="{101113E4-FC83-4C96-857C-614599C1AE5D}"/>
    <cellStyle name="40% - Accent6 9 4 3 2 3" xfId="24066" xr:uid="{00000000-0005-0000-0000-000039540000}"/>
    <cellStyle name="40% - Accent6 9 4 3 2 3 2" xfId="47898" xr:uid="{24458DC7-7476-4495-A5FB-634F5FDE8597}"/>
    <cellStyle name="40% - Accent6 9 4 3 2 4" xfId="32021" xr:uid="{E5931E2C-F8BE-46C0-AD16-B820194CB545}"/>
    <cellStyle name="40% - Accent6 9 4 3 3" xfId="12582" xr:uid="{00000000-0005-0000-0000-00003A540000}"/>
    <cellStyle name="40% - Accent6 9 4 3 3 2" xfId="36431" xr:uid="{C2FDB07F-5F0D-4DF0-B57A-3855B21108BB}"/>
    <cellStyle name="40% - Accent6 9 4 3 4" xfId="20537" xr:uid="{00000000-0005-0000-0000-00003B540000}"/>
    <cellStyle name="40% - Accent6 9 4 3 4 2" xfId="44369" xr:uid="{39979104-5FC2-453C-AC0B-040996967439}"/>
    <cellStyle name="40% - Accent6 9 4 3 5" xfId="28490" xr:uid="{E1C81416-85C5-4ECE-98EF-B98342721DE1}"/>
    <cellStyle name="40% - Accent6 9 4 4" xfId="6387" xr:uid="{00000000-0005-0000-0000-00003C540000}"/>
    <cellStyle name="40% - Accent6 9 4 4 2" xfId="14362" xr:uid="{00000000-0005-0000-0000-00003D540000}"/>
    <cellStyle name="40% - Accent6 9 4 4 2 2" xfId="38204" xr:uid="{A078E35D-BAC3-4E01-8033-C36BCBFFD3C5}"/>
    <cellStyle name="40% - Accent6 9 4 4 3" xfId="22309" xr:uid="{00000000-0005-0000-0000-00003E540000}"/>
    <cellStyle name="40% - Accent6 9 4 4 3 2" xfId="46141" xr:uid="{64E8BF9B-5EB1-476C-B07B-B4C12402BA91}"/>
    <cellStyle name="40% - Accent6 9 4 4 4" xfId="30263" xr:uid="{46AD3705-758E-4D54-8512-F4E8977470FC}"/>
    <cellStyle name="40% - Accent6 9 4 5" xfId="9930" xr:uid="{00000000-0005-0000-0000-00003F540000}"/>
    <cellStyle name="40% - Accent6 9 4 5 2" xfId="17888" xr:uid="{00000000-0005-0000-0000-000040540000}"/>
    <cellStyle name="40% - Accent6 9 4 5 2 2" xfId="41728" xr:uid="{B8CC4DC1-C7A3-4990-A7A6-47CD306BCA5E}"/>
    <cellStyle name="40% - Accent6 9 4 5 3" xfId="25832" xr:uid="{00000000-0005-0000-0000-000041540000}"/>
    <cellStyle name="40% - Accent6 9 4 5 3 2" xfId="49664" xr:uid="{99FCED04-F0C6-4635-AA36-F7A26346DA01}"/>
    <cellStyle name="40% - Accent6 9 4 5 4" xfId="33787" xr:uid="{54925D68-AB6A-44F2-8036-E744C7A2BA57}"/>
    <cellStyle name="40% - Accent6 9 4 6" xfId="10826" xr:uid="{00000000-0005-0000-0000-000042540000}"/>
    <cellStyle name="40% - Accent6 9 4 6 2" xfId="34675" xr:uid="{02E77701-5561-42AF-94A9-ED5B3A03826C}"/>
    <cellStyle name="40% - Accent6 9 4 7" xfId="18781" xr:uid="{00000000-0005-0000-0000-000043540000}"/>
    <cellStyle name="40% - Accent6 9 4 7 2" xfId="42613" xr:uid="{33FF3037-27DB-4428-A86F-A4442624E17B}"/>
    <cellStyle name="40% - Accent6 9 4 8" xfId="26733" xr:uid="{1D971A93-5D8F-4248-AC59-0101FC98B21F}"/>
    <cellStyle name="40% - Accent6 9 4_Exh G" xfId="3426" xr:uid="{00000000-0005-0000-0000-000044540000}"/>
    <cellStyle name="40% - Accent6 9 5" xfId="1661" xr:uid="{00000000-0005-0000-0000-000045540000}"/>
    <cellStyle name="40% - Accent6 9 5 2" xfId="5191" xr:uid="{00000000-0005-0000-0000-000046540000}"/>
    <cellStyle name="40% - Accent6 9 5 2 2" xfId="8782" xr:uid="{00000000-0005-0000-0000-000047540000}"/>
    <cellStyle name="40% - Accent6 9 5 2 2 2" xfId="16753" xr:uid="{00000000-0005-0000-0000-000048540000}"/>
    <cellStyle name="40% - Accent6 9 5 2 2 2 2" xfId="40595" xr:uid="{5F2DC413-B515-4887-B096-18BD0ED74AC9}"/>
    <cellStyle name="40% - Accent6 9 5 2 2 3" xfId="24699" xr:uid="{00000000-0005-0000-0000-000049540000}"/>
    <cellStyle name="40% - Accent6 9 5 2 2 3 2" xfId="48531" xr:uid="{A8D4A075-C76A-4461-8967-088537A1723E}"/>
    <cellStyle name="40% - Accent6 9 5 2 2 4" xfId="32654" xr:uid="{BD8CF0F7-D204-45D4-A620-4BE30C42A405}"/>
    <cellStyle name="40% - Accent6 9 5 2 3" xfId="13215" xr:uid="{00000000-0005-0000-0000-00004A540000}"/>
    <cellStyle name="40% - Accent6 9 5 2 3 2" xfId="37064" xr:uid="{449953BB-8CF6-4E28-B098-979783388960}"/>
    <cellStyle name="40% - Accent6 9 5 2 4" xfId="21170" xr:uid="{00000000-0005-0000-0000-00004B540000}"/>
    <cellStyle name="40% - Accent6 9 5 2 4 2" xfId="45002" xr:uid="{28E15F34-4AEF-40C9-8AC5-36DE7F892386}"/>
    <cellStyle name="40% - Accent6 9 5 2 5" xfId="29123" xr:uid="{3D634E57-4876-484C-ACFC-6DB1BA501939}"/>
    <cellStyle name="40% - Accent6 9 5 3" xfId="7023" xr:uid="{00000000-0005-0000-0000-00004C540000}"/>
    <cellStyle name="40% - Accent6 9 5 3 2" xfId="14995" xr:uid="{00000000-0005-0000-0000-00004D540000}"/>
    <cellStyle name="40% - Accent6 9 5 3 2 2" xfId="38837" xr:uid="{BA159AAC-C0E7-426F-B251-B933F2702ECC}"/>
    <cellStyle name="40% - Accent6 9 5 3 3" xfId="22942" xr:uid="{00000000-0005-0000-0000-00004E540000}"/>
    <cellStyle name="40% - Accent6 9 5 3 3 2" xfId="46774" xr:uid="{ACAE56DB-3094-4134-9D7E-D4EC490E133F}"/>
    <cellStyle name="40% - Accent6 9 5 3 4" xfId="30896" xr:uid="{097DB99B-1C9F-42A2-8FEC-1097FAC954C2}"/>
    <cellStyle name="40% - Accent6 9 5 4" xfId="11459" xr:uid="{00000000-0005-0000-0000-00004F540000}"/>
    <cellStyle name="40% - Accent6 9 5 4 2" xfId="35308" xr:uid="{11EBF595-342D-4736-A807-CAA5A1AC57D1}"/>
    <cellStyle name="40% - Accent6 9 5 5" xfId="19414" xr:uid="{00000000-0005-0000-0000-000050540000}"/>
    <cellStyle name="40% - Accent6 9 5 5 2" xfId="43246" xr:uid="{7E596FDD-108C-422D-AF3A-89826F8BAD9C}"/>
    <cellStyle name="40% - Accent6 9 5 6" xfId="27366" xr:uid="{2EA73A1A-29B4-4814-BC82-1D8418A4E712}"/>
    <cellStyle name="40% - Accent6 9 5_Exh G" xfId="3428" xr:uid="{00000000-0005-0000-0000-000051540000}"/>
    <cellStyle name="40% - Accent6 9 6" xfId="4312" xr:uid="{00000000-0005-0000-0000-000052540000}"/>
    <cellStyle name="40% - Accent6 9 6 2" xfId="7904" xr:uid="{00000000-0005-0000-0000-000053540000}"/>
    <cellStyle name="40% - Accent6 9 6 2 2" xfId="15875" xr:uid="{00000000-0005-0000-0000-000054540000}"/>
    <cellStyle name="40% - Accent6 9 6 2 2 2" xfId="39717" xr:uid="{9A4B1DF8-A034-4B56-B45E-B4296FE690B6}"/>
    <cellStyle name="40% - Accent6 9 6 2 3" xfId="23821" xr:uid="{00000000-0005-0000-0000-000055540000}"/>
    <cellStyle name="40% - Accent6 9 6 2 3 2" xfId="47653" xr:uid="{CE6476B7-A3DB-43E6-8D8F-39272B89546F}"/>
    <cellStyle name="40% - Accent6 9 6 2 4" xfId="31776" xr:uid="{7CEA809B-0017-493A-9D84-616DB4A11193}"/>
    <cellStyle name="40% - Accent6 9 6 3" xfId="12337" xr:uid="{00000000-0005-0000-0000-000056540000}"/>
    <cellStyle name="40% - Accent6 9 6 3 2" xfId="36186" xr:uid="{2752B14A-D109-481B-B26A-B6603AF9864E}"/>
    <cellStyle name="40% - Accent6 9 6 4" xfId="20292" xr:uid="{00000000-0005-0000-0000-000057540000}"/>
    <cellStyle name="40% - Accent6 9 6 4 2" xfId="44124" xr:uid="{4884793A-3B45-46E0-9CAE-E59197FE0894}"/>
    <cellStyle name="40% - Accent6 9 6 5" xfId="28245" xr:uid="{445416E8-9879-4B09-90C7-F05AAD32EC65}"/>
    <cellStyle name="40% - Accent6 9 7" xfId="6132" xr:uid="{00000000-0005-0000-0000-000058540000}"/>
    <cellStyle name="40% - Accent6 9 7 2" xfId="14116" xr:uid="{00000000-0005-0000-0000-000059540000}"/>
    <cellStyle name="40% - Accent6 9 7 2 2" xfId="37959" xr:uid="{6592A85F-9586-4E4B-AB6B-020F9B8D1B3E}"/>
    <cellStyle name="40% - Accent6 9 7 3" xfId="22064" xr:uid="{00000000-0005-0000-0000-00005A540000}"/>
    <cellStyle name="40% - Accent6 9 7 3 2" xfId="45896" xr:uid="{AB8EA80A-AB1E-441C-8BFC-E19CB8C492ED}"/>
    <cellStyle name="40% - Accent6 9 7 4" xfId="30018" xr:uid="{4BF375CC-EDF1-4978-94EF-5F2B7579046C}"/>
    <cellStyle name="40% - Accent6 9 8" xfId="9685" xr:uid="{00000000-0005-0000-0000-00005B540000}"/>
    <cellStyle name="40% - Accent6 9 8 2" xfId="17643" xr:uid="{00000000-0005-0000-0000-00005C540000}"/>
    <cellStyle name="40% - Accent6 9 8 2 2" xfId="41483" xr:uid="{024646B5-E000-465B-960D-FCFD1A45645C}"/>
    <cellStyle name="40% - Accent6 9 8 3" xfId="25587" xr:uid="{00000000-0005-0000-0000-00005D540000}"/>
    <cellStyle name="40% - Accent6 9 8 3 2" xfId="49419" xr:uid="{18E30E00-28A2-47B7-AE66-75B231D71679}"/>
    <cellStyle name="40% - Accent6 9 8 4" xfId="33542" xr:uid="{1445B0EE-8122-4C0A-84D8-1849528AE5F8}"/>
    <cellStyle name="40% - Accent6 9 9" xfId="10581" xr:uid="{00000000-0005-0000-0000-00005E540000}"/>
    <cellStyle name="40% - Accent6 9 9 2" xfId="34430" xr:uid="{26027ED1-A7C8-4180-92C6-E9B97FBFE13C}"/>
    <cellStyle name="40% - Accent6 9_Exh G" xfId="3419" xr:uid="{00000000-0005-0000-0000-00005F540000}"/>
    <cellStyle name="60% - Accent1 2" xfId="742" xr:uid="{00000000-0005-0000-0000-000060540000}"/>
    <cellStyle name="60% - Accent1 3" xfId="743" xr:uid="{00000000-0005-0000-0000-000061540000}"/>
    <cellStyle name="60% - Accent1 4" xfId="744" xr:uid="{00000000-0005-0000-0000-000062540000}"/>
    <cellStyle name="60% - Accent2 2" xfId="745" xr:uid="{00000000-0005-0000-0000-000063540000}"/>
    <cellStyle name="60% - Accent2 3" xfId="746" xr:uid="{00000000-0005-0000-0000-000064540000}"/>
    <cellStyle name="60% - Accent2 4" xfId="747" xr:uid="{00000000-0005-0000-0000-000065540000}"/>
    <cellStyle name="60% - Accent3 2" xfId="748" xr:uid="{00000000-0005-0000-0000-000066540000}"/>
    <cellStyle name="60% - Accent3 3" xfId="749" xr:uid="{00000000-0005-0000-0000-000067540000}"/>
    <cellStyle name="60% - Accent3 4" xfId="750" xr:uid="{00000000-0005-0000-0000-000068540000}"/>
    <cellStyle name="60% - Accent4 2" xfId="751" xr:uid="{00000000-0005-0000-0000-000069540000}"/>
    <cellStyle name="60% - Accent4 3" xfId="752" xr:uid="{00000000-0005-0000-0000-00006A540000}"/>
    <cellStyle name="60% - Accent4 4" xfId="753" xr:uid="{00000000-0005-0000-0000-00006B540000}"/>
    <cellStyle name="60% - Accent5 2" xfId="754" xr:uid="{00000000-0005-0000-0000-00006C540000}"/>
    <cellStyle name="60% - Accent5 3" xfId="755" xr:uid="{00000000-0005-0000-0000-00006D540000}"/>
    <cellStyle name="60% - Accent5 4" xfId="756" xr:uid="{00000000-0005-0000-0000-00006E540000}"/>
    <cellStyle name="60% - Accent6 2" xfId="757" xr:uid="{00000000-0005-0000-0000-00006F540000}"/>
    <cellStyle name="60% - Accent6 3" xfId="758" xr:uid="{00000000-0005-0000-0000-000070540000}"/>
    <cellStyle name="60% - Accent6 4" xfId="759" xr:uid="{00000000-0005-0000-0000-000071540000}"/>
    <cellStyle name="Accent1 2" xfId="760" xr:uid="{00000000-0005-0000-0000-000072540000}"/>
    <cellStyle name="Accent1 3" xfId="761" xr:uid="{00000000-0005-0000-0000-000073540000}"/>
    <cellStyle name="Accent1 4" xfId="762" xr:uid="{00000000-0005-0000-0000-000074540000}"/>
    <cellStyle name="Accent2 2" xfId="763" xr:uid="{00000000-0005-0000-0000-000075540000}"/>
    <cellStyle name="Accent2 3" xfId="764" xr:uid="{00000000-0005-0000-0000-000076540000}"/>
    <cellStyle name="Accent2 4" xfId="765" xr:uid="{00000000-0005-0000-0000-000077540000}"/>
    <cellStyle name="Accent3 2" xfId="766" xr:uid="{00000000-0005-0000-0000-000078540000}"/>
    <cellStyle name="Accent3 3" xfId="767" xr:uid="{00000000-0005-0000-0000-000079540000}"/>
    <cellStyle name="Accent3 4" xfId="768" xr:uid="{00000000-0005-0000-0000-00007A540000}"/>
    <cellStyle name="Accent4 2" xfId="769" xr:uid="{00000000-0005-0000-0000-00007B540000}"/>
    <cellStyle name="Accent4 3" xfId="770" xr:uid="{00000000-0005-0000-0000-00007C540000}"/>
    <cellStyle name="Accent4 4" xfId="771" xr:uid="{00000000-0005-0000-0000-00007D540000}"/>
    <cellStyle name="Accent5 2" xfId="772" xr:uid="{00000000-0005-0000-0000-00007E540000}"/>
    <cellStyle name="Accent5 3" xfId="773" xr:uid="{00000000-0005-0000-0000-00007F540000}"/>
    <cellStyle name="Accent5 4" xfId="774" xr:uid="{00000000-0005-0000-0000-000080540000}"/>
    <cellStyle name="Accent6 2" xfId="775" xr:uid="{00000000-0005-0000-0000-000081540000}"/>
    <cellStyle name="Accent6 3" xfId="776" xr:uid="{00000000-0005-0000-0000-000082540000}"/>
    <cellStyle name="Accent6 4" xfId="777" xr:uid="{00000000-0005-0000-0000-000083540000}"/>
    <cellStyle name="Bad 2" xfId="778" xr:uid="{00000000-0005-0000-0000-000084540000}"/>
    <cellStyle name="Bad 3" xfId="779" xr:uid="{00000000-0005-0000-0000-000085540000}"/>
    <cellStyle name="Bad 4" xfId="780" xr:uid="{00000000-0005-0000-0000-000086540000}"/>
    <cellStyle name="C00A" xfId="49709" xr:uid="{651E60E2-5F16-4971-B758-5E1DB5D226C5}"/>
    <cellStyle name="C00B" xfId="49710" xr:uid="{D7A9A9E8-AD47-4B47-9C8B-19F346E1F606}"/>
    <cellStyle name="C00L" xfId="49711" xr:uid="{972D11D0-E098-4593-B08F-41EFD348E95A}"/>
    <cellStyle name="C01A" xfId="49712" xr:uid="{373A0D2D-F697-43FA-8B25-0BE173B4FA7D}"/>
    <cellStyle name="C01B" xfId="49713" xr:uid="{C4782731-6FA2-4EE0-B720-0CAD77B50ADF}"/>
    <cellStyle name="C01H" xfId="49714" xr:uid="{BE517F0B-DB1B-49BB-BCDE-A6AC4BBD2A79}"/>
    <cellStyle name="C01L" xfId="49715" xr:uid="{5786AC69-F3E4-4899-A40D-FC463116F031}"/>
    <cellStyle name="C02A" xfId="49716" xr:uid="{1BCDA1EB-D915-4765-A23E-DCDB9977D44B}"/>
    <cellStyle name="C02B" xfId="49717" xr:uid="{5E3E6CDD-2FC2-4FCB-AABC-1E67F9133BA0}"/>
    <cellStyle name="C02H" xfId="49718" xr:uid="{167DFFC2-9900-410D-B8BB-2E3CBD12A30E}"/>
    <cellStyle name="C02L" xfId="49719" xr:uid="{A4C1EBB3-67A6-485B-9573-4658D738D0FE}"/>
    <cellStyle name="C03A" xfId="49720" xr:uid="{08EC0611-1AD1-44E7-A718-90876E55854B}"/>
    <cellStyle name="C03B" xfId="49721" xr:uid="{4D73D23E-B894-4527-A4F8-DB11C4EB11B7}"/>
    <cellStyle name="C03H" xfId="49722" xr:uid="{E21B60C1-1062-4305-A4AD-70C0ABFA318D}"/>
    <cellStyle name="C03L" xfId="49723" xr:uid="{C417BB95-5CD3-42F0-89F1-F039F1658FF7}"/>
    <cellStyle name="C04A" xfId="49724" xr:uid="{58D0B77C-3A42-4B8C-A801-FDBB76597CA1}"/>
    <cellStyle name="C04B" xfId="49725" xr:uid="{10E70545-BAC4-4740-A525-974712F0FEC1}"/>
    <cellStyle name="C04H" xfId="49726" xr:uid="{7DDA02B7-5DA4-4E6C-B6D9-C34698E33A0E}"/>
    <cellStyle name="C04L" xfId="49727" xr:uid="{492D8597-D88B-4399-8714-14B414A5AB67}"/>
    <cellStyle name="C05A" xfId="49728" xr:uid="{1C20608B-0408-43FC-8277-80C453594AEE}"/>
    <cellStyle name="C05B" xfId="49729" xr:uid="{E55CF831-5429-485F-9C11-1581956DB610}"/>
    <cellStyle name="C05H" xfId="49730" xr:uid="{1810EA43-ECCE-45E7-989D-F6E0C218F4BF}"/>
    <cellStyle name="C05L" xfId="49731" xr:uid="{5088F11A-1BF3-4CD0-8E88-363147E86014}"/>
    <cellStyle name="C05L 2" xfId="49791" xr:uid="{31623C7F-A7CA-4C0D-9001-73A280F914CC}"/>
    <cellStyle name="C05L 3" xfId="49777" xr:uid="{8D89F559-5BAB-4253-AEF6-9ABC7DD8000B}"/>
    <cellStyle name="C06A" xfId="49732" xr:uid="{E39FCB18-6B11-4E9E-88C5-DE06CD1AF104}"/>
    <cellStyle name="C06B" xfId="49733" xr:uid="{35ED561A-B862-45A5-BA57-A07AAAD0B5BC}"/>
    <cellStyle name="C06H" xfId="49734" xr:uid="{E1ED3CD1-7FEA-4B81-AA48-73529559A72E}"/>
    <cellStyle name="C06L" xfId="49735" xr:uid="{67E30422-E94B-492A-AED2-F3B045EA9115}"/>
    <cellStyle name="C07A" xfId="49736" xr:uid="{0BE651D3-CDBA-4999-A05C-ADD85E64B371}"/>
    <cellStyle name="C07B" xfId="49737" xr:uid="{B895DDF3-8628-453D-8D49-74EE6C29468A}"/>
    <cellStyle name="C07H" xfId="49738" xr:uid="{76E5E761-5C38-4800-B034-9D8C2BCFC0B3}"/>
    <cellStyle name="C07L" xfId="49739" xr:uid="{4348BC1E-7A9B-45B9-89B4-F8DBE411C33B}"/>
    <cellStyle name="Calculation 2" xfId="781" xr:uid="{00000000-0005-0000-0000-000087540000}"/>
    <cellStyle name="Calculation 3" xfId="782" xr:uid="{00000000-0005-0000-0000-000088540000}"/>
    <cellStyle name="Calculation 3 2" xfId="6238" xr:uid="{00000000-0005-0000-0000-000089540000}"/>
    <cellStyle name="Calculation 4" xfId="783" xr:uid="{00000000-0005-0000-0000-00008A540000}"/>
    <cellStyle name="Calculation 4 2" xfId="6239" xr:uid="{00000000-0005-0000-0000-00008B540000}"/>
    <cellStyle name="Check Cell 2" xfId="784" xr:uid="{00000000-0005-0000-0000-00008C540000}"/>
    <cellStyle name="Check Cell 3" xfId="785" xr:uid="{00000000-0005-0000-0000-00008D540000}"/>
    <cellStyle name="Check Cell 4" xfId="786" xr:uid="{00000000-0005-0000-0000-00008E540000}"/>
    <cellStyle name="Comma" xfId="17924" builtinId="3"/>
    <cellStyle name="Comma 10" xfId="9049" xr:uid="{00000000-0005-0000-0000-000090540000}"/>
    <cellStyle name="Comma 11" xfId="25868" xr:uid="{00000000-0005-0000-0000-000091540000}"/>
    <cellStyle name="Comma 11 2" xfId="49695" xr:uid="{FDB01EA7-13A3-4F8D-8EBB-8806E1CDC6DF}"/>
    <cellStyle name="Comma 12" xfId="49806" xr:uid="{7DC7A0B4-4AB1-4302-A0E7-A2839EBF1C1B}"/>
    <cellStyle name="Comma 2" xfId="1" xr:uid="{00000000-0005-0000-0000-000092540000}"/>
    <cellStyle name="Comma 2 2" xfId="741" xr:uid="{00000000-0005-0000-0000-000093540000}"/>
    <cellStyle name="Comma 2 2 2" xfId="833" xr:uid="{00000000-0005-0000-0000-000094540000}"/>
    <cellStyle name="Comma 2 2 2 2" xfId="1773" xr:uid="{00000000-0005-0000-0000-000095540000}"/>
    <cellStyle name="Comma 2 2 3" xfId="1007" xr:uid="{00000000-0005-0000-0000-000096540000}"/>
    <cellStyle name="Comma 2 3" xfId="834" xr:uid="{00000000-0005-0000-0000-000097540000}"/>
    <cellStyle name="Comma 2 3 2" xfId="1774" xr:uid="{00000000-0005-0000-0000-000098540000}"/>
    <cellStyle name="Comma 2 4" xfId="835" xr:uid="{00000000-0005-0000-0000-000099540000}"/>
    <cellStyle name="Comma 2 4 2" xfId="1775" xr:uid="{00000000-0005-0000-0000-00009A540000}"/>
    <cellStyle name="Comma 2 5" xfId="857" xr:uid="{00000000-0005-0000-0000-00009B540000}"/>
    <cellStyle name="Comma 2 5 2" xfId="1796" xr:uid="{00000000-0005-0000-0000-00009C540000}"/>
    <cellStyle name="Comma 2 6" xfId="1006" xr:uid="{00000000-0005-0000-0000-00009D540000}"/>
    <cellStyle name="Comma 2 7" xfId="1044" xr:uid="{00000000-0005-0000-0000-00009E540000}"/>
    <cellStyle name="Comma 2 8" xfId="5467" xr:uid="{00000000-0005-0000-0000-00009F540000}"/>
    <cellStyle name="Comma 2 9" xfId="5497" xr:uid="{00000000-0005-0000-0000-0000A0540000}"/>
    <cellStyle name="Comma 2 9 2" xfId="5514" xr:uid="{00000000-0005-0000-0000-0000A1540000}"/>
    <cellStyle name="Comma 3" xfId="5" xr:uid="{00000000-0005-0000-0000-0000A2540000}"/>
    <cellStyle name="Comma 3 2" xfId="1008" xr:uid="{00000000-0005-0000-0000-0000A3540000}"/>
    <cellStyle name="Comma 3 2 2" xfId="1919" xr:uid="{00000000-0005-0000-0000-0000A4540000}"/>
    <cellStyle name="Comma 3 2 2 2" xfId="5437" xr:uid="{00000000-0005-0000-0000-0000A5540000}"/>
    <cellStyle name="Comma 3 2 2 2 2" xfId="9028" xr:uid="{00000000-0005-0000-0000-0000A6540000}"/>
    <cellStyle name="Comma 3 2 2 2 2 2" xfId="16999" xr:uid="{00000000-0005-0000-0000-0000A7540000}"/>
    <cellStyle name="Comma 3 2 2 2 2 2 2" xfId="40841" xr:uid="{2128CBE7-3446-4289-BA6E-3A5C169A7DC6}"/>
    <cellStyle name="Comma 3 2 2 2 2 3" xfId="24945" xr:uid="{00000000-0005-0000-0000-0000A8540000}"/>
    <cellStyle name="Comma 3 2 2 2 2 3 2" xfId="48777" xr:uid="{6A57AC74-2235-4808-8DF8-2E22174EE811}"/>
    <cellStyle name="Comma 3 2 2 2 2 4" xfId="32900" xr:uid="{91D42DBC-6632-40D5-95CA-0B8890498074}"/>
    <cellStyle name="Comma 3 2 2 2 3" xfId="13461" xr:uid="{00000000-0005-0000-0000-0000A9540000}"/>
    <cellStyle name="Comma 3 2 2 2 3 2" xfId="37310" xr:uid="{BE295E30-6A34-4D3B-B50D-1D4F5CD45996}"/>
    <cellStyle name="Comma 3 2 2 2 4" xfId="21416" xr:uid="{00000000-0005-0000-0000-0000AA540000}"/>
    <cellStyle name="Comma 3 2 2 2 4 2" xfId="45248" xr:uid="{D24D354D-A0B1-46A7-AFD6-B32B9B2F4312}"/>
    <cellStyle name="Comma 3 2 2 2 5" xfId="29369" xr:uid="{43DCEF07-3130-4241-90B7-603F7417C52C}"/>
    <cellStyle name="Comma 3 2 2 3" xfId="7269" xr:uid="{00000000-0005-0000-0000-0000AB540000}"/>
    <cellStyle name="Comma 3 2 2 3 2" xfId="15241" xr:uid="{00000000-0005-0000-0000-0000AC540000}"/>
    <cellStyle name="Comma 3 2 2 3 2 2" xfId="39083" xr:uid="{E91FA95E-151F-462B-83FD-48104353866F}"/>
    <cellStyle name="Comma 3 2 2 3 3" xfId="23188" xr:uid="{00000000-0005-0000-0000-0000AD540000}"/>
    <cellStyle name="Comma 3 2 2 3 3 2" xfId="47020" xr:uid="{AC25DA99-4578-4987-9081-47F0DFCCDEA5}"/>
    <cellStyle name="Comma 3 2 2 3 4" xfId="31142" xr:uid="{1BAC6860-C771-405F-ABD6-D010ADB19AB5}"/>
    <cellStyle name="Comma 3 2 2 4" xfId="11705" xr:uid="{00000000-0005-0000-0000-0000AE540000}"/>
    <cellStyle name="Comma 3 2 2 4 2" xfId="35554" xr:uid="{90FB4BD2-B308-4FD7-B5E5-DB26FD00ED43}"/>
    <cellStyle name="Comma 3 2 2 5" xfId="19660" xr:uid="{00000000-0005-0000-0000-0000AF540000}"/>
    <cellStyle name="Comma 3 2 2 5 2" xfId="43492" xr:uid="{8BDEDD4C-E4CA-4460-84CF-48E31C4637AF}"/>
    <cellStyle name="Comma 3 2 2 6" xfId="27612" xr:uid="{EF99BFCC-CE2E-43FD-BDD6-367B3E306D41}"/>
    <cellStyle name="Comma 3 2 3" xfId="4558" xr:uid="{00000000-0005-0000-0000-0000B0540000}"/>
    <cellStyle name="Comma 3 2 3 2" xfId="8150" xr:uid="{00000000-0005-0000-0000-0000B1540000}"/>
    <cellStyle name="Comma 3 2 3 2 2" xfId="16121" xr:uid="{00000000-0005-0000-0000-0000B2540000}"/>
    <cellStyle name="Comma 3 2 3 2 2 2" xfId="39963" xr:uid="{15F0685C-0A5D-4FB9-853F-DF58BDBCC810}"/>
    <cellStyle name="Comma 3 2 3 2 3" xfId="24067" xr:uid="{00000000-0005-0000-0000-0000B3540000}"/>
    <cellStyle name="Comma 3 2 3 2 3 2" xfId="47899" xr:uid="{1F0A1D3F-94EB-4CA8-AE1B-45418A0FC04A}"/>
    <cellStyle name="Comma 3 2 3 2 4" xfId="32022" xr:uid="{0D2244B5-57A8-4FD0-B74E-B5A481C4F671}"/>
    <cellStyle name="Comma 3 2 3 3" xfId="12583" xr:uid="{00000000-0005-0000-0000-0000B4540000}"/>
    <cellStyle name="Comma 3 2 3 3 2" xfId="36432" xr:uid="{5A50534E-7FC1-4BD2-83E1-7FEF2347447F}"/>
    <cellStyle name="Comma 3 2 3 4" xfId="20538" xr:uid="{00000000-0005-0000-0000-0000B5540000}"/>
    <cellStyle name="Comma 3 2 3 4 2" xfId="44370" xr:uid="{BC302ACA-3097-43D3-9B77-BFBB4D7F44E6}"/>
    <cellStyle name="Comma 3 2 3 5" xfId="28491" xr:uid="{32B2B8BF-4316-422A-AC2A-D918A3FF1D26}"/>
    <cellStyle name="Comma 3 2 4" xfId="5473" xr:uid="{00000000-0005-0000-0000-0000B6540000}"/>
    <cellStyle name="Comma 3 2 5" xfId="6388" xr:uid="{00000000-0005-0000-0000-0000B7540000}"/>
    <cellStyle name="Comma 3 2 5 2" xfId="14363" xr:uid="{00000000-0005-0000-0000-0000B8540000}"/>
    <cellStyle name="Comma 3 2 5 2 2" xfId="38205" xr:uid="{1FB349CC-CBF6-4D55-8C92-527244605AC6}"/>
    <cellStyle name="Comma 3 2 5 3" xfId="22310" xr:uid="{00000000-0005-0000-0000-0000B9540000}"/>
    <cellStyle name="Comma 3 2 5 3 2" xfId="46142" xr:uid="{F2A6B503-0170-4F39-B571-CAC5F99496FD}"/>
    <cellStyle name="Comma 3 2 5 4" xfId="30264" xr:uid="{982A00D8-7856-4E7A-A521-16CB2D2AA47D}"/>
    <cellStyle name="Comma 3 2 6" xfId="9931" xr:uid="{00000000-0005-0000-0000-0000BA540000}"/>
    <cellStyle name="Comma 3 2 6 2" xfId="17889" xr:uid="{00000000-0005-0000-0000-0000BB540000}"/>
    <cellStyle name="Comma 3 2 6 2 2" xfId="41729" xr:uid="{38BF0FEA-891C-410E-B5E0-CE1E32AF8658}"/>
    <cellStyle name="Comma 3 2 6 3" xfId="25833" xr:uid="{00000000-0005-0000-0000-0000BC540000}"/>
    <cellStyle name="Comma 3 2 6 3 2" xfId="49665" xr:uid="{4FD36C75-9FAF-492C-896C-23B647D34F76}"/>
    <cellStyle name="Comma 3 2 6 4" xfId="33788" xr:uid="{9CF5DEFA-81B2-47F5-99BB-963DC289A239}"/>
    <cellStyle name="Comma 3 2 7" xfId="10827" xr:uid="{00000000-0005-0000-0000-0000BD540000}"/>
    <cellStyle name="Comma 3 2 7 2" xfId="34676" xr:uid="{A953117F-C892-4559-B41E-A769DFAA7FC3}"/>
    <cellStyle name="Comma 3 2 8" xfId="18782" xr:uid="{00000000-0005-0000-0000-0000BE540000}"/>
    <cellStyle name="Comma 3 2 8 2" xfId="42614" xr:uid="{39B6EC71-44A2-4890-ADA2-BC79608A1E11}"/>
    <cellStyle name="Comma 3 2 9" xfId="26734" xr:uid="{20B27E88-5E40-43F1-912F-F77472CE2200}"/>
    <cellStyle name="Comma 3 3" xfId="1046" xr:uid="{00000000-0005-0000-0000-0000BF540000}"/>
    <cellStyle name="Comma 3 4" xfId="5469" xr:uid="{00000000-0005-0000-0000-0000C0540000}"/>
    <cellStyle name="Comma 3 5" xfId="5518" xr:uid="{00000000-0005-0000-0000-0000C1540000}"/>
    <cellStyle name="Comma 4" xfId="9" xr:uid="{00000000-0005-0000-0000-0000C2540000}"/>
    <cellStyle name="Comma 4 2" xfId="1009" xr:uid="{00000000-0005-0000-0000-0000C3540000}"/>
    <cellStyle name="Comma 5" xfId="11" xr:uid="{00000000-0005-0000-0000-0000C4540000}"/>
    <cellStyle name="Comma 6" xfId="21" xr:uid="{00000000-0005-0000-0000-0000C5540000}"/>
    <cellStyle name="Comma 6 2" xfId="1051" xr:uid="{00000000-0005-0000-0000-0000C6540000}"/>
    <cellStyle name="Comma 6 2 2" xfId="4581" xr:uid="{00000000-0005-0000-0000-0000C7540000}"/>
    <cellStyle name="Comma 6 2 2 2" xfId="8172" xr:uid="{00000000-0005-0000-0000-0000C8540000}"/>
    <cellStyle name="Comma 6 2 2 2 2" xfId="16143" xr:uid="{00000000-0005-0000-0000-0000C9540000}"/>
    <cellStyle name="Comma 6 2 2 2 2 2" xfId="39985" xr:uid="{3DA24009-E1C0-4018-9DFA-56CD5EE0643F}"/>
    <cellStyle name="Comma 6 2 2 2 3" xfId="24089" xr:uid="{00000000-0005-0000-0000-0000CA540000}"/>
    <cellStyle name="Comma 6 2 2 2 3 2" xfId="47921" xr:uid="{EF0CA107-5946-434F-B0B1-ACECF19093AC}"/>
    <cellStyle name="Comma 6 2 2 2 4" xfId="32044" xr:uid="{22D59179-F457-4619-8A53-912787861120}"/>
    <cellStyle name="Comma 6 2 2 3" xfId="12605" xr:uid="{00000000-0005-0000-0000-0000CB540000}"/>
    <cellStyle name="Comma 6 2 2 3 2" xfId="36454" xr:uid="{FDC14E04-4EBF-4997-8464-179A1E15EF72}"/>
    <cellStyle name="Comma 6 2 2 4" xfId="20560" xr:uid="{00000000-0005-0000-0000-0000CC540000}"/>
    <cellStyle name="Comma 6 2 2 4 2" xfId="44392" xr:uid="{95864417-4BF3-4670-B20A-0D72AF4E75FD}"/>
    <cellStyle name="Comma 6 2 2 5" xfId="28513" xr:uid="{7FFDF6D6-6DC0-4242-A017-33A2E3E43A28}"/>
    <cellStyle name="Comma 6 2 3" xfId="6413" xr:uid="{00000000-0005-0000-0000-0000CD540000}"/>
    <cellStyle name="Comma 6 2 3 2" xfId="14385" xr:uid="{00000000-0005-0000-0000-0000CE540000}"/>
    <cellStyle name="Comma 6 2 3 2 2" xfId="38227" xr:uid="{F368D5B7-9625-4480-8893-320D4DB76FCC}"/>
    <cellStyle name="Comma 6 2 3 3" xfId="22332" xr:uid="{00000000-0005-0000-0000-0000CF540000}"/>
    <cellStyle name="Comma 6 2 3 3 2" xfId="46164" xr:uid="{307228D4-7436-4DA9-96C8-17C2B071BE96}"/>
    <cellStyle name="Comma 6 2 3 4" xfId="30286" xr:uid="{8D8503A1-D10A-4CBD-91E5-D3944F0EF55F}"/>
    <cellStyle name="Comma 6 2 4" xfId="10849" xr:uid="{00000000-0005-0000-0000-0000D0540000}"/>
    <cellStyle name="Comma 6 2 4 2" xfId="34698" xr:uid="{AF9DEA65-EA1A-4E75-B46F-26A2B01F4EAA}"/>
    <cellStyle name="Comma 6 2 5" xfId="18804" xr:uid="{00000000-0005-0000-0000-0000D1540000}"/>
    <cellStyle name="Comma 6 2 5 2" xfId="42636" xr:uid="{5EA10542-D6EC-4ABF-AC14-306BADEE5DBF}"/>
    <cellStyle name="Comma 6 2 6" xfId="26756" xr:uid="{3323436B-583A-4AA5-A258-807E7D2EA79F}"/>
    <cellStyle name="Comma 6 3" xfId="3702" xr:uid="{00000000-0005-0000-0000-0000D2540000}"/>
    <cellStyle name="Comma 6 3 2" xfId="7294" xr:uid="{00000000-0005-0000-0000-0000D3540000}"/>
    <cellStyle name="Comma 6 3 2 2" xfId="15265" xr:uid="{00000000-0005-0000-0000-0000D4540000}"/>
    <cellStyle name="Comma 6 3 2 2 2" xfId="39107" xr:uid="{96233E1A-C59D-49E6-ACAD-D90EC01C1BD3}"/>
    <cellStyle name="Comma 6 3 2 3" xfId="23211" xr:uid="{00000000-0005-0000-0000-0000D5540000}"/>
    <cellStyle name="Comma 6 3 2 3 2" xfId="47043" xr:uid="{950E093E-7AA0-4F35-923A-A1DE8669159C}"/>
    <cellStyle name="Comma 6 3 2 4" xfId="31166" xr:uid="{AC009CB1-7FF1-48A0-943D-DA244FC74042}"/>
    <cellStyle name="Comma 6 3 3" xfId="11727" xr:uid="{00000000-0005-0000-0000-0000D6540000}"/>
    <cellStyle name="Comma 6 3 3 2" xfId="35576" xr:uid="{92FCF4CA-93D1-49C5-947D-2C6568901C1E}"/>
    <cellStyle name="Comma 6 3 4" xfId="19682" xr:uid="{00000000-0005-0000-0000-0000D7540000}"/>
    <cellStyle name="Comma 6 3 4 2" xfId="43514" xr:uid="{6297DF48-9C1B-49E7-9C24-3753DE6178A0}"/>
    <cellStyle name="Comma 6 3 5" xfId="27635" xr:uid="{5FB9AC37-665A-4295-A9F8-FC413FB0682D}"/>
    <cellStyle name="Comma 6 4" xfId="5522" xr:uid="{00000000-0005-0000-0000-0000D8540000}"/>
    <cellStyle name="Comma 6 4 2" xfId="13506" xr:uid="{00000000-0005-0000-0000-0000D9540000}"/>
    <cellStyle name="Comma 6 4 2 2" xfId="37349" xr:uid="{78FA54E1-2474-43C7-995C-BBFAD35879F7}"/>
    <cellStyle name="Comma 6 4 3" xfId="21454" xr:uid="{00000000-0005-0000-0000-0000DA540000}"/>
    <cellStyle name="Comma 6 4 3 2" xfId="45286" xr:uid="{444713C9-7E23-45A9-A1F2-409A3EB01897}"/>
    <cellStyle name="Comma 6 4 4" xfId="29408" xr:uid="{BE07D250-24BB-4323-91FF-606C8630D95C}"/>
    <cellStyle name="Comma 6 5" xfId="9075" xr:uid="{00000000-0005-0000-0000-0000DB540000}"/>
    <cellStyle name="Comma 6 5 2" xfId="17033" xr:uid="{00000000-0005-0000-0000-0000DC540000}"/>
    <cellStyle name="Comma 6 5 2 2" xfId="40873" xr:uid="{02702603-92D5-4F76-8735-BAF41723D890}"/>
    <cellStyle name="Comma 6 5 3" xfId="24977" xr:uid="{00000000-0005-0000-0000-0000DD540000}"/>
    <cellStyle name="Comma 6 5 3 2" xfId="48809" xr:uid="{937A0269-3B58-4E4A-86C7-69B9A0005962}"/>
    <cellStyle name="Comma 6 5 4" xfId="32932" xr:uid="{CB6E3369-D249-4796-AFE8-1F189713B5E6}"/>
    <cellStyle name="Comma 6 6" xfId="9971" xr:uid="{00000000-0005-0000-0000-0000DE540000}"/>
    <cellStyle name="Comma 6 6 2" xfId="33820" xr:uid="{B52161C4-A6E8-4DC9-B901-1065E12AC022}"/>
    <cellStyle name="Comma 6 7" xfId="17926" xr:uid="{00000000-0005-0000-0000-0000DF540000}"/>
    <cellStyle name="Comma 6 7 2" xfId="41758" xr:uid="{E5FFEF3A-C61A-4125-A253-856C4B62C8C9}"/>
    <cellStyle name="Comma 6 8" xfId="25878" xr:uid="{C629B76B-859E-4F27-9EA3-738E7BD1F810}"/>
    <cellStyle name="Comma 7" xfId="24" xr:uid="{00000000-0005-0000-0000-0000E0540000}"/>
    <cellStyle name="Comma 8" xfId="832" xr:uid="{00000000-0005-0000-0000-0000E1540000}"/>
    <cellStyle name="Comma 8 2" xfId="1772" xr:uid="{00000000-0005-0000-0000-0000E2540000}"/>
    <cellStyle name="Comma 8 2 2" xfId="5300" xr:uid="{00000000-0005-0000-0000-0000E3540000}"/>
    <cellStyle name="Comma 8 2 2 2" xfId="8891" xr:uid="{00000000-0005-0000-0000-0000E4540000}"/>
    <cellStyle name="Comma 8 2 2 2 2" xfId="16862" xr:uid="{00000000-0005-0000-0000-0000E5540000}"/>
    <cellStyle name="Comma 8 2 2 2 2 2" xfId="40704" xr:uid="{B716F429-1DAB-4460-B786-192FFE1BD0EA}"/>
    <cellStyle name="Comma 8 2 2 2 3" xfId="24808" xr:uid="{00000000-0005-0000-0000-0000E6540000}"/>
    <cellStyle name="Comma 8 2 2 2 3 2" xfId="48640" xr:uid="{CFFC9ADA-07F8-4A04-8B54-EDF89A15B501}"/>
    <cellStyle name="Comma 8 2 2 2 4" xfId="32763" xr:uid="{F2115FBA-30C0-4963-B738-EE6C2412B00D}"/>
    <cellStyle name="Comma 8 2 2 3" xfId="13324" xr:uid="{00000000-0005-0000-0000-0000E7540000}"/>
    <cellStyle name="Comma 8 2 2 3 2" xfId="37173" xr:uid="{D0629531-BAEF-4DBC-AFBB-550FEBF85C05}"/>
    <cellStyle name="Comma 8 2 2 4" xfId="21279" xr:uid="{00000000-0005-0000-0000-0000E8540000}"/>
    <cellStyle name="Comma 8 2 2 4 2" xfId="45111" xr:uid="{16E8894A-3FE5-494D-B320-384564957F89}"/>
    <cellStyle name="Comma 8 2 2 5" xfId="29232" xr:uid="{72EC5D99-1D65-4E89-92B0-3C76B2CABFC5}"/>
    <cellStyle name="Comma 8 2 3" xfId="7132" xr:uid="{00000000-0005-0000-0000-0000E9540000}"/>
    <cellStyle name="Comma 8 2 3 2" xfId="15104" xr:uid="{00000000-0005-0000-0000-0000EA540000}"/>
    <cellStyle name="Comma 8 2 3 2 2" xfId="38946" xr:uid="{9EED6D67-B9B0-44DA-BAEC-2F335154F776}"/>
    <cellStyle name="Comma 8 2 3 3" xfId="23051" xr:uid="{00000000-0005-0000-0000-0000EB540000}"/>
    <cellStyle name="Comma 8 2 3 3 2" xfId="46883" xr:uid="{E7ADA89D-FA84-4FC1-965D-5B3532C26BFC}"/>
    <cellStyle name="Comma 8 2 3 4" xfId="31005" xr:uid="{ED4C0669-2D2D-43BD-9BE2-E091E854FAB8}"/>
    <cellStyle name="Comma 8 2 4" xfId="11568" xr:uid="{00000000-0005-0000-0000-0000EC540000}"/>
    <cellStyle name="Comma 8 2 4 2" xfId="35417" xr:uid="{14810BD4-BA09-4D2E-AAA1-0842082D3FCF}"/>
    <cellStyle name="Comma 8 2 5" xfId="19523" xr:uid="{00000000-0005-0000-0000-0000ED540000}"/>
    <cellStyle name="Comma 8 2 5 2" xfId="43355" xr:uid="{B248174A-3F52-462D-B83E-4CBD24E29F6A}"/>
    <cellStyle name="Comma 8 2 6" xfId="27475" xr:uid="{ED3E1462-4EFE-4340-AADE-A4E007A68FDB}"/>
    <cellStyle name="Comma 8 3" xfId="4421" xr:uid="{00000000-0005-0000-0000-0000EE540000}"/>
    <cellStyle name="Comma 8 3 2" xfId="8013" xr:uid="{00000000-0005-0000-0000-0000EF540000}"/>
    <cellStyle name="Comma 8 3 2 2" xfId="15984" xr:uid="{00000000-0005-0000-0000-0000F0540000}"/>
    <cellStyle name="Comma 8 3 2 2 2" xfId="39826" xr:uid="{719E92B5-4951-4D83-B51D-1D2CBD800BD9}"/>
    <cellStyle name="Comma 8 3 2 3" xfId="23930" xr:uid="{00000000-0005-0000-0000-0000F1540000}"/>
    <cellStyle name="Comma 8 3 2 3 2" xfId="47762" xr:uid="{5EF1A71E-55E0-471A-8CDF-D482C0C9EFCA}"/>
    <cellStyle name="Comma 8 3 2 4" xfId="31885" xr:uid="{0563B285-E5D2-4917-AB0D-E62CA6B16AE1}"/>
    <cellStyle name="Comma 8 3 3" xfId="12446" xr:uid="{00000000-0005-0000-0000-0000F2540000}"/>
    <cellStyle name="Comma 8 3 3 2" xfId="36295" xr:uid="{B9745409-9235-43AC-9923-FC80DD786CB2}"/>
    <cellStyle name="Comma 8 3 4" xfId="20401" xr:uid="{00000000-0005-0000-0000-0000F3540000}"/>
    <cellStyle name="Comma 8 3 4 2" xfId="44233" xr:uid="{C1C711DD-A2FA-47AC-8862-DFB0E0CC12B2}"/>
    <cellStyle name="Comma 8 3 5" xfId="28354" xr:uid="{C2FDFBEF-94A0-48DF-88DB-DFD8283A5573}"/>
    <cellStyle name="Comma 8 4" xfId="6251" xr:uid="{00000000-0005-0000-0000-0000F4540000}"/>
    <cellStyle name="Comma 8 4 2" xfId="14226" xr:uid="{00000000-0005-0000-0000-0000F5540000}"/>
    <cellStyle name="Comma 8 4 2 2" xfId="38068" xr:uid="{B22C9563-7D9C-4DD2-8805-12D018433BE1}"/>
    <cellStyle name="Comma 8 4 3" xfId="22173" xr:uid="{00000000-0005-0000-0000-0000F6540000}"/>
    <cellStyle name="Comma 8 4 3 2" xfId="46005" xr:uid="{4EF0651A-9BDB-48DB-8E3D-1824C1C2415A}"/>
    <cellStyle name="Comma 8 4 4" xfId="30127" xr:uid="{E2AB2BAA-55EE-4D0E-A94B-18F54FC55B41}"/>
    <cellStyle name="Comma 8 5" xfId="9794" xr:uid="{00000000-0005-0000-0000-0000F7540000}"/>
    <cellStyle name="Comma 8 5 2" xfId="17752" xr:uid="{00000000-0005-0000-0000-0000F8540000}"/>
    <cellStyle name="Comma 8 5 2 2" xfId="41592" xr:uid="{B9129AE9-E6E3-4B56-905F-D36DC61453A2}"/>
    <cellStyle name="Comma 8 5 3" xfId="25696" xr:uid="{00000000-0005-0000-0000-0000F9540000}"/>
    <cellStyle name="Comma 8 5 3 2" xfId="49528" xr:uid="{74B36869-51FA-4F47-887C-E9710C78EA76}"/>
    <cellStyle name="Comma 8 5 4" xfId="33651" xr:uid="{276E09B6-E1F0-4796-89B9-A730C8F33268}"/>
    <cellStyle name="Comma 8 6" xfId="10690" xr:uid="{00000000-0005-0000-0000-0000FA540000}"/>
    <cellStyle name="Comma 8 6 2" xfId="34539" xr:uid="{6CEDB4FC-6BC0-4835-B942-D429B4CDCD84}"/>
    <cellStyle name="Comma 8 7" xfId="18645" xr:uid="{00000000-0005-0000-0000-0000FB540000}"/>
    <cellStyle name="Comma 8 7 2" xfId="42477" xr:uid="{7A20DFF4-5E24-4045-AE4B-E909B13ABDBA}"/>
    <cellStyle name="Comma 8 8" xfId="25872" xr:uid="{00000000-0005-0000-0000-0000FC540000}"/>
    <cellStyle name="Comma 8 9" xfId="26597" xr:uid="{DB0E4FDA-B8B6-4050-A501-B50CE82404E4}"/>
    <cellStyle name="Comma 9" xfId="842" xr:uid="{00000000-0005-0000-0000-0000FD540000}"/>
    <cellStyle name="Comma 9 2" xfId="1781" xr:uid="{00000000-0005-0000-0000-0000FE540000}"/>
    <cellStyle name="Comma 9 2 2" xfId="5302" xr:uid="{00000000-0005-0000-0000-0000FF540000}"/>
    <cellStyle name="Comma 9 2 2 2" xfId="8893" xr:uid="{00000000-0005-0000-0000-000000550000}"/>
    <cellStyle name="Comma 9 2 2 2 2" xfId="16864" xr:uid="{00000000-0005-0000-0000-000001550000}"/>
    <cellStyle name="Comma 9 2 2 2 2 2" xfId="40706" xr:uid="{C64310D1-5AFE-4FA2-9FCE-EB4AC0FB8459}"/>
    <cellStyle name="Comma 9 2 2 2 3" xfId="24810" xr:uid="{00000000-0005-0000-0000-000002550000}"/>
    <cellStyle name="Comma 9 2 2 2 3 2" xfId="48642" xr:uid="{A25FD85D-D78A-4BF5-9C6C-7617B2C02AD4}"/>
    <cellStyle name="Comma 9 2 2 2 4" xfId="32765" xr:uid="{ACCD8FA6-9925-40EC-82C8-996D55EB6EFA}"/>
    <cellStyle name="Comma 9 2 2 3" xfId="13326" xr:uid="{00000000-0005-0000-0000-000003550000}"/>
    <cellStyle name="Comma 9 2 2 3 2" xfId="37175" xr:uid="{F1247F0B-DCB7-425E-A04E-6B511FB20EAE}"/>
    <cellStyle name="Comma 9 2 2 4" xfId="21281" xr:uid="{00000000-0005-0000-0000-000004550000}"/>
    <cellStyle name="Comma 9 2 2 4 2" xfId="45113" xr:uid="{506B9BC9-15F6-4C84-A793-F0206E7A6701}"/>
    <cellStyle name="Comma 9 2 2 5" xfId="29234" xr:uid="{20CC605C-4827-4040-8452-CDD8D767DEBD}"/>
    <cellStyle name="Comma 9 2 3" xfId="7134" xr:uid="{00000000-0005-0000-0000-000005550000}"/>
    <cellStyle name="Comma 9 2 3 2" xfId="15106" xr:uid="{00000000-0005-0000-0000-000006550000}"/>
    <cellStyle name="Comma 9 2 3 2 2" xfId="38948" xr:uid="{5A676071-BDE9-4557-A16A-F736C373BEC4}"/>
    <cellStyle name="Comma 9 2 3 3" xfId="23053" xr:uid="{00000000-0005-0000-0000-000007550000}"/>
    <cellStyle name="Comma 9 2 3 3 2" xfId="46885" xr:uid="{545E92D1-9118-403B-B458-286BDF169250}"/>
    <cellStyle name="Comma 9 2 3 4" xfId="31007" xr:uid="{9EC32253-DA66-4D54-BA25-E6E287B7A0F0}"/>
    <cellStyle name="Comma 9 2 4" xfId="11570" xr:uid="{00000000-0005-0000-0000-000008550000}"/>
    <cellStyle name="Comma 9 2 4 2" xfId="35419" xr:uid="{B63A9056-6995-4BD4-B6D9-77EC69DA2677}"/>
    <cellStyle name="Comma 9 2 5" xfId="19525" xr:uid="{00000000-0005-0000-0000-000009550000}"/>
    <cellStyle name="Comma 9 2 5 2" xfId="43357" xr:uid="{38A84370-E6F7-4001-A0AF-E82EDCA0CF91}"/>
    <cellStyle name="Comma 9 2 6" xfId="27477" xr:uid="{7F765011-244C-4FA1-BD77-0093180E5BC0}"/>
    <cellStyle name="Comma 9 3" xfId="4423" xr:uid="{00000000-0005-0000-0000-00000A550000}"/>
    <cellStyle name="Comma 9 3 2" xfId="8015" xr:uid="{00000000-0005-0000-0000-00000B550000}"/>
    <cellStyle name="Comma 9 3 2 2" xfId="15986" xr:uid="{00000000-0005-0000-0000-00000C550000}"/>
    <cellStyle name="Comma 9 3 2 2 2" xfId="39828" xr:uid="{308C8439-434D-421F-958E-5C81501AA0E8}"/>
    <cellStyle name="Comma 9 3 2 3" xfId="23932" xr:uid="{00000000-0005-0000-0000-00000D550000}"/>
    <cellStyle name="Comma 9 3 2 3 2" xfId="47764" xr:uid="{F305002B-49F7-4CD4-8348-78B5D925A7C0}"/>
    <cellStyle name="Comma 9 3 2 4" xfId="31887" xr:uid="{0DCC0B0E-4A3E-4953-A9A7-271BD33194A7}"/>
    <cellStyle name="Comma 9 3 3" xfId="12448" xr:uid="{00000000-0005-0000-0000-00000E550000}"/>
    <cellStyle name="Comma 9 3 3 2" xfId="36297" xr:uid="{81EE3CAE-F6BA-44CC-BE04-E77DDD1C4E0F}"/>
    <cellStyle name="Comma 9 3 4" xfId="20403" xr:uid="{00000000-0005-0000-0000-00000F550000}"/>
    <cellStyle name="Comma 9 3 4 2" xfId="44235" xr:uid="{904FCA4B-5CB2-41D7-9F17-9BFC0F9C770B}"/>
    <cellStyle name="Comma 9 3 5" xfId="28356" xr:uid="{0286B787-E1FE-49D6-A866-5C4CF259F609}"/>
    <cellStyle name="Comma 9 4" xfId="6253" xr:uid="{00000000-0005-0000-0000-000010550000}"/>
    <cellStyle name="Comma 9 4 2" xfId="14228" xr:uid="{00000000-0005-0000-0000-000011550000}"/>
    <cellStyle name="Comma 9 4 2 2" xfId="38070" xr:uid="{2F05F03C-3123-42D8-90FF-FFED3614EAE5}"/>
    <cellStyle name="Comma 9 4 3" xfId="22175" xr:uid="{00000000-0005-0000-0000-000012550000}"/>
    <cellStyle name="Comma 9 4 3 2" xfId="46007" xr:uid="{F8D8BB9E-5C94-4CD3-8998-9528AA1D318C}"/>
    <cellStyle name="Comma 9 4 4" xfId="30129" xr:uid="{8788ECC4-A1E4-4CC2-9D2D-B79472B10C34}"/>
    <cellStyle name="Comma 9 5" xfId="9796" xr:uid="{00000000-0005-0000-0000-000013550000}"/>
    <cellStyle name="Comma 9 5 2" xfId="17754" xr:uid="{00000000-0005-0000-0000-000014550000}"/>
    <cellStyle name="Comma 9 5 2 2" xfId="41594" xr:uid="{9133BC1D-5069-4919-9461-4DAD33303C01}"/>
    <cellStyle name="Comma 9 5 3" xfId="25698" xr:uid="{00000000-0005-0000-0000-000015550000}"/>
    <cellStyle name="Comma 9 5 3 2" xfId="49530" xr:uid="{E1994D8A-03BD-41BD-B08D-884CC1F9BD25}"/>
    <cellStyle name="Comma 9 5 4" xfId="33653" xr:uid="{80ABFFCF-319A-4FD7-8606-2A5D71FB8CAE}"/>
    <cellStyle name="Comma 9 6" xfId="10692" xr:uid="{00000000-0005-0000-0000-000016550000}"/>
    <cellStyle name="Comma 9 6 2" xfId="34541" xr:uid="{F9737597-DC56-4D30-9062-205832782F4C}"/>
    <cellStyle name="Comma 9 7" xfId="18647" xr:uid="{00000000-0005-0000-0000-000017550000}"/>
    <cellStyle name="Comma 9 7 2" xfId="42479" xr:uid="{D5DFE61B-F1C9-49C2-A6E3-75D85ED29D1F}"/>
    <cellStyle name="Comma 9 8" xfId="26599" xr:uid="{D7F788D2-E939-4D1B-8EA7-421E7D53883E}"/>
    <cellStyle name="Currency 2" xfId="6" xr:uid="{00000000-0005-0000-0000-000019550000}"/>
    <cellStyle name="Currency 2 2" xfId="1010" xr:uid="{00000000-0005-0000-0000-00001A550000}"/>
    <cellStyle name="Currency 2 3" xfId="1047" xr:uid="{00000000-0005-0000-0000-00001B550000}"/>
    <cellStyle name="Currency 3" xfId="738" xr:uid="{00000000-0005-0000-0000-00001C550000}"/>
    <cellStyle name="Currency 3 2" xfId="1011" xr:uid="{00000000-0005-0000-0000-00001D550000}"/>
    <cellStyle name="Currency 3 3" xfId="1766" xr:uid="{00000000-0005-0000-0000-00001E550000}"/>
    <cellStyle name="Currency 3 3 2" xfId="5296" xr:uid="{00000000-0005-0000-0000-00001F550000}"/>
    <cellStyle name="Currency 3 3 2 2" xfId="8887" xr:uid="{00000000-0005-0000-0000-000020550000}"/>
    <cellStyle name="Currency 3 3 2 2 2" xfId="16858" xr:uid="{00000000-0005-0000-0000-000021550000}"/>
    <cellStyle name="Currency 3 3 2 2 2 2" xfId="40700" xr:uid="{EA472BB2-55CB-4EE7-B0D8-0D466479A0CE}"/>
    <cellStyle name="Currency 3 3 2 2 3" xfId="24804" xr:uid="{00000000-0005-0000-0000-000022550000}"/>
    <cellStyle name="Currency 3 3 2 2 3 2" xfId="48636" xr:uid="{8FDAB535-DFB6-4F31-AD80-8B7B0172D5F7}"/>
    <cellStyle name="Currency 3 3 2 2 4" xfId="32759" xr:uid="{40132057-41D7-47F3-B5A5-914A2B9F41B9}"/>
    <cellStyle name="Currency 3 3 2 3" xfId="13320" xr:uid="{00000000-0005-0000-0000-000023550000}"/>
    <cellStyle name="Currency 3 3 2 3 2" xfId="37169" xr:uid="{27BCEB9A-F074-428B-B001-55BEDC9BDD82}"/>
    <cellStyle name="Currency 3 3 2 4" xfId="21275" xr:uid="{00000000-0005-0000-0000-000024550000}"/>
    <cellStyle name="Currency 3 3 2 4 2" xfId="45107" xr:uid="{D95A5B87-26C7-4AB7-9A9B-BE7AFB0F5938}"/>
    <cellStyle name="Currency 3 3 2 5" xfId="29228" xr:uid="{99867459-6A9C-4DE4-90F0-FEC3B4A6080E}"/>
    <cellStyle name="Currency 3 3 3" xfId="7128" xr:uid="{00000000-0005-0000-0000-000025550000}"/>
    <cellStyle name="Currency 3 3 3 2" xfId="15100" xr:uid="{00000000-0005-0000-0000-000026550000}"/>
    <cellStyle name="Currency 3 3 3 2 2" xfId="38942" xr:uid="{6FB7396D-802A-4FF9-81B0-5728A39A3D5D}"/>
    <cellStyle name="Currency 3 3 3 3" xfId="23047" xr:uid="{00000000-0005-0000-0000-000027550000}"/>
    <cellStyle name="Currency 3 3 3 3 2" xfId="46879" xr:uid="{74FBC1DD-E616-423B-98C8-9351D1AAF58E}"/>
    <cellStyle name="Currency 3 3 3 4" xfId="31001" xr:uid="{9FE46DF2-02A1-4128-B70D-88D4A020F707}"/>
    <cellStyle name="Currency 3 3 4" xfId="11564" xr:uid="{00000000-0005-0000-0000-000028550000}"/>
    <cellStyle name="Currency 3 3 4 2" xfId="35413" xr:uid="{9BFF75A6-82ED-49CE-8A73-459822B49255}"/>
    <cellStyle name="Currency 3 3 5" xfId="19519" xr:uid="{00000000-0005-0000-0000-000029550000}"/>
    <cellStyle name="Currency 3 3 5 2" xfId="43351" xr:uid="{789AB769-D43C-4520-8218-9B1F5B6C496D}"/>
    <cellStyle name="Currency 3 3 6" xfId="27471" xr:uid="{8C1EF308-B8AA-4D10-900B-C2CBBFF760BF}"/>
    <cellStyle name="Currency 3 4" xfId="4417" xr:uid="{00000000-0005-0000-0000-00002A550000}"/>
    <cellStyle name="Currency 3 4 2" xfId="8009" xr:uid="{00000000-0005-0000-0000-00002B550000}"/>
    <cellStyle name="Currency 3 4 2 2" xfId="15980" xr:uid="{00000000-0005-0000-0000-00002C550000}"/>
    <cellStyle name="Currency 3 4 2 2 2" xfId="39822" xr:uid="{27571641-1CC0-4246-B552-7E2127F82548}"/>
    <cellStyle name="Currency 3 4 2 3" xfId="23926" xr:uid="{00000000-0005-0000-0000-00002D550000}"/>
    <cellStyle name="Currency 3 4 2 3 2" xfId="47758" xr:uid="{DCD6B89A-B7C1-4221-A920-E834208EC438}"/>
    <cellStyle name="Currency 3 4 2 4" xfId="31881" xr:uid="{262FFA34-38BF-45F9-9F46-1CF79372B6D8}"/>
    <cellStyle name="Currency 3 4 3" xfId="12442" xr:uid="{00000000-0005-0000-0000-00002E550000}"/>
    <cellStyle name="Currency 3 4 3 2" xfId="36291" xr:uid="{C9EEB68A-433C-4E65-A057-368E96D7036B}"/>
    <cellStyle name="Currency 3 4 4" xfId="20397" xr:uid="{00000000-0005-0000-0000-00002F550000}"/>
    <cellStyle name="Currency 3 4 4 2" xfId="44229" xr:uid="{691C43CB-A38A-49EB-9BC5-8A1C927F8564}"/>
    <cellStyle name="Currency 3 4 5" xfId="28350" xr:uid="{937E3829-5182-4A36-B4EE-A81117C54678}"/>
    <cellStyle name="Currency 3 5" xfId="6237" xr:uid="{00000000-0005-0000-0000-000030550000}"/>
    <cellStyle name="Currency 3 5 2" xfId="14221" xr:uid="{00000000-0005-0000-0000-000031550000}"/>
    <cellStyle name="Currency 3 5 2 2" xfId="38064" xr:uid="{C079D5F6-326E-4BC8-813F-DDD32AB6D734}"/>
    <cellStyle name="Currency 3 5 3" xfId="22169" xr:uid="{00000000-0005-0000-0000-000032550000}"/>
    <cellStyle name="Currency 3 5 3 2" xfId="46001" xr:uid="{D9411BB0-17E0-411F-B47B-665010639D41}"/>
    <cellStyle name="Currency 3 5 4" xfId="30123" xr:uid="{1112B925-C2E4-40DA-9734-A200FDEDC524}"/>
    <cellStyle name="Currency 3 6" xfId="9790" xr:uid="{00000000-0005-0000-0000-000033550000}"/>
    <cellStyle name="Currency 3 6 2" xfId="17748" xr:uid="{00000000-0005-0000-0000-000034550000}"/>
    <cellStyle name="Currency 3 6 2 2" xfId="41588" xr:uid="{2CA33AD9-B27C-447D-BE0A-A8B1C751C8C7}"/>
    <cellStyle name="Currency 3 6 3" xfId="25692" xr:uid="{00000000-0005-0000-0000-000035550000}"/>
    <cellStyle name="Currency 3 6 3 2" xfId="49524" xr:uid="{AA14994E-0551-426D-84F5-E4931AB7B3C8}"/>
    <cellStyle name="Currency 3 6 4" xfId="33647" xr:uid="{0487A313-86EA-404E-BD1D-A0B3F3AD14D5}"/>
    <cellStyle name="Currency 3 7" xfId="10686" xr:uid="{00000000-0005-0000-0000-000036550000}"/>
    <cellStyle name="Currency 3 7 2" xfId="34535" xr:uid="{A4A2494C-5E8B-4461-AB07-965CB5C72F80}"/>
    <cellStyle name="Currency 3 8" xfId="18641" xr:uid="{00000000-0005-0000-0000-000037550000}"/>
    <cellStyle name="Currency 3 8 2" xfId="42473" xr:uid="{D195841E-0ACB-43F4-9035-F42AD7C65AD7}"/>
    <cellStyle name="Currency 3 9" xfId="26593" xr:uid="{2EAA38F5-A220-445D-9EB4-C211CDF0A1D1}"/>
    <cellStyle name="Currency 4" xfId="856" xr:uid="{00000000-0005-0000-0000-000038550000}"/>
    <cellStyle name="Currency 4 2" xfId="1795" xr:uid="{00000000-0005-0000-0000-000039550000}"/>
    <cellStyle name="Currency 4 2 2" xfId="5316" xr:uid="{00000000-0005-0000-0000-00003A550000}"/>
    <cellStyle name="Currency 4 2 2 2" xfId="8907" xr:uid="{00000000-0005-0000-0000-00003B550000}"/>
    <cellStyle name="Currency 4 2 2 2 2" xfId="16878" xr:uid="{00000000-0005-0000-0000-00003C550000}"/>
    <cellStyle name="Currency 4 2 2 2 2 2" xfId="40720" xr:uid="{1CF14D70-53B2-4E99-A32E-8FBDC50FB881}"/>
    <cellStyle name="Currency 4 2 2 2 3" xfId="24824" xr:uid="{00000000-0005-0000-0000-00003D550000}"/>
    <cellStyle name="Currency 4 2 2 2 3 2" xfId="48656" xr:uid="{40D930AE-8B3A-451C-9C8B-6F06168C53A1}"/>
    <cellStyle name="Currency 4 2 2 2 4" xfId="32779" xr:uid="{9670DE16-3690-4F9E-A365-05DE3991F427}"/>
    <cellStyle name="Currency 4 2 2 3" xfId="13340" xr:uid="{00000000-0005-0000-0000-00003E550000}"/>
    <cellStyle name="Currency 4 2 2 3 2" xfId="37189" xr:uid="{48446424-924C-4BE2-B941-A2485A380B2F}"/>
    <cellStyle name="Currency 4 2 2 4" xfId="21295" xr:uid="{00000000-0005-0000-0000-00003F550000}"/>
    <cellStyle name="Currency 4 2 2 4 2" xfId="45127" xr:uid="{13ECE452-4A9C-4F8F-BC14-7099E00B2612}"/>
    <cellStyle name="Currency 4 2 2 5" xfId="29248" xr:uid="{F778B105-BCE7-4C09-B43E-8D5535928E39}"/>
    <cellStyle name="Currency 4 2 3" xfId="7148" xr:uid="{00000000-0005-0000-0000-000040550000}"/>
    <cellStyle name="Currency 4 2 3 2" xfId="15120" xr:uid="{00000000-0005-0000-0000-000041550000}"/>
    <cellStyle name="Currency 4 2 3 2 2" xfId="38962" xr:uid="{204C97A7-A419-4D14-909D-8968E01E4E67}"/>
    <cellStyle name="Currency 4 2 3 3" xfId="23067" xr:uid="{00000000-0005-0000-0000-000042550000}"/>
    <cellStyle name="Currency 4 2 3 3 2" xfId="46899" xr:uid="{9910C7AD-93C0-493A-9B02-F2AB54F6FB1B}"/>
    <cellStyle name="Currency 4 2 3 4" xfId="31021" xr:uid="{0A29C8D5-18ED-4C21-9D08-DC1BA3CB2067}"/>
    <cellStyle name="Currency 4 2 4" xfId="11584" xr:uid="{00000000-0005-0000-0000-000043550000}"/>
    <cellStyle name="Currency 4 2 4 2" xfId="35433" xr:uid="{D1C73544-57FD-4C88-AD1D-79C80DB162DC}"/>
    <cellStyle name="Currency 4 2 5" xfId="19539" xr:uid="{00000000-0005-0000-0000-000044550000}"/>
    <cellStyle name="Currency 4 2 5 2" xfId="43371" xr:uid="{A8B24106-2C2C-4EDF-881D-CC9FC1492581}"/>
    <cellStyle name="Currency 4 2 6" xfId="27491" xr:uid="{8AFEE362-71B3-422D-A709-D34CFB393F96}"/>
    <cellStyle name="Currency 4 3" xfId="4437" xr:uid="{00000000-0005-0000-0000-000045550000}"/>
    <cellStyle name="Currency 4 3 2" xfId="8029" xr:uid="{00000000-0005-0000-0000-000046550000}"/>
    <cellStyle name="Currency 4 3 2 2" xfId="16000" xr:uid="{00000000-0005-0000-0000-000047550000}"/>
    <cellStyle name="Currency 4 3 2 2 2" xfId="39842" xr:uid="{82C300E8-1F1C-4644-BB6B-DF8CD8579AD8}"/>
    <cellStyle name="Currency 4 3 2 3" xfId="23946" xr:uid="{00000000-0005-0000-0000-000048550000}"/>
    <cellStyle name="Currency 4 3 2 3 2" xfId="47778" xr:uid="{4309BD43-5C52-4EB2-AE2D-DC0C98B103C4}"/>
    <cellStyle name="Currency 4 3 2 4" xfId="31901" xr:uid="{ECDFA803-B63D-45A8-982B-78D720D1A4E3}"/>
    <cellStyle name="Currency 4 3 3" xfId="12462" xr:uid="{00000000-0005-0000-0000-000049550000}"/>
    <cellStyle name="Currency 4 3 3 2" xfId="36311" xr:uid="{3B97CACB-1516-4CC6-B039-4BB0BB216B0B}"/>
    <cellStyle name="Currency 4 3 4" xfId="20417" xr:uid="{00000000-0005-0000-0000-00004A550000}"/>
    <cellStyle name="Currency 4 3 4 2" xfId="44249" xr:uid="{85A31EE6-B6C2-4D07-AE35-43D4A03798B0}"/>
    <cellStyle name="Currency 4 3 5" xfId="28370" xr:uid="{443E8320-94BF-43D9-A80A-77AC9B286358}"/>
    <cellStyle name="Currency 4 4" xfId="6267" xr:uid="{00000000-0005-0000-0000-00004B550000}"/>
    <cellStyle name="Currency 4 4 2" xfId="14242" xr:uid="{00000000-0005-0000-0000-00004C550000}"/>
    <cellStyle name="Currency 4 4 2 2" xfId="38084" xr:uid="{55EBBA84-8DC2-43D5-A5DE-CF0DA0571D3F}"/>
    <cellStyle name="Currency 4 4 3" xfId="22189" xr:uid="{00000000-0005-0000-0000-00004D550000}"/>
    <cellStyle name="Currency 4 4 3 2" xfId="46021" xr:uid="{1373C0CF-A5D9-49DD-A9E7-766792E9020B}"/>
    <cellStyle name="Currency 4 4 4" xfId="30143" xr:uid="{A148A315-71DC-42BB-BFA5-371C5F4CA498}"/>
    <cellStyle name="Currency 4 5" xfId="9810" xr:uid="{00000000-0005-0000-0000-00004E550000}"/>
    <cellStyle name="Currency 4 5 2" xfId="17768" xr:uid="{00000000-0005-0000-0000-00004F550000}"/>
    <cellStyle name="Currency 4 5 2 2" xfId="41608" xr:uid="{91C95C67-6FD2-4DE3-B3B7-71E1BE178C48}"/>
    <cellStyle name="Currency 4 5 3" xfId="25712" xr:uid="{00000000-0005-0000-0000-000050550000}"/>
    <cellStyle name="Currency 4 5 3 2" xfId="49544" xr:uid="{11E94B8A-A94C-4C02-9883-52A430E59E2E}"/>
    <cellStyle name="Currency 4 5 4" xfId="33667" xr:uid="{687E51A9-C155-450E-B6A0-2F5A07D47737}"/>
    <cellStyle name="Currency 4 6" xfId="10706" xr:uid="{00000000-0005-0000-0000-000051550000}"/>
    <cellStyle name="Currency 4 6 2" xfId="34555" xr:uid="{A7C07787-9449-499E-9420-C82EE56B1432}"/>
    <cellStyle name="Currency 4 7" xfId="18661" xr:uid="{00000000-0005-0000-0000-000052550000}"/>
    <cellStyle name="Currency 4 7 2" xfId="42493" xr:uid="{15733223-3EA7-4A12-9EB8-7497A38B71D4}"/>
    <cellStyle name="Currency 4 8" xfId="26613" xr:uid="{EF7A05FB-48A3-42CC-8BE0-C7BDBD5BB694}"/>
    <cellStyle name="Currency 5" xfId="25867" xr:uid="{00000000-0005-0000-0000-000053550000}"/>
    <cellStyle name="Currency 5 2" xfId="49694" xr:uid="{38AD2883-F391-4B42-9EE6-00F526A43021}"/>
    <cellStyle name="Currency 8" xfId="25873" xr:uid="{00000000-0005-0000-0000-000054550000}"/>
    <cellStyle name="Explanatory Text 2" xfId="787" xr:uid="{00000000-0005-0000-0000-000055550000}"/>
    <cellStyle name="Explanatory Text 3" xfId="788" xr:uid="{00000000-0005-0000-0000-000056550000}"/>
    <cellStyle name="Explanatory Text 4" xfId="789" xr:uid="{00000000-0005-0000-0000-000057550000}"/>
    <cellStyle name="Good 2" xfId="790" xr:uid="{00000000-0005-0000-0000-000058550000}"/>
    <cellStyle name="Good 3" xfId="791" xr:uid="{00000000-0005-0000-0000-000059550000}"/>
    <cellStyle name="Good 4" xfId="792" xr:uid="{00000000-0005-0000-0000-00005A550000}"/>
    <cellStyle name="Heading 1 2" xfId="793" xr:uid="{00000000-0005-0000-0000-00005B550000}"/>
    <cellStyle name="Heading 1 3" xfId="794" xr:uid="{00000000-0005-0000-0000-00005C550000}"/>
    <cellStyle name="Heading 1 4" xfId="795" xr:uid="{00000000-0005-0000-0000-00005D550000}"/>
    <cellStyle name="Heading 2 2" xfId="796" xr:uid="{00000000-0005-0000-0000-00005E550000}"/>
    <cellStyle name="Heading 2 3" xfId="797" xr:uid="{00000000-0005-0000-0000-00005F550000}"/>
    <cellStyle name="Heading 2 4" xfId="798" xr:uid="{00000000-0005-0000-0000-000060550000}"/>
    <cellStyle name="Heading 3 2" xfId="799" xr:uid="{00000000-0005-0000-0000-000061550000}"/>
    <cellStyle name="Heading 3 3" xfId="800" xr:uid="{00000000-0005-0000-0000-000062550000}"/>
    <cellStyle name="Heading 3 4" xfId="801" xr:uid="{00000000-0005-0000-0000-000063550000}"/>
    <cellStyle name="Heading 4 2" xfId="802" xr:uid="{00000000-0005-0000-0000-000064550000}"/>
    <cellStyle name="Heading 4 3" xfId="803" xr:uid="{00000000-0005-0000-0000-000065550000}"/>
    <cellStyle name="Heading 4 4" xfId="804" xr:uid="{00000000-0005-0000-0000-000066550000}"/>
    <cellStyle name="Hyperlink" xfId="861" builtinId="8" customBuiltin="1"/>
    <cellStyle name="Input 2" xfId="805" xr:uid="{00000000-0005-0000-0000-000068550000}"/>
    <cellStyle name="Input 3" xfId="806" xr:uid="{00000000-0005-0000-0000-000069550000}"/>
    <cellStyle name="Input 3 2" xfId="6240" xr:uid="{00000000-0005-0000-0000-00006A550000}"/>
    <cellStyle name="Input 4" xfId="807" xr:uid="{00000000-0005-0000-0000-00006B550000}"/>
    <cellStyle name="Input 4 2" xfId="6241" xr:uid="{00000000-0005-0000-0000-00006C550000}"/>
    <cellStyle name="Linked Cell 2" xfId="808" xr:uid="{00000000-0005-0000-0000-00006D550000}"/>
    <cellStyle name="Linked Cell 3" xfId="809" xr:uid="{00000000-0005-0000-0000-00006E550000}"/>
    <cellStyle name="Linked Cell 4" xfId="810" xr:uid="{00000000-0005-0000-0000-00006F550000}"/>
    <cellStyle name="Neutral 2" xfId="811" xr:uid="{00000000-0005-0000-0000-000070550000}"/>
    <cellStyle name="Neutral 3" xfId="812" xr:uid="{00000000-0005-0000-0000-000071550000}"/>
    <cellStyle name="Neutral 4" xfId="813" xr:uid="{00000000-0005-0000-0000-000072550000}"/>
    <cellStyle name="Normal" xfId="0" builtinId="0"/>
    <cellStyle name="Normal 10" xfId="637" xr:uid="{00000000-0005-0000-0000-000074550000}"/>
    <cellStyle name="Normal 10 10" xfId="18540" xr:uid="{00000000-0005-0000-0000-000075550000}"/>
    <cellStyle name="Normal 10 10 2" xfId="42372" xr:uid="{57746921-BD69-4D6C-9FD1-492BE3D3DF84}"/>
    <cellStyle name="Normal 10 11" xfId="26492" xr:uid="{46CC67B4-9435-4AC9-9CDB-F39241915F28}"/>
    <cellStyle name="Normal 10 2" xfId="638" xr:uid="{00000000-0005-0000-0000-000076550000}"/>
    <cellStyle name="Normal 10 2 2" xfId="639" xr:uid="{00000000-0005-0000-0000-000077550000}"/>
    <cellStyle name="Normal 10 2 2 2" xfId="1667" xr:uid="{00000000-0005-0000-0000-000078550000}"/>
    <cellStyle name="Normal 10 2 2 2 2" xfId="5197" xr:uid="{00000000-0005-0000-0000-000079550000}"/>
    <cellStyle name="Normal 10 2 2 2 2 2" xfId="8788" xr:uid="{00000000-0005-0000-0000-00007A550000}"/>
    <cellStyle name="Normal 10 2 2 2 2 2 2" xfId="16759" xr:uid="{00000000-0005-0000-0000-00007B550000}"/>
    <cellStyle name="Normal 10 2 2 2 2 2 2 2" xfId="40601" xr:uid="{E6D73B67-D217-4F30-A4A7-60DB1C5EBD21}"/>
    <cellStyle name="Normal 10 2 2 2 2 2 3" xfId="24705" xr:uid="{00000000-0005-0000-0000-00007C550000}"/>
    <cellStyle name="Normal 10 2 2 2 2 2 3 2" xfId="48537" xr:uid="{A89197A8-1F9E-4C4C-A265-B7830CB17DD0}"/>
    <cellStyle name="Normal 10 2 2 2 2 2 4" xfId="32660" xr:uid="{598B85F2-1803-4144-9F27-A02A87B12DC7}"/>
    <cellStyle name="Normal 10 2 2 2 2 3" xfId="13221" xr:uid="{00000000-0005-0000-0000-00007D550000}"/>
    <cellStyle name="Normal 10 2 2 2 2 3 2" xfId="37070" xr:uid="{B8AB697E-3AA4-49C9-A315-6AA8CCEB65B9}"/>
    <cellStyle name="Normal 10 2 2 2 2 4" xfId="21176" xr:uid="{00000000-0005-0000-0000-00007E550000}"/>
    <cellStyle name="Normal 10 2 2 2 2 4 2" xfId="45008" xr:uid="{A08CECA7-28FC-451E-99EA-A10E5B6F92B5}"/>
    <cellStyle name="Normal 10 2 2 2 2 5" xfId="29129" xr:uid="{9BC0FC25-FE68-4674-ACDB-6D898614E39F}"/>
    <cellStyle name="Normal 10 2 2 2 3" xfId="7029" xr:uid="{00000000-0005-0000-0000-00007F550000}"/>
    <cellStyle name="Normal 10 2 2 2 3 2" xfId="15001" xr:uid="{00000000-0005-0000-0000-000080550000}"/>
    <cellStyle name="Normal 10 2 2 2 3 2 2" xfId="38843" xr:uid="{22328719-8F6D-4409-8158-3656D1BC05C4}"/>
    <cellStyle name="Normal 10 2 2 2 3 3" xfId="22948" xr:uid="{00000000-0005-0000-0000-000081550000}"/>
    <cellStyle name="Normal 10 2 2 2 3 3 2" xfId="46780" xr:uid="{6D9D20A2-1171-4169-A9FE-F3A7A211F1B6}"/>
    <cellStyle name="Normal 10 2 2 2 3 4" xfId="30902" xr:uid="{8E7AB1CB-74A4-42F9-867C-C3A98CADD984}"/>
    <cellStyle name="Normal 10 2 2 2 4" xfId="11465" xr:uid="{00000000-0005-0000-0000-000082550000}"/>
    <cellStyle name="Normal 10 2 2 2 4 2" xfId="35314" xr:uid="{FD9FEA27-4699-410C-B5EA-04E00DE7D00B}"/>
    <cellStyle name="Normal 10 2 2 2 5" xfId="19420" xr:uid="{00000000-0005-0000-0000-000083550000}"/>
    <cellStyle name="Normal 10 2 2 2 5 2" xfId="43252" xr:uid="{AB2551EC-AD49-46E6-A49C-3284AC7E8495}"/>
    <cellStyle name="Normal 10 2 2 2 6" xfId="27372" xr:uid="{8D420A1D-6F02-4297-9DD0-C58DB909C318}"/>
    <cellStyle name="Normal 10 2 2 2_Exh G" xfId="3432" xr:uid="{00000000-0005-0000-0000-000084550000}"/>
    <cellStyle name="Normal 10 2 2 3" xfId="4318" xr:uid="{00000000-0005-0000-0000-000085550000}"/>
    <cellStyle name="Normal 10 2 2 3 2" xfId="7910" xr:uid="{00000000-0005-0000-0000-000086550000}"/>
    <cellStyle name="Normal 10 2 2 3 2 2" xfId="15881" xr:uid="{00000000-0005-0000-0000-000087550000}"/>
    <cellStyle name="Normal 10 2 2 3 2 2 2" xfId="39723" xr:uid="{FD83B70D-F960-40C9-8DDB-4FBCC149D08E}"/>
    <cellStyle name="Normal 10 2 2 3 2 3" xfId="23827" xr:uid="{00000000-0005-0000-0000-000088550000}"/>
    <cellStyle name="Normal 10 2 2 3 2 3 2" xfId="47659" xr:uid="{D9C61633-0706-4768-AB1E-76280C568829}"/>
    <cellStyle name="Normal 10 2 2 3 2 4" xfId="31782" xr:uid="{40AFAA35-C8C1-41E9-AB2E-2935CB78FB8A}"/>
    <cellStyle name="Normal 10 2 2 3 3" xfId="12343" xr:uid="{00000000-0005-0000-0000-000089550000}"/>
    <cellStyle name="Normal 10 2 2 3 3 2" xfId="36192" xr:uid="{5FB21842-81D1-4E65-BD60-D6608DB74E16}"/>
    <cellStyle name="Normal 10 2 2 3 4" xfId="20298" xr:uid="{00000000-0005-0000-0000-00008A550000}"/>
    <cellStyle name="Normal 10 2 2 3 4 2" xfId="44130" xr:uid="{463CF005-F70D-4FC9-B1D3-E889D0153FC1}"/>
    <cellStyle name="Normal 10 2 2 3 5" xfId="28251" xr:uid="{517925E0-346E-4AD6-A2A3-62FE40EB256A}"/>
    <cellStyle name="Normal 10 2 2 4" xfId="6138" xr:uid="{00000000-0005-0000-0000-00008B550000}"/>
    <cellStyle name="Normal 10 2 2 4 2" xfId="14122" xr:uid="{00000000-0005-0000-0000-00008C550000}"/>
    <cellStyle name="Normal 10 2 2 4 2 2" xfId="37965" xr:uid="{291FED6B-68CB-4E2A-9528-14F5EDA72929}"/>
    <cellStyle name="Normal 10 2 2 4 3" xfId="22070" xr:uid="{00000000-0005-0000-0000-00008D550000}"/>
    <cellStyle name="Normal 10 2 2 4 3 2" xfId="45902" xr:uid="{0B4EB633-CEE0-45F0-A010-C46684A740C2}"/>
    <cellStyle name="Normal 10 2 2 4 4" xfId="30024" xr:uid="{0B23D911-7AF7-4992-B124-61FB85D85FB2}"/>
    <cellStyle name="Normal 10 2 2 5" xfId="9691" xr:uid="{00000000-0005-0000-0000-00008E550000}"/>
    <cellStyle name="Normal 10 2 2 5 2" xfId="17649" xr:uid="{00000000-0005-0000-0000-00008F550000}"/>
    <cellStyle name="Normal 10 2 2 5 2 2" xfId="41489" xr:uid="{14FA5479-8A0E-49DC-9820-2FAF7F340A46}"/>
    <cellStyle name="Normal 10 2 2 5 3" xfId="25593" xr:uid="{00000000-0005-0000-0000-000090550000}"/>
    <cellStyle name="Normal 10 2 2 5 3 2" xfId="49425" xr:uid="{23D7EFCC-081F-4AF9-90A4-BD383F1E9EB7}"/>
    <cellStyle name="Normal 10 2 2 5 4" xfId="33548" xr:uid="{708A5EDC-34B7-4B93-9B20-906C912AAA9C}"/>
    <cellStyle name="Normal 10 2 2 6" xfId="10587" xr:uid="{00000000-0005-0000-0000-000091550000}"/>
    <cellStyle name="Normal 10 2 2 6 2" xfId="34436" xr:uid="{B521DABD-C4FD-46D7-8AB8-2C4B6783D41E}"/>
    <cellStyle name="Normal 10 2 2 7" xfId="18542" xr:uid="{00000000-0005-0000-0000-000092550000}"/>
    <cellStyle name="Normal 10 2 2 7 2" xfId="42374" xr:uid="{2970B194-2BA3-4647-8BA0-D44AC6F0B24D}"/>
    <cellStyle name="Normal 10 2 2 8" xfId="26494" xr:uid="{A8C6CEF6-39C4-4CD6-A6A3-7AB3A9717C9D}"/>
    <cellStyle name="Normal 10 2 2_Exh G" xfId="3431" xr:uid="{00000000-0005-0000-0000-000093550000}"/>
    <cellStyle name="Normal 10 2 3" xfId="1666" xr:uid="{00000000-0005-0000-0000-000094550000}"/>
    <cellStyle name="Normal 10 2 3 2" xfId="5196" xr:uid="{00000000-0005-0000-0000-000095550000}"/>
    <cellStyle name="Normal 10 2 3 2 2" xfId="8787" xr:uid="{00000000-0005-0000-0000-000096550000}"/>
    <cellStyle name="Normal 10 2 3 2 2 2" xfId="16758" xr:uid="{00000000-0005-0000-0000-000097550000}"/>
    <cellStyle name="Normal 10 2 3 2 2 2 2" xfId="40600" xr:uid="{F42A0A29-5127-473F-84B3-E75394BDBF7E}"/>
    <cellStyle name="Normal 10 2 3 2 2 3" xfId="24704" xr:uid="{00000000-0005-0000-0000-000098550000}"/>
    <cellStyle name="Normal 10 2 3 2 2 3 2" xfId="48536" xr:uid="{AD094BA7-491F-4BF0-8DC5-3E3DA90BA968}"/>
    <cellStyle name="Normal 10 2 3 2 2 4" xfId="32659" xr:uid="{712B91E4-54B7-41F5-86AD-027E0FF38945}"/>
    <cellStyle name="Normal 10 2 3 2 3" xfId="13220" xr:uid="{00000000-0005-0000-0000-000099550000}"/>
    <cellStyle name="Normal 10 2 3 2 3 2" xfId="37069" xr:uid="{3C8981D4-9B5B-4833-8ECE-5048D7E16A44}"/>
    <cellStyle name="Normal 10 2 3 2 4" xfId="21175" xr:uid="{00000000-0005-0000-0000-00009A550000}"/>
    <cellStyle name="Normal 10 2 3 2 4 2" xfId="45007" xr:uid="{1FF6861B-9A4A-4D96-B3D8-6C867DA1D8AF}"/>
    <cellStyle name="Normal 10 2 3 2 5" xfId="29128" xr:uid="{0192F8C7-F476-47FF-9225-AD40C6971E53}"/>
    <cellStyle name="Normal 10 2 3 3" xfId="7028" xr:uid="{00000000-0005-0000-0000-00009B550000}"/>
    <cellStyle name="Normal 10 2 3 3 2" xfId="15000" xr:uid="{00000000-0005-0000-0000-00009C550000}"/>
    <cellStyle name="Normal 10 2 3 3 2 2" xfId="38842" xr:uid="{0704D002-6C68-467C-B97F-D23514174F9E}"/>
    <cellStyle name="Normal 10 2 3 3 3" xfId="22947" xr:uid="{00000000-0005-0000-0000-00009D550000}"/>
    <cellStyle name="Normal 10 2 3 3 3 2" xfId="46779" xr:uid="{BDDED627-377B-41FF-A438-A1CD10B69766}"/>
    <cellStyle name="Normal 10 2 3 3 4" xfId="30901" xr:uid="{DEF6017A-5EF3-45E6-BC44-808F56F3CE2A}"/>
    <cellStyle name="Normal 10 2 3 4" xfId="11464" xr:uid="{00000000-0005-0000-0000-00009E550000}"/>
    <cellStyle name="Normal 10 2 3 4 2" xfId="35313" xr:uid="{B6F84BD5-0EA9-4A26-902D-970CC8D90AC1}"/>
    <cellStyle name="Normal 10 2 3 5" xfId="19419" xr:uid="{00000000-0005-0000-0000-00009F550000}"/>
    <cellStyle name="Normal 10 2 3 5 2" xfId="43251" xr:uid="{2BEB4AA7-B93F-4E31-BE93-5FBE5AB3F23D}"/>
    <cellStyle name="Normal 10 2 3 6" xfId="27371" xr:uid="{D49B1B22-92F6-4B5A-9009-8BB9789B5539}"/>
    <cellStyle name="Normal 10 2 3_Exh G" xfId="3433" xr:uid="{00000000-0005-0000-0000-0000A0550000}"/>
    <cellStyle name="Normal 10 2 4" xfId="4317" xr:uid="{00000000-0005-0000-0000-0000A1550000}"/>
    <cellStyle name="Normal 10 2 4 2" xfId="7909" xr:uid="{00000000-0005-0000-0000-0000A2550000}"/>
    <cellStyle name="Normal 10 2 4 2 2" xfId="15880" xr:uid="{00000000-0005-0000-0000-0000A3550000}"/>
    <cellStyle name="Normal 10 2 4 2 2 2" xfId="39722" xr:uid="{3262036C-516F-41D0-A1BD-D8BAADEB4316}"/>
    <cellStyle name="Normal 10 2 4 2 3" xfId="23826" xr:uid="{00000000-0005-0000-0000-0000A4550000}"/>
    <cellStyle name="Normal 10 2 4 2 3 2" xfId="47658" xr:uid="{10ABED8A-922F-4BA4-ABAB-C6F6665BFE64}"/>
    <cellStyle name="Normal 10 2 4 2 4" xfId="31781" xr:uid="{3E14C302-6A28-4449-8995-FC8F7C107DFB}"/>
    <cellStyle name="Normal 10 2 4 3" xfId="12342" xr:uid="{00000000-0005-0000-0000-0000A5550000}"/>
    <cellStyle name="Normal 10 2 4 3 2" xfId="36191" xr:uid="{BFCA1416-4235-4958-843F-8F5C5199B6AB}"/>
    <cellStyle name="Normal 10 2 4 4" xfId="20297" xr:uid="{00000000-0005-0000-0000-0000A6550000}"/>
    <cellStyle name="Normal 10 2 4 4 2" xfId="44129" xr:uid="{22769F9D-0BA6-4100-ABCC-3B27F5BAC304}"/>
    <cellStyle name="Normal 10 2 4 5" xfId="28250" xr:uid="{97CCBADD-C3A2-4B28-A9C7-3A823268C956}"/>
    <cellStyle name="Normal 10 2 5" xfId="6137" xr:uid="{00000000-0005-0000-0000-0000A7550000}"/>
    <cellStyle name="Normal 10 2 5 2" xfId="14121" xr:uid="{00000000-0005-0000-0000-0000A8550000}"/>
    <cellStyle name="Normal 10 2 5 2 2" xfId="37964" xr:uid="{7806938F-FBB2-414F-8F63-FD0835B57664}"/>
    <cellStyle name="Normal 10 2 5 3" xfId="22069" xr:uid="{00000000-0005-0000-0000-0000A9550000}"/>
    <cellStyle name="Normal 10 2 5 3 2" xfId="45901" xr:uid="{A1968378-7265-48B9-93AC-F6F6CB456726}"/>
    <cellStyle name="Normal 10 2 5 4" xfId="30023" xr:uid="{3DC59D80-31EA-48C5-880D-EDA548B3F376}"/>
    <cellStyle name="Normal 10 2 6" xfId="9690" xr:uid="{00000000-0005-0000-0000-0000AA550000}"/>
    <cellStyle name="Normal 10 2 6 2" xfId="17648" xr:uid="{00000000-0005-0000-0000-0000AB550000}"/>
    <cellStyle name="Normal 10 2 6 2 2" xfId="41488" xr:uid="{A8F3309F-13AD-43CF-9462-49B41C377F77}"/>
    <cellStyle name="Normal 10 2 6 3" xfId="25592" xr:uid="{00000000-0005-0000-0000-0000AC550000}"/>
    <cellStyle name="Normal 10 2 6 3 2" xfId="49424" xr:uid="{CF39022D-D406-4A9A-8626-CF028F20EFFE}"/>
    <cellStyle name="Normal 10 2 6 4" xfId="33547" xr:uid="{327EF1FE-152B-4BF8-A1CC-2FA4FDA4163C}"/>
    <cellStyle name="Normal 10 2 7" xfId="10586" xr:uid="{00000000-0005-0000-0000-0000AD550000}"/>
    <cellStyle name="Normal 10 2 7 2" xfId="34435" xr:uid="{F8603DBB-06BD-446D-AD1C-5100552EBEA7}"/>
    <cellStyle name="Normal 10 2 8" xfId="18541" xr:uid="{00000000-0005-0000-0000-0000AE550000}"/>
    <cellStyle name="Normal 10 2 8 2" xfId="42373" xr:uid="{89F2DA05-3CCC-48A4-82A3-F0768768220B}"/>
    <cellStyle name="Normal 10 2 9" xfId="26493" xr:uid="{2A0B56C0-FB14-4F8E-8B73-F386AF42104C}"/>
    <cellStyle name="Normal 10 2_Exh G" xfId="3430" xr:uid="{00000000-0005-0000-0000-0000AF550000}"/>
    <cellStyle name="Normal 10 3" xfId="640" xr:uid="{00000000-0005-0000-0000-0000B0550000}"/>
    <cellStyle name="Normal 10 3 2" xfId="1668" xr:uid="{00000000-0005-0000-0000-0000B1550000}"/>
    <cellStyle name="Normal 10 3 2 2" xfId="5198" xr:uid="{00000000-0005-0000-0000-0000B2550000}"/>
    <cellStyle name="Normal 10 3 2 2 2" xfId="8789" xr:uid="{00000000-0005-0000-0000-0000B3550000}"/>
    <cellStyle name="Normal 10 3 2 2 2 2" xfId="16760" xr:uid="{00000000-0005-0000-0000-0000B4550000}"/>
    <cellStyle name="Normal 10 3 2 2 2 2 2" xfId="40602" xr:uid="{B24999DF-0A0F-4C1A-B93A-72B6F67233F6}"/>
    <cellStyle name="Normal 10 3 2 2 2 3" xfId="24706" xr:uid="{00000000-0005-0000-0000-0000B5550000}"/>
    <cellStyle name="Normal 10 3 2 2 2 3 2" xfId="48538" xr:uid="{0FB35F86-D643-4E7D-AF7E-31CFACB49646}"/>
    <cellStyle name="Normal 10 3 2 2 2 4" xfId="32661" xr:uid="{82A9EB8F-20BD-4042-9C93-2A785C05B375}"/>
    <cellStyle name="Normal 10 3 2 2 3" xfId="13222" xr:uid="{00000000-0005-0000-0000-0000B6550000}"/>
    <cellStyle name="Normal 10 3 2 2 3 2" xfId="37071" xr:uid="{F98209A2-E1F7-4C08-AEA2-D98DF178A728}"/>
    <cellStyle name="Normal 10 3 2 2 4" xfId="21177" xr:uid="{00000000-0005-0000-0000-0000B7550000}"/>
    <cellStyle name="Normal 10 3 2 2 4 2" xfId="45009" xr:uid="{60A350D5-49C0-4F5E-A1A7-B49DE09A613B}"/>
    <cellStyle name="Normal 10 3 2 2 5" xfId="29130" xr:uid="{18A29B36-332C-43D8-9952-CC9D6E4F3DB8}"/>
    <cellStyle name="Normal 10 3 2 3" xfId="7030" xr:uid="{00000000-0005-0000-0000-0000B8550000}"/>
    <cellStyle name="Normal 10 3 2 3 2" xfId="15002" xr:uid="{00000000-0005-0000-0000-0000B9550000}"/>
    <cellStyle name="Normal 10 3 2 3 2 2" xfId="38844" xr:uid="{F0C3A731-ACF4-4C3A-92C0-4DC4CCA31B99}"/>
    <cellStyle name="Normal 10 3 2 3 3" xfId="22949" xr:uid="{00000000-0005-0000-0000-0000BA550000}"/>
    <cellStyle name="Normal 10 3 2 3 3 2" xfId="46781" xr:uid="{D21CD99D-E76E-482F-8301-DD12B9371CEC}"/>
    <cellStyle name="Normal 10 3 2 3 4" xfId="30903" xr:uid="{21FC0676-8C33-42E2-A380-395D6FCA23FF}"/>
    <cellStyle name="Normal 10 3 2 4" xfId="11466" xr:uid="{00000000-0005-0000-0000-0000BB550000}"/>
    <cellStyle name="Normal 10 3 2 4 2" xfId="35315" xr:uid="{261DA7E9-35F5-4FEE-B900-F777DE4E8D1E}"/>
    <cellStyle name="Normal 10 3 2 5" xfId="19421" xr:uid="{00000000-0005-0000-0000-0000BC550000}"/>
    <cellStyle name="Normal 10 3 2 5 2" xfId="43253" xr:uid="{A93FC8BF-F4D6-49CF-AD12-22ED3C4A9561}"/>
    <cellStyle name="Normal 10 3 2 6" xfId="27373" xr:uid="{ED9BB381-C137-446E-B17B-828889D19288}"/>
    <cellStyle name="Normal 10 3 2_Exh G" xfId="3435" xr:uid="{00000000-0005-0000-0000-0000BD550000}"/>
    <cellStyle name="Normal 10 3 3" xfId="4319" xr:uid="{00000000-0005-0000-0000-0000BE550000}"/>
    <cellStyle name="Normal 10 3 3 2" xfId="7911" xr:uid="{00000000-0005-0000-0000-0000BF550000}"/>
    <cellStyle name="Normal 10 3 3 2 2" xfId="15882" xr:uid="{00000000-0005-0000-0000-0000C0550000}"/>
    <cellStyle name="Normal 10 3 3 2 2 2" xfId="39724" xr:uid="{153A57ED-9787-4AAC-B02A-7F846F062D2F}"/>
    <cellStyle name="Normal 10 3 3 2 3" xfId="23828" xr:uid="{00000000-0005-0000-0000-0000C1550000}"/>
    <cellStyle name="Normal 10 3 3 2 3 2" xfId="47660" xr:uid="{529ACD35-2FD9-4F2B-94CE-CFEDCBAED18D}"/>
    <cellStyle name="Normal 10 3 3 2 4" xfId="31783" xr:uid="{EE093EDD-58BA-4273-9867-20EE99436153}"/>
    <cellStyle name="Normal 10 3 3 3" xfId="12344" xr:uid="{00000000-0005-0000-0000-0000C2550000}"/>
    <cellStyle name="Normal 10 3 3 3 2" xfId="36193" xr:uid="{041C7461-5320-435E-9A6E-CE584FAA9B68}"/>
    <cellStyle name="Normal 10 3 3 4" xfId="20299" xr:uid="{00000000-0005-0000-0000-0000C3550000}"/>
    <cellStyle name="Normal 10 3 3 4 2" xfId="44131" xr:uid="{0C689E48-BB9F-4B85-8ACC-2013F80B0C97}"/>
    <cellStyle name="Normal 10 3 3 5" xfId="28252" xr:uid="{1F43F13C-CAF2-45EE-AC76-0D8A1504E7F1}"/>
    <cellStyle name="Normal 10 3 4" xfId="6139" xr:uid="{00000000-0005-0000-0000-0000C4550000}"/>
    <cellStyle name="Normal 10 3 4 2" xfId="14123" xr:uid="{00000000-0005-0000-0000-0000C5550000}"/>
    <cellStyle name="Normal 10 3 4 2 2" xfId="37966" xr:uid="{BCC57527-5FCA-4AD3-9831-AA578DB018F9}"/>
    <cellStyle name="Normal 10 3 4 3" xfId="22071" xr:uid="{00000000-0005-0000-0000-0000C6550000}"/>
    <cellStyle name="Normal 10 3 4 3 2" xfId="45903" xr:uid="{EBFA392B-E343-4CE6-ADA6-5383924E3AE0}"/>
    <cellStyle name="Normal 10 3 4 4" xfId="30025" xr:uid="{F2BA0E69-A74C-4139-8916-5F19B677FAD6}"/>
    <cellStyle name="Normal 10 3 5" xfId="9692" xr:uid="{00000000-0005-0000-0000-0000C7550000}"/>
    <cellStyle name="Normal 10 3 5 2" xfId="17650" xr:uid="{00000000-0005-0000-0000-0000C8550000}"/>
    <cellStyle name="Normal 10 3 5 2 2" xfId="41490" xr:uid="{6FACFEFC-8002-416B-93A4-204C89C1B5DB}"/>
    <cellStyle name="Normal 10 3 5 3" xfId="25594" xr:uid="{00000000-0005-0000-0000-0000C9550000}"/>
    <cellStyle name="Normal 10 3 5 3 2" xfId="49426" xr:uid="{E451A3D9-1DE4-44D7-BBB4-2A6031AAE2A6}"/>
    <cellStyle name="Normal 10 3 5 4" xfId="33549" xr:uid="{EB0B1A1C-3EFB-480F-89F3-0EF8C333B629}"/>
    <cellStyle name="Normal 10 3 6" xfId="10588" xr:uid="{00000000-0005-0000-0000-0000CA550000}"/>
    <cellStyle name="Normal 10 3 6 2" xfId="34437" xr:uid="{E3007EA3-6D42-4155-8907-43C894A02292}"/>
    <cellStyle name="Normal 10 3 7" xfId="18543" xr:uid="{00000000-0005-0000-0000-0000CB550000}"/>
    <cellStyle name="Normal 10 3 7 2" xfId="42375" xr:uid="{91DE749E-83D3-42C4-818F-B3185BB04E48}"/>
    <cellStyle name="Normal 10 3 8" xfId="26495" xr:uid="{C4882297-FA2B-40E5-98B8-423B2A53862F}"/>
    <cellStyle name="Normal 10 3_Exh G" xfId="3434" xr:uid="{00000000-0005-0000-0000-0000CC550000}"/>
    <cellStyle name="Normal 10 4" xfId="1012" xr:uid="{00000000-0005-0000-0000-0000CD550000}"/>
    <cellStyle name="Normal 10 5" xfId="1665" xr:uid="{00000000-0005-0000-0000-0000CE550000}"/>
    <cellStyle name="Normal 10 5 2" xfId="5195" xr:uid="{00000000-0005-0000-0000-0000CF550000}"/>
    <cellStyle name="Normal 10 5 2 2" xfId="8786" xr:uid="{00000000-0005-0000-0000-0000D0550000}"/>
    <cellStyle name="Normal 10 5 2 2 2" xfId="16757" xr:uid="{00000000-0005-0000-0000-0000D1550000}"/>
    <cellStyle name="Normal 10 5 2 2 2 2" xfId="40599" xr:uid="{11891469-3DFF-4F84-957D-29C373BF77A6}"/>
    <cellStyle name="Normal 10 5 2 2 3" xfId="24703" xr:uid="{00000000-0005-0000-0000-0000D2550000}"/>
    <cellStyle name="Normal 10 5 2 2 3 2" xfId="48535" xr:uid="{F7DAEA37-3BAC-4221-9411-AFFA2C222107}"/>
    <cellStyle name="Normal 10 5 2 2 4" xfId="32658" xr:uid="{2AF07D50-7BA9-4BD9-8316-2EAAA6B9E5B3}"/>
    <cellStyle name="Normal 10 5 2 3" xfId="13219" xr:uid="{00000000-0005-0000-0000-0000D3550000}"/>
    <cellStyle name="Normal 10 5 2 3 2" xfId="37068" xr:uid="{5652A2A8-E167-4236-84E7-30938E0D716C}"/>
    <cellStyle name="Normal 10 5 2 4" xfId="21174" xr:uid="{00000000-0005-0000-0000-0000D4550000}"/>
    <cellStyle name="Normal 10 5 2 4 2" xfId="45006" xr:uid="{DF4366EF-67BE-40E8-931B-B35CDED41C74}"/>
    <cellStyle name="Normal 10 5 2 5" xfId="29127" xr:uid="{2CE9E570-9026-44CB-8C1A-34666A3FCBF9}"/>
    <cellStyle name="Normal 10 5 3" xfId="7027" xr:uid="{00000000-0005-0000-0000-0000D5550000}"/>
    <cellStyle name="Normal 10 5 3 2" xfId="14999" xr:uid="{00000000-0005-0000-0000-0000D6550000}"/>
    <cellStyle name="Normal 10 5 3 2 2" xfId="38841" xr:uid="{DE2E8F38-5627-4051-BF22-306CC7E8A90F}"/>
    <cellStyle name="Normal 10 5 3 3" xfId="22946" xr:uid="{00000000-0005-0000-0000-0000D7550000}"/>
    <cellStyle name="Normal 10 5 3 3 2" xfId="46778" xr:uid="{D65BA575-388B-4861-AA07-588C77DFAD18}"/>
    <cellStyle name="Normal 10 5 3 4" xfId="30900" xr:uid="{2382FA7E-602A-49A3-8DAC-47BEEFB0C5E6}"/>
    <cellStyle name="Normal 10 5 4" xfId="11463" xr:uid="{00000000-0005-0000-0000-0000D8550000}"/>
    <cellStyle name="Normal 10 5 4 2" xfId="35312" xr:uid="{F0D58412-B33D-4A0D-89ED-03028018C437}"/>
    <cellStyle name="Normal 10 5 5" xfId="19418" xr:uid="{00000000-0005-0000-0000-0000D9550000}"/>
    <cellStyle name="Normal 10 5 5 2" xfId="43250" xr:uid="{229BAD69-03A1-443A-A0D8-0F47A59CE17C}"/>
    <cellStyle name="Normal 10 5 6" xfId="27370" xr:uid="{420A8B5A-0BF8-4A1C-8D35-5F294BBD1D7E}"/>
    <cellStyle name="Normal 10 5_Exh G" xfId="3436" xr:uid="{00000000-0005-0000-0000-0000DA550000}"/>
    <cellStyle name="Normal 10 6" xfId="4316" xr:uid="{00000000-0005-0000-0000-0000DB550000}"/>
    <cellStyle name="Normal 10 6 2" xfId="7908" xr:uid="{00000000-0005-0000-0000-0000DC550000}"/>
    <cellStyle name="Normal 10 6 2 2" xfId="15879" xr:uid="{00000000-0005-0000-0000-0000DD550000}"/>
    <cellStyle name="Normal 10 6 2 2 2" xfId="39721" xr:uid="{DD0960B0-D8A5-4962-B366-F60BA7794DE3}"/>
    <cellStyle name="Normal 10 6 2 3" xfId="23825" xr:uid="{00000000-0005-0000-0000-0000DE550000}"/>
    <cellStyle name="Normal 10 6 2 3 2" xfId="47657" xr:uid="{888F2190-560F-48EE-8E17-BB63E3128608}"/>
    <cellStyle name="Normal 10 6 2 4" xfId="31780" xr:uid="{86EC9137-0423-4169-BA7F-DB24B6A37132}"/>
    <cellStyle name="Normal 10 6 3" xfId="12341" xr:uid="{00000000-0005-0000-0000-0000DF550000}"/>
    <cellStyle name="Normal 10 6 3 2" xfId="36190" xr:uid="{19116193-76F9-4E4C-ACB8-F0393687C8C3}"/>
    <cellStyle name="Normal 10 6 4" xfId="20296" xr:uid="{00000000-0005-0000-0000-0000E0550000}"/>
    <cellStyle name="Normal 10 6 4 2" xfId="44128" xr:uid="{9E844FDA-C229-4AD9-B5D9-10CED8447A93}"/>
    <cellStyle name="Normal 10 6 5" xfId="28249" xr:uid="{8AD6150E-2322-4004-BCFD-9543BBDBB449}"/>
    <cellStyle name="Normal 10 7" xfId="6136" xr:uid="{00000000-0005-0000-0000-0000E1550000}"/>
    <cellStyle name="Normal 10 7 2" xfId="14120" xr:uid="{00000000-0005-0000-0000-0000E2550000}"/>
    <cellStyle name="Normal 10 7 2 2" xfId="37963" xr:uid="{55033CD2-D26C-4BF7-BA5F-F69EBE06C33D}"/>
    <cellStyle name="Normal 10 7 3" xfId="22068" xr:uid="{00000000-0005-0000-0000-0000E3550000}"/>
    <cellStyle name="Normal 10 7 3 2" xfId="45900" xr:uid="{408C558A-8C31-443C-9B28-601CF6A5D4A5}"/>
    <cellStyle name="Normal 10 7 4" xfId="30022" xr:uid="{F6158A7E-9DA1-4CE6-AAFF-3C7FB07E879F}"/>
    <cellStyle name="Normal 10 8" xfId="9689" xr:uid="{00000000-0005-0000-0000-0000E4550000}"/>
    <cellStyle name="Normal 10 8 2" xfId="17647" xr:uid="{00000000-0005-0000-0000-0000E5550000}"/>
    <cellStyle name="Normal 10 8 2 2" xfId="41487" xr:uid="{183495A0-FC65-4DA8-A106-37C11E938AA7}"/>
    <cellStyle name="Normal 10 8 3" xfId="25591" xr:uid="{00000000-0005-0000-0000-0000E6550000}"/>
    <cellStyle name="Normal 10 8 3 2" xfId="49423" xr:uid="{56939EFE-0880-42EF-AFB3-B9E7FB70D4EA}"/>
    <cellStyle name="Normal 10 8 4" xfId="33546" xr:uid="{2E8E7513-963E-43BC-8CB3-093DDF4D67B1}"/>
    <cellStyle name="Normal 10 9" xfId="10585" xr:uid="{00000000-0005-0000-0000-0000E7550000}"/>
    <cellStyle name="Normal 10 9 2" xfId="34434" xr:uid="{6D654562-AC93-4C81-9272-FDDCCC5C51BF}"/>
    <cellStyle name="Normal 10_Exh G" xfId="3429" xr:uid="{00000000-0005-0000-0000-0000E8550000}"/>
    <cellStyle name="Normal 11" xfId="641" xr:uid="{00000000-0005-0000-0000-0000E9550000}"/>
    <cellStyle name="Normal 11 10" xfId="18544" xr:uid="{00000000-0005-0000-0000-0000EA550000}"/>
    <cellStyle name="Normal 11 10 2" xfId="42376" xr:uid="{FB7F3ACA-287D-46F5-A81C-FAF7151B9F2C}"/>
    <cellStyle name="Normal 11 11" xfId="26496" xr:uid="{8DE8F2F4-6311-4F6D-BFBE-C84675933177}"/>
    <cellStyle name="Normal 11 2" xfId="642" xr:uid="{00000000-0005-0000-0000-0000EB550000}"/>
    <cellStyle name="Normal 11 2 2" xfId="643" xr:uid="{00000000-0005-0000-0000-0000EC550000}"/>
    <cellStyle name="Normal 11 2 2 2" xfId="1671" xr:uid="{00000000-0005-0000-0000-0000ED550000}"/>
    <cellStyle name="Normal 11 2 2 2 2" xfId="5201" xr:uid="{00000000-0005-0000-0000-0000EE550000}"/>
    <cellStyle name="Normal 11 2 2 2 2 2" xfId="8792" xr:uid="{00000000-0005-0000-0000-0000EF550000}"/>
    <cellStyle name="Normal 11 2 2 2 2 2 2" xfId="16763" xr:uid="{00000000-0005-0000-0000-0000F0550000}"/>
    <cellStyle name="Normal 11 2 2 2 2 2 2 2" xfId="40605" xr:uid="{4A422B26-0D30-4653-AFDA-4875BB8206A2}"/>
    <cellStyle name="Normal 11 2 2 2 2 2 3" xfId="24709" xr:uid="{00000000-0005-0000-0000-0000F1550000}"/>
    <cellStyle name="Normal 11 2 2 2 2 2 3 2" xfId="48541" xr:uid="{28102400-A069-4798-A79F-20C6308E8060}"/>
    <cellStyle name="Normal 11 2 2 2 2 2 4" xfId="32664" xr:uid="{4C0E035A-80CF-4A3E-A4C9-D1CD1A8FB354}"/>
    <cellStyle name="Normal 11 2 2 2 2 3" xfId="13225" xr:uid="{00000000-0005-0000-0000-0000F2550000}"/>
    <cellStyle name="Normal 11 2 2 2 2 3 2" xfId="37074" xr:uid="{1EA3F324-5E3A-4258-AECE-DE01A73BDA71}"/>
    <cellStyle name="Normal 11 2 2 2 2 4" xfId="21180" xr:uid="{00000000-0005-0000-0000-0000F3550000}"/>
    <cellStyle name="Normal 11 2 2 2 2 4 2" xfId="45012" xr:uid="{070B176E-DF05-492B-8BB1-86C9F9B40F57}"/>
    <cellStyle name="Normal 11 2 2 2 2 5" xfId="29133" xr:uid="{95B675BA-3A6D-4B4D-BD07-3F782FA8656F}"/>
    <cellStyle name="Normal 11 2 2 2 3" xfId="7033" xr:uid="{00000000-0005-0000-0000-0000F4550000}"/>
    <cellStyle name="Normal 11 2 2 2 3 2" xfId="15005" xr:uid="{00000000-0005-0000-0000-0000F5550000}"/>
    <cellStyle name="Normal 11 2 2 2 3 2 2" xfId="38847" xr:uid="{F17A0CB9-53EB-4F6D-A2C0-B473E6E8EDE2}"/>
    <cellStyle name="Normal 11 2 2 2 3 3" xfId="22952" xr:uid="{00000000-0005-0000-0000-0000F6550000}"/>
    <cellStyle name="Normal 11 2 2 2 3 3 2" xfId="46784" xr:uid="{D3FA1E4F-F625-44B6-959B-4B983CA1E434}"/>
    <cellStyle name="Normal 11 2 2 2 3 4" xfId="30906" xr:uid="{E257EBAC-9A43-467C-ABDC-A7E5415DD31F}"/>
    <cellStyle name="Normal 11 2 2 2 4" xfId="11469" xr:uid="{00000000-0005-0000-0000-0000F7550000}"/>
    <cellStyle name="Normal 11 2 2 2 4 2" xfId="35318" xr:uid="{43901FD6-1EA9-44D8-A9B7-9C0C7EEF0220}"/>
    <cellStyle name="Normal 11 2 2 2 5" xfId="19424" xr:uid="{00000000-0005-0000-0000-0000F8550000}"/>
    <cellStyle name="Normal 11 2 2 2 5 2" xfId="43256" xr:uid="{5EB3564E-D2CD-4508-9298-C9C11C1F9F5F}"/>
    <cellStyle name="Normal 11 2 2 2 6" xfId="27376" xr:uid="{F6D5A6BF-FA92-42BA-B654-899C74B6E02C}"/>
    <cellStyle name="Normal 11 2 2 2_Exh G" xfId="3440" xr:uid="{00000000-0005-0000-0000-0000F9550000}"/>
    <cellStyle name="Normal 11 2 2 3" xfId="4322" xr:uid="{00000000-0005-0000-0000-0000FA550000}"/>
    <cellStyle name="Normal 11 2 2 3 2" xfId="7914" xr:uid="{00000000-0005-0000-0000-0000FB550000}"/>
    <cellStyle name="Normal 11 2 2 3 2 2" xfId="15885" xr:uid="{00000000-0005-0000-0000-0000FC550000}"/>
    <cellStyle name="Normal 11 2 2 3 2 2 2" xfId="39727" xr:uid="{AD169442-D2A8-4897-93AC-8CEA8DBAF348}"/>
    <cellStyle name="Normal 11 2 2 3 2 3" xfId="23831" xr:uid="{00000000-0005-0000-0000-0000FD550000}"/>
    <cellStyle name="Normal 11 2 2 3 2 3 2" xfId="47663" xr:uid="{D5FCB941-509B-4384-AB47-4E062A7E8005}"/>
    <cellStyle name="Normal 11 2 2 3 2 4" xfId="31786" xr:uid="{6C4D5C23-2ECB-4560-9748-8DEF33338AFD}"/>
    <cellStyle name="Normal 11 2 2 3 3" xfId="12347" xr:uid="{00000000-0005-0000-0000-0000FE550000}"/>
    <cellStyle name="Normal 11 2 2 3 3 2" xfId="36196" xr:uid="{D4836244-485A-448A-ADA9-E5D550F14CA4}"/>
    <cellStyle name="Normal 11 2 2 3 4" xfId="20302" xr:uid="{00000000-0005-0000-0000-0000FF550000}"/>
    <cellStyle name="Normal 11 2 2 3 4 2" xfId="44134" xr:uid="{45214FD0-3E40-43D1-ACB8-CEA6B3E66F52}"/>
    <cellStyle name="Normal 11 2 2 3 5" xfId="28255" xr:uid="{0E567E3F-4888-4ADA-B789-1A82C13DD52E}"/>
    <cellStyle name="Normal 11 2 2 4" xfId="6142" xr:uid="{00000000-0005-0000-0000-000000560000}"/>
    <cellStyle name="Normal 11 2 2 4 2" xfId="14126" xr:uid="{00000000-0005-0000-0000-000001560000}"/>
    <cellStyle name="Normal 11 2 2 4 2 2" xfId="37969" xr:uid="{CB6370B6-7AA4-4BC3-A474-216B77AA39EE}"/>
    <cellStyle name="Normal 11 2 2 4 3" xfId="22074" xr:uid="{00000000-0005-0000-0000-000002560000}"/>
    <cellStyle name="Normal 11 2 2 4 3 2" xfId="45906" xr:uid="{67A82112-53A1-4353-B3DE-1B6FACCA39B4}"/>
    <cellStyle name="Normal 11 2 2 4 4" xfId="30028" xr:uid="{B97CCBFC-E86E-45A0-8198-A491CAB5FF1A}"/>
    <cellStyle name="Normal 11 2 2 5" xfId="9695" xr:uid="{00000000-0005-0000-0000-000003560000}"/>
    <cellStyle name="Normal 11 2 2 5 2" xfId="17653" xr:uid="{00000000-0005-0000-0000-000004560000}"/>
    <cellStyle name="Normal 11 2 2 5 2 2" xfId="41493" xr:uid="{D9865EFC-9FA1-4E83-B30C-875BB6524692}"/>
    <cellStyle name="Normal 11 2 2 5 3" xfId="25597" xr:uid="{00000000-0005-0000-0000-000005560000}"/>
    <cellStyle name="Normal 11 2 2 5 3 2" xfId="49429" xr:uid="{E59B6CDD-4AD5-463F-9A27-1C76A2022E31}"/>
    <cellStyle name="Normal 11 2 2 5 4" xfId="33552" xr:uid="{BDFE94D6-6102-4077-A3FE-80CA24FADD17}"/>
    <cellStyle name="Normal 11 2 2 6" xfId="10591" xr:uid="{00000000-0005-0000-0000-000006560000}"/>
    <cellStyle name="Normal 11 2 2 6 2" xfId="34440" xr:uid="{CE968595-391D-49CA-8D86-0C12DE0A025B}"/>
    <cellStyle name="Normal 11 2 2 7" xfId="18546" xr:uid="{00000000-0005-0000-0000-000007560000}"/>
    <cellStyle name="Normal 11 2 2 7 2" xfId="42378" xr:uid="{9409C1D2-A833-4518-B44C-4071273BA185}"/>
    <cellStyle name="Normal 11 2 2 8" xfId="26498" xr:uid="{7B98068D-32AB-4E4B-9EB5-ABA03E1AB067}"/>
    <cellStyle name="Normal 11 2 2_Exh G" xfId="3439" xr:uid="{00000000-0005-0000-0000-000008560000}"/>
    <cellStyle name="Normal 11 2 3" xfId="1670" xr:uid="{00000000-0005-0000-0000-000009560000}"/>
    <cellStyle name="Normal 11 2 3 2" xfId="5200" xr:uid="{00000000-0005-0000-0000-00000A560000}"/>
    <cellStyle name="Normal 11 2 3 2 2" xfId="8791" xr:uid="{00000000-0005-0000-0000-00000B560000}"/>
    <cellStyle name="Normal 11 2 3 2 2 2" xfId="16762" xr:uid="{00000000-0005-0000-0000-00000C560000}"/>
    <cellStyle name="Normal 11 2 3 2 2 2 2" xfId="40604" xr:uid="{2E8B4D48-680C-4637-BFCE-874B26CF413C}"/>
    <cellStyle name="Normal 11 2 3 2 2 3" xfId="24708" xr:uid="{00000000-0005-0000-0000-00000D560000}"/>
    <cellStyle name="Normal 11 2 3 2 2 3 2" xfId="48540" xr:uid="{623D3125-B15F-4FFB-BE88-B622E452FEF2}"/>
    <cellStyle name="Normal 11 2 3 2 2 4" xfId="32663" xr:uid="{5C864E96-58BA-4748-A9B7-E098278A20C3}"/>
    <cellStyle name="Normal 11 2 3 2 3" xfId="13224" xr:uid="{00000000-0005-0000-0000-00000E560000}"/>
    <cellStyle name="Normal 11 2 3 2 3 2" xfId="37073" xr:uid="{2D0BCE4F-5995-47BC-BF8F-2FD367BD8251}"/>
    <cellStyle name="Normal 11 2 3 2 4" xfId="21179" xr:uid="{00000000-0005-0000-0000-00000F560000}"/>
    <cellStyle name="Normal 11 2 3 2 4 2" xfId="45011" xr:uid="{CE1C7791-9C79-4EC0-9B2D-C11E1236E19C}"/>
    <cellStyle name="Normal 11 2 3 2 5" xfId="29132" xr:uid="{9167AD95-7F4C-4275-8455-F3B2A6BD4E3B}"/>
    <cellStyle name="Normal 11 2 3 3" xfId="7032" xr:uid="{00000000-0005-0000-0000-000010560000}"/>
    <cellStyle name="Normal 11 2 3 3 2" xfId="15004" xr:uid="{00000000-0005-0000-0000-000011560000}"/>
    <cellStyle name="Normal 11 2 3 3 2 2" xfId="38846" xr:uid="{4C44D69C-EECF-4096-B648-83027A4DA99B}"/>
    <cellStyle name="Normal 11 2 3 3 3" xfId="22951" xr:uid="{00000000-0005-0000-0000-000012560000}"/>
    <cellStyle name="Normal 11 2 3 3 3 2" xfId="46783" xr:uid="{C4E62844-BCAC-48AE-AFFD-D7B66FE30D12}"/>
    <cellStyle name="Normal 11 2 3 3 4" xfId="30905" xr:uid="{843E267C-8A85-4EAE-8521-8C15896C5F59}"/>
    <cellStyle name="Normal 11 2 3 4" xfId="11468" xr:uid="{00000000-0005-0000-0000-000013560000}"/>
    <cellStyle name="Normal 11 2 3 4 2" xfId="35317" xr:uid="{72B37283-9997-437D-BC46-FA128BC68FD8}"/>
    <cellStyle name="Normal 11 2 3 5" xfId="19423" xr:uid="{00000000-0005-0000-0000-000014560000}"/>
    <cellStyle name="Normal 11 2 3 5 2" xfId="43255" xr:uid="{7FB12E21-BA14-4841-8921-2EDA6251BC7E}"/>
    <cellStyle name="Normal 11 2 3 6" xfId="27375" xr:uid="{0CEC5EC0-5BAC-45C8-88C5-79A9E8BC131E}"/>
    <cellStyle name="Normal 11 2 3_Exh G" xfId="3441" xr:uid="{00000000-0005-0000-0000-000015560000}"/>
    <cellStyle name="Normal 11 2 4" xfId="4321" xr:uid="{00000000-0005-0000-0000-000016560000}"/>
    <cellStyle name="Normal 11 2 4 2" xfId="7913" xr:uid="{00000000-0005-0000-0000-000017560000}"/>
    <cellStyle name="Normal 11 2 4 2 2" xfId="15884" xr:uid="{00000000-0005-0000-0000-000018560000}"/>
    <cellStyle name="Normal 11 2 4 2 2 2" xfId="39726" xr:uid="{56789995-4B56-47BF-9949-3F1ADA1CD250}"/>
    <cellStyle name="Normal 11 2 4 2 3" xfId="23830" xr:uid="{00000000-0005-0000-0000-000019560000}"/>
    <cellStyle name="Normal 11 2 4 2 3 2" xfId="47662" xr:uid="{3EDDD671-D0C8-4FB1-8E82-1DE7D6C4AF94}"/>
    <cellStyle name="Normal 11 2 4 2 4" xfId="31785" xr:uid="{51FF2E00-51BC-45A5-A779-5602733F451A}"/>
    <cellStyle name="Normal 11 2 4 3" xfId="12346" xr:uid="{00000000-0005-0000-0000-00001A560000}"/>
    <cellStyle name="Normal 11 2 4 3 2" xfId="36195" xr:uid="{ACA7A8C5-FBD7-4C07-B3D2-6ABD78D8D41F}"/>
    <cellStyle name="Normal 11 2 4 4" xfId="20301" xr:uid="{00000000-0005-0000-0000-00001B560000}"/>
    <cellStyle name="Normal 11 2 4 4 2" xfId="44133" xr:uid="{82E970FF-86CB-4F55-BA26-2173D737458A}"/>
    <cellStyle name="Normal 11 2 4 5" xfId="28254" xr:uid="{056C0450-5F45-4B70-A576-76030B70825E}"/>
    <cellStyle name="Normal 11 2 5" xfId="6141" xr:uid="{00000000-0005-0000-0000-00001C560000}"/>
    <cellStyle name="Normal 11 2 5 2" xfId="14125" xr:uid="{00000000-0005-0000-0000-00001D560000}"/>
    <cellStyle name="Normal 11 2 5 2 2" xfId="37968" xr:uid="{FCF14717-8FB7-4A16-B337-59E09B4C5B3F}"/>
    <cellStyle name="Normal 11 2 5 3" xfId="22073" xr:uid="{00000000-0005-0000-0000-00001E560000}"/>
    <cellStyle name="Normal 11 2 5 3 2" xfId="45905" xr:uid="{3353485E-6FC2-47C5-9515-EA4AC3CFED8D}"/>
    <cellStyle name="Normal 11 2 5 4" xfId="30027" xr:uid="{A25F61C9-9418-4153-B75D-1D05DF773CD1}"/>
    <cellStyle name="Normal 11 2 6" xfId="9694" xr:uid="{00000000-0005-0000-0000-00001F560000}"/>
    <cellStyle name="Normal 11 2 6 2" xfId="17652" xr:uid="{00000000-0005-0000-0000-000020560000}"/>
    <cellStyle name="Normal 11 2 6 2 2" xfId="41492" xr:uid="{7418111D-09B6-47F2-AB6B-09B984AB9C6A}"/>
    <cellStyle name="Normal 11 2 6 3" xfId="25596" xr:uid="{00000000-0005-0000-0000-000021560000}"/>
    <cellStyle name="Normal 11 2 6 3 2" xfId="49428" xr:uid="{968CC445-A74E-4EE3-BCBA-6869CBEEFD50}"/>
    <cellStyle name="Normal 11 2 6 4" xfId="33551" xr:uid="{F3B94DF4-5F52-4748-8B90-3F1A0BB050DC}"/>
    <cellStyle name="Normal 11 2 7" xfId="10590" xr:uid="{00000000-0005-0000-0000-000022560000}"/>
    <cellStyle name="Normal 11 2 7 2" xfId="34439" xr:uid="{238D805C-970B-455F-B2BA-75E6757F8B3B}"/>
    <cellStyle name="Normal 11 2 8" xfId="18545" xr:uid="{00000000-0005-0000-0000-000023560000}"/>
    <cellStyle name="Normal 11 2 8 2" xfId="42377" xr:uid="{798E9CE7-5B7B-492D-B81B-242EEC0A1968}"/>
    <cellStyle name="Normal 11 2 9" xfId="26497" xr:uid="{ABB2088D-A628-473C-9039-9D69EE0379C3}"/>
    <cellStyle name="Normal 11 2_Exh G" xfId="3438" xr:uid="{00000000-0005-0000-0000-000024560000}"/>
    <cellStyle name="Normal 11 3" xfId="644" xr:uid="{00000000-0005-0000-0000-000025560000}"/>
    <cellStyle name="Normal 11 3 2" xfId="1672" xr:uid="{00000000-0005-0000-0000-000026560000}"/>
    <cellStyle name="Normal 11 3 2 2" xfId="5202" xr:uid="{00000000-0005-0000-0000-000027560000}"/>
    <cellStyle name="Normal 11 3 2 2 2" xfId="8793" xr:uid="{00000000-0005-0000-0000-000028560000}"/>
    <cellStyle name="Normal 11 3 2 2 2 2" xfId="16764" xr:uid="{00000000-0005-0000-0000-000029560000}"/>
    <cellStyle name="Normal 11 3 2 2 2 2 2" xfId="40606" xr:uid="{7FDADA77-CEE9-4F33-946C-B647731AE207}"/>
    <cellStyle name="Normal 11 3 2 2 2 3" xfId="24710" xr:uid="{00000000-0005-0000-0000-00002A560000}"/>
    <cellStyle name="Normal 11 3 2 2 2 3 2" xfId="48542" xr:uid="{7738EC1A-9B13-427F-9E9D-B37A4512C7FF}"/>
    <cellStyle name="Normal 11 3 2 2 2 4" xfId="32665" xr:uid="{63071830-69BC-4EA9-B022-B2FF76BD77F0}"/>
    <cellStyle name="Normal 11 3 2 2 3" xfId="13226" xr:uid="{00000000-0005-0000-0000-00002B560000}"/>
    <cellStyle name="Normal 11 3 2 2 3 2" xfId="37075" xr:uid="{7D84FB8F-493A-42A3-9937-C3D0932A75CF}"/>
    <cellStyle name="Normal 11 3 2 2 4" xfId="21181" xr:uid="{00000000-0005-0000-0000-00002C560000}"/>
    <cellStyle name="Normal 11 3 2 2 4 2" xfId="45013" xr:uid="{DCF7CEC4-B347-449C-9C92-DEE907ED8C47}"/>
    <cellStyle name="Normal 11 3 2 2 5" xfId="29134" xr:uid="{CA4A625C-F151-4ECE-B933-BA69371AFCA2}"/>
    <cellStyle name="Normal 11 3 2 3" xfId="7034" xr:uid="{00000000-0005-0000-0000-00002D560000}"/>
    <cellStyle name="Normal 11 3 2 3 2" xfId="15006" xr:uid="{00000000-0005-0000-0000-00002E560000}"/>
    <cellStyle name="Normal 11 3 2 3 2 2" xfId="38848" xr:uid="{978F0ADA-6EAA-4099-954D-FEB4B37C2088}"/>
    <cellStyle name="Normal 11 3 2 3 3" xfId="22953" xr:uid="{00000000-0005-0000-0000-00002F560000}"/>
    <cellStyle name="Normal 11 3 2 3 3 2" xfId="46785" xr:uid="{B5A4AC84-30E2-4555-AF69-99632910BB81}"/>
    <cellStyle name="Normal 11 3 2 3 4" xfId="30907" xr:uid="{52CD1474-0C07-4463-8368-2BF6D0808E68}"/>
    <cellStyle name="Normal 11 3 2 4" xfId="11470" xr:uid="{00000000-0005-0000-0000-000030560000}"/>
    <cellStyle name="Normal 11 3 2 4 2" xfId="35319" xr:uid="{5A280B53-09DC-4079-9125-993103DFF525}"/>
    <cellStyle name="Normal 11 3 2 5" xfId="19425" xr:uid="{00000000-0005-0000-0000-000031560000}"/>
    <cellStyle name="Normal 11 3 2 5 2" xfId="43257" xr:uid="{7B25F053-776C-40DD-AACB-4F8205D53E3D}"/>
    <cellStyle name="Normal 11 3 2 6" xfId="27377" xr:uid="{BD7946C6-BC09-489B-8FE5-A65A39571997}"/>
    <cellStyle name="Normal 11 3 2_Exh G" xfId="3443" xr:uid="{00000000-0005-0000-0000-000032560000}"/>
    <cellStyle name="Normal 11 3 3" xfId="4323" xr:uid="{00000000-0005-0000-0000-000033560000}"/>
    <cellStyle name="Normal 11 3 3 2" xfId="7915" xr:uid="{00000000-0005-0000-0000-000034560000}"/>
    <cellStyle name="Normal 11 3 3 2 2" xfId="15886" xr:uid="{00000000-0005-0000-0000-000035560000}"/>
    <cellStyle name="Normal 11 3 3 2 2 2" xfId="39728" xr:uid="{01D25F6A-9C38-4412-A5D2-D9BEDFB357C7}"/>
    <cellStyle name="Normal 11 3 3 2 3" xfId="23832" xr:uid="{00000000-0005-0000-0000-000036560000}"/>
    <cellStyle name="Normal 11 3 3 2 3 2" xfId="47664" xr:uid="{E8383068-9677-49E9-827E-2A7392641DCF}"/>
    <cellStyle name="Normal 11 3 3 2 4" xfId="31787" xr:uid="{322FD87E-E530-4BC3-8559-089A61AD8E6B}"/>
    <cellStyle name="Normal 11 3 3 3" xfId="12348" xr:uid="{00000000-0005-0000-0000-000037560000}"/>
    <cellStyle name="Normal 11 3 3 3 2" xfId="36197" xr:uid="{5EA78D2F-5D4E-471F-85F2-DECA3CE82EBA}"/>
    <cellStyle name="Normal 11 3 3 4" xfId="20303" xr:uid="{00000000-0005-0000-0000-000038560000}"/>
    <cellStyle name="Normal 11 3 3 4 2" xfId="44135" xr:uid="{2CECD7C8-89E0-45F2-872F-74C339D600FE}"/>
    <cellStyle name="Normal 11 3 3 5" xfId="28256" xr:uid="{E627365E-E1AC-4A74-A8F8-65354214893C}"/>
    <cellStyle name="Normal 11 3 4" xfId="6143" xr:uid="{00000000-0005-0000-0000-000039560000}"/>
    <cellStyle name="Normal 11 3 4 2" xfId="14127" xr:uid="{00000000-0005-0000-0000-00003A560000}"/>
    <cellStyle name="Normal 11 3 4 2 2" xfId="37970" xr:uid="{157FB747-BBE2-4C88-8426-3AC74B4BD95F}"/>
    <cellStyle name="Normal 11 3 4 3" xfId="22075" xr:uid="{00000000-0005-0000-0000-00003B560000}"/>
    <cellStyle name="Normal 11 3 4 3 2" xfId="45907" xr:uid="{490AFACB-7FAF-4725-8134-69F84A7FC83C}"/>
    <cellStyle name="Normal 11 3 4 4" xfId="30029" xr:uid="{A4E772BE-FACF-4CBE-94E5-0042484DF251}"/>
    <cellStyle name="Normal 11 3 5" xfId="9696" xr:uid="{00000000-0005-0000-0000-00003C560000}"/>
    <cellStyle name="Normal 11 3 5 2" xfId="17654" xr:uid="{00000000-0005-0000-0000-00003D560000}"/>
    <cellStyle name="Normal 11 3 5 2 2" xfId="41494" xr:uid="{A640D376-E769-431B-AE84-F67226D9B313}"/>
    <cellStyle name="Normal 11 3 5 3" xfId="25598" xr:uid="{00000000-0005-0000-0000-00003E560000}"/>
    <cellStyle name="Normal 11 3 5 3 2" xfId="49430" xr:uid="{D4D2F3BD-7FF9-4401-9A4B-8AABF90FD8B9}"/>
    <cellStyle name="Normal 11 3 5 4" xfId="33553" xr:uid="{C5D839D0-28B2-4107-A001-C11F8B38B846}"/>
    <cellStyle name="Normal 11 3 6" xfId="10592" xr:uid="{00000000-0005-0000-0000-00003F560000}"/>
    <cellStyle name="Normal 11 3 6 2" xfId="34441" xr:uid="{60B06FE1-1551-4EA1-A8E3-E4847FF41993}"/>
    <cellStyle name="Normal 11 3 7" xfId="18547" xr:uid="{00000000-0005-0000-0000-000040560000}"/>
    <cellStyle name="Normal 11 3 7 2" xfId="42379" xr:uid="{91F535D9-3B80-4CEF-9B97-C09CF64DFE4F}"/>
    <cellStyle name="Normal 11 3 8" xfId="26499" xr:uid="{2AB30A4E-5748-4881-BE1B-CB02E763FBBC}"/>
    <cellStyle name="Normal 11 3_Exh G" xfId="3442" xr:uid="{00000000-0005-0000-0000-000041560000}"/>
    <cellStyle name="Normal 11 4" xfId="1013" xr:uid="{00000000-0005-0000-0000-000042560000}"/>
    <cellStyle name="Normal 11 4 2" xfId="1920" xr:uid="{00000000-0005-0000-0000-000043560000}"/>
    <cellStyle name="Normal 11 4 2 2" xfId="5438" xr:uid="{00000000-0005-0000-0000-000044560000}"/>
    <cellStyle name="Normal 11 4 2 2 2" xfId="9029" xr:uid="{00000000-0005-0000-0000-000045560000}"/>
    <cellStyle name="Normal 11 4 2 2 2 2" xfId="17000" xr:uid="{00000000-0005-0000-0000-000046560000}"/>
    <cellStyle name="Normal 11 4 2 2 2 2 2" xfId="40842" xr:uid="{F7600CB2-A540-40FE-B39D-12644FF27E26}"/>
    <cellStyle name="Normal 11 4 2 2 2 3" xfId="24946" xr:uid="{00000000-0005-0000-0000-000047560000}"/>
    <cellStyle name="Normal 11 4 2 2 2 3 2" xfId="48778" xr:uid="{9542B8E9-1A07-4C1E-BE76-5D3964B4E997}"/>
    <cellStyle name="Normal 11 4 2 2 2 4" xfId="32901" xr:uid="{ECADC131-22EF-4A1A-902F-D7046087C69E}"/>
    <cellStyle name="Normal 11 4 2 2 3" xfId="13462" xr:uid="{00000000-0005-0000-0000-000048560000}"/>
    <cellStyle name="Normal 11 4 2 2 3 2" xfId="37311" xr:uid="{947AA8FA-6EFD-4FCE-B9A5-110E44D7FD4F}"/>
    <cellStyle name="Normal 11 4 2 2 4" xfId="21417" xr:uid="{00000000-0005-0000-0000-000049560000}"/>
    <cellStyle name="Normal 11 4 2 2 4 2" xfId="45249" xr:uid="{5CF4427F-C4A0-4118-A03A-04C794BFF1F1}"/>
    <cellStyle name="Normal 11 4 2 2 5" xfId="29370" xr:uid="{D86A04DD-6292-46D2-A483-43AEE3BDFC41}"/>
    <cellStyle name="Normal 11 4 2 3" xfId="7270" xr:uid="{00000000-0005-0000-0000-00004A560000}"/>
    <cellStyle name="Normal 11 4 2 3 2" xfId="15242" xr:uid="{00000000-0005-0000-0000-00004B560000}"/>
    <cellStyle name="Normal 11 4 2 3 2 2" xfId="39084" xr:uid="{6CC69648-347D-43AC-9E4F-7F91EABE355B}"/>
    <cellStyle name="Normal 11 4 2 3 3" xfId="23189" xr:uid="{00000000-0005-0000-0000-00004C560000}"/>
    <cellStyle name="Normal 11 4 2 3 3 2" xfId="47021" xr:uid="{7BF79F84-2ADE-46CE-B7B0-8DFE382507E9}"/>
    <cellStyle name="Normal 11 4 2 3 4" xfId="31143" xr:uid="{A2A004D1-5752-400A-9D9E-272A5214C7ED}"/>
    <cellStyle name="Normal 11 4 2 4" xfId="11706" xr:uid="{00000000-0005-0000-0000-00004D560000}"/>
    <cellStyle name="Normal 11 4 2 4 2" xfId="35555" xr:uid="{F0C3D0A2-C145-4FC3-AFDE-9A3E8E1487A0}"/>
    <cellStyle name="Normal 11 4 2 5" xfId="19661" xr:uid="{00000000-0005-0000-0000-00004E560000}"/>
    <cellStyle name="Normal 11 4 2 5 2" xfId="43493" xr:uid="{ABE23E5A-FADC-456E-9D8F-7DE171989F67}"/>
    <cellStyle name="Normal 11 4 2 6" xfId="27613" xr:uid="{AF59C46B-2010-4AEA-A7BA-500617F2863C}"/>
    <cellStyle name="Normal 11 4 2_Exh G" xfId="3445" xr:uid="{00000000-0005-0000-0000-00004F560000}"/>
    <cellStyle name="Normal 11 4 3" xfId="4559" xr:uid="{00000000-0005-0000-0000-000050560000}"/>
    <cellStyle name="Normal 11 4 3 2" xfId="8151" xr:uid="{00000000-0005-0000-0000-000051560000}"/>
    <cellStyle name="Normal 11 4 3 2 2" xfId="16122" xr:uid="{00000000-0005-0000-0000-000052560000}"/>
    <cellStyle name="Normal 11 4 3 2 2 2" xfId="39964" xr:uid="{49A04FE1-0C4D-4FF1-81F6-BBB54172302A}"/>
    <cellStyle name="Normal 11 4 3 2 3" xfId="24068" xr:uid="{00000000-0005-0000-0000-000053560000}"/>
    <cellStyle name="Normal 11 4 3 2 3 2" xfId="47900" xr:uid="{9C939D86-6730-46FF-BDF7-FF24F7C3075D}"/>
    <cellStyle name="Normal 11 4 3 2 4" xfId="32023" xr:uid="{FFFC6698-5540-42BD-94F7-A95224FF6AA0}"/>
    <cellStyle name="Normal 11 4 3 3" xfId="12584" xr:uid="{00000000-0005-0000-0000-000054560000}"/>
    <cellStyle name="Normal 11 4 3 3 2" xfId="36433" xr:uid="{EF550D1B-411C-4D61-99EA-B6BA1AEBED24}"/>
    <cellStyle name="Normal 11 4 3 4" xfId="20539" xr:uid="{00000000-0005-0000-0000-000055560000}"/>
    <cellStyle name="Normal 11 4 3 4 2" xfId="44371" xr:uid="{37E048DF-000B-4020-B0C1-F3610A5BA25E}"/>
    <cellStyle name="Normal 11 4 3 5" xfId="28492" xr:uid="{B2503B5D-420C-4BF1-8A3C-D88C4B59A1F3}"/>
    <cellStyle name="Normal 11 4 4" xfId="6389" xr:uid="{00000000-0005-0000-0000-000056560000}"/>
    <cellStyle name="Normal 11 4 4 2" xfId="14364" xr:uid="{00000000-0005-0000-0000-000057560000}"/>
    <cellStyle name="Normal 11 4 4 2 2" xfId="38206" xr:uid="{6585F807-9E0F-4615-B0ED-DF16F462C9E8}"/>
    <cellStyle name="Normal 11 4 4 3" xfId="22311" xr:uid="{00000000-0005-0000-0000-000058560000}"/>
    <cellStyle name="Normal 11 4 4 3 2" xfId="46143" xr:uid="{65A0AF6F-35DF-4497-AA37-647E48EBEA11}"/>
    <cellStyle name="Normal 11 4 4 4" xfId="30265" xr:uid="{C27D341C-2C1D-4578-A0B1-89B0082901FB}"/>
    <cellStyle name="Normal 11 4 5" xfId="9932" xr:uid="{00000000-0005-0000-0000-000059560000}"/>
    <cellStyle name="Normal 11 4 5 2" xfId="17890" xr:uid="{00000000-0005-0000-0000-00005A560000}"/>
    <cellStyle name="Normal 11 4 5 2 2" xfId="41730" xr:uid="{17F22099-A8E8-4795-BE40-A6094270794F}"/>
    <cellStyle name="Normal 11 4 5 3" xfId="25834" xr:uid="{00000000-0005-0000-0000-00005B560000}"/>
    <cellStyle name="Normal 11 4 5 3 2" xfId="49666" xr:uid="{A2EA46A2-8316-421D-A7D6-2099B8319F52}"/>
    <cellStyle name="Normal 11 4 5 4" xfId="33789" xr:uid="{E563BAA1-C03D-44B4-BF7A-EB47B8AEA37B}"/>
    <cellStyle name="Normal 11 4 6" xfId="10828" xr:uid="{00000000-0005-0000-0000-00005C560000}"/>
    <cellStyle name="Normal 11 4 6 2" xfId="34677" xr:uid="{E5511FE3-6FED-43F9-BABB-96379CF7A2D6}"/>
    <cellStyle name="Normal 11 4 7" xfId="18783" xr:uid="{00000000-0005-0000-0000-00005D560000}"/>
    <cellStyle name="Normal 11 4 7 2" xfId="42615" xr:uid="{877393FD-73B9-452E-BA62-E03F3C545BFE}"/>
    <cellStyle name="Normal 11 4 8" xfId="26735" xr:uid="{DBF1EDA7-E1B3-4503-B35D-3875E1EBA074}"/>
    <cellStyle name="Normal 11 4_Exh G" xfId="3444" xr:uid="{00000000-0005-0000-0000-00005E560000}"/>
    <cellStyle name="Normal 11 5" xfId="1669" xr:uid="{00000000-0005-0000-0000-00005F560000}"/>
    <cellStyle name="Normal 11 5 2" xfId="5199" xr:uid="{00000000-0005-0000-0000-000060560000}"/>
    <cellStyle name="Normal 11 5 2 2" xfId="8790" xr:uid="{00000000-0005-0000-0000-000061560000}"/>
    <cellStyle name="Normal 11 5 2 2 2" xfId="16761" xr:uid="{00000000-0005-0000-0000-000062560000}"/>
    <cellStyle name="Normal 11 5 2 2 2 2" xfId="40603" xr:uid="{7ECE05E7-A715-43A0-A424-818AB64C6B9E}"/>
    <cellStyle name="Normal 11 5 2 2 3" xfId="24707" xr:uid="{00000000-0005-0000-0000-000063560000}"/>
    <cellStyle name="Normal 11 5 2 2 3 2" xfId="48539" xr:uid="{02AF31DF-2A41-43CB-B43D-7B5B79107D97}"/>
    <cellStyle name="Normal 11 5 2 2 4" xfId="32662" xr:uid="{4FD17C28-20C9-491A-9841-740B3806B64E}"/>
    <cellStyle name="Normal 11 5 2 3" xfId="13223" xr:uid="{00000000-0005-0000-0000-000064560000}"/>
    <cellStyle name="Normal 11 5 2 3 2" xfId="37072" xr:uid="{32EA7BC3-B523-45B9-AF0F-A3783FA1BE56}"/>
    <cellStyle name="Normal 11 5 2 4" xfId="21178" xr:uid="{00000000-0005-0000-0000-000065560000}"/>
    <cellStyle name="Normal 11 5 2 4 2" xfId="45010" xr:uid="{6FBF1B46-5E5D-436A-A0D1-B829DFF03F97}"/>
    <cellStyle name="Normal 11 5 2 5" xfId="29131" xr:uid="{9C3A16CC-299B-4922-AEDB-0F9BFB0BC34D}"/>
    <cellStyle name="Normal 11 5 3" xfId="7031" xr:uid="{00000000-0005-0000-0000-000066560000}"/>
    <cellStyle name="Normal 11 5 3 2" xfId="15003" xr:uid="{00000000-0005-0000-0000-000067560000}"/>
    <cellStyle name="Normal 11 5 3 2 2" xfId="38845" xr:uid="{DE00FC85-8EB8-4004-A1E3-8DD3E6B25E40}"/>
    <cellStyle name="Normal 11 5 3 3" xfId="22950" xr:uid="{00000000-0005-0000-0000-000068560000}"/>
    <cellStyle name="Normal 11 5 3 3 2" xfId="46782" xr:uid="{2FAA6C57-C7CC-4919-A725-AD1635782C47}"/>
    <cellStyle name="Normal 11 5 3 4" xfId="30904" xr:uid="{BC78AD4A-98BA-4D1F-A556-56FB245EA10E}"/>
    <cellStyle name="Normal 11 5 4" xfId="11467" xr:uid="{00000000-0005-0000-0000-000069560000}"/>
    <cellStyle name="Normal 11 5 4 2" xfId="35316" xr:uid="{E8BA9100-552F-4A57-806C-D4AE15A6E42E}"/>
    <cellStyle name="Normal 11 5 5" xfId="19422" xr:uid="{00000000-0005-0000-0000-00006A560000}"/>
    <cellStyle name="Normal 11 5 5 2" xfId="43254" xr:uid="{23F9C611-CDB0-4E80-BD39-9D061F0246F6}"/>
    <cellStyle name="Normal 11 5 6" xfId="27374" xr:uid="{DB80921C-2C98-4D8E-8395-EC1370B4AAB0}"/>
    <cellStyle name="Normal 11 5_Exh G" xfId="3446" xr:uid="{00000000-0005-0000-0000-00006B560000}"/>
    <cellStyle name="Normal 11 6" xfId="4320" xr:uid="{00000000-0005-0000-0000-00006C560000}"/>
    <cellStyle name="Normal 11 6 2" xfId="7912" xr:uid="{00000000-0005-0000-0000-00006D560000}"/>
    <cellStyle name="Normal 11 6 2 2" xfId="15883" xr:uid="{00000000-0005-0000-0000-00006E560000}"/>
    <cellStyle name="Normal 11 6 2 2 2" xfId="39725" xr:uid="{985A5577-1D8D-4ED1-9E95-C11D02BADB30}"/>
    <cellStyle name="Normal 11 6 2 3" xfId="23829" xr:uid="{00000000-0005-0000-0000-00006F560000}"/>
    <cellStyle name="Normal 11 6 2 3 2" xfId="47661" xr:uid="{FA24D6BF-2C1E-47F7-82A4-F978821B9CC9}"/>
    <cellStyle name="Normal 11 6 2 4" xfId="31784" xr:uid="{D6D89E64-0102-4EBD-842B-3A4AC4159708}"/>
    <cellStyle name="Normal 11 6 3" xfId="12345" xr:uid="{00000000-0005-0000-0000-000070560000}"/>
    <cellStyle name="Normal 11 6 3 2" xfId="36194" xr:uid="{17F2499A-353E-497C-81C8-AC0A8DFB57E8}"/>
    <cellStyle name="Normal 11 6 4" xfId="20300" xr:uid="{00000000-0005-0000-0000-000071560000}"/>
    <cellStyle name="Normal 11 6 4 2" xfId="44132" xr:uid="{86DD01E7-C6B0-4132-8BCB-8223A620A96B}"/>
    <cellStyle name="Normal 11 6 5" xfId="28253" xr:uid="{F6186FF3-327D-44BB-BCF6-EE4FFF39EC96}"/>
    <cellStyle name="Normal 11 7" xfId="6140" xr:uid="{00000000-0005-0000-0000-000072560000}"/>
    <cellStyle name="Normal 11 7 2" xfId="14124" xr:uid="{00000000-0005-0000-0000-000073560000}"/>
    <cellStyle name="Normal 11 7 2 2" xfId="37967" xr:uid="{AABFB753-1530-4D30-B31A-C873C85A66C3}"/>
    <cellStyle name="Normal 11 7 3" xfId="22072" xr:uid="{00000000-0005-0000-0000-000074560000}"/>
    <cellStyle name="Normal 11 7 3 2" xfId="45904" xr:uid="{17A171B8-98A1-4DAD-80C5-CB4CB7BFCFDD}"/>
    <cellStyle name="Normal 11 7 4" xfId="30026" xr:uid="{9FF0A2A8-4D4D-426E-B566-9EEAE9B58154}"/>
    <cellStyle name="Normal 11 8" xfId="9693" xr:uid="{00000000-0005-0000-0000-000075560000}"/>
    <cellStyle name="Normal 11 8 2" xfId="17651" xr:uid="{00000000-0005-0000-0000-000076560000}"/>
    <cellStyle name="Normal 11 8 2 2" xfId="41491" xr:uid="{5DA8AC3D-1D19-49AB-BAA7-4122CB588EBC}"/>
    <cellStyle name="Normal 11 8 3" xfId="25595" xr:uid="{00000000-0005-0000-0000-000077560000}"/>
    <cellStyle name="Normal 11 8 3 2" xfId="49427" xr:uid="{CBE9483C-498E-4FB9-8F14-738D59AC0CA8}"/>
    <cellStyle name="Normal 11 8 4" xfId="33550" xr:uid="{1D16F752-2C22-48F8-BC98-1275C0C66DCE}"/>
    <cellStyle name="Normal 11 9" xfId="10589" xr:uid="{00000000-0005-0000-0000-000078560000}"/>
    <cellStyle name="Normal 11 9 2" xfId="34438" xr:uid="{81336FFD-E0C2-4C6D-834F-0BBEFCCF4FD2}"/>
    <cellStyle name="Normal 11_Exh G" xfId="3437" xr:uid="{00000000-0005-0000-0000-000079560000}"/>
    <cellStyle name="Normal 12" xfId="645" xr:uid="{00000000-0005-0000-0000-00007A560000}"/>
    <cellStyle name="Normal 12 10" xfId="18548" xr:uid="{00000000-0005-0000-0000-00007B560000}"/>
    <cellStyle name="Normal 12 10 2" xfId="42380" xr:uid="{74DE5901-0A4B-4C9D-B7FF-B3E39C5D4580}"/>
    <cellStyle name="Normal 12 11" xfId="26500" xr:uid="{F87F7B9A-C994-4F31-8017-ADD31FAA30FE}"/>
    <cellStyle name="Normal 12 2" xfId="646" xr:uid="{00000000-0005-0000-0000-00007C560000}"/>
    <cellStyle name="Normal 12 2 2" xfId="647" xr:uid="{00000000-0005-0000-0000-00007D560000}"/>
    <cellStyle name="Normal 12 2 2 2" xfId="1675" xr:uid="{00000000-0005-0000-0000-00007E560000}"/>
    <cellStyle name="Normal 12 2 2 2 2" xfId="5205" xr:uid="{00000000-0005-0000-0000-00007F560000}"/>
    <cellStyle name="Normal 12 2 2 2 2 2" xfId="8796" xr:uid="{00000000-0005-0000-0000-000080560000}"/>
    <cellStyle name="Normal 12 2 2 2 2 2 2" xfId="16767" xr:uid="{00000000-0005-0000-0000-000081560000}"/>
    <cellStyle name="Normal 12 2 2 2 2 2 2 2" xfId="40609" xr:uid="{CE6546A9-E72E-4281-8CFB-46CF634E2D93}"/>
    <cellStyle name="Normal 12 2 2 2 2 2 3" xfId="24713" xr:uid="{00000000-0005-0000-0000-000082560000}"/>
    <cellStyle name="Normal 12 2 2 2 2 2 3 2" xfId="48545" xr:uid="{7882D875-0EC7-455B-8DC8-4041123DB6E1}"/>
    <cellStyle name="Normal 12 2 2 2 2 2 4" xfId="32668" xr:uid="{0E13E71D-B918-489A-9212-17C6706E1E64}"/>
    <cellStyle name="Normal 12 2 2 2 2 3" xfId="13229" xr:uid="{00000000-0005-0000-0000-000083560000}"/>
    <cellStyle name="Normal 12 2 2 2 2 3 2" xfId="37078" xr:uid="{8F0B00FC-D8F0-4164-A375-5BB10E51549C}"/>
    <cellStyle name="Normal 12 2 2 2 2 4" xfId="21184" xr:uid="{00000000-0005-0000-0000-000084560000}"/>
    <cellStyle name="Normal 12 2 2 2 2 4 2" xfId="45016" xr:uid="{82FF255F-B32E-4E81-85DE-63EB00EF1144}"/>
    <cellStyle name="Normal 12 2 2 2 2 5" xfId="29137" xr:uid="{C153F772-9A6C-454D-821D-F9700A3C30E3}"/>
    <cellStyle name="Normal 12 2 2 2 3" xfId="7037" xr:uid="{00000000-0005-0000-0000-000085560000}"/>
    <cellStyle name="Normal 12 2 2 2 3 2" xfId="15009" xr:uid="{00000000-0005-0000-0000-000086560000}"/>
    <cellStyle name="Normal 12 2 2 2 3 2 2" xfId="38851" xr:uid="{86C559AC-7C21-411B-8F8D-2DB4FD61D532}"/>
    <cellStyle name="Normal 12 2 2 2 3 3" xfId="22956" xr:uid="{00000000-0005-0000-0000-000087560000}"/>
    <cellStyle name="Normal 12 2 2 2 3 3 2" xfId="46788" xr:uid="{B54D5160-7B66-4369-9CF8-D3E3DC446B3B}"/>
    <cellStyle name="Normal 12 2 2 2 3 4" xfId="30910" xr:uid="{1FEDB8DE-F3F0-440A-8FF6-1C072FA99358}"/>
    <cellStyle name="Normal 12 2 2 2 4" xfId="11473" xr:uid="{00000000-0005-0000-0000-000088560000}"/>
    <cellStyle name="Normal 12 2 2 2 4 2" xfId="35322" xr:uid="{82FC3EDA-489B-47AF-89C8-B45A6D41A675}"/>
    <cellStyle name="Normal 12 2 2 2 5" xfId="19428" xr:uid="{00000000-0005-0000-0000-000089560000}"/>
    <cellStyle name="Normal 12 2 2 2 5 2" xfId="43260" xr:uid="{C83408E1-6644-43B5-B6E3-720A191A56B6}"/>
    <cellStyle name="Normal 12 2 2 2 6" xfId="27380" xr:uid="{9A527DA1-E9FA-4066-B44B-65E6BE0E170C}"/>
    <cellStyle name="Normal 12 2 2 2_Exh G" xfId="3450" xr:uid="{00000000-0005-0000-0000-00008A560000}"/>
    <cellStyle name="Normal 12 2 2 3" xfId="4326" xr:uid="{00000000-0005-0000-0000-00008B560000}"/>
    <cellStyle name="Normal 12 2 2 3 2" xfId="7918" xr:uid="{00000000-0005-0000-0000-00008C560000}"/>
    <cellStyle name="Normal 12 2 2 3 2 2" xfId="15889" xr:uid="{00000000-0005-0000-0000-00008D560000}"/>
    <cellStyle name="Normal 12 2 2 3 2 2 2" xfId="39731" xr:uid="{075EBCDC-BFF1-4323-809F-1B5FF48FABF2}"/>
    <cellStyle name="Normal 12 2 2 3 2 3" xfId="23835" xr:uid="{00000000-0005-0000-0000-00008E560000}"/>
    <cellStyle name="Normal 12 2 2 3 2 3 2" xfId="47667" xr:uid="{6CA0A97A-2B83-4034-9B21-B9AA569C7FA0}"/>
    <cellStyle name="Normal 12 2 2 3 2 4" xfId="31790" xr:uid="{97ABEB5F-AD62-4C10-A279-9F8309CA74CB}"/>
    <cellStyle name="Normal 12 2 2 3 3" xfId="12351" xr:uid="{00000000-0005-0000-0000-00008F560000}"/>
    <cellStyle name="Normal 12 2 2 3 3 2" xfId="36200" xr:uid="{03FA9E93-1E1C-4CD7-914F-8962867D8DEB}"/>
    <cellStyle name="Normal 12 2 2 3 4" xfId="20306" xr:uid="{00000000-0005-0000-0000-000090560000}"/>
    <cellStyle name="Normal 12 2 2 3 4 2" xfId="44138" xr:uid="{8C41952F-5225-4320-9362-64F50CF52CE8}"/>
    <cellStyle name="Normal 12 2 2 3 5" xfId="28259" xr:uid="{D6423CF0-6A59-4D0E-A529-EA29F52BA7EF}"/>
    <cellStyle name="Normal 12 2 2 4" xfId="6146" xr:uid="{00000000-0005-0000-0000-000091560000}"/>
    <cellStyle name="Normal 12 2 2 4 2" xfId="14130" xr:uid="{00000000-0005-0000-0000-000092560000}"/>
    <cellStyle name="Normal 12 2 2 4 2 2" xfId="37973" xr:uid="{CCEB6060-A6CD-4131-BB21-FB15D03C6086}"/>
    <cellStyle name="Normal 12 2 2 4 3" xfId="22078" xr:uid="{00000000-0005-0000-0000-000093560000}"/>
    <cellStyle name="Normal 12 2 2 4 3 2" xfId="45910" xr:uid="{E1AE6F27-3642-47FF-B3C9-72FBC1572E72}"/>
    <cellStyle name="Normal 12 2 2 4 4" xfId="30032" xr:uid="{47FF1500-2455-446D-AE25-EE6CF389411C}"/>
    <cellStyle name="Normal 12 2 2 5" xfId="9699" xr:uid="{00000000-0005-0000-0000-000094560000}"/>
    <cellStyle name="Normal 12 2 2 5 2" xfId="17657" xr:uid="{00000000-0005-0000-0000-000095560000}"/>
    <cellStyle name="Normal 12 2 2 5 2 2" xfId="41497" xr:uid="{B61BA92E-D16C-465C-865D-747FF80999FF}"/>
    <cellStyle name="Normal 12 2 2 5 3" xfId="25601" xr:uid="{00000000-0005-0000-0000-000096560000}"/>
    <cellStyle name="Normal 12 2 2 5 3 2" xfId="49433" xr:uid="{E7F55E34-A51E-4F0D-B670-6FBF81D16660}"/>
    <cellStyle name="Normal 12 2 2 5 4" xfId="33556" xr:uid="{1BB81166-0646-4058-BB87-A8DFB69CF4C7}"/>
    <cellStyle name="Normal 12 2 2 6" xfId="10595" xr:uid="{00000000-0005-0000-0000-000097560000}"/>
    <cellStyle name="Normal 12 2 2 6 2" xfId="34444" xr:uid="{85EAEFC6-0A7A-4828-A12C-47F8F991D305}"/>
    <cellStyle name="Normal 12 2 2 7" xfId="18550" xr:uid="{00000000-0005-0000-0000-000098560000}"/>
    <cellStyle name="Normal 12 2 2 7 2" xfId="42382" xr:uid="{1557DA25-1571-4FA8-B53D-329246EEC79C}"/>
    <cellStyle name="Normal 12 2 2 8" xfId="26502" xr:uid="{EB4DB58D-31CF-4DB4-A67B-5B39C796EBE7}"/>
    <cellStyle name="Normal 12 2 2_Exh G" xfId="3449" xr:uid="{00000000-0005-0000-0000-000099560000}"/>
    <cellStyle name="Normal 12 2 3" xfId="1674" xr:uid="{00000000-0005-0000-0000-00009A560000}"/>
    <cellStyle name="Normal 12 2 3 2" xfId="5204" xr:uid="{00000000-0005-0000-0000-00009B560000}"/>
    <cellStyle name="Normal 12 2 3 2 2" xfId="8795" xr:uid="{00000000-0005-0000-0000-00009C560000}"/>
    <cellStyle name="Normal 12 2 3 2 2 2" xfId="16766" xr:uid="{00000000-0005-0000-0000-00009D560000}"/>
    <cellStyle name="Normal 12 2 3 2 2 2 2" xfId="40608" xr:uid="{94B95401-DF2D-4955-8E77-BF7730099995}"/>
    <cellStyle name="Normal 12 2 3 2 2 3" xfId="24712" xr:uid="{00000000-0005-0000-0000-00009E560000}"/>
    <cellStyle name="Normal 12 2 3 2 2 3 2" xfId="48544" xr:uid="{8AC068BD-DE29-43CB-9EDD-DACC64A4899C}"/>
    <cellStyle name="Normal 12 2 3 2 2 4" xfId="32667" xr:uid="{9E7CEF59-CDA2-4D9F-953E-14C86EAB5A32}"/>
    <cellStyle name="Normal 12 2 3 2 3" xfId="13228" xr:uid="{00000000-0005-0000-0000-00009F560000}"/>
    <cellStyle name="Normal 12 2 3 2 3 2" xfId="37077" xr:uid="{CAC0A5CE-CEDC-437E-8C9C-02E392E6239D}"/>
    <cellStyle name="Normal 12 2 3 2 4" xfId="21183" xr:uid="{00000000-0005-0000-0000-0000A0560000}"/>
    <cellStyle name="Normal 12 2 3 2 4 2" xfId="45015" xr:uid="{5894EEDA-3059-47E4-A2C4-F484BE9018FD}"/>
    <cellStyle name="Normal 12 2 3 2 5" xfId="29136" xr:uid="{CBAE1109-731F-48A0-B4B8-FEB71838AEAE}"/>
    <cellStyle name="Normal 12 2 3 3" xfId="7036" xr:uid="{00000000-0005-0000-0000-0000A1560000}"/>
    <cellStyle name="Normal 12 2 3 3 2" xfId="15008" xr:uid="{00000000-0005-0000-0000-0000A2560000}"/>
    <cellStyle name="Normal 12 2 3 3 2 2" xfId="38850" xr:uid="{42B4A7B6-D2F2-4F9B-AA88-CAF86522D659}"/>
    <cellStyle name="Normal 12 2 3 3 3" xfId="22955" xr:uid="{00000000-0005-0000-0000-0000A3560000}"/>
    <cellStyle name="Normal 12 2 3 3 3 2" xfId="46787" xr:uid="{5CAC5BA1-7D3B-4AF7-AC6D-2E196675DACB}"/>
    <cellStyle name="Normal 12 2 3 3 4" xfId="30909" xr:uid="{CD5C527F-D72F-4C83-946B-8EF77D9D4E81}"/>
    <cellStyle name="Normal 12 2 3 4" xfId="11472" xr:uid="{00000000-0005-0000-0000-0000A4560000}"/>
    <cellStyle name="Normal 12 2 3 4 2" xfId="35321" xr:uid="{F26CFF98-9D38-4CCD-8274-77C2F750719D}"/>
    <cellStyle name="Normal 12 2 3 5" xfId="19427" xr:uid="{00000000-0005-0000-0000-0000A5560000}"/>
    <cellStyle name="Normal 12 2 3 5 2" xfId="43259" xr:uid="{687E45C1-1377-4402-A8E9-6CCBE4B1D4E6}"/>
    <cellStyle name="Normal 12 2 3 6" xfId="27379" xr:uid="{57399ABE-4601-4BAC-BE6F-7D29663CECF5}"/>
    <cellStyle name="Normal 12 2 3_Exh G" xfId="3451" xr:uid="{00000000-0005-0000-0000-0000A6560000}"/>
    <cellStyle name="Normal 12 2 4" xfId="4325" xr:uid="{00000000-0005-0000-0000-0000A7560000}"/>
    <cellStyle name="Normal 12 2 4 2" xfId="7917" xr:uid="{00000000-0005-0000-0000-0000A8560000}"/>
    <cellStyle name="Normal 12 2 4 2 2" xfId="15888" xr:uid="{00000000-0005-0000-0000-0000A9560000}"/>
    <cellStyle name="Normal 12 2 4 2 2 2" xfId="39730" xr:uid="{1A091B23-2F15-4EDA-9BB7-A19ED6F73889}"/>
    <cellStyle name="Normal 12 2 4 2 3" xfId="23834" xr:uid="{00000000-0005-0000-0000-0000AA560000}"/>
    <cellStyle name="Normal 12 2 4 2 3 2" xfId="47666" xr:uid="{CD16E6FF-5C95-4F14-A476-4F6C9180D932}"/>
    <cellStyle name="Normal 12 2 4 2 4" xfId="31789" xr:uid="{D1EE9A86-837B-455C-B704-7E05441AEEB3}"/>
    <cellStyle name="Normal 12 2 4 3" xfId="12350" xr:uid="{00000000-0005-0000-0000-0000AB560000}"/>
    <cellStyle name="Normal 12 2 4 3 2" xfId="36199" xr:uid="{C37D929C-E143-4FE0-91C9-F01F947BF588}"/>
    <cellStyle name="Normal 12 2 4 4" xfId="20305" xr:uid="{00000000-0005-0000-0000-0000AC560000}"/>
    <cellStyle name="Normal 12 2 4 4 2" xfId="44137" xr:uid="{C3A45970-46F1-4AF4-BA13-582C25BFBC44}"/>
    <cellStyle name="Normal 12 2 4 5" xfId="28258" xr:uid="{C8DA4EFE-DF94-430E-B05A-7F742448A25D}"/>
    <cellStyle name="Normal 12 2 5" xfId="6145" xr:uid="{00000000-0005-0000-0000-0000AD560000}"/>
    <cellStyle name="Normal 12 2 5 2" xfId="14129" xr:uid="{00000000-0005-0000-0000-0000AE560000}"/>
    <cellStyle name="Normal 12 2 5 2 2" xfId="37972" xr:uid="{51DA890D-EF6C-4B34-AFA7-AA16EBE42A0E}"/>
    <cellStyle name="Normal 12 2 5 3" xfId="22077" xr:uid="{00000000-0005-0000-0000-0000AF560000}"/>
    <cellStyle name="Normal 12 2 5 3 2" xfId="45909" xr:uid="{38929C50-A6A3-4387-9D14-47A9A26679B8}"/>
    <cellStyle name="Normal 12 2 5 4" xfId="30031" xr:uid="{5966D8FD-E282-4491-B51B-704806889C98}"/>
    <cellStyle name="Normal 12 2 6" xfId="9698" xr:uid="{00000000-0005-0000-0000-0000B0560000}"/>
    <cellStyle name="Normal 12 2 6 2" xfId="17656" xr:uid="{00000000-0005-0000-0000-0000B1560000}"/>
    <cellStyle name="Normal 12 2 6 2 2" xfId="41496" xr:uid="{91CAA36B-825C-484D-9BE1-53C8627A6A20}"/>
    <cellStyle name="Normal 12 2 6 3" xfId="25600" xr:uid="{00000000-0005-0000-0000-0000B2560000}"/>
    <cellStyle name="Normal 12 2 6 3 2" xfId="49432" xr:uid="{ABD82CDE-8B28-4D12-99AE-6D55FD9838BE}"/>
    <cellStyle name="Normal 12 2 6 4" xfId="33555" xr:uid="{6A62734D-158C-4FBB-943C-283552BC17B1}"/>
    <cellStyle name="Normal 12 2 7" xfId="10594" xr:uid="{00000000-0005-0000-0000-0000B3560000}"/>
    <cellStyle name="Normal 12 2 7 2" xfId="34443" xr:uid="{8E3EE322-32F1-4E24-9BFC-AFCF49856222}"/>
    <cellStyle name="Normal 12 2 8" xfId="18549" xr:uid="{00000000-0005-0000-0000-0000B4560000}"/>
    <cellStyle name="Normal 12 2 8 2" xfId="42381" xr:uid="{4F8B1E1E-F6B1-4224-9116-779CEA764D7A}"/>
    <cellStyle name="Normal 12 2 9" xfId="26501" xr:uid="{108F043F-76A7-49FF-8B45-D81FF6A12351}"/>
    <cellStyle name="Normal 12 2_Exh G" xfId="3448" xr:uid="{00000000-0005-0000-0000-0000B5560000}"/>
    <cellStyle name="Normal 12 3" xfId="648" xr:uid="{00000000-0005-0000-0000-0000B6560000}"/>
    <cellStyle name="Normal 12 3 2" xfId="1676" xr:uid="{00000000-0005-0000-0000-0000B7560000}"/>
    <cellStyle name="Normal 12 3 2 2" xfId="5206" xr:uid="{00000000-0005-0000-0000-0000B8560000}"/>
    <cellStyle name="Normal 12 3 2 2 2" xfId="8797" xr:uid="{00000000-0005-0000-0000-0000B9560000}"/>
    <cellStyle name="Normal 12 3 2 2 2 2" xfId="16768" xr:uid="{00000000-0005-0000-0000-0000BA560000}"/>
    <cellStyle name="Normal 12 3 2 2 2 2 2" xfId="40610" xr:uid="{2840DCA6-B00B-4766-8D21-985AEF9BE40E}"/>
    <cellStyle name="Normal 12 3 2 2 2 3" xfId="24714" xr:uid="{00000000-0005-0000-0000-0000BB560000}"/>
    <cellStyle name="Normal 12 3 2 2 2 3 2" xfId="48546" xr:uid="{4521FBEA-D15C-450B-97F7-F99EEBFBC0DB}"/>
    <cellStyle name="Normal 12 3 2 2 2 4" xfId="32669" xr:uid="{CAC73CDC-7FE5-4F66-ADBA-3645D8FF3B94}"/>
    <cellStyle name="Normal 12 3 2 2 3" xfId="13230" xr:uid="{00000000-0005-0000-0000-0000BC560000}"/>
    <cellStyle name="Normal 12 3 2 2 3 2" xfId="37079" xr:uid="{E6082CD6-A1DF-4000-9DE1-4F80111CF816}"/>
    <cellStyle name="Normal 12 3 2 2 4" xfId="21185" xr:uid="{00000000-0005-0000-0000-0000BD560000}"/>
    <cellStyle name="Normal 12 3 2 2 4 2" xfId="45017" xr:uid="{239EEDBF-487F-42C3-B09F-A43D83B7E011}"/>
    <cellStyle name="Normal 12 3 2 2 5" xfId="29138" xr:uid="{34C23B87-FCBF-45CF-8E2B-7A234E2D692D}"/>
    <cellStyle name="Normal 12 3 2 3" xfId="7038" xr:uid="{00000000-0005-0000-0000-0000BE560000}"/>
    <cellStyle name="Normal 12 3 2 3 2" xfId="15010" xr:uid="{00000000-0005-0000-0000-0000BF560000}"/>
    <cellStyle name="Normal 12 3 2 3 2 2" xfId="38852" xr:uid="{6E9EA78B-A2F7-4003-8163-4F4C773C0006}"/>
    <cellStyle name="Normal 12 3 2 3 3" xfId="22957" xr:uid="{00000000-0005-0000-0000-0000C0560000}"/>
    <cellStyle name="Normal 12 3 2 3 3 2" xfId="46789" xr:uid="{46468FF8-593F-4A77-8DF7-A897FBAF569A}"/>
    <cellStyle name="Normal 12 3 2 3 4" xfId="30911" xr:uid="{9A352094-C3CC-4848-BAC8-B22A111EB20C}"/>
    <cellStyle name="Normal 12 3 2 4" xfId="11474" xr:uid="{00000000-0005-0000-0000-0000C1560000}"/>
    <cellStyle name="Normal 12 3 2 4 2" xfId="35323" xr:uid="{527B407C-76A0-4E5E-B2BB-6636D7C4F582}"/>
    <cellStyle name="Normal 12 3 2 5" xfId="19429" xr:uid="{00000000-0005-0000-0000-0000C2560000}"/>
    <cellStyle name="Normal 12 3 2 5 2" xfId="43261" xr:uid="{1FC28F7D-9EE1-42F4-919B-2B3B191CC538}"/>
    <cellStyle name="Normal 12 3 2 6" xfId="27381" xr:uid="{D28D496D-292A-43CF-89DA-CF52EEE91F20}"/>
    <cellStyle name="Normal 12 3 2_Exh G" xfId="3453" xr:uid="{00000000-0005-0000-0000-0000C3560000}"/>
    <cellStyle name="Normal 12 3 3" xfId="4327" xr:uid="{00000000-0005-0000-0000-0000C4560000}"/>
    <cellStyle name="Normal 12 3 3 2" xfId="7919" xr:uid="{00000000-0005-0000-0000-0000C5560000}"/>
    <cellStyle name="Normal 12 3 3 2 2" xfId="15890" xr:uid="{00000000-0005-0000-0000-0000C6560000}"/>
    <cellStyle name="Normal 12 3 3 2 2 2" xfId="39732" xr:uid="{5E9CF6DD-64A1-4FA7-8721-4E705F5D5C32}"/>
    <cellStyle name="Normal 12 3 3 2 3" xfId="23836" xr:uid="{00000000-0005-0000-0000-0000C7560000}"/>
    <cellStyle name="Normal 12 3 3 2 3 2" xfId="47668" xr:uid="{7EEE2BFE-FAE3-4094-BD9D-FCDCA74ECBCD}"/>
    <cellStyle name="Normal 12 3 3 2 4" xfId="31791" xr:uid="{81CA35F4-94A0-4C0C-86DD-A2CEB111333E}"/>
    <cellStyle name="Normal 12 3 3 3" xfId="12352" xr:uid="{00000000-0005-0000-0000-0000C8560000}"/>
    <cellStyle name="Normal 12 3 3 3 2" xfId="36201" xr:uid="{BECD49D6-D053-48FB-BEE9-2B1DD5816EAE}"/>
    <cellStyle name="Normal 12 3 3 4" xfId="20307" xr:uid="{00000000-0005-0000-0000-0000C9560000}"/>
    <cellStyle name="Normal 12 3 3 4 2" xfId="44139" xr:uid="{E854ACD5-42D5-4B97-87D9-52B718A94BBB}"/>
    <cellStyle name="Normal 12 3 3 5" xfId="28260" xr:uid="{F4743C47-FB99-409E-AA95-F363D52D8007}"/>
    <cellStyle name="Normal 12 3 4" xfId="6147" xr:uid="{00000000-0005-0000-0000-0000CA560000}"/>
    <cellStyle name="Normal 12 3 4 2" xfId="14131" xr:uid="{00000000-0005-0000-0000-0000CB560000}"/>
    <cellStyle name="Normal 12 3 4 2 2" xfId="37974" xr:uid="{62E29198-011E-45CC-8D6A-D540E3C2C9F3}"/>
    <cellStyle name="Normal 12 3 4 3" xfId="22079" xr:uid="{00000000-0005-0000-0000-0000CC560000}"/>
    <cellStyle name="Normal 12 3 4 3 2" xfId="45911" xr:uid="{7C9DC8C8-6868-446C-BD75-4E69EC40FC6F}"/>
    <cellStyle name="Normal 12 3 4 4" xfId="30033" xr:uid="{E494C759-C28F-4168-A700-930A5947EB69}"/>
    <cellStyle name="Normal 12 3 5" xfId="9700" xr:uid="{00000000-0005-0000-0000-0000CD560000}"/>
    <cellStyle name="Normal 12 3 5 2" xfId="17658" xr:uid="{00000000-0005-0000-0000-0000CE560000}"/>
    <cellStyle name="Normal 12 3 5 2 2" xfId="41498" xr:uid="{841BE3A4-47CC-4043-BA1F-18D7D3DBE4E0}"/>
    <cellStyle name="Normal 12 3 5 3" xfId="25602" xr:uid="{00000000-0005-0000-0000-0000CF560000}"/>
    <cellStyle name="Normal 12 3 5 3 2" xfId="49434" xr:uid="{883911A0-3506-4273-8054-2510F8B1D7E3}"/>
    <cellStyle name="Normal 12 3 5 4" xfId="33557" xr:uid="{49075CD7-0767-4890-84C7-84958A380A9E}"/>
    <cellStyle name="Normal 12 3 6" xfId="10596" xr:uid="{00000000-0005-0000-0000-0000D0560000}"/>
    <cellStyle name="Normal 12 3 6 2" xfId="34445" xr:uid="{4F255502-B6B3-4A92-B44D-1F04F5890766}"/>
    <cellStyle name="Normal 12 3 7" xfId="18551" xr:uid="{00000000-0005-0000-0000-0000D1560000}"/>
    <cellStyle name="Normal 12 3 7 2" xfId="42383" xr:uid="{E2DFB7E7-3158-4094-A334-2D76312BF0C7}"/>
    <cellStyle name="Normal 12 3 8" xfId="26503" xr:uid="{1ED33388-4CEE-4E99-9B22-C76F03FFCE71}"/>
    <cellStyle name="Normal 12 3_Exh G" xfId="3452" xr:uid="{00000000-0005-0000-0000-0000D2560000}"/>
    <cellStyle name="Normal 12 4" xfId="1014" xr:uid="{00000000-0005-0000-0000-0000D3560000}"/>
    <cellStyle name="Normal 12 4 2" xfId="1921" xr:uid="{00000000-0005-0000-0000-0000D4560000}"/>
    <cellStyle name="Normal 12 4 2 2" xfId="5439" xr:uid="{00000000-0005-0000-0000-0000D5560000}"/>
    <cellStyle name="Normal 12 4 2 2 2" xfId="9030" xr:uid="{00000000-0005-0000-0000-0000D6560000}"/>
    <cellStyle name="Normal 12 4 2 2 2 2" xfId="17001" xr:uid="{00000000-0005-0000-0000-0000D7560000}"/>
    <cellStyle name="Normal 12 4 2 2 2 2 2" xfId="40843" xr:uid="{648D7B80-84D6-4486-8815-5853F69F2999}"/>
    <cellStyle name="Normal 12 4 2 2 2 3" xfId="24947" xr:uid="{00000000-0005-0000-0000-0000D8560000}"/>
    <cellStyle name="Normal 12 4 2 2 2 3 2" xfId="48779" xr:uid="{B7722F37-3378-4241-8991-835F860BF3E6}"/>
    <cellStyle name="Normal 12 4 2 2 2 4" xfId="32902" xr:uid="{48EC140D-B635-4A63-BD38-5D3B9315FB9B}"/>
    <cellStyle name="Normal 12 4 2 2 3" xfId="13463" xr:uid="{00000000-0005-0000-0000-0000D9560000}"/>
    <cellStyle name="Normal 12 4 2 2 3 2" xfId="37312" xr:uid="{A2EC2535-1FA0-49C3-B1F3-45E60AC2BA3D}"/>
    <cellStyle name="Normal 12 4 2 2 4" xfId="21418" xr:uid="{00000000-0005-0000-0000-0000DA560000}"/>
    <cellStyle name="Normal 12 4 2 2 4 2" xfId="45250" xr:uid="{1AD73DA8-77BC-443F-91E5-CE2C5B5CBA30}"/>
    <cellStyle name="Normal 12 4 2 2 5" xfId="29371" xr:uid="{1263CD35-BE7D-4C7D-A4B7-9AE875D9CDE3}"/>
    <cellStyle name="Normal 12 4 2 3" xfId="7271" xr:uid="{00000000-0005-0000-0000-0000DB560000}"/>
    <cellStyle name="Normal 12 4 2 3 2" xfId="15243" xr:uid="{00000000-0005-0000-0000-0000DC560000}"/>
    <cellStyle name="Normal 12 4 2 3 2 2" xfId="39085" xr:uid="{78C1AFD5-2211-4133-99F8-4BA601148C79}"/>
    <cellStyle name="Normal 12 4 2 3 3" xfId="23190" xr:uid="{00000000-0005-0000-0000-0000DD560000}"/>
    <cellStyle name="Normal 12 4 2 3 3 2" xfId="47022" xr:uid="{F2E2ACF1-DB5B-4E30-9DC5-85DF1E3EBD07}"/>
    <cellStyle name="Normal 12 4 2 3 4" xfId="31144" xr:uid="{F90037BF-2111-477C-AAA2-A6F9E3442B73}"/>
    <cellStyle name="Normal 12 4 2 4" xfId="11707" xr:uid="{00000000-0005-0000-0000-0000DE560000}"/>
    <cellStyle name="Normal 12 4 2 4 2" xfId="35556" xr:uid="{9EF79539-20FD-4DBD-843A-784626243B1E}"/>
    <cellStyle name="Normal 12 4 2 5" xfId="19662" xr:uid="{00000000-0005-0000-0000-0000DF560000}"/>
    <cellStyle name="Normal 12 4 2 5 2" xfId="43494" xr:uid="{4BEF6540-2DE7-4CBA-89AC-EC4631741300}"/>
    <cellStyle name="Normal 12 4 2 6" xfId="27614" xr:uid="{0F20E80E-FD37-4526-A4BF-ABFEF453F992}"/>
    <cellStyle name="Normal 12 4 2_Exh G" xfId="3455" xr:uid="{00000000-0005-0000-0000-0000E0560000}"/>
    <cellStyle name="Normal 12 4 3" xfId="4560" xr:uid="{00000000-0005-0000-0000-0000E1560000}"/>
    <cellStyle name="Normal 12 4 3 2" xfId="8152" xr:uid="{00000000-0005-0000-0000-0000E2560000}"/>
    <cellStyle name="Normal 12 4 3 2 2" xfId="16123" xr:uid="{00000000-0005-0000-0000-0000E3560000}"/>
    <cellStyle name="Normal 12 4 3 2 2 2" xfId="39965" xr:uid="{9169960E-B1DE-479D-A427-03845815A895}"/>
    <cellStyle name="Normal 12 4 3 2 3" xfId="24069" xr:uid="{00000000-0005-0000-0000-0000E4560000}"/>
    <cellStyle name="Normal 12 4 3 2 3 2" xfId="47901" xr:uid="{58D89948-1CC5-4DF4-A1F8-C787FDB5E258}"/>
    <cellStyle name="Normal 12 4 3 2 4" xfId="32024" xr:uid="{976B3452-12E7-44CF-B6FF-3476AF4A0DC9}"/>
    <cellStyle name="Normal 12 4 3 3" xfId="12585" xr:uid="{00000000-0005-0000-0000-0000E5560000}"/>
    <cellStyle name="Normal 12 4 3 3 2" xfId="36434" xr:uid="{CC5CF8FA-AA12-4E7E-A749-F25B4FBA8055}"/>
    <cellStyle name="Normal 12 4 3 4" xfId="20540" xr:uid="{00000000-0005-0000-0000-0000E6560000}"/>
    <cellStyle name="Normal 12 4 3 4 2" xfId="44372" xr:uid="{D7AE90A6-F54B-440B-BCA1-DC19CADBD80A}"/>
    <cellStyle name="Normal 12 4 3 5" xfId="28493" xr:uid="{F5F4AA8F-95E0-42DB-AAF6-5CB8FEB2190D}"/>
    <cellStyle name="Normal 12 4 4" xfId="6390" xr:uid="{00000000-0005-0000-0000-0000E7560000}"/>
    <cellStyle name="Normal 12 4 4 2" xfId="14365" xr:uid="{00000000-0005-0000-0000-0000E8560000}"/>
    <cellStyle name="Normal 12 4 4 2 2" xfId="38207" xr:uid="{F6FECC30-2AC6-453A-901D-8439ACA956E6}"/>
    <cellStyle name="Normal 12 4 4 3" xfId="22312" xr:uid="{00000000-0005-0000-0000-0000E9560000}"/>
    <cellStyle name="Normal 12 4 4 3 2" xfId="46144" xr:uid="{EA2DA35D-FD75-4761-BE82-58C68F45B4C6}"/>
    <cellStyle name="Normal 12 4 4 4" xfId="30266" xr:uid="{26525A15-4232-4593-A7ED-BE339B615BC6}"/>
    <cellStyle name="Normal 12 4 5" xfId="9933" xr:uid="{00000000-0005-0000-0000-0000EA560000}"/>
    <cellStyle name="Normal 12 4 5 2" xfId="17891" xr:uid="{00000000-0005-0000-0000-0000EB560000}"/>
    <cellStyle name="Normal 12 4 5 2 2" xfId="41731" xr:uid="{12B5CCA3-A787-4D43-909D-1D3F31EF82B1}"/>
    <cellStyle name="Normal 12 4 5 3" xfId="25835" xr:uid="{00000000-0005-0000-0000-0000EC560000}"/>
    <cellStyle name="Normal 12 4 5 3 2" xfId="49667" xr:uid="{0637F5E2-9779-4D6D-B8A1-6A756A84765B}"/>
    <cellStyle name="Normal 12 4 5 4" xfId="33790" xr:uid="{5ECAD22B-1181-4F44-8FBD-F112D8800B05}"/>
    <cellStyle name="Normal 12 4 6" xfId="10829" xr:uid="{00000000-0005-0000-0000-0000ED560000}"/>
    <cellStyle name="Normal 12 4 6 2" xfId="34678" xr:uid="{273D726F-4B32-4556-B1DB-F9B739C795FA}"/>
    <cellStyle name="Normal 12 4 7" xfId="18784" xr:uid="{00000000-0005-0000-0000-0000EE560000}"/>
    <cellStyle name="Normal 12 4 7 2" xfId="42616" xr:uid="{032DFD1E-7108-4B57-AFCB-AC64F4E238AE}"/>
    <cellStyle name="Normal 12 4 8" xfId="26736" xr:uid="{B3597F57-F0C4-4CB0-9AC7-6AFD3065F271}"/>
    <cellStyle name="Normal 12 4_Exh G" xfId="3454" xr:uid="{00000000-0005-0000-0000-0000EF560000}"/>
    <cellStyle name="Normal 12 5" xfId="1673" xr:uid="{00000000-0005-0000-0000-0000F0560000}"/>
    <cellStyle name="Normal 12 5 2" xfId="5203" xr:uid="{00000000-0005-0000-0000-0000F1560000}"/>
    <cellStyle name="Normal 12 5 2 2" xfId="8794" xr:uid="{00000000-0005-0000-0000-0000F2560000}"/>
    <cellStyle name="Normal 12 5 2 2 2" xfId="16765" xr:uid="{00000000-0005-0000-0000-0000F3560000}"/>
    <cellStyle name="Normal 12 5 2 2 2 2" xfId="40607" xr:uid="{318D5987-E36E-408D-98E9-97AD1737A03F}"/>
    <cellStyle name="Normal 12 5 2 2 3" xfId="24711" xr:uid="{00000000-0005-0000-0000-0000F4560000}"/>
    <cellStyle name="Normal 12 5 2 2 3 2" xfId="48543" xr:uid="{9188E141-1B37-4E38-9BDF-9AE70EEADF0A}"/>
    <cellStyle name="Normal 12 5 2 2 4" xfId="32666" xr:uid="{D7B69F4A-B0B1-47ED-AAA8-545060886C01}"/>
    <cellStyle name="Normal 12 5 2 3" xfId="13227" xr:uid="{00000000-0005-0000-0000-0000F5560000}"/>
    <cellStyle name="Normal 12 5 2 3 2" xfId="37076" xr:uid="{DA25AD7A-0D4C-4FC3-9EB5-7A85561A61DB}"/>
    <cellStyle name="Normal 12 5 2 4" xfId="21182" xr:uid="{00000000-0005-0000-0000-0000F6560000}"/>
    <cellStyle name="Normal 12 5 2 4 2" xfId="45014" xr:uid="{D54D7A02-8AB2-40F5-AB72-271BCEE8A566}"/>
    <cellStyle name="Normal 12 5 2 5" xfId="29135" xr:uid="{C4209984-99BA-44C6-9555-908809248239}"/>
    <cellStyle name="Normal 12 5 3" xfId="7035" xr:uid="{00000000-0005-0000-0000-0000F7560000}"/>
    <cellStyle name="Normal 12 5 3 2" xfId="15007" xr:uid="{00000000-0005-0000-0000-0000F8560000}"/>
    <cellStyle name="Normal 12 5 3 2 2" xfId="38849" xr:uid="{8603855E-0F45-4FBF-A58D-2694146755EA}"/>
    <cellStyle name="Normal 12 5 3 3" xfId="22954" xr:uid="{00000000-0005-0000-0000-0000F9560000}"/>
    <cellStyle name="Normal 12 5 3 3 2" xfId="46786" xr:uid="{038FA30E-B899-4FAE-A3C3-D5C9692DBC7C}"/>
    <cellStyle name="Normal 12 5 3 4" xfId="30908" xr:uid="{33FDABE8-4C57-44DD-9ADD-DC9EBF185EC8}"/>
    <cellStyle name="Normal 12 5 4" xfId="11471" xr:uid="{00000000-0005-0000-0000-0000FA560000}"/>
    <cellStyle name="Normal 12 5 4 2" xfId="35320" xr:uid="{79099A1F-AF4A-41D3-B65D-2DB15EF4B3B0}"/>
    <cellStyle name="Normal 12 5 5" xfId="19426" xr:uid="{00000000-0005-0000-0000-0000FB560000}"/>
    <cellStyle name="Normal 12 5 5 2" xfId="43258" xr:uid="{64DD5E71-5682-4325-9F46-FD5124DF7FCB}"/>
    <cellStyle name="Normal 12 5 6" xfId="27378" xr:uid="{D473BBCD-82E9-45C1-9D95-2C1C56D0EE59}"/>
    <cellStyle name="Normal 12 5_Exh G" xfId="3456" xr:uid="{00000000-0005-0000-0000-0000FC560000}"/>
    <cellStyle name="Normal 12 6" xfId="4324" xr:uid="{00000000-0005-0000-0000-0000FD560000}"/>
    <cellStyle name="Normal 12 6 2" xfId="7916" xr:uid="{00000000-0005-0000-0000-0000FE560000}"/>
    <cellStyle name="Normal 12 6 2 2" xfId="15887" xr:uid="{00000000-0005-0000-0000-0000FF560000}"/>
    <cellStyle name="Normal 12 6 2 2 2" xfId="39729" xr:uid="{3C2C18E9-05E9-4099-B1D1-6269A320D345}"/>
    <cellStyle name="Normal 12 6 2 3" xfId="23833" xr:uid="{00000000-0005-0000-0000-000000570000}"/>
    <cellStyle name="Normal 12 6 2 3 2" xfId="47665" xr:uid="{91F5DB53-E4AE-416D-A4F8-0B567BDF5B8C}"/>
    <cellStyle name="Normal 12 6 2 4" xfId="31788" xr:uid="{6D6A45AE-F21C-4C86-9F25-5FA75D54B8B6}"/>
    <cellStyle name="Normal 12 6 3" xfId="12349" xr:uid="{00000000-0005-0000-0000-000001570000}"/>
    <cellStyle name="Normal 12 6 3 2" xfId="36198" xr:uid="{68F6A2F9-CE8A-4B44-B024-796E6AEF4DCD}"/>
    <cellStyle name="Normal 12 6 4" xfId="20304" xr:uid="{00000000-0005-0000-0000-000002570000}"/>
    <cellStyle name="Normal 12 6 4 2" xfId="44136" xr:uid="{9AD11F2E-8FDA-4A1E-B968-C15D4CF45AAF}"/>
    <cellStyle name="Normal 12 6 5" xfId="28257" xr:uid="{AFB2DF8C-F4EC-4CA5-A48C-1B3BB864D5A7}"/>
    <cellStyle name="Normal 12 7" xfId="6144" xr:uid="{00000000-0005-0000-0000-000003570000}"/>
    <cellStyle name="Normal 12 7 2" xfId="14128" xr:uid="{00000000-0005-0000-0000-000004570000}"/>
    <cellStyle name="Normal 12 7 2 2" xfId="37971" xr:uid="{7D2D40AA-FBDF-472E-A4EB-DA3587C52BD3}"/>
    <cellStyle name="Normal 12 7 3" xfId="22076" xr:uid="{00000000-0005-0000-0000-000005570000}"/>
    <cellStyle name="Normal 12 7 3 2" xfId="45908" xr:uid="{1D9BCD86-F13E-4BFA-834F-2855ED9CB85C}"/>
    <cellStyle name="Normal 12 7 4" xfId="30030" xr:uid="{37C118F8-6AB2-4E43-B9D2-687EC759A2D7}"/>
    <cellStyle name="Normal 12 8" xfId="9697" xr:uid="{00000000-0005-0000-0000-000006570000}"/>
    <cellStyle name="Normal 12 8 2" xfId="17655" xr:uid="{00000000-0005-0000-0000-000007570000}"/>
    <cellStyle name="Normal 12 8 2 2" xfId="41495" xr:uid="{971CAD70-9F14-4700-BE6C-AFC157E7D7EA}"/>
    <cellStyle name="Normal 12 8 3" xfId="25599" xr:uid="{00000000-0005-0000-0000-000008570000}"/>
    <cellStyle name="Normal 12 8 3 2" xfId="49431" xr:uid="{03651F11-A777-446C-9DC4-ED54339793D3}"/>
    <cellStyle name="Normal 12 8 4" xfId="33554" xr:uid="{2A266AB1-970D-49C5-A72A-333CB5789790}"/>
    <cellStyle name="Normal 12 9" xfId="10593" xr:uid="{00000000-0005-0000-0000-000009570000}"/>
    <cellStyle name="Normal 12 9 2" xfId="34442" xr:uid="{9AD54871-19D7-438B-B22E-8244665F2E4F}"/>
    <cellStyle name="Normal 12_Exh G" xfId="3447" xr:uid="{00000000-0005-0000-0000-00000A570000}"/>
    <cellStyle name="Normal 13" xfId="649" xr:uid="{00000000-0005-0000-0000-00000B570000}"/>
    <cellStyle name="Normal 13 10" xfId="18552" xr:uid="{00000000-0005-0000-0000-00000C570000}"/>
    <cellStyle name="Normal 13 10 2" xfId="42384" xr:uid="{FBFCDA2C-FB9B-4BEA-AAA2-135C21F0B68E}"/>
    <cellStyle name="Normal 13 11" xfId="26504" xr:uid="{265E1188-D4C6-4B55-89A1-39542EDC1478}"/>
    <cellStyle name="Normal 13 2" xfId="650" xr:uid="{00000000-0005-0000-0000-00000D570000}"/>
    <cellStyle name="Normal 13 2 2" xfId="651" xr:uid="{00000000-0005-0000-0000-00000E570000}"/>
    <cellStyle name="Normal 13 2 2 2" xfId="1679" xr:uid="{00000000-0005-0000-0000-00000F570000}"/>
    <cellStyle name="Normal 13 2 2 2 2" xfId="5209" xr:uid="{00000000-0005-0000-0000-000010570000}"/>
    <cellStyle name="Normal 13 2 2 2 2 2" xfId="8800" xr:uid="{00000000-0005-0000-0000-000011570000}"/>
    <cellStyle name="Normal 13 2 2 2 2 2 2" xfId="16771" xr:uid="{00000000-0005-0000-0000-000012570000}"/>
    <cellStyle name="Normal 13 2 2 2 2 2 2 2" xfId="40613" xr:uid="{E7A962AB-3C13-47DE-8C97-F5A9D9ACFF8F}"/>
    <cellStyle name="Normal 13 2 2 2 2 2 3" xfId="24717" xr:uid="{00000000-0005-0000-0000-000013570000}"/>
    <cellStyle name="Normal 13 2 2 2 2 2 3 2" xfId="48549" xr:uid="{DD46BBFE-DEA7-4104-9A05-43D99E14C795}"/>
    <cellStyle name="Normal 13 2 2 2 2 2 4" xfId="32672" xr:uid="{9E182F2C-09D7-4091-96B8-12E46ECACE46}"/>
    <cellStyle name="Normal 13 2 2 2 2 3" xfId="13233" xr:uid="{00000000-0005-0000-0000-000014570000}"/>
    <cellStyle name="Normal 13 2 2 2 2 3 2" xfId="37082" xr:uid="{A00E35BD-493B-4B0B-A4F4-62D3A60862F3}"/>
    <cellStyle name="Normal 13 2 2 2 2 4" xfId="21188" xr:uid="{00000000-0005-0000-0000-000015570000}"/>
    <cellStyle name="Normal 13 2 2 2 2 4 2" xfId="45020" xr:uid="{05DBF276-CFB7-4384-B028-DC1F707DC9B9}"/>
    <cellStyle name="Normal 13 2 2 2 2 5" xfId="29141" xr:uid="{5E4D30EB-DF1F-4486-904E-084EC61DBD6A}"/>
    <cellStyle name="Normal 13 2 2 2 3" xfId="7041" xr:uid="{00000000-0005-0000-0000-000016570000}"/>
    <cellStyle name="Normal 13 2 2 2 3 2" xfId="15013" xr:uid="{00000000-0005-0000-0000-000017570000}"/>
    <cellStyle name="Normal 13 2 2 2 3 2 2" xfId="38855" xr:uid="{1CB7293E-B495-4C87-A5E3-12AA36DAB637}"/>
    <cellStyle name="Normal 13 2 2 2 3 3" xfId="22960" xr:uid="{00000000-0005-0000-0000-000018570000}"/>
    <cellStyle name="Normal 13 2 2 2 3 3 2" xfId="46792" xr:uid="{609DBF39-3C3F-49D4-9855-60F12C4EE884}"/>
    <cellStyle name="Normal 13 2 2 2 3 4" xfId="30914" xr:uid="{AA91C344-DF63-437E-93C8-6E4FAACA116F}"/>
    <cellStyle name="Normal 13 2 2 2 4" xfId="11477" xr:uid="{00000000-0005-0000-0000-000019570000}"/>
    <cellStyle name="Normal 13 2 2 2 4 2" xfId="35326" xr:uid="{8E9CCB7F-4629-418B-AF4F-F29B070804C0}"/>
    <cellStyle name="Normal 13 2 2 2 5" xfId="19432" xr:uid="{00000000-0005-0000-0000-00001A570000}"/>
    <cellStyle name="Normal 13 2 2 2 5 2" xfId="43264" xr:uid="{192EBF15-1BB4-4260-B73E-62AC907D0623}"/>
    <cellStyle name="Normal 13 2 2 2 6" xfId="27384" xr:uid="{658BB4B4-09F5-4B27-A3BF-D8A1029C452E}"/>
    <cellStyle name="Normal 13 2 2 2_Exh G" xfId="3460" xr:uid="{00000000-0005-0000-0000-00001B570000}"/>
    <cellStyle name="Normal 13 2 2 3" xfId="4330" xr:uid="{00000000-0005-0000-0000-00001C570000}"/>
    <cellStyle name="Normal 13 2 2 3 2" xfId="7922" xr:uid="{00000000-0005-0000-0000-00001D570000}"/>
    <cellStyle name="Normal 13 2 2 3 2 2" xfId="15893" xr:uid="{00000000-0005-0000-0000-00001E570000}"/>
    <cellStyle name="Normal 13 2 2 3 2 2 2" xfId="39735" xr:uid="{683BFFB1-CD21-47A5-8338-552B8288E0F3}"/>
    <cellStyle name="Normal 13 2 2 3 2 3" xfId="23839" xr:uid="{00000000-0005-0000-0000-00001F570000}"/>
    <cellStyle name="Normal 13 2 2 3 2 3 2" xfId="47671" xr:uid="{A977B031-48E1-4782-B266-5F1E7C170E03}"/>
    <cellStyle name="Normal 13 2 2 3 2 4" xfId="31794" xr:uid="{5EA30114-BC0D-41C0-9359-85A7783294A8}"/>
    <cellStyle name="Normal 13 2 2 3 3" xfId="12355" xr:uid="{00000000-0005-0000-0000-000020570000}"/>
    <cellStyle name="Normal 13 2 2 3 3 2" xfId="36204" xr:uid="{B89A3C15-7336-45DD-A456-8F044E4D8DB7}"/>
    <cellStyle name="Normal 13 2 2 3 4" xfId="20310" xr:uid="{00000000-0005-0000-0000-000021570000}"/>
    <cellStyle name="Normal 13 2 2 3 4 2" xfId="44142" xr:uid="{D58871FE-BF3C-4725-B279-3D2B40B03F28}"/>
    <cellStyle name="Normal 13 2 2 3 5" xfId="28263" xr:uid="{951D047C-5010-42B3-ACBE-59443AB21622}"/>
    <cellStyle name="Normal 13 2 2 4" xfId="6150" xr:uid="{00000000-0005-0000-0000-000022570000}"/>
    <cellStyle name="Normal 13 2 2 4 2" xfId="14134" xr:uid="{00000000-0005-0000-0000-000023570000}"/>
    <cellStyle name="Normal 13 2 2 4 2 2" xfId="37977" xr:uid="{57B4C00D-7F7C-489F-953D-E9CC6234EF5E}"/>
    <cellStyle name="Normal 13 2 2 4 3" xfId="22082" xr:uid="{00000000-0005-0000-0000-000024570000}"/>
    <cellStyle name="Normal 13 2 2 4 3 2" xfId="45914" xr:uid="{AEB8AD8E-0EBC-4148-B9B1-32B45B68CD02}"/>
    <cellStyle name="Normal 13 2 2 4 4" xfId="30036" xr:uid="{A636872E-A8BA-4507-906A-B8C4C20C2333}"/>
    <cellStyle name="Normal 13 2 2 5" xfId="9703" xr:uid="{00000000-0005-0000-0000-000025570000}"/>
    <cellStyle name="Normal 13 2 2 5 2" xfId="17661" xr:uid="{00000000-0005-0000-0000-000026570000}"/>
    <cellStyle name="Normal 13 2 2 5 2 2" xfId="41501" xr:uid="{842282D5-32E6-4534-9A5B-E1DF10C7EEF4}"/>
    <cellStyle name="Normal 13 2 2 5 3" xfId="25605" xr:uid="{00000000-0005-0000-0000-000027570000}"/>
    <cellStyle name="Normal 13 2 2 5 3 2" xfId="49437" xr:uid="{547719C9-926E-4713-B802-DBD76DB57208}"/>
    <cellStyle name="Normal 13 2 2 5 4" xfId="33560" xr:uid="{6F05FBB6-B2F1-4940-8E0F-D6E6B10F4027}"/>
    <cellStyle name="Normal 13 2 2 6" xfId="10599" xr:uid="{00000000-0005-0000-0000-000028570000}"/>
    <cellStyle name="Normal 13 2 2 6 2" xfId="34448" xr:uid="{2C784EC4-7202-449C-8769-320FCAA58E39}"/>
    <cellStyle name="Normal 13 2 2 7" xfId="18554" xr:uid="{00000000-0005-0000-0000-000029570000}"/>
    <cellStyle name="Normal 13 2 2 7 2" xfId="42386" xr:uid="{B3F1AE26-4F5C-448E-A152-A36260E703C8}"/>
    <cellStyle name="Normal 13 2 2 8" xfId="26506" xr:uid="{A5C35E4E-1598-4443-BB8A-606D122E47C8}"/>
    <cellStyle name="Normal 13 2 2_Exh G" xfId="3459" xr:uid="{00000000-0005-0000-0000-00002A570000}"/>
    <cellStyle name="Normal 13 2 3" xfId="1678" xr:uid="{00000000-0005-0000-0000-00002B570000}"/>
    <cellStyle name="Normal 13 2 3 2" xfId="5208" xr:uid="{00000000-0005-0000-0000-00002C570000}"/>
    <cellStyle name="Normal 13 2 3 2 2" xfId="8799" xr:uid="{00000000-0005-0000-0000-00002D570000}"/>
    <cellStyle name="Normal 13 2 3 2 2 2" xfId="16770" xr:uid="{00000000-0005-0000-0000-00002E570000}"/>
    <cellStyle name="Normal 13 2 3 2 2 2 2" xfId="40612" xr:uid="{9A9285E2-87B3-433E-A8B1-10E80373BB86}"/>
    <cellStyle name="Normal 13 2 3 2 2 3" xfId="24716" xr:uid="{00000000-0005-0000-0000-00002F570000}"/>
    <cellStyle name="Normal 13 2 3 2 2 3 2" xfId="48548" xr:uid="{F47E8F64-22DA-44A4-B3C3-3EB6CF39E050}"/>
    <cellStyle name="Normal 13 2 3 2 2 4" xfId="32671" xr:uid="{1E37C449-A305-4C27-9911-0F489CAF106C}"/>
    <cellStyle name="Normal 13 2 3 2 3" xfId="13232" xr:uid="{00000000-0005-0000-0000-000030570000}"/>
    <cellStyle name="Normal 13 2 3 2 3 2" xfId="37081" xr:uid="{4A8DB202-D3A5-49A6-B0DB-5CFB99E99ABA}"/>
    <cellStyle name="Normal 13 2 3 2 4" xfId="21187" xr:uid="{00000000-0005-0000-0000-000031570000}"/>
    <cellStyle name="Normal 13 2 3 2 4 2" xfId="45019" xr:uid="{188C34F9-5126-4139-8779-A39F63222DFC}"/>
    <cellStyle name="Normal 13 2 3 2 5" xfId="29140" xr:uid="{C67EA261-7E7F-4BF5-A725-004D9CBC0E3B}"/>
    <cellStyle name="Normal 13 2 3 3" xfId="7040" xr:uid="{00000000-0005-0000-0000-000032570000}"/>
    <cellStyle name="Normal 13 2 3 3 2" xfId="15012" xr:uid="{00000000-0005-0000-0000-000033570000}"/>
    <cellStyle name="Normal 13 2 3 3 2 2" xfId="38854" xr:uid="{83000E35-921E-4899-AEE3-BB3BEF373274}"/>
    <cellStyle name="Normal 13 2 3 3 3" xfId="22959" xr:uid="{00000000-0005-0000-0000-000034570000}"/>
    <cellStyle name="Normal 13 2 3 3 3 2" xfId="46791" xr:uid="{CFF2BB63-6BFA-4CD1-ABD0-27666A596634}"/>
    <cellStyle name="Normal 13 2 3 3 4" xfId="30913" xr:uid="{D08A547E-D886-4283-82A1-034C5A6E4231}"/>
    <cellStyle name="Normal 13 2 3 4" xfId="11476" xr:uid="{00000000-0005-0000-0000-000035570000}"/>
    <cellStyle name="Normal 13 2 3 4 2" xfId="35325" xr:uid="{CF0DAE12-041D-490E-AAA9-10D9BE8784C3}"/>
    <cellStyle name="Normal 13 2 3 5" xfId="19431" xr:uid="{00000000-0005-0000-0000-000036570000}"/>
    <cellStyle name="Normal 13 2 3 5 2" xfId="43263" xr:uid="{B7D102E5-59CE-490A-A049-51F3A8FA035D}"/>
    <cellStyle name="Normal 13 2 3 6" xfId="27383" xr:uid="{FE393A82-6DA5-49D1-B0F5-86E02A51C373}"/>
    <cellStyle name="Normal 13 2 3_Exh G" xfId="3461" xr:uid="{00000000-0005-0000-0000-000037570000}"/>
    <cellStyle name="Normal 13 2 4" xfId="4329" xr:uid="{00000000-0005-0000-0000-000038570000}"/>
    <cellStyle name="Normal 13 2 4 2" xfId="7921" xr:uid="{00000000-0005-0000-0000-000039570000}"/>
    <cellStyle name="Normal 13 2 4 2 2" xfId="15892" xr:uid="{00000000-0005-0000-0000-00003A570000}"/>
    <cellStyle name="Normal 13 2 4 2 2 2" xfId="39734" xr:uid="{CFA7867D-F0FC-4F54-9E2A-19675614D28C}"/>
    <cellStyle name="Normal 13 2 4 2 3" xfId="23838" xr:uid="{00000000-0005-0000-0000-00003B570000}"/>
    <cellStyle name="Normal 13 2 4 2 3 2" xfId="47670" xr:uid="{EC492E97-BD7E-43DB-A27B-99E81D442591}"/>
    <cellStyle name="Normal 13 2 4 2 4" xfId="31793" xr:uid="{363FD03A-57B0-47EA-AC8C-DEB38DD7B7F3}"/>
    <cellStyle name="Normal 13 2 4 3" xfId="12354" xr:uid="{00000000-0005-0000-0000-00003C570000}"/>
    <cellStyle name="Normal 13 2 4 3 2" xfId="36203" xr:uid="{C2367FB0-C6B4-4158-9D09-DF5B2EC0ABF2}"/>
    <cellStyle name="Normal 13 2 4 4" xfId="20309" xr:uid="{00000000-0005-0000-0000-00003D570000}"/>
    <cellStyle name="Normal 13 2 4 4 2" xfId="44141" xr:uid="{A8C28C38-8DD5-46AE-B15F-A7CC04BD93CC}"/>
    <cellStyle name="Normal 13 2 4 5" xfId="28262" xr:uid="{62FC33AA-CA0D-4E63-A47C-19B950528D3C}"/>
    <cellStyle name="Normal 13 2 5" xfId="6149" xr:uid="{00000000-0005-0000-0000-00003E570000}"/>
    <cellStyle name="Normal 13 2 5 2" xfId="14133" xr:uid="{00000000-0005-0000-0000-00003F570000}"/>
    <cellStyle name="Normal 13 2 5 2 2" xfId="37976" xr:uid="{CD24267A-D1EA-4503-A481-59B94CCC6627}"/>
    <cellStyle name="Normal 13 2 5 3" xfId="22081" xr:uid="{00000000-0005-0000-0000-000040570000}"/>
    <cellStyle name="Normal 13 2 5 3 2" xfId="45913" xr:uid="{8DA08847-84E4-458C-AD1F-62177606FC03}"/>
    <cellStyle name="Normal 13 2 5 4" xfId="30035" xr:uid="{0C385799-06DB-4BE7-850F-EC5443D8C28A}"/>
    <cellStyle name="Normal 13 2 6" xfId="9702" xr:uid="{00000000-0005-0000-0000-000041570000}"/>
    <cellStyle name="Normal 13 2 6 2" xfId="17660" xr:uid="{00000000-0005-0000-0000-000042570000}"/>
    <cellStyle name="Normal 13 2 6 2 2" xfId="41500" xr:uid="{DEB1DCA6-3EEC-4547-9DA5-8BD15A7D1026}"/>
    <cellStyle name="Normal 13 2 6 3" xfId="25604" xr:uid="{00000000-0005-0000-0000-000043570000}"/>
    <cellStyle name="Normal 13 2 6 3 2" xfId="49436" xr:uid="{7A3D1C02-1F2A-4F44-8F72-9E56FE67A484}"/>
    <cellStyle name="Normal 13 2 6 4" xfId="33559" xr:uid="{083955F2-61AC-4571-839C-828E85D8ADB3}"/>
    <cellStyle name="Normal 13 2 7" xfId="10598" xr:uid="{00000000-0005-0000-0000-000044570000}"/>
    <cellStyle name="Normal 13 2 7 2" xfId="34447" xr:uid="{5FB26C88-014A-4016-9FC6-349824ECF232}"/>
    <cellStyle name="Normal 13 2 8" xfId="18553" xr:uid="{00000000-0005-0000-0000-000045570000}"/>
    <cellStyle name="Normal 13 2 8 2" xfId="42385" xr:uid="{D839053C-0594-4AA3-B836-ED7E1FF99C8B}"/>
    <cellStyle name="Normal 13 2 9" xfId="26505" xr:uid="{A8501A2A-234C-4749-B5C6-33BF11E8AD2F}"/>
    <cellStyle name="Normal 13 2_Exh G" xfId="3458" xr:uid="{00000000-0005-0000-0000-000046570000}"/>
    <cellStyle name="Normal 13 3" xfId="652" xr:uid="{00000000-0005-0000-0000-000047570000}"/>
    <cellStyle name="Normal 13 3 2" xfId="1680" xr:uid="{00000000-0005-0000-0000-000048570000}"/>
    <cellStyle name="Normal 13 3 2 2" xfId="5210" xr:uid="{00000000-0005-0000-0000-000049570000}"/>
    <cellStyle name="Normal 13 3 2 2 2" xfId="8801" xr:uid="{00000000-0005-0000-0000-00004A570000}"/>
    <cellStyle name="Normal 13 3 2 2 2 2" xfId="16772" xr:uid="{00000000-0005-0000-0000-00004B570000}"/>
    <cellStyle name="Normal 13 3 2 2 2 2 2" xfId="40614" xr:uid="{2592B65D-E404-4CBB-B8E9-1F2E4FB0097B}"/>
    <cellStyle name="Normal 13 3 2 2 2 3" xfId="24718" xr:uid="{00000000-0005-0000-0000-00004C570000}"/>
    <cellStyle name="Normal 13 3 2 2 2 3 2" xfId="48550" xr:uid="{B844E259-BA6C-4638-A361-BB5FD0BE5B53}"/>
    <cellStyle name="Normal 13 3 2 2 2 4" xfId="32673" xr:uid="{A06E0049-4FF3-49AE-BF81-AD76164476CE}"/>
    <cellStyle name="Normal 13 3 2 2 3" xfId="13234" xr:uid="{00000000-0005-0000-0000-00004D570000}"/>
    <cellStyle name="Normal 13 3 2 2 3 2" xfId="37083" xr:uid="{F0842216-30DF-4DCB-B9CD-ADD4D8937B85}"/>
    <cellStyle name="Normal 13 3 2 2 4" xfId="21189" xr:uid="{00000000-0005-0000-0000-00004E570000}"/>
    <cellStyle name="Normal 13 3 2 2 4 2" xfId="45021" xr:uid="{69F564EF-35F6-4BB2-931D-CBF84F873464}"/>
    <cellStyle name="Normal 13 3 2 2 5" xfId="29142" xr:uid="{595C89CC-6D94-4E72-9059-4785C8F8BAEA}"/>
    <cellStyle name="Normal 13 3 2 3" xfId="7042" xr:uid="{00000000-0005-0000-0000-00004F570000}"/>
    <cellStyle name="Normal 13 3 2 3 2" xfId="15014" xr:uid="{00000000-0005-0000-0000-000050570000}"/>
    <cellStyle name="Normal 13 3 2 3 2 2" xfId="38856" xr:uid="{7DF0DB1D-F0AE-4D7D-94DF-08208366480F}"/>
    <cellStyle name="Normal 13 3 2 3 3" xfId="22961" xr:uid="{00000000-0005-0000-0000-000051570000}"/>
    <cellStyle name="Normal 13 3 2 3 3 2" xfId="46793" xr:uid="{4785F8BE-904C-479D-BE6C-3A656110C70A}"/>
    <cellStyle name="Normal 13 3 2 3 4" xfId="30915" xr:uid="{22F7FC55-F50B-42FF-86C2-A68123CB14DF}"/>
    <cellStyle name="Normal 13 3 2 4" xfId="11478" xr:uid="{00000000-0005-0000-0000-000052570000}"/>
    <cellStyle name="Normal 13 3 2 4 2" xfId="35327" xr:uid="{D5E22F23-B40A-4689-9B6A-F9B3A2B7247D}"/>
    <cellStyle name="Normal 13 3 2 5" xfId="19433" xr:uid="{00000000-0005-0000-0000-000053570000}"/>
    <cellStyle name="Normal 13 3 2 5 2" xfId="43265" xr:uid="{995D1B77-DA57-49D2-B782-62B3D42D5DB3}"/>
    <cellStyle name="Normal 13 3 2 6" xfId="27385" xr:uid="{CDA86F09-5909-4AA1-91FF-6C258C2769D6}"/>
    <cellStyle name="Normal 13 3 2_Exh G" xfId="3463" xr:uid="{00000000-0005-0000-0000-000054570000}"/>
    <cellStyle name="Normal 13 3 3" xfId="4331" xr:uid="{00000000-0005-0000-0000-000055570000}"/>
    <cellStyle name="Normal 13 3 3 2" xfId="7923" xr:uid="{00000000-0005-0000-0000-000056570000}"/>
    <cellStyle name="Normal 13 3 3 2 2" xfId="15894" xr:uid="{00000000-0005-0000-0000-000057570000}"/>
    <cellStyle name="Normal 13 3 3 2 2 2" xfId="39736" xr:uid="{B7954930-A79F-496D-9FF5-FBB21C25C552}"/>
    <cellStyle name="Normal 13 3 3 2 3" xfId="23840" xr:uid="{00000000-0005-0000-0000-000058570000}"/>
    <cellStyle name="Normal 13 3 3 2 3 2" xfId="47672" xr:uid="{EDBD5F2C-190D-44CC-BE87-C13BED100BD9}"/>
    <cellStyle name="Normal 13 3 3 2 4" xfId="31795" xr:uid="{AE71D9FC-668A-4775-9F34-2A7FF15521BE}"/>
    <cellStyle name="Normal 13 3 3 3" xfId="12356" xr:uid="{00000000-0005-0000-0000-000059570000}"/>
    <cellStyle name="Normal 13 3 3 3 2" xfId="36205" xr:uid="{92DC62DD-2BC4-4E17-BCCC-EFC54A823572}"/>
    <cellStyle name="Normal 13 3 3 4" xfId="20311" xr:uid="{00000000-0005-0000-0000-00005A570000}"/>
    <cellStyle name="Normal 13 3 3 4 2" xfId="44143" xr:uid="{25A8CDC1-9A95-47D5-9245-1423F767C6C7}"/>
    <cellStyle name="Normal 13 3 3 5" xfId="28264" xr:uid="{B16BF95D-DA8E-4657-BEC2-C255F07B6952}"/>
    <cellStyle name="Normal 13 3 4" xfId="6151" xr:uid="{00000000-0005-0000-0000-00005B570000}"/>
    <cellStyle name="Normal 13 3 4 2" xfId="14135" xr:uid="{00000000-0005-0000-0000-00005C570000}"/>
    <cellStyle name="Normal 13 3 4 2 2" xfId="37978" xr:uid="{7D90FA44-34EE-4E91-8AF7-FD4738D191D8}"/>
    <cellStyle name="Normal 13 3 4 3" xfId="22083" xr:uid="{00000000-0005-0000-0000-00005D570000}"/>
    <cellStyle name="Normal 13 3 4 3 2" xfId="45915" xr:uid="{FE298EA0-C3DD-4FF9-9C4A-61745917F190}"/>
    <cellStyle name="Normal 13 3 4 4" xfId="30037" xr:uid="{62517662-64DF-4263-8F25-E3C91C176B9A}"/>
    <cellStyle name="Normal 13 3 5" xfId="9704" xr:uid="{00000000-0005-0000-0000-00005E570000}"/>
    <cellStyle name="Normal 13 3 5 2" xfId="17662" xr:uid="{00000000-0005-0000-0000-00005F570000}"/>
    <cellStyle name="Normal 13 3 5 2 2" xfId="41502" xr:uid="{C802459E-7C96-443C-9368-3049943FEED7}"/>
    <cellStyle name="Normal 13 3 5 3" xfId="25606" xr:uid="{00000000-0005-0000-0000-000060570000}"/>
    <cellStyle name="Normal 13 3 5 3 2" xfId="49438" xr:uid="{BC8A9D19-315D-4D66-9886-C21DE38B886E}"/>
    <cellStyle name="Normal 13 3 5 4" xfId="33561" xr:uid="{C9624D9B-F2EC-45EB-96C5-E2BB6CA96507}"/>
    <cellStyle name="Normal 13 3 6" xfId="10600" xr:uid="{00000000-0005-0000-0000-000061570000}"/>
    <cellStyle name="Normal 13 3 6 2" xfId="34449" xr:uid="{90A6B791-074A-49AC-AC8A-E409BFE03691}"/>
    <cellStyle name="Normal 13 3 7" xfId="18555" xr:uid="{00000000-0005-0000-0000-000062570000}"/>
    <cellStyle name="Normal 13 3 7 2" xfId="42387" xr:uid="{0359B91B-3512-48F7-B57F-65B4ACCAFB9B}"/>
    <cellStyle name="Normal 13 3 8" xfId="26507" xr:uid="{78D50DE0-3EB2-49BF-B1B3-491230F0DCBC}"/>
    <cellStyle name="Normal 13 3_Exh G" xfId="3462" xr:uid="{00000000-0005-0000-0000-000063570000}"/>
    <cellStyle name="Normal 13 4" xfId="1015" xr:uid="{00000000-0005-0000-0000-000064570000}"/>
    <cellStyle name="Normal 13 4 2" xfId="1922" xr:uid="{00000000-0005-0000-0000-000065570000}"/>
    <cellStyle name="Normal 13 4 2 2" xfId="5440" xr:uid="{00000000-0005-0000-0000-000066570000}"/>
    <cellStyle name="Normal 13 4 2 2 2" xfId="9031" xr:uid="{00000000-0005-0000-0000-000067570000}"/>
    <cellStyle name="Normal 13 4 2 2 2 2" xfId="17002" xr:uid="{00000000-0005-0000-0000-000068570000}"/>
    <cellStyle name="Normal 13 4 2 2 2 2 2" xfId="40844" xr:uid="{D5BDF230-3FAB-40D5-8403-C0DC47253D3E}"/>
    <cellStyle name="Normal 13 4 2 2 2 3" xfId="24948" xr:uid="{00000000-0005-0000-0000-000069570000}"/>
    <cellStyle name="Normal 13 4 2 2 2 3 2" xfId="48780" xr:uid="{1207B3FA-0378-4033-844D-8FA8B4038189}"/>
    <cellStyle name="Normal 13 4 2 2 2 4" xfId="32903" xr:uid="{01A06DEF-87B9-4CE8-B282-AF9B8D2FF712}"/>
    <cellStyle name="Normal 13 4 2 2 3" xfId="13464" xr:uid="{00000000-0005-0000-0000-00006A570000}"/>
    <cellStyle name="Normal 13 4 2 2 3 2" xfId="37313" xr:uid="{3CD86B87-94E4-41C7-A0DA-EB81859FCD40}"/>
    <cellStyle name="Normal 13 4 2 2 4" xfId="21419" xr:uid="{00000000-0005-0000-0000-00006B570000}"/>
    <cellStyle name="Normal 13 4 2 2 4 2" xfId="45251" xr:uid="{C69A037D-48A9-4A91-81D1-FC9793B6FA08}"/>
    <cellStyle name="Normal 13 4 2 2 5" xfId="29372" xr:uid="{E7857CD3-07E9-4C2A-AC11-6F9FEE8A70CB}"/>
    <cellStyle name="Normal 13 4 2 3" xfId="7272" xr:uid="{00000000-0005-0000-0000-00006C570000}"/>
    <cellStyle name="Normal 13 4 2 3 2" xfId="15244" xr:uid="{00000000-0005-0000-0000-00006D570000}"/>
    <cellStyle name="Normal 13 4 2 3 2 2" xfId="39086" xr:uid="{E74BFC50-AC4D-481A-ABAD-46E1E8BE6A38}"/>
    <cellStyle name="Normal 13 4 2 3 3" xfId="23191" xr:uid="{00000000-0005-0000-0000-00006E570000}"/>
    <cellStyle name="Normal 13 4 2 3 3 2" xfId="47023" xr:uid="{B736D0D8-9EFC-4D1C-AE44-13B573D9390B}"/>
    <cellStyle name="Normal 13 4 2 3 4" xfId="31145" xr:uid="{D553884F-BCEC-4134-8B84-AE2C8C7F6100}"/>
    <cellStyle name="Normal 13 4 2 4" xfId="11708" xr:uid="{00000000-0005-0000-0000-00006F570000}"/>
    <cellStyle name="Normal 13 4 2 4 2" xfId="35557" xr:uid="{C9D2D982-8278-4C9A-A525-439251A38804}"/>
    <cellStyle name="Normal 13 4 2 5" xfId="19663" xr:uid="{00000000-0005-0000-0000-000070570000}"/>
    <cellStyle name="Normal 13 4 2 5 2" xfId="43495" xr:uid="{5D6D8B59-F279-4648-A159-934DF883E9C0}"/>
    <cellStyle name="Normal 13 4 2 6" xfId="27615" xr:uid="{4BB04976-2194-40D0-876B-02DDD5A37DF7}"/>
    <cellStyle name="Normal 13 4 2_Exh G" xfId="3465" xr:uid="{00000000-0005-0000-0000-000071570000}"/>
    <cellStyle name="Normal 13 4 3" xfId="4561" xr:uid="{00000000-0005-0000-0000-000072570000}"/>
    <cellStyle name="Normal 13 4 3 2" xfId="8153" xr:uid="{00000000-0005-0000-0000-000073570000}"/>
    <cellStyle name="Normal 13 4 3 2 2" xfId="16124" xr:uid="{00000000-0005-0000-0000-000074570000}"/>
    <cellStyle name="Normal 13 4 3 2 2 2" xfId="39966" xr:uid="{D1231726-1DD2-44B1-89DB-0F181D7A1CEC}"/>
    <cellStyle name="Normal 13 4 3 2 3" xfId="24070" xr:uid="{00000000-0005-0000-0000-000075570000}"/>
    <cellStyle name="Normal 13 4 3 2 3 2" xfId="47902" xr:uid="{7FE9D3F4-FD41-4A8D-A4EE-9B074980A69C}"/>
    <cellStyle name="Normal 13 4 3 2 4" xfId="32025" xr:uid="{B5C4F42D-545E-4E7A-AAF7-04359F8CB5F3}"/>
    <cellStyle name="Normal 13 4 3 3" xfId="12586" xr:uid="{00000000-0005-0000-0000-000076570000}"/>
    <cellStyle name="Normal 13 4 3 3 2" xfId="36435" xr:uid="{0384F55B-A5D6-4B0E-8C71-D817D79F9075}"/>
    <cellStyle name="Normal 13 4 3 4" xfId="20541" xr:uid="{00000000-0005-0000-0000-000077570000}"/>
    <cellStyle name="Normal 13 4 3 4 2" xfId="44373" xr:uid="{9B7987BD-7743-4274-84FC-55D145FB182C}"/>
    <cellStyle name="Normal 13 4 3 5" xfId="28494" xr:uid="{8B0A897F-7187-4FA4-A1EE-FA6D5B677A4E}"/>
    <cellStyle name="Normal 13 4 4" xfId="6391" xr:uid="{00000000-0005-0000-0000-000078570000}"/>
    <cellStyle name="Normal 13 4 4 2" xfId="14366" xr:uid="{00000000-0005-0000-0000-000079570000}"/>
    <cellStyle name="Normal 13 4 4 2 2" xfId="38208" xr:uid="{9A33817E-5444-4140-B59A-3016EE1949DB}"/>
    <cellStyle name="Normal 13 4 4 3" xfId="22313" xr:uid="{00000000-0005-0000-0000-00007A570000}"/>
    <cellStyle name="Normal 13 4 4 3 2" xfId="46145" xr:uid="{923AB8DA-CE9E-4FD9-9FB8-C30B6EA44B17}"/>
    <cellStyle name="Normal 13 4 4 4" xfId="30267" xr:uid="{7E45D254-18EF-42CA-B5D3-F82FA8FCF526}"/>
    <cellStyle name="Normal 13 4 5" xfId="9934" xr:uid="{00000000-0005-0000-0000-00007B570000}"/>
    <cellStyle name="Normal 13 4 5 2" xfId="17892" xr:uid="{00000000-0005-0000-0000-00007C570000}"/>
    <cellStyle name="Normal 13 4 5 2 2" xfId="41732" xr:uid="{AD789336-C1C8-4DBE-8969-213B0F33DF4F}"/>
    <cellStyle name="Normal 13 4 5 3" xfId="25836" xr:uid="{00000000-0005-0000-0000-00007D570000}"/>
    <cellStyle name="Normal 13 4 5 3 2" xfId="49668" xr:uid="{64817B84-BAA4-433D-87C7-3BEC989A2ABF}"/>
    <cellStyle name="Normal 13 4 5 4" xfId="33791" xr:uid="{701994FF-E7CD-424E-8040-4814FA9F91B3}"/>
    <cellStyle name="Normal 13 4 6" xfId="10830" xr:uid="{00000000-0005-0000-0000-00007E570000}"/>
    <cellStyle name="Normal 13 4 6 2" xfId="34679" xr:uid="{EF6E9F87-8C09-47AF-B682-34F19B0DB49C}"/>
    <cellStyle name="Normal 13 4 7" xfId="18785" xr:uid="{00000000-0005-0000-0000-00007F570000}"/>
    <cellStyle name="Normal 13 4 7 2" xfId="42617" xr:uid="{1A92DB23-D992-4E9C-97A2-EA11D6FC284B}"/>
    <cellStyle name="Normal 13 4 8" xfId="26737" xr:uid="{C7F679B0-EFA2-47BE-8B69-C5901D1ED42B}"/>
    <cellStyle name="Normal 13 4_Exh G" xfId="3464" xr:uid="{00000000-0005-0000-0000-000080570000}"/>
    <cellStyle name="Normal 13 5" xfId="1677" xr:uid="{00000000-0005-0000-0000-000081570000}"/>
    <cellStyle name="Normal 13 5 2" xfId="5207" xr:uid="{00000000-0005-0000-0000-000082570000}"/>
    <cellStyle name="Normal 13 5 2 2" xfId="8798" xr:uid="{00000000-0005-0000-0000-000083570000}"/>
    <cellStyle name="Normal 13 5 2 2 2" xfId="16769" xr:uid="{00000000-0005-0000-0000-000084570000}"/>
    <cellStyle name="Normal 13 5 2 2 2 2" xfId="40611" xr:uid="{EBBCDC68-066D-4646-B17B-7128BB97AA28}"/>
    <cellStyle name="Normal 13 5 2 2 3" xfId="24715" xr:uid="{00000000-0005-0000-0000-000085570000}"/>
    <cellStyle name="Normal 13 5 2 2 3 2" xfId="48547" xr:uid="{B7ACAF30-AAFD-4AD8-B5D4-AD1E0D4C49D9}"/>
    <cellStyle name="Normal 13 5 2 2 4" xfId="32670" xr:uid="{7A870AA7-0774-4BED-9030-7969B0A813E4}"/>
    <cellStyle name="Normal 13 5 2 3" xfId="13231" xr:uid="{00000000-0005-0000-0000-000086570000}"/>
    <cellStyle name="Normal 13 5 2 3 2" xfId="37080" xr:uid="{800B65E3-CDC2-4693-B01E-5FC98885BB0E}"/>
    <cellStyle name="Normal 13 5 2 4" xfId="21186" xr:uid="{00000000-0005-0000-0000-000087570000}"/>
    <cellStyle name="Normal 13 5 2 4 2" xfId="45018" xr:uid="{1457BDC6-3F56-49C5-9F2C-ABD0288A256F}"/>
    <cellStyle name="Normal 13 5 2 5" xfId="29139" xr:uid="{8AF51EF9-B369-4BBC-AE5C-05A9F215ED7C}"/>
    <cellStyle name="Normal 13 5 3" xfId="7039" xr:uid="{00000000-0005-0000-0000-000088570000}"/>
    <cellStyle name="Normal 13 5 3 2" xfId="15011" xr:uid="{00000000-0005-0000-0000-000089570000}"/>
    <cellStyle name="Normal 13 5 3 2 2" xfId="38853" xr:uid="{C7B9A4D0-15D7-4672-8333-E2E24D46ED45}"/>
    <cellStyle name="Normal 13 5 3 3" xfId="22958" xr:uid="{00000000-0005-0000-0000-00008A570000}"/>
    <cellStyle name="Normal 13 5 3 3 2" xfId="46790" xr:uid="{3D56BE94-5F31-438B-AB86-B9D6C625C35E}"/>
    <cellStyle name="Normal 13 5 3 4" xfId="30912" xr:uid="{365044FC-7008-44E9-B427-5E92C9065C9C}"/>
    <cellStyle name="Normal 13 5 4" xfId="11475" xr:uid="{00000000-0005-0000-0000-00008B570000}"/>
    <cellStyle name="Normal 13 5 4 2" xfId="35324" xr:uid="{629E1324-8AB2-4C40-B2ED-6CD6E3179613}"/>
    <cellStyle name="Normal 13 5 5" xfId="19430" xr:uid="{00000000-0005-0000-0000-00008C570000}"/>
    <cellStyle name="Normal 13 5 5 2" xfId="43262" xr:uid="{9C776D26-738A-4EA9-AC55-FF3602576581}"/>
    <cellStyle name="Normal 13 5 6" xfId="27382" xr:uid="{8AA04CF6-D23D-49AF-97E9-530C8E8F6E8D}"/>
    <cellStyle name="Normal 13 5_Exh G" xfId="3466" xr:uid="{00000000-0005-0000-0000-00008D570000}"/>
    <cellStyle name="Normal 13 6" xfId="4328" xr:uid="{00000000-0005-0000-0000-00008E570000}"/>
    <cellStyle name="Normal 13 6 2" xfId="7920" xr:uid="{00000000-0005-0000-0000-00008F570000}"/>
    <cellStyle name="Normal 13 6 2 2" xfId="15891" xr:uid="{00000000-0005-0000-0000-000090570000}"/>
    <cellStyle name="Normal 13 6 2 2 2" xfId="39733" xr:uid="{0AA2C701-E90D-41D6-AA7B-ACD71012CBF4}"/>
    <cellStyle name="Normal 13 6 2 3" xfId="23837" xr:uid="{00000000-0005-0000-0000-000091570000}"/>
    <cellStyle name="Normal 13 6 2 3 2" xfId="47669" xr:uid="{9D3B4DCC-D3B2-4A13-AA2E-7F141F259684}"/>
    <cellStyle name="Normal 13 6 2 4" xfId="31792" xr:uid="{BB4C0495-5B7F-43FC-BBF4-3C01344124B9}"/>
    <cellStyle name="Normal 13 6 3" xfId="12353" xr:uid="{00000000-0005-0000-0000-000092570000}"/>
    <cellStyle name="Normal 13 6 3 2" xfId="36202" xr:uid="{6D9C0F01-07C2-41D3-88B6-277E6641DF62}"/>
    <cellStyle name="Normal 13 6 4" xfId="20308" xr:uid="{00000000-0005-0000-0000-000093570000}"/>
    <cellStyle name="Normal 13 6 4 2" xfId="44140" xr:uid="{3D19BF9D-CEDA-4397-93B3-CFBE578A6017}"/>
    <cellStyle name="Normal 13 6 5" xfId="28261" xr:uid="{278D6CD4-AF0C-4196-A57D-74A4473D35E3}"/>
    <cellStyle name="Normal 13 7" xfId="6148" xr:uid="{00000000-0005-0000-0000-000094570000}"/>
    <cellStyle name="Normal 13 7 2" xfId="14132" xr:uid="{00000000-0005-0000-0000-000095570000}"/>
    <cellStyle name="Normal 13 7 2 2" xfId="37975" xr:uid="{4A8D9761-3394-4F21-AE1F-4D2A736AD1E1}"/>
    <cellStyle name="Normal 13 7 3" xfId="22080" xr:uid="{00000000-0005-0000-0000-000096570000}"/>
    <cellStyle name="Normal 13 7 3 2" xfId="45912" xr:uid="{598D7A80-43C2-46B5-A241-515E455BDCF3}"/>
    <cellStyle name="Normal 13 7 4" xfId="30034" xr:uid="{25BD1744-F446-4680-9F99-8987AFC45BA7}"/>
    <cellStyle name="Normal 13 8" xfId="9701" xr:uid="{00000000-0005-0000-0000-000097570000}"/>
    <cellStyle name="Normal 13 8 2" xfId="17659" xr:uid="{00000000-0005-0000-0000-000098570000}"/>
    <cellStyle name="Normal 13 8 2 2" xfId="41499" xr:uid="{19D6D4A0-F2B5-4338-9CB8-F7F1330FC763}"/>
    <cellStyle name="Normal 13 8 3" xfId="25603" xr:uid="{00000000-0005-0000-0000-000099570000}"/>
    <cellStyle name="Normal 13 8 3 2" xfId="49435" xr:uid="{74B6F2F2-CFD5-44E9-A52C-FDF22AEDAC0C}"/>
    <cellStyle name="Normal 13 8 4" xfId="33558" xr:uid="{3DF90E1D-39AB-4FCD-BA98-488702B1ECA8}"/>
    <cellStyle name="Normal 13 9" xfId="10597" xr:uid="{00000000-0005-0000-0000-00009A570000}"/>
    <cellStyle name="Normal 13 9 2" xfId="34446" xr:uid="{9DF9FB6F-C9A0-496F-A833-14993B0207E6}"/>
    <cellStyle name="Normal 13_Exh G" xfId="3457" xr:uid="{00000000-0005-0000-0000-00009B570000}"/>
    <cellStyle name="Normal 14" xfId="653" xr:uid="{00000000-0005-0000-0000-00009C570000}"/>
    <cellStyle name="Normal 14 10" xfId="10601" xr:uid="{00000000-0005-0000-0000-00009D570000}"/>
    <cellStyle name="Normal 14 10 2" xfId="34450" xr:uid="{50DC33FB-4339-4519-AD84-9CCA3EC19E07}"/>
    <cellStyle name="Normal 14 11" xfId="18556" xr:uid="{00000000-0005-0000-0000-00009E570000}"/>
    <cellStyle name="Normal 14 11 2" xfId="42388" xr:uid="{083B69B9-10CA-4830-AF05-DE8C81C8A3C2}"/>
    <cellStyle name="Normal 14 12" xfId="26508" xr:uid="{687BF3BF-672A-4D8F-8F69-77A2137926F3}"/>
    <cellStyle name="Normal 14 2" xfId="654" xr:uid="{00000000-0005-0000-0000-00009F570000}"/>
    <cellStyle name="Normal 14 2 2" xfId="655" xr:uid="{00000000-0005-0000-0000-0000A0570000}"/>
    <cellStyle name="Normal 14 2 2 2" xfId="1683" xr:uid="{00000000-0005-0000-0000-0000A1570000}"/>
    <cellStyle name="Normal 14 2 2 2 2" xfId="5213" xr:uid="{00000000-0005-0000-0000-0000A2570000}"/>
    <cellStyle name="Normal 14 2 2 2 2 2" xfId="8804" xr:uid="{00000000-0005-0000-0000-0000A3570000}"/>
    <cellStyle name="Normal 14 2 2 2 2 2 2" xfId="16775" xr:uid="{00000000-0005-0000-0000-0000A4570000}"/>
    <cellStyle name="Normal 14 2 2 2 2 2 2 2" xfId="40617" xr:uid="{4DE281A1-730B-4422-B60B-A565F2B1F3EC}"/>
    <cellStyle name="Normal 14 2 2 2 2 2 3" xfId="24721" xr:uid="{00000000-0005-0000-0000-0000A5570000}"/>
    <cellStyle name="Normal 14 2 2 2 2 2 3 2" xfId="48553" xr:uid="{E69FF179-02AD-4733-92A2-B7D4F08FDBE2}"/>
    <cellStyle name="Normal 14 2 2 2 2 2 4" xfId="32676" xr:uid="{37BFAF3E-5423-427B-BAE1-86CC0A1352C8}"/>
    <cellStyle name="Normal 14 2 2 2 2 3" xfId="13237" xr:uid="{00000000-0005-0000-0000-0000A6570000}"/>
    <cellStyle name="Normal 14 2 2 2 2 3 2" xfId="37086" xr:uid="{D08D4CD1-9323-4ABC-A16B-75B5EAB7225C}"/>
    <cellStyle name="Normal 14 2 2 2 2 4" xfId="21192" xr:uid="{00000000-0005-0000-0000-0000A7570000}"/>
    <cellStyle name="Normal 14 2 2 2 2 4 2" xfId="45024" xr:uid="{C24C01C7-C7D4-4DC0-9461-8BC01130CBAD}"/>
    <cellStyle name="Normal 14 2 2 2 2 5" xfId="29145" xr:uid="{B515FEB8-4517-42DE-BF7C-563EE6F9AE9C}"/>
    <cellStyle name="Normal 14 2 2 2 3" xfId="7045" xr:uid="{00000000-0005-0000-0000-0000A8570000}"/>
    <cellStyle name="Normal 14 2 2 2 3 2" xfId="15017" xr:uid="{00000000-0005-0000-0000-0000A9570000}"/>
    <cellStyle name="Normal 14 2 2 2 3 2 2" xfId="38859" xr:uid="{FEAF2744-3237-46C9-869D-601D200D4623}"/>
    <cellStyle name="Normal 14 2 2 2 3 3" xfId="22964" xr:uid="{00000000-0005-0000-0000-0000AA570000}"/>
    <cellStyle name="Normal 14 2 2 2 3 3 2" xfId="46796" xr:uid="{B5BA0364-4C46-426A-9FDE-40CC836E07F6}"/>
    <cellStyle name="Normal 14 2 2 2 3 4" xfId="30918" xr:uid="{82966107-1F99-469D-A9FB-52A669C4D9E8}"/>
    <cellStyle name="Normal 14 2 2 2 4" xfId="11481" xr:uid="{00000000-0005-0000-0000-0000AB570000}"/>
    <cellStyle name="Normal 14 2 2 2 4 2" xfId="35330" xr:uid="{E3792A19-A78A-46A7-B183-4DDFB30BFCEA}"/>
    <cellStyle name="Normal 14 2 2 2 5" xfId="19436" xr:uid="{00000000-0005-0000-0000-0000AC570000}"/>
    <cellStyle name="Normal 14 2 2 2 5 2" xfId="43268" xr:uid="{B53B45BA-3BB1-45CB-B43E-0706821E3651}"/>
    <cellStyle name="Normal 14 2 2 2 6" xfId="27388" xr:uid="{F9E9A995-59DB-4AE4-BBC7-41D7410D7EF7}"/>
    <cellStyle name="Normal 14 2 2 2_Exh G" xfId="3470" xr:uid="{00000000-0005-0000-0000-0000AD570000}"/>
    <cellStyle name="Normal 14 2 2 3" xfId="4334" xr:uid="{00000000-0005-0000-0000-0000AE570000}"/>
    <cellStyle name="Normal 14 2 2 3 2" xfId="7926" xr:uid="{00000000-0005-0000-0000-0000AF570000}"/>
    <cellStyle name="Normal 14 2 2 3 2 2" xfId="15897" xr:uid="{00000000-0005-0000-0000-0000B0570000}"/>
    <cellStyle name="Normal 14 2 2 3 2 2 2" xfId="39739" xr:uid="{46CF2916-575E-493A-B6A2-8C03AE1F5B2B}"/>
    <cellStyle name="Normal 14 2 2 3 2 3" xfId="23843" xr:uid="{00000000-0005-0000-0000-0000B1570000}"/>
    <cellStyle name="Normal 14 2 2 3 2 3 2" xfId="47675" xr:uid="{CEFDB3E4-0482-4D93-A4C3-33AE9066B1DD}"/>
    <cellStyle name="Normal 14 2 2 3 2 4" xfId="31798" xr:uid="{199336D0-F996-4DBF-8960-89FAC79DEF8D}"/>
    <cellStyle name="Normal 14 2 2 3 3" xfId="12359" xr:uid="{00000000-0005-0000-0000-0000B2570000}"/>
    <cellStyle name="Normal 14 2 2 3 3 2" xfId="36208" xr:uid="{3C57568D-FFDF-46B8-9633-9B59D46A5647}"/>
    <cellStyle name="Normal 14 2 2 3 4" xfId="20314" xr:uid="{00000000-0005-0000-0000-0000B3570000}"/>
    <cellStyle name="Normal 14 2 2 3 4 2" xfId="44146" xr:uid="{F589DA57-DC74-4834-BC37-427AB73DE109}"/>
    <cellStyle name="Normal 14 2 2 3 5" xfId="28267" xr:uid="{91CEE010-8C5F-49DF-99F5-29DF68A4D4E9}"/>
    <cellStyle name="Normal 14 2 2 4" xfId="6154" xr:uid="{00000000-0005-0000-0000-0000B4570000}"/>
    <cellStyle name="Normal 14 2 2 4 2" xfId="14138" xr:uid="{00000000-0005-0000-0000-0000B5570000}"/>
    <cellStyle name="Normal 14 2 2 4 2 2" xfId="37981" xr:uid="{5B5D0CAE-0128-450A-B7A1-19DBF763B4F4}"/>
    <cellStyle name="Normal 14 2 2 4 3" xfId="22086" xr:uid="{00000000-0005-0000-0000-0000B6570000}"/>
    <cellStyle name="Normal 14 2 2 4 3 2" xfId="45918" xr:uid="{4D17172D-4FD2-4630-952F-C98F7F359C7B}"/>
    <cellStyle name="Normal 14 2 2 4 4" xfId="30040" xr:uid="{875C3186-4F33-4A99-B838-C28CCED3D742}"/>
    <cellStyle name="Normal 14 2 2 5" xfId="9707" xr:uid="{00000000-0005-0000-0000-0000B7570000}"/>
    <cellStyle name="Normal 14 2 2 5 2" xfId="17665" xr:uid="{00000000-0005-0000-0000-0000B8570000}"/>
    <cellStyle name="Normal 14 2 2 5 2 2" xfId="41505" xr:uid="{56835BDA-B768-4FEC-A96A-7CB6A0B9E7DF}"/>
    <cellStyle name="Normal 14 2 2 5 3" xfId="25609" xr:uid="{00000000-0005-0000-0000-0000B9570000}"/>
    <cellStyle name="Normal 14 2 2 5 3 2" xfId="49441" xr:uid="{247C5970-02AB-4B25-B678-2C1430FA0C05}"/>
    <cellStyle name="Normal 14 2 2 5 4" xfId="33564" xr:uid="{08DD6105-DDB6-4C66-AB88-EF3CC2214F97}"/>
    <cellStyle name="Normal 14 2 2 6" xfId="10603" xr:uid="{00000000-0005-0000-0000-0000BA570000}"/>
    <cellStyle name="Normal 14 2 2 6 2" xfId="34452" xr:uid="{689642DD-745B-4EA0-AD90-F49EFA963FFE}"/>
    <cellStyle name="Normal 14 2 2 7" xfId="18558" xr:uid="{00000000-0005-0000-0000-0000BB570000}"/>
    <cellStyle name="Normal 14 2 2 7 2" xfId="42390" xr:uid="{134D6EF8-978E-4F73-A475-B0896E396127}"/>
    <cellStyle name="Normal 14 2 2 8" xfId="26510" xr:uid="{4C2D5CA2-36E7-4E69-9F95-A2F342AE3306}"/>
    <cellStyle name="Normal 14 2 2_Exh G" xfId="3469" xr:uid="{00000000-0005-0000-0000-0000BC570000}"/>
    <cellStyle name="Normal 14 2 3" xfId="1682" xr:uid="{00000000-0005-0000-0000-0000BD570000}"/>
    <cellStyle name="Normal 14 2 3 2" xfId="5212" xr:uid="{00000000-0005-0000-0000-0000BE570000}"/>
    <cellStyle name="Normal 14 2 3 2 2" xfId="8803" xr:uid="{00000000-0005-0000-0000-0000BF570000}"/>
    <cellStyle name="Normal 14 2 3 2 2 2" xfId="16774" xr:uid="{00000000-0005-0000-0000-0000C0570000}"/>
    <cellStyle name="Normal 14 2 3 2 2 2 2" xfId="40616" xr:uid="{25506908-12CB-4A48-9843-5113078C5B03}"/>
    <cellStyle name="Normal 14 2 3 2 2 3" xfId="24720" xr:uid="{00000000-0005-0000-0000-0000C1570000}"/>
    <cellStyle name="Normal 14 2 3 2 2 3 2" xfId="48552" xr:uid="{437FCACB-818F-4C3D-97C0-D2A23C0E1A52}"/>
    <cellStyle name="Normal 14 2 3 2 2 4" xfId="32675" xr:uid="{E83EEB95-D3FD-4CA2-BF04-DBE4A8568215}"/>
    <cellStyle name="Normal 14 2 3 2 3" xfId="13236" xr:uid="{00000000-0005-0000-0000-0000C2570000}"/>
    <cellStyle name="Normal 14 2 3 2 3 2" xfId="37085" xr:uid="{E0456EFE-9AB9-4F15-A7EC-657FC1051FD1}"/>
    <cellStyle name="Normal 14 2 3 2 4" xfId="21191" xr:uid="{00000000-0005-0000-0000-0000C3570000}"/>
    <cellStyle name="Normal 14 2 3 2 4 2" xfId="45023" xr:uid="{6410325F-91E1-45C6-BB81-E1EE83ADA57D}"/>
    <cellStyle name="Normal 14 2 3 2 5" xfId="29144" xr:uid="{C904E170-0670-490E-A730-11D610FB2B7C}"/>
    <cellStyle name="Normal 14 2 3 3" xfId="7044" xr:uid="{00000000-0005-0000-0000-0000C4570000}"/>
    <cellStyle name="Normal 14 2 3 3 2" xfId="15016" xr:uid="{00000000-0005-0000-0000-0000C5570000}"/>
    <cellStyle name="Normal 14 2 3 3 2 2" xfId="38858" xr:uid="{4997CDC3-E1F5-40C6-B18E-7C1A5DA30541}"/>
    <cellStyle name="Normal 14 2 3 3 3" xfId="22963" xr:uid="{00000000-0005-0000-0000-0000C6570000}"/>
    <cellStyle name="Normal 14 2 3 3 3 2" xfId="46795" xr:uid="{991FFC88-F252-49A1-AE72-A1199DE3588C}"/>
    <cellStyle name="Normal 14 2 3 3 4" xfId="30917" xr:uid="{6F85DEA0-5053-48BB-9A37-CC5B9A56E41C}"/>
    <cellStyle name="Normal 14 2 3 4" xfId="11480" xr:uid="{00000000-0005-0000-0000-0000C7570000}"/>
    <cellStyle name="Normal 14 2 3 4 2" xfId="35329" xr:uid="{2F2B3633-89A2-4064-8E42-5FB3644B24C7}"/>
    <cellStyle name="Normal 14 2 3 5" xfId="19435" xr:uid="{00000000-0005-0000-0000-0000C8570000}"/>
    <cellStyle name="Normal 14 2 3 5 2" xfId="43267" xr:uid="{E2598914-349D-4150-B6D8-94B042BD665E}"/>
    <cellStyle name="Normal 14 2 3 6" xfId="27387" xr:uid="{033F1FB9-D5D7-428F-BC8B-B06240472A15}"/>
    <cellStyle name="Normal 14 2 3_Exh G" xfId="3471" xr:uid="{00000000-0005-0000-0000-0000C9570000}"/>
    <cellStyle name="Normal 14 2 4" xfId="4333" xr:uid="{00000000-0005-0000-0000-0000CA570000}"/>
    <cellStyle name="Normal 14 2 4 2" xfId="7925" xr:uid="{00000000-0005-0000-0000-0000CB570000}"/>
    <cellStyle name="Normal 14 2 4 2 2" xfId="15896" xr:uid="{00000000-0005-0000-0000-0000CC570000}"/>
    <cellStyle name="Normal 14 2 4 2 2 2" xfId="39738" xr:uid="{C5C5FF83-1869-46B9-8CA9-5BA0318F58F2}"/>
    <cellStyle name="Normal 14 2 4 2 3" xfId="23842" xr:uid="{00000000-0005-0000-0000-0000CD570000}"/>
    <cellStyle name="Normal 14 2 4 2 3 2" xfId="47674" xr:uid="{8296EA4D-689F-4C8D-B7BE-698363D723CB}"/>
    <cellStyle name="Normal 14 2 4 2 4" xfId="31797" xr:uid="{FFF4F655-AE31-4F7B-B557-19684AAF8F86}"/>
    <cellStyle name="Normal 14 2 4 3" xfId="12358" xr:uid="{00000000-0005-0000-0000-0000CE570000}"/>
    <cellStyle name="Normal 14 2 4 3 2" xfId="36207" xr:uid="{D6FF201B-80EC-4DCD-A45D-A97DFCBD2B11}"/>
    <cellStyle name="Normal 14 2 4 4" xfId="20313" xr:uid="{00000000-0005-0000-0000-0000CF570000}"/>
    <cellStyle name="Normal 14 2 4 4 2" xfId="44145" xr:uid="{2D521A0B-8E2F-42EF-AA7A-AAB89ECB3A87}"/>
    <cellStyle name="Normal 14 2 4 5" xfId="28266" xr:uid="{46DC1B9F-6F65-4145-B0E6-EFB7824546B8}"/>
    <cellStyle name="Normal 14 2 5" xfId="6153" xr:uid="{00000000-0005-0000-0000-0000D0570000}"/>
    <cellStyle name="Normal 14 2 5 2" xfId="14137" xr:uid="{00000000-0005-0000-0000-0000D1570000}"/>
    <cellStyle name="Normal 14 2 5 2 2" xfId="37980" xr:uid="{2CBB3918-9C88-47EA-BCF5-88CB11AC9420}"/>
    <cellStyle name="Normal 14 2 5 3" xfId="22085" xr:uid="{00000000-0005-0000-0000-0000D2570000}"/>
    <cellStyle name="Normal 14 2 5 3 2" xfId="45917" xr:uid="{F6FCBB6C-FB44-42CA-AE1D-0B0B82949927}"/>
    <cellStyle name="Normal 14 2 5 4" xfId="30039" xr:uid="{3A1562E3-9639-4CA3-9F92-32EB14FEEB1D}"/>
    <cellStyle name="Normal 14 2 6" xfId="9706" xr:uid="{00000000-0005-0000-0000-0000D3570000}"/>
    <cellStyle name="Normal 14 2 6 2" xfId="17664" xr:uid="{00000000-0005-0000-0000-0000D4570000}"/>
    <cellStyle name="Normal 14 2 6 2 2" xfId="41504" xr:uid="{97D17F12-D435-49E5-95C0-60C9CE7A2C46}"/>
    <cellStyle name="Normal 14 2 6 3" xfId="25608" xr:uid="{00000000-0005-0000-0000-0000D5570000}"/>
    <cellStyle name="Normal 14 2 6 3 2" xfId="49440" xr:uid="{BD013AE7-7045-4D8B-B33A-E01D68D9C55B}"/>
    <cellStyle name="Normal 14 2 6 4" xfId="33563" xr:uid="{755A4890-ED01-4B17-B8B1-6B4C8515E611}"/>
    <cellStyle name="Normal 14 2 7" xfId="10602" xr:uid="{00000000-0005-0000-0000-0000D6570000}"/>
    <cellStyle name="Normal 14 2 7 2" xfId="34451" xr:uid="{DB6CEC9B-0A26-4F80-BEEE-45C5F9627D3B}"/>
    <cellStyle name="Normal 14 2 8" xfId="18557" xr:uid="{00000000-0005-0000-0000-0000D7570000}"/>
    <cellStyle name="Normal 14 2 8 2" xfId="42389" xr:uid="{2538583F-EDF4-467F-B139-5492B9024986}"/>
    <cellStyle name="Normal 14 2 9" xfId="26509" xr:uid="{C4FDE6C4-031B-4F1A-8BF1-126A0FD10496}"/>
    <cellStyle name="Normal 14 2_Exh G" xfId="3468" xr:uid="{00000000-0005-0000-0000-0000D8570000}"/>
    <cellStyle name="Normal 14 3" xfId="656" xr:uid="{00000000-0005-0000-0000-0000D9570000}"/>
    <cellStyle name="Normal 14 3 2" xfId="1684" xr:uid="{00000000-0005-0000-0000-0000DA570000}"/>
    <cellStyle name="Normal 14 3 2 2" xfId="5214" xr:uid="{00000000-0005-0000-0000-0000DB570000}"/>
    <cellStyle name="Normal 14 3 2 2 2" xfId="8805" xr:uid="{00000000-0005-0000-0000-0000DC570000}"/>
    <cellStyle name="Normal 14 3 2 2 2 2" xfId="16776" xr:uid="{00000000-0005-0000-0000-0000DD570000}"/>
    <cellStyle name="Normal 14 3 2 2 2 2 2" xfId="40618" xr:uid="{0A2307A9-F5A0-48B5-9396-590B03990657}"/>
    <cellStyle name="Normal 14 3 2 2 2 3" xfId="24722" xr:uid="{00000000-0005-0000-0000-0000DE570000}"/>
    <cellStyle name="Normal 14 3 2 2 2 3 2" xfId="48554" xr:uid="{735DFB79-AD7F-4687-AC75-FCC975D1F35F}"/>
    <cellStyle name="Normal 14 3 2 2 2 4" xfId="32677" xr:uid="{63604058-F64E-41AF-9D88-305D60125650}"/>
    <cellStyle name="Normal 14 3 2 2 3" xfId="13238" xr:uid="{00000000-0005-0000-0000-0000DF570000}"/>
    <cellStyle name="Normal 14 3 2 2 3 2" xfId="37087" xr:uid="{62C86107-4BD3-40DC-ADD1-0E96054C7FC9}"/>
    <cellStyle name="Normal 14 3 2 2 4" xfId="21193" xr:uid="{00000000-0005-0000-0000-0000E0570000}"/>
    <cellStyle name="Normal 14 3 2 2 4 2" xfId="45025" xr:uid="{E2771125-91C7-4674-BCCE-0E588B8A38ED}"/>
    <cellStyle name="Normal 14 3 2 2 5" xfId="29146" xr:uid="{DFFED9C1-334C-4DE8-A0A2-87D2632FCFCE}"/>
    <cellStyle name="Normal 14 3 2 3" xfId="7046" xr:uid="{00000000-0005-0000-0000-0000E1570000}"/>
    <cellStyle name="Normal 14 3 2 3 2" xfId="15018" xr:uid="{00000000-0005-0000-0000-0000E2570000}"/>
    <cellStyle name="Normal 14 3 2 3 2 2" xfId="38860" xr:uid="{BF15524F-D0E3-4297-9EC8-512F129AFF57}"/>
    <cellStyle name="Normal 14 3 2 3 3" xfId="22965" xr:uid="{00000000-0005-0000-0000-0000E3570000}"/>
    <cellStyle name="Normal 14 3 2 3 3 2" xfId="46797" xr:uid="{C1D385A7-5D8E-42BF-A324-FDAD5BAAD0E3}"/>
    <cellStyle name="Normal 14 3 2 3 4" xfId="30919" xr:uid="{700E9ABE-DCEB-45B9-9BDD-3485252009D5}"/>
    <cellStyle name="Normal 14 3 2 4" xfId="11482" xr:uid="{00000000-0005-0000-0000-0000E4570000}"/>
    <cellStyle name="Normal 14 3 2 4 2" xfId="35331" xr:uid="{3CC1CFFC-35F3-4CFF-BB4C-F1E0DC83AC19}"/>
    <cellStyle name="Normal 14 3 2 5" xfId="19437" xr:uid="{00000000-0005-0000-0000-0000E5570000}"/>
    <cellStyle name="Normal 14 3 2 5 2" xfId="43269" xr:uid="{1FB59C2A-048C-4569-B4C8-E0650B66DE67}"/>
    <cellStyle name="Normal 14 3 2 6" xfId="27389" xr:uid="{D12B9973-0A30-4D1D-8EA9-207CC25D419A}"/>
    <cellStyle name="Normal 14 3 2_Exh G" xfId="3473" xr:uid="{00000000-0005-0000-0000-0000E6570000}"/>
    <cellStyle name="Normal 14 3 3" xfId="4335" xr:uid="{00000000-0005-0000-0000-0000E7570000}"/>
    <cellStyle name="Normal 14 3 3 2" xfId="7927" xr:uid="{00000000-0005-0000-0000-0000E8570000}"/>
    <cellStyle name="Normal 14 3 3 2 2" xfId="15898" xr:uid="{00000000-0005-0000-0000-0000E9570000}"/>
    <cellStyle name="Normal 14 3 3 2 2 2" xfId="39740" xr:uid="{047D3AD6-7517-458A-AC2E-5EE068431D94}"/>
    <cellStyle name="Normal 14 3 3 2 3" xfId="23844" xr:uid="{00000000-0005-0000-0000-0000EA570000}"/>
    <cellStyle name="Normal 14 3 3 2 3 2" xfId="47676" xr:uid="{E1F77CA7-70D4-4D46-A1DD-17259ACD0114}"/>
    <cellStyle name="Normal 14 3 3 2 4" xfId="31799" xr:uid="{0F8B9B86-A4FB-4FB1-B176-13D99F113F29}"/>
    <cellStyle name="Normal 14 3 3 3" xfId="12360" xr:uid="{00000000-0005-0000-0000-0000EB570000}"/>
    <cellStyle name="Normal 14 3 3 3 2" xfId="36209" xr:uid="{A9F930FF-0527-45FF-B862-930AF9E7B65A}"/>
    <cellStyle name="Normal 14 3 3 4" xfId="20315" xr:uid="{00000000-0005-0000-0000-0000EC570000}"/>
    <cellStyle name="Normal 14 3 3 4 2" xfId="44147" xr:uid="{654A8DC6-6275-492C-BF11-2CDF9D80A94C}"/>
    <cellStyle name="Normal 14 3 3 5" xfId="28268" xr:uid="{395FB91A-39A6-4544-9AB7-CAB571AEBA25}"/>
    <cellStyle name="Normal 14 3 4" xfId="6155" xr:uid="{00000000-0005-0000-0000-0000ED570000}"/>
    <cellStyle name="Normal 14 3 4 2" xfId="14139" xr:uid="{00000000-0005-0000-0000-0000EE570000}"/>
    <cellStyle name="Normal 14 3 4 2 2" xfId="37982" xr:uid="{50156382-1EB4-4F36-980A-BF768C1527B0}"/>
    <cellStyle name="Normal 14 3 4 3" xfId="22087" xr:uid="{00000000-0005-0000-0000-0000EF570000}"/>
    <cellStyle name="Normal 14 3 4 3 2" xfId="45919" xr:uid="{70EEDB12-B290-4A1F-B2F7-864916299A2A}"/>
    <cellStyle name="Normal 14 3 4 4" xfId="30041" xr:uid="{DC8E03F2-D440-4190-9A7C-72BFAF820930}"/>
    <cellStyle name="Normal 14 3 5" xfId="9708" xr:uid="{00000000-0005-0000-0000-0000F0570000}"/>
    <cellStyle name="Normal 14 3 5 2" xfId="17666" xr:uid="{00000000-0005-0000-0000-0000F1570000}"/>
    <cellStyle name="Normal 14 3 5 2 2" xfId="41506" xr:uid="{272582AD-0E86-469F-BD5B-4C4A2F3B6ECD}"/>
    <cellStyle name="Normal 14 3 5 3" xfId="25610" xr:uid="{00000000-0005-0000-0000-0000F2570000}"/>
    <cellStyle name="Normal 14 3 5 3 2" xfId="49442" xr:uid="{996BEE28-559E-4551-8912-C13D22862A79}"/>
    <cellStyle name="Normal 14 3 5 4" xfId="33565" xr:uid="{7DACEA1E-6A56-45F6-B5AE-29F3BF9DE27C}"/>
    <cellStyle name="Normal 14 3 6" xfId="10604" xr:uid="{00000000-0005-0000-0000-0000F3570000}"/>
    <cellStyle name="Normal 14 3 6 2" xfId="34453" xr:uid="{A304E13E-9240-43BB-9B93-F6E1D4A419C7}"/>
    <cellStyle name="Normal 14 3 7" xfId="18559" xr:uid="{00000000-0005-0000-0000-0000F4570000}"/>
    <cellStyle name="Normal 14 3 7 2" xfId="42391" xr:uid="{DE406B8C-0856-49BA-B363-54D37D1DC596}"/>
    <cellStyle name="Normal 14 3 8" xfId="26511" xr:uid="{E22D8495-8382-491E-9BEE-88DDCE0E2FF2}"/>
    <cellStyle name="Normal 14 3_Exh G" xfId="3472" xr:uid="{00000000-0005-0000-0000-0000F5570000}"/>
    <cellStyle name="Normal 14 4" xfId="740" xr:uid="{00000000-0005-0000-0000-0000F6570000}"/>
    <cellStyle name="Normal 14 4 2" xfId="1767" xr:uid="{00000000-0005-0000-0000-0000F7570000}"/>
    <cellStyle name="Normal 14 4_Exh G" xfId="3474" xr:uid="{00000000-0005-0000-0000-0000F8570000}"/>
    <cellStyle name="Normal 14 5" xfId="1016" xr:uid="{00000000-0005-0000-0000-0000F9570000}"/>
    <cellStyle name="Normal 14 6" xfId="1681" xr:uid="{00000000-0005-0000-0000-0000FA570000}"/>
    <cellStyle name="Normal 14 6 2" xfId="5211" xr:uid="{00000000-0005-0000-0000-0000FB570000}"/>
    <cellStyle name="Normal 14 6 2 2" xfId="8802" xr:uid="{00000000-0005-0000-0000-0000FC570000}"/>
    <cellStyle name="Normal 14 6 2 2 2" xfId="16773" xr:uid="{00000000-0005-0000-0000-0000FD570000}"/>
    <cellStyle name="Normal 14 6 2 2 2 2" xfId="40615" xr:uid="{C738BB45-A310-479C-BDDE-2B02DD7F71F0}"/>
    <cellStyle name="Normal 14 6 2 2 3" xfId="24719" xr:uid="{00000000-0005-0000-0000-0000FE570000}"/>
    <cellStyle name="Normal 14 6 2 2 3 2" xfId="48551" xr:uid="{773DDDF3-C0B4-4F49-9CE8-7A2C6E89A441}"/>
    <cellStyle name="Normal 14 6 2 2 4" xfId="32674" xr:uid="{95FEED62-7758-42D0-9000-57B7BA7A49BE}"/>
    <cellStyle name="Normal 14 6 2 3" xfId="13235" xr:uid="{00000000-0005-0000-0000-0000FF570000}"/>
    <cellStyle name="Normal 14 6 2 3 2" xfId="37084" xr:uid="{E8FA6053-62C9-4D75-9809-15D6C69815DC}"/>
    <cellStyle name="Normal 14 6 2 4" xfId="21190" xr:uid="{00000000-0005-0000-0000-000000580000}"/>
    <cellStyle name="Normal 14 6 2 4 2" xfId="45022" xr:uid="{6271A331-9EC0-45D9-AE70-14E8E8A1A4FD}"/>
    <cellStyle name="Normal 14 6 2 5" xfId="29143" xr:uid="{4F19D093-91BE-4158-9992-032CC1456293}"/>
    <cellStyle name="Normal 14 6 3" xfId="7043" xr:uid="{00000000-0005-0000-0000-000001580000}"/>
    <cellStyle name="Normal 14 6 3 2" xfId="15015" xr:uid="{00000000-0005-0000-0000-000002580000}"/>
    <cellStyle name="Normal 14 6 3 2 2" xfId="38857" xr:uid="{C67E8BE8-070F-4ECF-9969-2AF9ECDBDBEC}"/>
    <cellStyle name="Normal 14 6 3 3" xfId="22962" xr:uid="{00000000-0005-0000-0000-000003580000}"/>
    <cellStyle name="Normal 14 6 3 3 2" xfId="46794" xr:uid="{4D40B863-9DE9-4B27-BFE9-8C1E7896F842}"/>
    <cellStyle name="Normal 14 6 3 4" xfId="30916" xr:uid="{335F37DA-356B-4CA7-AB58-C80B5A51ADE1}"/>
    <cellStyle name="Normal 14 6 4" xfId="11479" xr:uid="{00000000-0005-0000-0000-000004580000}"/>
    <cellStyle name="Normal 14 6 4 2" xfId="35328" xr:uid="{98BAEB66-923F-4D9A-A230-26FD90008587}"/>
    <cellStyle name="Normal 14 6 5" xfId="19434" xr:uid="{00000000-0005-0000-0000-000005580000}"/>
    <cellStyle name="Normal 14 6 5 2" xfId="43266" xr:uid="{342000C5-A20F-49A5-AA10-968DB708F50C}"/>
    <cellStyle name="Normal 14 6 6" xfId="27386" xr:uid="{F494606D-57C6-410A-8D85-57287A64789B}"/>
    <cellStyle name="Normal 14 6_Exh G" xfId="3475" xr:uid="{00000000-0005-0000-0000-000006580000}"/>
    <cellStyle name="Normal 14 7" xfId="4332" xr:uid="{00000000-0005-0000-0000-000007580000}"/>
    <cellStyle name="Normal 14 7 2" xfId="7924" xr:uid="{00000000-0005-0000-0000-000008580000}"/>
    <cellStyle name="Normal 14 7 2 2" xfId="15895" xr:uid="{00000000-0005-0000-0000-000009580000}"/>
    <cellStyle name="Normal 14 7 2 2 2" xfId="39737" xr:uid="{75F76BDB-1D70-4E87-850A-C501AA70CDEF}"/>
    <cellStyle name="Normal 14 7 2 3" xfId="23841" xr:uid="{00000000-0005-0000-0000-00000A580000}"/>
    <cellStyle name="Normal 14 7 2 3 2" xfId="47673" xr:uid="{5FD5D76A-D143-4CC9-B239-DE4E1A8BF1CE}"/>
    <cellStyle name="Normal 14 7 2 4" xfId="31796" xr:uid="{140502A6-0ED6-4578-94B5-34B1AC94D559}"/>
    <cellStyle name="Normal 14 7 3" xfId="12357" xr:uid="{00000000-0005-0000-0000-00000B580000}"/>
    <cellStyle name="Normal 14 7 3 2" xfId="36206" xr:uid="{0DD8A3B8-4E57-4486-91AF-E19A5B083704}"/>
    <cellStyle name="Normal 14 7 4" xfId="20312" xr:uid="{00000000-0005-0000-0000-00000C580000}"/>
    <cellStyle name="Normal 14 7 4 2" xfId="44144" xr:uid="{55E376A8-7498-438A-9D60-B224A9A593B6}"/>
    <cellStyle name="Normal 14 7 5" xfId="28265" xr:uid="{87FAC7FB-2FBB-4E04-8CE5-E82138ED2D9C}"/>
    <cellStyle name="Normal 14 8" xfId="6152" xr:uid="{00000000-0005-0000-0000-00000D580000}"/>
    <cellStyle name="Normal 14 8 2" xfId="14136" xr:uid="{00000000-0005-0000-0000-00000E580000}"/>
    <cellStyle name="Normal 14 8 2 2" xfId="37979" xr:uid="{EDA8DD48-9D69-4F86-BE8C-080434C3220A}"/>
    <cellStyle name="Normal 14 8 3" xfId="22084" xr:uid="{00000000-0005-0000-0000-00000F580000}"/>
    <cellStyle name="Normal 14 8 3 2" xfId="45916" xr:uid="{B0631894-59C2-42EC-B4B1-0AC7EFBD655F}"/>
    <cellStyle name="Normal 14 8 4" xfId="30038" xr:uid="{21008920-6EC9-4C1B-A8A7-CD8424981C9D}"/>
    <cellStyle name="Normal 14 9" xfId="9705" xr:uid="{00000000-0005-0000-0000-000010580000}"/>
    <cellStyle name="Normal 14 9 2" xfId="17663" xr:uid="{00000000-0005-0000-0000-000011580000}"/>
    <cellStyle name="Normal 14 9 2 2" xfId="41503" xr:uid="{D1A79BAD-B26A-4706-BFF2-66B33CF4B757}"/>
    <cellStyle name="Normal 14 9 3" xfId="25607" xr:uid="{00000000-0005-0000-0000-000012580000}"/>
    <cellStyle name="Normal 14 9 3 2" xfId="49439" xr:uid="{AF39ABC4-A1CE-4A6C-B9C3-89CA504BA29A}"/>
    <cellStyle name="Normal 14 9 4" xfId="33562" xr:uid="{D968259D-D4D4-42E4-88D8-B8B3C0E30366}"/>
    <cellStyle name="Normal 14_Exh G" xfId="3467" xr:uid="{00000000-0005-0000-0000-000013580000}"/>
    <cellStyle name="Normal 15" xfId="657" xr:uid="{00000000-0005-0000-0000-000014580000}"/>
    <cellStyle name="Normal 15 10" xfId="26512" xr:uid="{21149C01-40AF-4E42-85D8-F42151A8434B}"/>
    <cellStyle name="Normal 15 2" xfId="658" xr:uid="{00000000-0005-0000-0000-000015580000}"/>
    <cellStyle name="Normal 15 2 2" xfId="659" xr:uid="{00000000-0005-0000-0000-000016580000}"/>
    <cellStyle name="Normal 15 2 2 2" xfId="1687" xr:uid="{00000000-0005-0000-0000-000017580000}"/>
    <cellStyle name="Normal 15 2 2 2 2" xfId="5217" xr:uid="{00000000-0005-0000-0000-000018580000}"/>
    <cellStyle name="Normal 15 2 2 2 2 2" xfId="8808" xr:uid="{00000000-0005-0000-0000-000019580000}"/>
    <cellStyle name="Normal 15 2 2 2 2 2 2" xfId="16779" xr:uid="{00000000-0005-0000-0000-00001A580000}"/>
    <cellStyle name="Normal 15 2 2 2 2 2 2 2" xfId="40621" xr:uid="{F379B9FA-4CB6-4189-9656-A52A4858B19C}"/>
    <cellStyle name="Normal 15 2 2 2 2 2 3" xfId="24725" xr:uid="{00000000-0005-0000-0000-00001B580000}"/>
    <cellStyle name="Normal 15 2 2 2 2 2 3 2" xfId="48557" xr:uid="{DB46EC3A-BE78-407E-8010-0EDBF0ACF9FC}"/>
    <cellStyle name="Normal 15 2 2 2 2 2 4" xfId="32680" xr:uid="{08731125-F961-4786-835C-B7A64EE77B7A}"/>
    <cellStyle name="Normal 15 2 2 2 2 3" xfId="13241" xr:uid="{00000000-0005-0000-0000-00001C580000}"/>
    <cellStyle name="Normal 15 2 2 2 2 3 2" xfId="37090" xr:uid="{36459197-8B95-4F15-AD41-20113A26AFE3}"/>
    <cellStyle name="Normal 15 2 2 2 2 4" xfId="21196" xr:uid="{00000000-0005-0000-0000-00001D580000}"/>
    <cellStyle name="Normal 15 2 2 2 2 4 2" xfId="45028" xr:uid="{A2B4E5BA-ADC4-49F0-8FFD-77F3E4784A7C}"/>
    <cellStyle name="Normal 15 2 2 2 2 5" xfId="29149" xr:uid="{E77B6579-F7DE-497E-9631-2EEFC09B1CE1}"/>
    <cellStyle name="Normal 15 2 2 2 3" xfId="7049" xr:uid="{00000000-0005-0000-0000-00001E580000}"/>
    <cellStyle name="Normal 15 2 2 2 3 2" xfId="15021" xr:uid="{00000000-0005-0000-0000-00001F580000}"/>
    <cellStyle name="Normal 15 2 2 2 3 2 2" xfId="38863" xr:uid="{44EF4786-44EB-4D1B-954E-DAC150B207DB}"/>
    <cellStyle name="Normal 15 2 2 2 3 3" xfId="22968" xr:uid="{00000000-0005-0000-0000-000020580000}"/>
    <cellStyle name="Normal 15 2 2 2 3 3 2" xfId="46800" xr:uid="{9E5B2B1C-0D7C-4DC0-A5FE-86A5BA08A9D2}"/>
    <cellStyle name="Normal 15 2 2 2 3 4" xfId="30922" xr:uid="{05124D1A-5C7D-4A7C-800E-E93D419DA796}"/>
    <cellStyle name="Normal 15 2 2 2 4" xfId="11485" xr:uid="{00000000-0005-0000-0000-000021580000}"/>
    <cellStyle name="Normal 15 2 2 2 4 2" xfId="35334" xr:uid="{936FC353-748F-4DE9-932D-B0740E5D5017}"/>
    <cellStyle name="Normal 15 2 2 2 5" xfId="19440" xr:uid="{00000000-0005-0000-0000-000022580000}"/>
    <cellStyle name="Normal 15 2 2 2 5 2" xfId="43272" xr:uid="{5F982E12-DEE7-40C0-95DA-E1781D66BB56}"/>
    <cellStyle name="Normal 15 2 2 2 6" xfId="27392" xr:uid="{DEBF0FF2-865E-4F4E-9DEE-9738071BC969}"/>
    <cellStyle name="Normal 15 2 2 2_Exh G" xfId="3479" xr:uid="{00000000-0005-0000-0000-000023580000}"/>
    <cellStyle name="Normal 15 2 2 3" xfId="4338" xr:uid="{00000000-0005-0000-0000-000024580000}"/>
    <cellStyle name="Normal 15 2 2 3 2" xfId="7930" xr:uid="{00000000-0005-0000-0000-000025580000}"/>
    <cellStyle name="Normal 15 2 2 3 2 2" xfId="15901" xr:uid="{00000000-0005-0000-0000-000026580000}"/>
    <cellStyle name="Normal 15 2 2 3 2 2 2" xfId="39743" xr:uid="{E3E7F5BC-D198-4CE6-ABBF-18DE1607EDF3}"/>
    <cellStyle name="Normal 15 2 2 3 2 3" xfId="23847" xr:uid="{00000000-0005-0000-0000-000027580000}"/>
    <cellStyle name="Normal 15 2 2 3 2 3 2" xfId="47679" xr:uid="{4570C0A4-54DD-4BCA-BDBB-371364BA7C6A}"/>
    <cellStyle name="Normal 15 2 2 3 2 4" xfId="31802" xr:uid="{3BCA10F5-A23B-43EC-AECC-E6C7DA3DBAF8}"/>
    <cellStyle name="Normal 15 2 2 3 3" xfId="12363" xr:uid="{00000000-0005-0000-0000-000028580000}"/>
    <cellStyle name="Normal 15 2 2 3 3 2" xfId="36212" xr:uid="{B7B89EF9-55DF-47DF-9AF4-E71F9F667131}"/>
    <cellStyle name="Normal 15 2 2 3 4" xfId="20318" xr:uid="{00000000-0005-0000-0000-000029580000}"/>
    <cellStyle name="Normal 15 2 2 3 4 2" xfId="44150" xr:uid="{805855F9-7E5E-45FC-8926-A18FB2BDB891}"/>
    <cellStyle name="Normal 15 2 2 3 5" xfId="28271" xr:uid="{1221500B-2DBE-427A-9EC3-E282D97169AA}"/>
    <cellStyle name="Normal 15 2 2 4" xfId="6158" xr:uid="{00000000-0005-0000-0000-00002A580000}"/>
    <cellStyle name="Normal 15 2 2 4 2" xfId="14142" xr:uid="{00000000-0005-0000-0000-00002B580000}"/>
    <cellStyle name="Normal 15 2 2 4 2 2" xfId="37985" xr:uid="{0E100CA0-7F7A-4EE6-9AE9-EAFAD400C9F5}"/>
    <cellStyle name="Normal 15 2 2 4 3" xfId="22090" xr:uid="{00000000-0005-0000-0000-00002C580000}"/>
    <cellStyle name="Normal 15 2 2 4 3 2" xfId="45922" xr:uid="{47C1AA8D-E6A7-459F-8D14-4BD14A42DB8F}"/>
    <cellStyle name="Normal 15 2 2 4 4" xfId="30044" xr:uid="{FB4C63A3-96E2-4DBF-BCAB-B9E64EEDDB33}"/>
    <cellStyle name="Normal 15 2 2 5" xfId="9711" xr:uid="{00000000-0005-0000-0000-00002D580000}"/>
    <cellStyle name="Normal 15 2 2 5 2" xfId="17669" xr:uid="{00000000-0005-0000-0000-00002E580000}"/>
    <cellStyle name="Normal 15 2 2 5 2 2" xfId="41509" xr:uid="{2B6D45FE-DD68-49A7-814E-048CBE1C05B4}"/>
    <cellStyle name="Normal 15 2 2 5 3" xfId="25613" xr:uid="{00000000-0005-0000-0000-00002F580000}"/>
    <cellStyle name="Normal 15 2 2 5 3 2" xfId="49445" xr:uid="{9B3E7ACD-BE50-420D-9F5C-D4247EFED8E3}"/>
    <cellStyle name="Normal 15 2 2 5 4" xfId="33568" xr:uid="{1FB5C8EB-B42C-45BF-8599-87420319707E}"/>
    <cellStyle name="Normal 15 2 2 6" xfId="10607" xr:uid="{00000000-0005-0000-0000-000030580000}"/>
    <cellStyle name="Normal 15 2 2 6 2" xfId="34456" xr:uid="{CD68F73C-1153-48E1-91A5-4B214DDA0450}"/>
    <cellStyle name="Normal 15 2 2 7" xfId="18562" xr:uid="{00000000-0005-0000-0000-000031580000}"/>
    <cellStyle name="Normal 15 2 2 7 2" xfId="42394" xr:uid="{8F63A110-38D6-41BE-997C-34FCBE75162B}"/>
    <cellStyle name="Normal 15 2 2 8" xfId="26514" xr:uid="{77664BDC-0E2C-4AB8-95C0-E07507A28F84}"/>
    <cellStyle name="Normal 15 2 2_Exh G" xfId="3478" xr:uid="{00000000-0005-0000-0000-000032580000}"/>
    <cellStyle name="Normal 15 2 3" xfId="1686" xr:uid="{00000000-0005-0000-0000-000033580000}"/>
    <cellStyle name="Normal 15 2 3 2" xfId="5216" xr:uid="{00000000-0005-0000-0000-000034580000}"/>
    <cellStyle name="Normal 15 2 3 2 2" xfId="8807" xr:uid="{00000000-0005-0000-0000-000035580000}"/>
    <cellStyle name="Normal 15 2 3 2 2 2" xfId="16778" xr:uid="{00000000-0005-0000-0000-000036580000}"/>
    <cellStyle name="Normal 15 2 3 2 2 2 2" xfId="40620" xr:uid="{F351FB24-E090-49C6-B205-C470908AFA8E}"/>
    <cellStyle name="Normal 15 2 3 2 2 3" xfId="24724" xr:uid="{00000000-0005-0000-0000-000037580000}"/>
    <cellStyle name="Normal 15 2 3 2 2 3 2" xfId="48556" xr:uid="{A16C00D2-2B97-4859-BC3D-DB840951FF33}"/>
    <cellStyle name="Normal 15 2 3 2 2 4" xfId="32679" xr:uid="{5D90C92E-9CEA-4FAE-BB89-06821C80F70C}"/>
    <cellStyle name="Normal 15 2 3 2 3" xfId="13240" xr:uid="{00000000-0005-0000-0000-000038580000}"/>
    <cellStyle name="Normal 15 2 3 2 3 2" xfId="37089" xr:uid="{3A5055CA-5075-4A60-AD7C-D633544CE1C3}"/>
    <cellStyle name="Normal 15 2 3 2 4" xfId="21195" xr:uid="{00000000-0005-0000-0000-000039580000}"/>
    <cellStyle name="Normal 15 2 3 2 4 2" xfId="45027" xr:uid="{51E2249D-BD6B-44DC-865E-7BF2226ADF8C}"/>
    <cellStyle name="Normal 15 2 3 2 5" xfId="29148" xr:uid="{54EC0020-4EBD-4E82-9B1A-8DF5A8D767D3}"/>
    <cellStyle name="Normal 15 2 3 3" xfId="7048" xr:uid="{00000000-0005-0000-0000-00003A580000}"/>
    <cellStyle name="Normal 15 2 3 3 2" xfId="15020" xr:uid="{00000000-0005-0000-0000-00003B580000}"/>
    <cellStyle name="Normal 15 2 3 3 2 2" xfId="38862" xr:uid="{5420EB80-4530-4AF7-8E98-B773B2B7BFE8}"/>
    <cellStyle name="Normal 15 2 3 3 3" xfId="22967" xr:uid="{00000000-0005-0000-0000-00003C580000}"/>
    <cellStyle name="Normal 15 2 3 3 3 2" xfId="46799" xr:uid="{269CABE6-1F27-4DD5-9080-CF30D415CD52}"/>
    <cellStyle name="Normal 15 2 3 3 4" xfId="30921" xr:uid="{E5BA7FD4-B4A1-48DE-9800-6E5226ED6A4E}"/>
    <cellStyle name="Normal 15 2 3 4" xfId="11484" xr:uid="{00000000-0005-0000-0000-00003D580000}"/>
    <cellStyle name="Normal 15 2 3 4 2" xfId="35333" xr:uid="{2BA27475-6DC7-4EAA-9BD3-2D7BEB893C7A}"/>
    <cellStyle name="Normal 15 2 3 5" xfId="19439" xr:uid="{00000000-0005-0000-0000-00003E580000}"/>
    <cellStyle name="Normal 15 2 3 5 2" xfId="43271" xr:uid="{B82C79FF-4E0B-40BC-86B3-F1CC92A6DF81}"/>
    <cellStyle name="Normal 15 2 3 6" xfId="27391" xr:uid="{4B388B91-8A4C-4753-AEF6-EC61C422CD0E}"/>
    <cellStyle name="Normal 15 2 3_Exh G" xfId="3480" xr:uid="{00000000-0005-0000-0000-00003F580000}"/>
    <cellStyle name="Normal 15 2 4" xfId="4337" xr:uid="{00000000-0005-0000-0000-000040580000}"/>
    <cellStyle name="Normal 15 2 4 2" xfId="7929" xr:uid="{00000000-0005-0000-0000-000041580000}"/>
    <cellStyle name="Normal 15 2 4 2 2" xfId="15900" xr:uid="{00000000-0005-0000-0000-000042580000}"/>
    <cellStyle name="Normal 15 2 4 2 2 2" xfId="39742" xr:uid="{B3922477-4205-451D-951B-198CBE094193}"/>
    <cellStyle name="Normal 15 2 4 2 3" xfId="23846" xr:uid="{00000000-0005-0000-0000-000043580000}"/>
    <cellStyle name="Normal 15 2 4 2 3 2" xfId="47678" xr:uid="{E7093FB3-21CE-4062-8FE0-B3E82B5516CA}"/>
    <cellStyle name="Normal 15 2 4 2 4" xfId="31801" xr:uid="{23C24D53-2E44-4AEB-8143-A89EF3953EB7}"/>
    <cellStyle name="Normal 15 2 4 3" xfId="12362" xr:uid="{00000000-0005-0000-0000-000044580000}"/>
    <cellStyle name="Normal 15 2 4 3 2" xfId="36211" xr:uid="{18D47DE4-655C-4B74-9181-107BAF965BBB}"/>
    <cellStyle name="Normal 15 2 4 4" xfId="20317" xr:uid="{00000000-0005-0000-0000-000045580000}"/>
    <cellStyle name="Normal 15 2 4 4 2" xfId="44149" xr:uid="{64A6096B-A5B8-419E-A4CC-04B03F39EED9}"/>
    <cellStyle name="Normal 15 2 4 5" xfId="28270" xr:uid="{CBF47298-ABF9-49CC-A097-8AE1898A91EF}"/>
    <cellStyle name="Normal 15 2 5" xfId="6157" xr:uid="{00000000-0005-0000-0000-000046580000}"/>
    <cellStyle name="Normal 15 2 5 2" xfId="14141" xr:uid="{00000000-0005-0000-0000-000047580000}"/>
    <cellStyle name="Normal 15 2 5 2 2" xfId="37984" xr:uid="{0E4B26DF-1A8A-48D4-832C-CB95D4D39D85}"/>
    <cellStyle name="Normal 15 2 5 3" xfId="22089" xr:uid="{00000000-0005-0000-0000-000048580000}"/>
    <cellStyle name="Normal 15 2 5 3 2" xfId="45921" xr:uid="{E266AF53-1BF6-43BC-AFE5-8B4538B0E167}"/>
    <cellStyle name="Normal 15 2 5 4" xfId="30043" xr:uid="{6395E7AA-3F0F-48F4-BB9F-99B37FA84B13}"/>
    <cellStyle name="Normal 15 2 6" xfId="9710" xr:uid="{00000000-0005-0000-0000-000049580000}"/>
    <cellStyle name="Normal 15 2 6 2" xfId="17668" xr:uid="{00000000-0005-0000-0000-00004A580000}"/>
    <cellStyle name="Normal 15 2 6 2 2" xfId="41508" xr:uid="{92ABFA9B-CB30-4BF9-951A-ACE75515D5AC}"/>
    <cellStyle name="Normal 15 2 6 3" xfId="25612" xr:uid="{00000000-0005-0000-0000-00004B580000}"/>
    <cellStyle name="Normal 15 2 6 3 2" xfId="49444" xr:uid="{1EF7EF3F-9AF9-45C2-828D-EBD1BFADB9AC}"/>
    <cellStyle name="Normal 15 2 6 4" xfId="33567" xr:uid="{4B0162DB-4924-4120-867C-39B2A0196435}"/>
    <cellStyle name="Normal 15 2 7" xfId="10606" xr:uid="{00000000-0005-0000-0000-00004C580000}"/>
    <cellStyle name="Normal 15 2 7 2" xfId="34455" xr:uid="{31F00016-77A6-4B4C-A27F-DBEDAF9F9D4D}"/>
    <cellStyle name="Normal 15 2 8" xfId="18561" xr:uid="{00000000-0005-0000-0000-00004D580000}"/>
    <cellStyle name="Normal 15 2 8 2" xfId="42393" xr:uid="{8EF9B64B-7FA7-4A6F-9455-8A8AB9D5EE98}"/>
    <cellStyle name="Normal 15 2 9" xfId="26513" xr:uid="{5EA0CF09-8FDC-4E45-AADB-0B5E3FBAB0F9}"/>
    <cellStyle name="Normal 15 2_Exh G" xfId="3477" xr:uid="{00000000-0005-0000-0000-00004E580000}"/>
    <cellStyle name="Normal 15 3" xfId="660" xr:uid="{00000000-0005-0000-0000-00004F580000}"/>
    <cellStyle name="Normal 15 3 2" xfId="1688" xr:uid="{00000000-0005-0000-0000-000050580000}"/>
    <cellStyle name="Normal 15 3 2 2" xfId="5218" xr:uid="{00000000-0005-0000-0000-000051580000}"/>
    <cellStyle name="Normal 15 3 2 2 2" xfId="8809" xr:uid="{00000000-0005-0000-0000-000052580000}"/>
    <cellStyle name="Normal 15 3 2 2 2 2" xfId="16780" xr:uid="{00000000-0005-0000-0000-000053580000}"/>
    <cellStyle name="Normal 15 3 2 2 2 2 2" xfId="40622" xr:uid="{13BB9C5A-F7B4-4584-9191-31D989D2E9FF}"/>
    <cellStyle name="Normal 15 3 2 2 2 3" xfId="24726" xr:uid="{00000000-0005-0000-0000-000054580000}"/>
    <cellStyle name="Normal 15 3 2 2 2 3 2" xfId="48558" xr:uid="{0F0E8950-3D31-41AB-91E4-2E89F5545997}"/>
    <cellStyle name="Normal 15 3 2 2 2 4" xfId="32681" xr:uid="{5AA48AF4-3197-469B-9CB3-27CCA7154019}"/>
    <cellStyle name="Normal 15 3 2 2 3" xfId="13242" xr:uid="{00000000-0005-0000-0000-000055580000}"/>
    <cellStyle name="Normal 15 3 2 2 3 2" xfId="37091" xr:uid="{C5D40E28-108D-4E53-A591-F6008AC0D7AE}"/>
    <cellStyle name="Normal 15 3 2 2 4" xfId="21197" xr:uid="{00000000-0005-0000-0000-000056580000}"/>
    <cellStyle name="Normal 15 3 2 2 4 2" xfId="45029" xr:uid="{6C7F0EE9-BC6A-4114-9ECB-A125FD1200F8}"/>
    <cellStyle name="Normal 15 3 2 2 5" xfId="29150" xr:uid="{AEA94A2D-3E8D-444D-B62A-95A3C8815083}"/>
    <cellStyle name="Normal 15 3 2 3" xfId="7050" xr:uid="{00000000-0005-0000-0000-000057580000}"/>
    <cellStyle name="Normal 15 3 2 3 2" xfId="15022" xr:uid="{00000000-0005-0000-0000-000058580000}"/>
    <cellStyle name="Normal 15 3 2 3 2 2" xfId="38864" xr:uid="{E49C3531-0BB1-4161-8BB8-9DCBE468334F}"/>
    <cellStyle name="Normal 15 3 2 3 3" xfId="22969" xr:uid="{00000000-0005-0000-0000-000059580000}"/>
    <cellStyle name="Normal 15 3 2 3 3 2" xfId="46801" xr:uid="{C6F4FBA8-96E7-4D4B-8BE1-2AFF16A2CD64}"/>
    <cellStyle name="Normal 15 3 2 3 4" xfId="30923" xr:uid="{4E162BCC-2FFB-4FA6-9319-853759D94DB2}"/>
    <cellStyle name="Normal 15 3 2 4" xfId="11486" xr:uid="{00000000-0005-0000-0000-00005A580000}"/>
    <cellStyle name="Normal 15 3 2 4 2" xfId="35335" xr:uid="{5C16DC8A-530A-4DD4-9546-B24ED6F19ED3}"/>
    <cellStyle name="Normal 15 3 2 5" xfId="19441" xr:uid="{00000000-0005-0000-0000-00005B580000}"/>
    <cellStyle name="Normal 15 3 2 5 2" xfId="43273" xr:uid="{70BADCE5-B231-4AC5-80ED-634A519206BC}"/>
    <cellStyle name="Normal 15 3 2 6" xfId="27393" xr:uid="{8172C6DB-5AA9-4B68-9D72-45066FCE6BAC}"/>
    <cellStyle name="Normal 15 3 2_Exh G" xfId="3482" xr:uid="{00000000-0005-0000-0000-00005C580000}"/>
    <cellStyle name="Normal 15 3 3" xfId="4339" xr:uid="{00000000-0005-0000-0000-00005D580000}"/>
    <cellStyle name="Normal 15 3 3 2" xfId="7931" xr:uid="{00000000-0005-0000-0000-00005E580000}"/>
    <cellStyle name="Normal 15 3 3 2 2" xfId="15902" xr:uid="{00000000-0005-0000-0000-00005F580000}"/>
    <cellStyle name="Normal 15 3 3 2 2 2" xfId="39744" xr:uid="{B5D900F6-546E-4045-B344-977148C914EC}"/>
    <cellStyle name="Normal 15 3 3 2 3" xfId="23848" xr:uid="{00000000-0005-0000-0000-000060580000}"/>
    <cellStyle name="Normal 15 3 3 2 3 2" xfId="47680" xr:uid="{92C4A51A-F8BB-452E-A73F-8AFA8758A2AC}"/>
    <cellStyle name="Normal 15 3 3 2 4" xfId="31803" xr:uid="{856E4DFE-FE6F-4605-9C2E-D8B7626FC56A}"/>
    <cellStyle name="Normal 15 3 3 3" xfId="12364" xr:uid="{00000000-0005-0000-0000-000061580000}"/>
    <cellStyle name="Normal 15 3 3 3 2" xfId="36213" xr:uid="{C5A6A696-6349-467F-8F5F-34BD90966AB3}"/>
    <cellStyle name="Normal 15 3 3 4" xfId="20319" xr:uid="{00000000-0005-0000-0000-000062580000}"/>
    <cellStyle name="Normal 15 3 3 4 2" xfId="44151" xr:uid="{4FD3CBAA-5875-45AF-8DC4-933615FC7C1A}"/>
    <cellStyle name="Normal 15 3 3 5" xfId="28272" xr:uid="{4E2EF0FE-E636-4F54-9A1C-A60E3F95CB5C}"/>
    <cellStyle name="Normal 15 3 4" xfId="6159" xr:uid="{00000000-0005-0000-0000-000063580000}"/>
    <cellStyle name="Normal 15 3 4 2" xfId="14143" xr:uid="{00000000-0005-0000-0000-000064580000}"/>
    <cellStyle name="Normal 15 3 4 2 2" xfId="37986" xr:uid="{7385FD31-3AA5-41D0-9CC5-C0764B65A0B7}"/>
    <cellStyle name="Normal 15 3 4 3" xfId="22091" xr:uid="{00000000-0005-0000-0000-000065580000}"/>
    <cellStyle name="Normal 15 3 4 3 2" xfId="45923" xr:uid="{9A8E275D-C5F6-48BC-BCE2-30D745347323}"/>
    <cellStyle name="Normal 15 3 4 4" xfId="30045" xr:uid="{3EEAA209-5E18-4FE9-81A8-53A4C0CD82E1}"/>
    <cellStyle name="Normal 15 3 5" xfId="9712" xr:uid="{00000000-0005-0000-0000-000066580000}"/>
    <cellStyle name="Normal 15 3 5 2" xfId="17670" xr:uid="{00000000-0005-0000-0000-000067580000}"/>
    <cellStyle name="Normal 15 3 5 2 2" xfId="41510" xr:uid="{826184BA-1554-44C0-921A-3DDA83DEA746}"/>
    <cellStyle name="Normal 15 3 5 3" xfId="25614" xr:uid="{00000000-0005-0000-0000-000068580000}"/>
    <cellStyle name="Normal 15 3 5 3 2" xfId="49446" xr:uid="{88396C2C-8BA8-425A-BB45-993DDF538C59}"/>
    <cellStyle name="Normal 15 3 5 4" xfId="33569" xr:uid="{513752ED-BA10-420A-BDF1-774F7A0E6F54}"/>
    <cellStyle name="Normal 15 3 6" xfId="10608" xr:uid="{00000000-0005-0000-0000-000069580000}"/>
    <cellStyle name="Normal 15 3 6 2" xfId="34457" xr:uid="{6EF2F8FC-50BA-4B96-86CE-81DF0E4D00DE}"/>
    <cellStyle name="Normal 15 3 7" xfId="18563" xr:uid="{00000000-0005-0000-0000-00006A580000}"/>
    <cellStyle name="Normal 15 3 7 2" xfId="42395" xr:uid="{DF701F60-DC3E-41DD-9E8C-CDD964C0633E}"/>
    <cellStyle name="Normal 15 3 8" xfId="26515" xr:uid="{E296EAEA-A535-41EB-8A53-B831A866E639}"/>
    <cellStyle name="Normal 15 3_Exh G" xfId="3481" xr:uid="{00000000-0005-0000-0000-00006B580000}"/>
    <cellStyle name="Normal 15 4" xfId="1685" xr:uid="{00000000-0005-0000-0000-00006C580000}"/>
    <cellStyle name="Normal 15 4 2" xfId="5215" xr:uid="{00000000-0005-0000-0000-00006D580000}"/>
    <cellStyle name="Normal 15 4 2 2" xfId="8806" xr:uid="{00000000-0005-0000-0000-00006E580000}"/>
    <cellStyle name="Normal 15 4 2 2 2" xfId="16777" xr:uid="{00000000-0005-0000-0000-00006F580000}"/>
    <cellStyle name="Normal 15 4 2 2 2 2" xfId="40619" xr:uid="{1C150356-AE1F-4D62-A256-4145DB59CC2D}"/>
    <cellStyle name="Normal 15 4 2 2 3" xfId="24723" xr:uid="{00000000-0005-0000-0000-000070580000}"/>
    <cellStyle name="Normal 15 4 2 2 3 2" xfId="48555" xr:uid="{B0500DE4-3452-4DD7-BE28-7A65C9129F15}"/>
    <cellStyle name="Normal 15 4 2 2 4" xfId="32678" xr:uid="{7CE1111C-73B4-4B74-8388-237ECBB55D00}"/>
    <cellStyle name="Normal 15 4 2 3" xfId="13239" xr:uid="{00000000-0005-0000-0000-000071580000}"/>
    <cellStyle name="Normal 15 4 2 3 2" xfId="37088" xr:uid="{81DC7667-03D5-4F2E-9569-307324848F45}"/>
    <cellStyle name="Normal 15 4 2 4" xfId="21194" xr:uid="{00000000-0005-0000-0000-000072580000}"/>
    <cellStyle name="Normal 15 4 2 4 2" xfId="45026" xr:uid="{5563164D-9AF7-4E25-B0A4-5CEB3B5AC696}"/>
    <cellStyle name="Normal 15 4 2 5" xfId="29147" xr:uid="{858AAF8B-7FA1-4E55-8DD2-79E0EE7CE1BD}"/>
    <cellStyle name="Normal 15 4 3" xfId="7047" xr:uid="{00000000-0005-0000-0000-000073580000}"/>
    <cellStyle name="Normal 15 4 3 2" xfId="15019" xr:uid="{00000000-0005-0000-0000-000074580000}"/>
    <cellStyle name="Normal 15 4 3 2 2" xfId="38861" xr:uid="{4EC088FF-D501-471B-A671-EA0E94498F13}"/>
    <cellStyle name="Normal 15 4 3 3" xfId="22966" xr:uid="{00000000-0005-0000-0000-000075580000}"/>
    <cellStyle name="Normal 15 4 3 3 2" xfId="46798" xr:uid="{456DFDBB-B00B-493B-BD88-6CBB8402127B}"/>
    <cellStyle name="Normal 15 4 3 4" xfId="30920" xr:uid="{B123A98A-9D15-427B-9D7D-ED0BFA007647}"/>
    <cellStyle name="Normal 15 4 4" xfId="11483" xr:uid="{00000000-0005-0000-0000-000076580000}"/>
    <cellStyle name="Normal 15 4 4 2" xfId="35332" xr:uid="{BFE7B5A1-E5DA-41E5-97F4-795B382E6419}"/>
    <cellStyle name="Normal 15 4 5" xfId="19438" xr:uid="{00000000-0005-0000-0000-000077580000}"/>
    <cellStyle name="Normal 15 4 5 2" xfId="43270" xr:uid="{17017260-4293-492F-AB6D-DBFBD9DA1640}"/>
    <cellStyle name="Normal 15 4 6" xfId="27390" xr:uid="{8C181BB1-B884-4413-89A5-D9356AAB7E8A}"/>
    <cellStyle name="Normal 15 4_Exh G" xfId="3483" xr:uid="{00000000-0005-0000-0000-000078580000}"/>
    <cellStyle name="Normal 15 5" xfId="4336" xr:uid="{00000000-0005-0000-0000-000079580000}"/>
    <cellStyle name="Normal 15 5 2" xfId="7928" xr:uid="{00000000-0005-0000-0000-00007A580000}"/>
    <cellStyle name="Normal 15 5 2 2" xfId="15899" xr:uid="{00000000-0005-0000-0000-00007B580000}"/>
    <cellStyle name="Normal 15 5 2 2 2" xfId="39741" xr:uid="{76C9E5BB-1C1F-4455-AE21-55613E081209}"/>
    <cellStyle name="Normal 15 5 2 3" xfId="23845" xr:uid="{00000000-0005-0000-0000-00007C580000}"/>
    <cellStyle name="Normal 15 5 2 3 2" xfId="47677" xr:uid="{3255D300-895A-45B4-8FDA-6EE620DC2DDF}"/>
    <cellStyle name="Normal 15 5 2 4" xfId="31800" xr:uid="{F0290ABE-2198-4229-AF54-41ACE489C609}"/>
    <cellStyle name="Normal 15 5 3" xfId="12361" xr:uid="{00000000-0005-0000-0000-00007D580000}"/>
    <cellStyle name="Normal 15 5 3 2" xfId="36210" xr:uid="{DA8716A3-6DED-4F91-89EC-6EF09B80207C}"/>
    <cellStyle name="Normal 15 5 4" xfId="20316" xr:uid="{00000000-0005-0000-0000-00007E580000}"/>
    <cellStyle name="Normal 15 5 4 2" xfId="44148" xr:uid="{9ED2E680-4B39-4FE1-B13B-C76CD160FF7A}"/>
    <cellStyle name="Normal 15 5 5" xfId="28269" xr:uid="{C40B6ACA-1DE1-4E7C-B4E6-2FAE40D6F913}"/>
    <cellStyle name="Normal 15 6" xfId="6156" xr:uid="{00000000-0005-0000-0000-00007F580000}"/>
    <cellStyle name="Normal 15 6 2" xfId="14140" xr:uid="{00000000-0005-0000-0000-000080580000}"/>
    <cellStyle name="Normal 15 6 2 2" xfId="37983" xr:uid="{A0480116-0B83-4B88-BC3F-61315A021569}"/>
    <cellStyle name="Normal 15 6 3" xfId="22088" xr:uid="{00000000-0005-0000-0000-000081580000}"/>
    <cellStyle name="Normal 15 6 3 2" xfId="45920" xr:uid="{D54F3212-39AF-4F7F-B26B-AF93E4E25645}"/>
    <cellStyle name="Normal 15 6 4" xfId="30042" xr:uid="{6FB4FAA1-FB14-4319-8D7A-9CD10701C794}"/>
    <cellStyle name="Normal 15 7" xfId="9709" xr:uid="{00000000-0005-0000-0000-000082580000}"/>
    <cellStyle name="Normal 15 7 2" xfId="17667" xr:uid="{00000000-0005-0000-0000-000083580000}"/>
    <cellStyle name="Normal 15 7 2 2" xfId="41507" xr:uid="{74CA552D-1435-47BA-BD6B-C389F9FAD077}"/>
    <cellStyle name="Normal 15 7 3" xfId="25611" xr:uid="{00000000-0005-0000-0000-000084580000}"/>
    <cellStyle name="Normal 15 7 3 2" xfId="49443" xr:uid="{DB7D0178-62CA-434A-8345-4E91522E8247}"/>
    <cellStyle name="Normal 15 7 4" xfId="33566" xr:uid="{538EDC4B-E40E-4BDA-A758-F0B2FCD67E7F}"/>
    <cellStyle name="Normal 15 8" xfId="10605" xr:uid="{00000000-0005-0000-0000-000085580000}"/>
    <cellStyle name="Normal 15 8 2" xfId="34454" xr:uid="{87103FE6-2A73-42E2-A100-E7CF37885DEC}"/>
    <cellStyle name="Normal 15 9" xfId="18560" xr:uid="{00000000-0005-0000-0000-000086580000}"/>
    <cellStyle name="Normal 15 9 2" xfId="42392" xr:uid="{4675C1AB-2879-4A6C-B645-15648637B6F6}"/>
    <cellStyle name="Normal 15_Exh G" xfId="3476" xr:uid="{00000000-0005-0000-0000-000087580000}"/>
    <cellStyle name="Normal 16" xfId="661" xr:uid="{00000000-0005-0000-0000-000088580000}"/>
    <cellStyle name="Normal 16 10" xfId="26516" xr:uid="{A6FD268E-EB29-4F63-AFA7-67184380192C}"/>
    <cellStyle name="Normal 16 2" xfId="662" xr:uid="{00000000-0005-0000-0000-000089580000}"/>
    <cellStyle name="Normal 16 2 2" xfId="663" xr:uid="{00000000-0005-0000-0000-00008A580000}"/>
    <cellStyle name="Normal 16 2 2 2" xfId="1691" xr:uid="{00000000-0005-0000-0000-00008B580000}"/>
    <cellStyle name="Normal 16 2 2 2 2" xfId="5221" xr:uid="{00000000-0005-0000-0000-00008C580000}"/>
    <cellStyle name="Normal 16 2 2 2 2 2" xfId="8812" xr:uid="{00000000-0005-0000-0000-00008D580000}"/>
    <cellStyle name="Normal 16 2 2 2 2 2 2" xfId="16783" xr:uid="{00000000-0005-0000-0000-00008E580000}"/>
    <cellStyle name="Normal 16 2 2 2 2 2 2 2" xfId="40625" xr:uid="{BE4B00CD-C715-43CA-AAAA-A926DB1D7079}"/>
    <cellStyle name="Normal 16 2 2 2 2 2 3" xfId="24729" xr:uid="{00000000-0005-0000-0000-00008F580000}"/>
    <cellStyle name="Normal 16 2 2 2 2 2 3 2" xfId="48561" xr:uid="{39BF429B-FD16-42E7-9AFA-2D5F33DB74C5}"/>
    <cellStyle name="Normal 16 2 2 2 2 2 4" xfId="32684" xr:uid="{6709CFB2-CF3C-4FCB-B09F-5ED9F3661E4D}"/>
    <cellStyle name="Normal 16 2 2 2 2 3" xfId="13245" xr:uid="{00000000-0005-0000-0000-000090580000}"/>
    <cellStyle name="Normal 16 2 2 2 2 3 2" xfId="37094" xr:uid="{604206FC-63EB-4A38-9A01-A5EFA09EACAB}"/>
    <cellStyle name="Normal 16 2 2 2 2 4" xfId="21200" xr:uid="{00000000-0005-0000-0000-000091580000}"/>
    <cellStyle name="Normal 16 2 2 2 2 4 2" xfId="45032" xr:uid="{C5E42267-7F63-4196-84CC-BC1D8AE65F0A}"/>
    <cellStyle name="Normal 16 2 2 2 2 5" xfId="29153" xr:uid="{FCF15D18-6ACC-4A99-9783-BC7341C4B9E5}"/>
    <cellStyle name="Normal 16 2 2 2 3" xfId="7053" xr:uid="{00000000-0005-0000-0000-000092580000}"/>
    <cellStyle name="Normal 16 2 2 2 3 2" xfId="15025" xr:uid="{00000000-0005-0000-0000-000093580000}"/>
    <cellStyle name="Normal 16 2 2 2 3 2 2" xfId="38867" xr:uid="{FFDF7BDF-EF3B-4C20-AE3E-37E2B36F00C9}"/>
    <cellStyle name="Normal 16 2 2 2 3 3" xfId="22972" xr:uid="{00000000-0005-0000-0000-000094580000}"/>
    <cellStyle name="Normal 16 2 2 2 3 3 2" xfId="46804" xr:uid="{441F46C2-FB8B-4B4D-AABB-9A94E78B35D4}"/>
    <cellStyle name="Normal 16 2 2 2 3 4" xfId="30926" xr:uid="{8E7C605C-184C-47F2-9BD3-CFC39EEE5016}"/>
    <cellStyle name="Normal 16 2 2 2 4" xfId="11489" xr:uid="{00000000-0005-0000-0000-000095580000}"/>
    <cellStyle name="Normal 16 2 2 2 4 2" xfId="35338" xr:uid="{FFC222C1-0B76-46E9-ADDF-3BCB0FD6A8AC}"/>
    <cellStyle name="Normal 16 2 2 2 5" xfId="19444" xr:uid="{00000000-0005-0000-0000-000096580000}"/>
    <cellStyle name="Normal 16 2 2 2 5 2" xfId="43276" xr:uid="{B8A66CEE-6F8F-4BD0-86B4-AB9FE73F554D}"/>
    <cellStyle name="Normal 16 2 2 2 6" xfId="27396" xr:uid="{611D32C8-A697-4A40-8F42-49C88D1023C6}"/>
    <cellStyle name="Normal 16 2 2 2_Exh G" xfId="3487" xr:uid="{00000000-0005-0000-0000-000097580000}"/>
    <cellStyle name="Normal 16 2 2 3" xfId="4342" xr:uid="{00000000-0005-0000-0000-000098580000}"/>
    <cellStyle name="Normal 16 2 2 3 2" xfId="7934" xr:uid="{00000000-0005-0000-0000-000099580000}"/>
    <cellStyle name="Normal 16 2 2 3 2 2" xfId="15905" xr:uid="{00000000-0005-0000-0000-00009A580000}"/>
    <cellStyle name="Normal 16 2 2 3 2 2 2" xfId="39747" xr:uid="{A267C48F-726A-4A47-A15A-9B6ED3C2A85D}"/>
    <cellStyle name="Normal 16 2 2 3 2 3" xfId="23851" xr:uid="{00000000-0005-0000-0000-00009B580000}"/>
    <cellStyle name="Normal 16 2 2 3 2 3 2" xfId="47683" xr:uid="{7281EB19-5524-4A45-818C-76CC735B2764}"/>
    <cellStyle name="Normal 16 2 2 3 2 4" xfId="31806" xr:uid="{5C54C877-D24C-41EF-BE98-E4A2BB812269}"/>
    <cellStyle name="Normal 16 2 2 3 3" xfId="12367" xr:uid="{00000000-0005-0000-0000-00009C580000}"/>
    <cellStyle name="Normal 16 2 2 3 3 2" xfId="36216" xr:uid="{77F8D3B2-0C39-4ABB-8A26-9A40E3CC0E65}"/>
    <cellStyle name="Normal 16 2 2 3 4" xfId="20322" xr:uid="{00000000-0005-0000-0000-00009D580000}"/>
    <cellStyle name="Normal 16 2 2 3 4 2" xfId="44154" xr:uid="{8D061681-3FDA-4873-AEDF-424AB6F7FCC2}"/>
    <cellStyle name="Normal 16 2 2 3 5" xfId="28275" xr:uid="{01BE6857-68EE-485D-B884-CDEFC7E45A4D}"/>
    <cellStyle name="Normal 16 2 2 4" xfId="6162" xr:uid="{00000000-0005-0000-0000-00009E580000}"/>
    <cellStyle name="Normal 16 2 2 4 2" xfId="14146" xr:uid="{00000000-0005-0000-0000-00009F580000}"/>
    <cellStyle name="Normal 16 2 2 4 2 2" xfId="37989" xr:uid="{2473EFBD-0138-4087-ACC6-E6DC9AE1EB8F}"/>
    <cellStyle name="Normal 16 2 2 4 3" xfId="22094" xr:uid="{00000000-0005-0000-0000-0000A0580000}"/>
    <cellStyle name="Normal 16 2 2 4 3 2" xfId="45926" xr:uid="{0769999D-7650-430F-B668-E527B3203427}"/>
    <cellStyle name="Normal 16 2 2 4 4" xfId="30048" xr:uid="{806A8A45-83AA-44D0-97EF-B15DE07C3B3D}"/>
    <cellStyle name="Normal 16 2 2 5" xfId="9715" xr:uid="{00000000-0005-0000-0000-0000A1580000}"/>
    <cellStyle name="Normal 16 2 2 5 2" xfId="17673" xr:uid="{00000000-0005-0000-0000-0000A2580000}"/>
    <cellStyle name="Normal 16 2 2 5 2 2" xfId="41513" xr:uid="{EE5503D6-B384-4FBE-BC32-3B84EE54033F}"/>
    <cellStyle name="Normal 16 2 2 5 3" xfId="25617" xr:uid="{00000000-0005-0000-0000-0000A3580000}"/>
    <cellStyle name="Normal 16 2 2 5 3 2" xfId="49449" xr:uid="{38A55E71-08FF-46DE-B74D-9D6583CA5EEC}"/>
    <cellStyle name="Normal 16 2 2 5 4" xfId="33572" xr:uid="{3498FE0F-51CC-4D46-9606-68C8FEB856BA}"/>
    <cellStyle name="Normal 16 2 2 6" xfId="10611" xr:uid="{00000000-0005-0000-0000-0000A4580000}"/>
    <cellStyle name="Normal 16 2 2 6 2" xfId="34460" xr:uid="{0C5E19F6-AC9E-4DFB-BB18-E3C16D652968}"/>
    <cellStyle name="Normal 16 2 2 7" xfId="18566" xr:uid="{00000000-0005-0000-0000-0000A5580000}"/>
    <cellStyle name="Normal 16 2 2 7 2" xfId="42398" xr:uid="{34F96B3F-0C09-40C3-92DA-1151B9E04D57}"/>
    <cellStyle name="Normal 16 2 2 8" xfId="26518" xr:uid="{4571E81D-5CF1-4FB0-B11C-734A58E78FE4}"/>
    <cellStyle name="Normal 16 2 2_Exh G" xfId="3486" xr:uid="{00000000-0005-0000-0000-0000A6580000}"/>
    <cellStyle name="Normal 16 2 3" xfId="1690" xr:uid="{00000000-0005-0000-0000-0000A7580000}"/>
    <cellStyle name="Normal 16 2 3 2" xfId="5220" xr:uid="{00000000-0005-0000-0000-0000A8580000}"/>
    <cellStyle name="Normal 16 2 3 2 2" xfId="8811" xr:uid="{00000000-0005-0000-0000-0000A9580000}"/>
    <cellStyle name="Normal 16 2 3 2 2 2" xfId="16782" xr:uid="{00000000-0005-0000-0000-0000AA580000}"/>
    <cellStyle name="Normal 16 2 3 2 2 2 2" xfId="40624" xr:uid="{1958E15A-1D66-4C25-9252-21E65A889C8B}"/>
    <cellStyle name="Normal 16 2 3 2 2 3" xfId="24728" xr:uid="{00000000-0005-0000-0000-0000AB580000}"/>
    <cellStyle name="Normal 16 2 3 2 2 3 2" xfId="48560" xr:uid="{02134602-07DA-4DF7-BF9E-14F80434D180}"/>
    <cellStyle name="Normal 16 2 3 2 2 4" xfId="32683" xr:uid="{560258B2-FF55-4B04-A01F-9B8B147269E7}"/>
    <cellStyle name="Normal 16 2 3 2 3" xfId="13244" xr:uid="{00000000-0005-0000-0000-0000AC580000}"/>
    <cellStyle name="Normal 16 2 3 2 3 2" xfId="37093" xr:uid="{A2DF6C65-BF86-4A17-908A-C711C5DF2B63}"/>
    <cellStyle name="Normal 16 2 3 2 4" xfId="21199" xr:uid="{00000000-0005-0000-0000-0000AD580000}"/>
    <cellStyle name="Normal 16 2 3 2 4 2" xfId="45031" xr:uid="{38731EEE-6BB0-4118-8B00-E29930DC3F76}"/>
    <cellStyle name="Normal 16 2 3 2 5" xfId="29152" xr:uid="{FA824177-7638-47B7-8D65-030CA408616C}"/>
    <cellStyle name="Normal 16 2 3 3" xfId="7052" xr:uid="{00000000-0005-0000-0000-0000AE580000}"/>
    <cellStyle name="Normal 16 2 3 3 2" xfId="15024" xr:uid="{00000000-0005-0000-0000-0000AF580000}"/>
    <cellStyle name="Normal 16 2 3 3 2 2" xfId="38866" xr:uid="{1F17A650-5449-43FD-AE49-8205DD1C4290}"/>
    <cellStyle name="Normal 16 2 3 3 3" xfId="22971" xr:uid="{00000000-0005-0000-0000-0000B0580000}"/>
    <cellStyle name="Normal 16 2 3 3 3 2" xfId="46803" xr:uid="{ED45D079-CA55-44E7-BBBF-3279B27E888D}"/>
    <cellStyle name="Normal 16 2 3 3 4" xfId="30925" xr:uid="{879D5628-72A8-471E-9260-939AC2DB942C}"/>
    <cellStyle name="Normal 16 2 3 4" xfId="11488" xr:uid="{00000000-0005-0000-0000-0000B1580000}"/>
    <cellStyle name="Normal 16 2 3 4 2" xfId="35337" xr:uid="{C3F1051E-835E-40D7-A3A3-EC63AED294C3}"/>
    <cellStyle name="Normal 16 2 3 5" xfId="19443" xr:uid="{00000000-0005-0000-0000-0000B2580000}"/>
    <cellStyle name="Normal 16 2 3 5 2" xfId="43275" xr:uid="{5A705CEB-94D2-429E-8C8C-552024798394}"/>
    <cellStyle name="Normal 16 2 3 6" xfId="27395" xr:uid="{1AA53D9C-ED28-42D8-A5F3-1F6A73850B56}"/>
    <cellStyle name="Normal 16 2 3_Exh G" xfId="3488" xr:uid="{00000000-0005-0000-0000-0000B3580000}"/>
    <cellStyle name="Normal 16 2 4" xfId="4341" xr:uid="{00000000-0005-0000-0000-0000B4580000}"/>
    <cellStyle name="Normal 16 2 4 2" xfId="7933" xr:uid="{00000000-0005-0000-0000-0000B5580000}"/>
    <cellStyle name="Normal 16 2 4 2 2" xfId="15904" xr:uid="{00000000-0005-0000-0000-0000B6580000}"/>
    <cellStyle name="Normal 16 2 4 2 2 2" xfId="39746" xr:uid="{50B2BEF6-0C60-4C80-8DD9-C43BA790E3B1}"/>
    <cellStyle name="Normal 16 2 4 2 3" xfId="23850" xr:uid="{00000000-0005-0000-0000-0000B7580000}"/>
    <cellStyle name="Normal 16 2 4 2 3 2" xfId="47682" xr:uid="{278334C6-0076-446B-BF34-BE0B121ABD59}"/>
    <cellStyle name="Normal 16 2 4 2 4" xfId="31805" xr:uid="{AFC90B34-D424-4A6B-9D2E-7BBFA90FA810}"/>
    <cellStyle name="Normal 16 2 4 3" xfId="12366" xr:uid="{00000000-0005-0000-0000-0000B8580000}"/>
    <cellStyle name="Normal 16 2 4 3 2" xfId="36215" xr:uid="{EEA5E99F-EC5C-4D97-89D7-1C355A2E6E80}"/>
    <cellStyle name="Normal 16 2 4 4" xfId="20321" xr:uid="{00000000-0005-0000-0000-0000B9580000}"/>
    <cellStyle name="Normal 16 2 4 4 2" xfId="44153" xr:uid="{7E2A75C8-36D9-4EF0-A672-A7B11864A96E}"/>
    <cellStyle name="Normal 16 2 4 5" xfId="28274" xr:uid="{18FE4C8D-5D5A-47D1-8ED2-C07A6BB8BB0A}"/>
    <cellStyle name="Normal 16 2 5" xfId="6161" xr:uid="{00000000-0005-0000-0000-0000BA580000}"/>
    <cellStyle name="Normal 16 2 5 2" xfId="14145" xr:uid="{00000000-0005-0000-0000-0000BB580000}"/>
    <cellStyle name="Normal 16 2 5 2 2" xfId="37988" xr:uid="{E1F9584F-E16D-4D03-B70B-A1B7C0146270}"/>
    <cellStyle name="Normal 16 2 5 3" xfId="22093" xr:uid="{00000000-0005-0000-0000-0000BC580000}"/>
    <cellStyle name="Normal 16 2 5 3 2" xfId="45925" xr:uid="{B7835D1E-39B7-41A7-9811-C15302D61218}"/>
    <cellStyle name="Normal 16 2 5 4" xfId="30047" xr:uid="{350240F6-A3B6-479F-9497-FC7B4BD03CA5}"/>
    <cellStyle name="Normal 16 2 6" xfId="9714" xr:uid="{00000000-0005-0000-0000-0000BD580000}"/>
    <cellStyle name="Normal 16 2 6 2" xfId="17672" xr:uid="{00000000-0005-0000-0000-0000BE580000}"/>
    <cellStyle name="Normal 16 2 6 2 2" xfId="41512" xr:uid="{9CFE6887-C61E-4127-B02E-8A3A5B5CB068}"/>
    <cellStyle name="Normal 16 2 6 3" xfId="25616" xr:uid="{00000000-0005-0000-0000-0000BF580000}"/>
    <cellStyle name="Normal 16 2 6 3 2" xfId="49448" xr:uid="{DE4EBF84-0834-45F0-9C8E-C2C34C4AF239}"/>
    <cellStyle name="Normal 16 2 6 4" xfId="33571" xr:uid="{2DA6C31C-A49A-45FE-AEBE-B826B97F69C1}"/>
    <cellStyle name="Normal 16 2 7" xfId="10610" xr:uid="{00000000-0005-0000-0000-0000C0580000}"/>
    <cellStyle name="Normal 16 2 7 2" xfId="34459" xr:uid="{C7A9D26C-1A2B-463A-B5AA-E631AD5B525D}"/>
    <cellStyle name="Normal 16 2 8" xfId="18565" xr:uid="{00000000-0005-0000-0000-0000C1580000}"/>
    <cellStyle name="Normal 16 2 8 2" xfId="42397" xr:uid="{9EA77198-271A-4914-904A-221934264F09}"/>
    <cellStyle name="Normal 16 2 9" xfId="26517" xr:uid="{9204BE35-90E2-435C-962A-DF601398D614}"/>
    <cellStyle name="Normal 16 2_Exh G" xfId="3485" xr:uid="{00000000-0005-0000-0000-0000C2580000}"/>
    <cellStyle name="Normal 16 3" xfId="664" xr:uid="{00000000-0005-0000-0000-0000C3580000}"/>
    <cellStyle name="Normal 16 3 2" xfId="1692" xr:uid="{00000000-0005-0000-0000-0000C4580000}"/>
    <cellStyle name="Normal 16 3 2 2" xfId="5222" xr:uid="{00000000-0005-0000-0000-0000C5580000}"/>
    <cellStyle name="Normal 16 3 2 2 2" xfId="8813" xr:uid="{00000000-0005-0000-0000-0000C6580000}"/>
    <cellStyle name="Normal 16 3 2 2 2 2" xfId="16784" xr:uid="{00000000-0005-0000-0000-0000C7580000}"/>
    <cellStyle name="Normal 16 3 2 2 2 2 2" xfId="40626" xr:uid="{FFCB948B-7D1E-4FD3-8AE0-A1975BB70DBA}"/>
    <cellStyle name="Normal 16 3 2 2 2 3" xfId="24730" xr:uid="{00000000-0005-0000-0000-0000C8580000}"/>
    <cellStyle name="Normal 16 3 2 2 2 3 2" xfId="48562" xr:uid="{B87F88C5-BDC0-4AF3-B6F6-3D3D7B7007F6}"/>
    <cellStyle name="Normal 16 3 2 2 2 4" xfId="32685" xr:uid="{A95BBE95-EFAF-447B-9FC0-4F6E89B750F7}"/>
    <cellStyle name="Normal 16 3 2 2 3" xfId="13246" xr:uid="{00000000-0005-0000-0000-0000C9580000}"/>
    <cellStyle name="Normal 16 3 2 2 3 2" xfId="37095" xr:uid="{3B86D77A-911C-45BF-BD1F-1B8EBAEBB126}"/>
    <cellStyle name="Normal 16 3 2 2 4" xfId="21201" xr:uid="{00000000-0005-0000-0000-0000CA580000}"/>
    <cellStyle name="Normal 16 3 2 2 4 2" xfId="45033" xr:uid="{50C3EB4C-4BA7-40B4-A4CD-E98CC83207FB}"/>
    <cellStyle name="Normal 16 3 2 2 5" xfId="29154" xr:uid="{843896EF-3860-4BAF-BF6D-96BC049E96FF}"/>
    <cellStyle name="Normal 16 3 2 3" xfId="7054" xr:uid="{00000000-0005-0000-0000-0000CB580000}"/>
    <cellStyle name="Normal 16 3 2 3 2" xfId="15026" xr:uid="{00000000-0005-0000-0000-0000CC580000}"/>
    <cellStyle name="Normal 16 3 2 3 2 2" xfId="38868" xr:uid="{1954A31B-71A9-4D13-96F8-86B260F07DD7}"/>
    <cellStyle name="Normal 16 3 2 3 3" xfId="22973" xr:uid="{00000000-0005-0000-0000-0000CD580000}"/>
    <cellStyle name="Normal 16 3 2 3 3 2" xfId="46805" xr:uid="{4A3D0B12-97D3-4CE8-A094-50D0680C4966}"/>
    <cellStyle name="Normal 16 3 2 3 4" xfId="30927" xr:uid="{0E911996-FE6C-4DCD-9A64-17DD95AEDBD3}"/>
    <cellStyle name="Normal 16 3 2 4" xfId="11490" xr:uid="{00000000-0005-0000-0000-0000CE580000}"/>
    <cellStyle name="Normal 16 3 2 4 2" xfId="35339" xr:uid="{07CAD474-D8BB-4546-A7CA-EDF24CD5260F}"/>
    <cellStyle name="Normal 16 3 2 5" xfId="19445" xr:uid="{00000000-0005-0000-0000-0000CF580000}"/>
    <cellStyle name="Normal 16 3 2 5 2" xfId="43277" xr:uid="{A8D3206E-9680-4C10-8FD5-2382F8B3C49D}"/>
    <cellStyle name="Normal 16 3 2 6" xfId="27397" xr:uid="{952923F6-7651-4AB0-939C-FC8CAA976499}"/>
    <cellStyle name="Normal 16 3 2_Exh G" xfId="3490" xr:uid="{00000000-0005-0000-0000-0000D0580000}"/>
    <cellStyle name="Normal 16 3 3" xfId="4343" xr:uid="{00000000-0005-0000-0000-0000D1580000}"/>
    <cellStyle name="Normal 16 3 3 2" xfId="7935" xr:uid="{00000000-0005-0000-0000-0000D2580000}"/>
    <cellStyle name="Normal 16 3 3 2 2" xfId="15906" xr:uid="{00000000-0005-0000-0000-0000D3580000}"/>
    <cellStyle name="Normal 16 3 3 2 2 2" xfId="39748" xr:uid="{5BB10D34-04E0-4ED0-9026-21CCEB1294EB}"/>
    <cellStyle name="Normal 16 3 3 2 3" xfId="23852" xr:uid="{00000000-0005-0000-0000-0000D4580000}"/>
    <cellStyle name="Normal 16 3 3 2 3 2" xfId="47684" xr:uid="{BCCC0915-382D-4208-B621-92A291AAFC22}"/>
    <cellStyle name="Normal 16 3 3 2 4" xfId="31807" xr:uid="{E4914C13-E85C-4FAE-A204-9CD967624891}"/>
    <cellStyle name="Normal 16 3 3 3" xfId="12368" xr:uid="{00000000-0005-0000-0000-0000D5580000}"/>
    <cellStyle name="Normal 16 3 3 3 2" xfId="36217" xr:uid="{D1F9FCA6-DD33-4E5D-8E77-539A98AD9547}"/>
    <cellStyle name="Normal 16 3 3 4" xfId="20323" xr:uid="{00000000-0005-0000-0000-0000D6580000}"/>
    <cellStyle name="Normal 16 3 3 4 2" xfId="44155" xr:uid="{642F6306-D469-4DFA-BF27-1CA440090C27}"/>
    <cellStyle name="Normal 16 3 3 5" xfId="28276" xr:uid="{00D82B51-246A-448A-ADAA-B4725933146D}"/>
    <cellStyle name="Normal 16 3 4" xfId="6163" xr:uid="{00000000-0005-0000-0000-0000D7580000}"/>
    <cellStyle name="Normal 16 3 4 2" xfId="14147" xr:uid="{00000000-0005-0000-0000-0000D8580000}"/>
    <cellStyle name="Normal 16 3 4 2 2" xfId="37990" xr:uid="{10C3F438-A38F-42D9-948F-5B524F04CDA8}"/>
    <cellStyle name="Normal 16 3 4 3" xfId="22095" xr:uid="{00000000-0005-0000-0000-0000D9580000}"/>
    <cellStyle name="Normal 16 3 4 3 2" xfId="45927" xr:uid="{5E673980-87D4-42F2-A91C-D272CF91644F}"/>
    <cellStyle name="Normal 16 3 4 4" xfId="30049" xr:uid="{7AE0921E-8A7A-4191-BB47-4275CA00E19B}"/>
    <cellStyle name="Normal 16 3 5" xfId="9716" xr:uid="{00000000-0005-0000-0000-0000DA580000}"/>
    <cellStyle name="Normal 16 3 5 2" xfId="17674" xr:uid="{00000000-0005-0000-0000-0000DB580000}"/>
    <cellStyle name="Normal 16 3 5 2 2" xfId="41514" xr:uid="{226199AA-1CDF-4FAD-A14B-DB15734003C0}"/>
    <cellStyle name="Normal 16 3 5 3" xfId="25618" xr:uid="{00000000-0005-0000-0000-0000DC580000}"/>
    <cellStyle name="Normal 16 3 5 3 2" xfId="49450" xr:uid="{FC5C5F82-6705-4C12-94DB-5B1379D1492D}"/>
    <cellStyle name="Normal 16 3 5 4" xfId="33573" xr:uid="{0AF6520E-967D-4508-A3E0-DEF1AE6C19B8}"/>
    <cellStyle name="Normal 16 3 6" xfId="10612" xr:uid="{00000000-0005-0000-0000-0000DD580000}"/>
    <cellStyle name="Normal 16 3 6 2" xfId="34461" xr:uid="{03BFC366-9B4C-486C-AE17-3FCA8B2C89E6}"/>
    <cellStyle name="Normal 16 3 7" xfId="18567" xr:uid="{00000000-0005-0000-0000-0000DE580000}"/>
    <cellStyle name="Normal 16 3 7 2" xfId="42399" xr:uid="{FE2D2585-3DE6-422A-85B3-220AB51383E6}"/>
    <cellStyle name="Normal 16 3 8" xfId="26519" xr:uid="{A63D656C-3523-4C2D-BEF4-ED7963AAA8CB}"/>
    <cellStyle name="Normal 16 3_Exh G" xfId="3489" xr:uid="{00000000-0005-0000-0000-0000DF580000}"/>
    <cellStyle name="Normal 16 4" xfId="1689" xr:uid="{00000000-0005-0000-0000-0000E0580000}"/>
    <cellStyle name="Normal 16 4 2" xfId="5219" xr:uid="{00000000-0005-0000-0000-0000E1580000}"/>
    <cellStyle name="Normal 16 4 2 2" xfId="8810" xr:uid="{00000000-0005-0000-0000-0000E2580000}"/>
    <cellStyle name="Normal 16 4 2 2 2" xfId="16781" xr:uid="{00000000-0005-0000-0000-0000E3580000}"/>
    <cellStyle name="Normal 16 4 2 2 2 2" xfId="40623" xr:uid="{30E2C23E-3086-4027-A286-AE5F80D67BD0}"/>
    <cellStyle name="Normal 16 4 2 2 3" xfId="24727" xr:uid="{00000000-0005-0000-0000-0000E4580000}"/>
    <cellStyle name="Normal 16 4 2 2 3 2" xfId="48559" xr:uid="{9872A359-BB45-4681-91EB-D7D7B1676054}"/>
    <cellStyle name="Normal 16 4 2 2 4" xfId="32682" xr:uid="{372467FD-5418-4143-B39E-F5AD42E34321}"/>
    <cellStyle name="Normal 16 4 2 3" xfId="13243" xr:uid="{00000000-0005-0000-0000-0000E5580000}"/>
    <cellStyle name="Normal 16 4 2 3 2" xfId="37092" xr:uid="{412CE1F1-7F2B-4F33-903D-F8DD33C912F3}"/>
    <cellStyle name="Normal 16 4 2 4" xfId="21198" xr:uid="{00000000-0005-0000-0000-0000E6580000}"/>
    <cellStyle name="Normal 16 4 2 4 2" xfId="45030" xr:uid="{9E4ED78C-2C21-4144-93A7-B17C7B47A202}"/>
    <cellStyle name="Normal 16 4 2 5" xfId="29151" xr:uid="{841628B0-5726-46B7-8C81-9CB90836DB04}"/>
    <cellStyle name="Normal 16 4 3" xfId="7051" xr:uid="{00000000-0005-0000-0000-0000E7580000}"/>
    <cellStyle name="Normal 16 4 3 2" xfId="15023" xr:uid="{00000000-0005-0000-0000-0000E8580000}"/>
    <cellStyle name="Normal 16 4 3 2 2" xfId="38865" xr:uid="{91DA8F5F-DAFE-42BC-9A57-92C2A568830C}"/>
    <cellStyle name="Normal 16 4 3 3" xfId="22970" xr:uid="{00000000-0005-0000-0000-0000E9580000}"/>
    <cellStyle name="Normal 16 4 3 3 2" xfId="46802" xr:uid="{34B64492-E944-40FA-B99C-B1FDD1FBB70A}"/>
    <cellStyle name="Normal 16 4 3 4" xfId="30924" xr:uid="{75DE6D21-A163-44DD-9289-3707CB367859}"/>
    <cellStyle name="Normal 16 4 4" xfId="11487" xr:uid="{00000000-0005-0000-0000-0000EA580000}"/>
    <cellStyle name="Normal 16 4 4 2" xfId="35336" xr:uid="{C7316644-92CB-4133-A9E0-140F0865FE7C}"/>
    <cellStyle name="Normal 16 4 5" xfId="19442" xr:uid="{00000000-0005-0000-0000-0000EB580000}"/>
    <cellStyle name="Normal 16 4 5 2" xfId="43274" xr:uid="{1D341720-DE00-42C1-A23B-92535C47B7EF}"/>
    <cellStyle name="Normal 16 4 6" xfId="27394" xr:uid="{4D12D854-30F9-45C5-8BE5-68523F1E0F78}"/>
    <cellStyle name="Normal 16 4_Exh G" xfId="3491" xr:uid="{00000000-0005-0000-0000-0000EC580000}"/>
    <cellStyle name="Normal 16 5" xfId="4340" xr:uid="{00000000-0005-0000-0000-0000ED580000}"/>
    <cellStyle name="Normal 16 5 2" xfId="7932" xr:uid="{00000000-0005-0000-0000-0000EE580000}"/>
    <cellStyle name="Normal 16 5 2 2" xfId="15903" xr:uid="{00000000-0005-0000-0000-0000EF580000}"/>
    <cellStyle name="Normal 16 5 2 2 2" xfId="39745" xr:uid="{72E6E7AF-D83C-4F33-8FC3-5A46731A0B67}"/>
    <cellStyle name="Normal 16 5 2 3" xfId="23849" xr:uid="{00000000-0005-0000-0000-0000F0580000}"/>
    <cellStyle name="Normal 16 5 2 3 2" xfId="47681" xr:uid="{BAB5FBC4-C5D6-4027-A964-9A2D951E1ADF}"/>
    <cellStyle name="Normal 16 5 2 4" xfId="31804" xr:uid="{0D0B5AC3-AD2D-4FB9-BC2D-BDC5F21235B0}"/>
    <cellStyle name="Normal 16 5 3" xfId="12365" xr:uid="{00000000-0005-0000-0000-0000F1580000}"/>
    <cellStyle name="Normal 16 5 3 2" xfId="36214" xr:uid="{2DFDA4F4-94F2-49BC-9465-03BF94565EC3}"/>
    <cellStyle name="Normal 16 5 4" xfId="20320" xr:uid="{00000000-0005-0000-0000-0000F2580000}"/>
    <cellStyle name="Normal 16 5 4 2" xfId="44152" xr:uid="{8DE2707A-5598-4D6C-AC89-7F34A14F0892}"/>
    <cellStyle name="Normal 16 5 5" xfId="28273" xr:uid="{11E669B5-A849-4783-88F4-6CCEBD1939AB}"/>
    <cellStyle name="Normal 16 6" xfId="6160" xr:uid="{00000000-0005-0000-0000-0000F3580000}"/>
    <cellStyle name="Normal 16 6 2" xfId="14144" xr:uid="{00000000-0005-0000-0000-0000F4580000}"/>
    <cellStyle name="Normal 16 6 2 2" xfId="37987" xr:uid="{7379088E-BB63-4CAC-B149-5BBF243F355C}"/>
    <cellStyle name="Normal 16 6 3" xfId="22092" xr:uid="{00000000-0005-0000-0000-0000F5580000}"/>
    <cellStyle name="Normal 16 6 3 2" xfId="45924" xr:uid="{C99B2C35-0DFB-4527-A71B-173BEB33EFDD}"/>
    <cellStyle name="Normal 16 6 4" xfId="30046" xr:uid="{178BE9CD-9C3A-4FC1-85FA-207E13D2AE84}"/>
    <cellStyle name="Normal 16 7" xfId="9713" xr:uid="{00000000-0005-0000-0000-0000F6580000}"/>
    <cellStyle name="Normal 16 7 2" xfId="17671" xr:uid="{00000000-0005-0000-0000-0000F7580000}"/>
    <cellStyle name="Normal 16 7 2 2" xfId="41511" xr:uid="{F957D493-6B94-42DD-BC66-323F4C7B5B2D}"/>
    <cellStyle name="Normal 16 7 3" xfId="25615" xr:uid="{00000000-0005-0000-0000-0000F8580000}"/>
    <cellStyle name="Normal 16 7 3 2" xfId="49447" xr:uid="{D46C6A4B-BFCF-482C-8B8A-EB6994897447}"/>
    <cellStyle name="Normal 16 7 4" xfId="33570" xr:uid="{74A59828-5180-4989-9E48-955F56EF63A1}"/>
    <cellStyle name="Normal 16 8" xfId="10609" xr:uid="{00000000-0005-0000-0000-0000F9580000}"/>
    <cellStyle name="Normal 16 8 2" xfId="34458" xr:uid="{9176336F-9F49-4D72-B168-FA35EE0C3031}"/>
    <cellStyle name="Normal 16 9" xfId="18564" xr:uid="{00000000-0005-0000-0000-0000FA580000}"/>
    <cellStyle name="Normal 16 9 2" xfId="42396" xr:uid="{72E24B7C-1D46-4C4A-9145-3F920078F79F}"/>
    <cellStyle name="Normal 16_Exh G" xfId="3484" xr:uid="{00000000-0005-0000-0000-0000FB580000}"/>
    <cellStyle name="Normal 17" xfId="665" xr:uid="{00000000-0005-0000-0000-0000FC580000}"/>
    <cellStyle name="Normal 17 2" xfId="1693" xr:uid="{00000000-0005-0000-0000-0000FD580000}"/>
    <cellStyle name="Normal 17 2 2" xfId="5223" xr:uid="{00000000-0005-0000-0000-0000FE580000}"/>
    <cellStyle name="Normal 17 2 2 2" xfId="8814" xr:uid="{00000000-0005-0000-0000-0000FF580000}"/>
    <cellStyle name="Normal 17 2 2 2 2" xfId="16785" xr:uid="{00000000-0005-0000-0000-000000590000}"/>
    <cellStyle name="Normal 17 2 2 2 2 2" xfId="40627" xr:uid="{CBEB1649-0744-458C-9825-80F8318492BF}"/>
    <cellStyle name="Normal 17 2 2 2 3" xfId="24731" xr:uid="{00000000-0005-0000-0000-000001590000}"/>
    <cellStyle name="Normal 17 2 2 2 3 2" xfId="48563" xr:uid="{8590307C-B70D-4E80-B1B4-17BD9E16C1BC}"/>
    <cellStyle name="Normal 17 2 2 2 4" xfId="32686" xr:uid="{C2E01FA8-9D70-44BE-892C-675F2AED211B}"/>
    <cellStyle name="Normal 17 2 2 3" xfId="13247" xr:uid="{00000000-0005-0000-0000-000002590000}"/>
    <cellStyle name="Normal 17 2 2 3 2" xfId="37096" xr:uid="{B55F5518-3653-4A4A-B546-7F8A68ED57D2}"/>
    <cellStyle name="Normal 17 2 2 4" xfId="21202" xr:uid="{00000000-0005-0000-0000-000003590000}"/>
    <cellStyle name="Normal 17 2 2 4 2" xfId="45034" xr:uid="{8C78F591-8198-4577-874C-FECCB6F32393}"/>
    <cellStyle name="Normal 17 2 2 5" xfId="29155" xr:uid="{FB54F897-7710-46E7-B510-064313B8A29F}"/>
    <cellStyle name="Normal 17 2 3" xfId="7055" xr:uid="{00000000-0005-0000-0000-000004590000}"/>
    <cellStyle name="Normal 17 2 3 2" xfId="15027" xr:uid="{00000000-0005-0000-0000-000005590000}"/>
    <cellStyle name="Normal 17 2 3 2 2" xfId="38869" xr:uid="{1A4C52FF-28C6-48E2-B3E0-B04B8492DDF1}"/>
    <cellStyle name="Normal 17 2 3 3" xfId="22974" xr:uid="{00000000-0005-0000-0000-000006590000}"/>
    <cellStyle name="Normal 17 2 3 3 2" xfId="46806" xr:uid="{1ECA9D3E-D9AC-4113-8ED1-2CE8729E5C6D}"/>
    <cellStyle name="Normal 17 2 3 4" xfId="30928" xr:uid="{F6801BE3-4844-4458-9F2A-756E9707FF5F}"/>
    <cellStyle name="Normal 17 2 4" xfId="11491" xr:uid="{00000000-0005-0000-0000-000007590000}"/>
    <cellStyle name="Normal 17 2 4 2" xfId="35340" xr:uid="{E0F0C13C-4311-4CD2-B0C6-0761C9867B1F}"/>
    <cellStyle name="Normal 17 2 5" xfId="19446" xr:uid="{00000000-0005-0000-0000-000008590000}"/>
    <cellStyle name="Normal 17 2 5 2" xfId="43278" xr:uid="{CE474272-CDE6-4791-8506-00F927BC4B87}"/>
    <cellStyle name="Normal 17 2 6" xfId="27398" xr:uid="{BDCEC457-2383-4539-AE7A-6765FE9F0F16}"/>
    <cellStyle name="Normal 17 2_Exh G" xfId="3493" xr:uid="{00000000-0005-0000-0000-000009590000}"/>
    <cellStyle name="Normal 17 3" xfId="4344" xr:uid="{00000000-0005-0000-0000-00000A590000}"/>
    <cellStyle name="Normal 17 3 2" xfId="7936" xr:uid="{00000000-0005-0000-0000-00000B590000}"/>
    <cellStyle name="Normal 17 3 2 2" xfId="15907" xr:uid="{00000000-0005-0000-0000-00000C590000}"/>
    <cellStyle name="Normal 17 3 2 2 2" xfId="39749" xr:uid="{2B588A99-0B61-40FD-A7D3-CE75A9C8935E}"/>
    <cellStyle name="Normal 17 3 2 3" xfId="23853" xr:uid="{00000000-0005-0000-0000-00000D590000}"/>
    <cellStyle name="Normal 17 3 2 3 2" xfId="47685" xr:uid="{979526AC-DF92-4773-9566-83D9D6F0D73B}"/>
    <cellStyle name="Normal 17 3 2 4" xfId="31808" xr:uid="{D2E60AF4-E4ED-446C-B97F-75BDC6FD8E42}"/>
    <cellStyle name="Normal 17 3 3" xfId="12369" xr:uid="{00000000-0005-0000-0000-00000E590000}"/>
    <cellStyle name="Normal 17 3 3 2" xfId="36218" xr:uid="{C8DFE15C-20A2-4DDB-BF52-D00E1908BFFE}"/>
    <cellStyle name="Normal 17 3 4" xfId="20324" xr:uid="{00000000-0005-0000-0000-00000F590000}"/>
    <cellStyle name="Normal 17 3 4 2" xfId="44156" xr:uid="{BD812DFC-8F92-4F45-90F0-C632D9754F71}"/>
    <cellStyle name="Normal 17 3 5" xfId="28277" xr:uid="{F5873240-A0BF-4314-8DC5-698146D1F709}"/>
    <cellStyle name="Normal 17 4" xfId="6164" xr:uid="{00000000-0005-0000-0000-000010590000}"/>
    <cellStyle name="Normal 17 4 2" xfId="14148" xr:uid="{00000000-0005-0000-0000-000011590000}"/>
    <cellStyle name="Normal 17 4 2 2" xfId="37991" xr:uid="{D492F8DD-0F98-4B4F-A6B5-7734E5A0F070}"/>
    <cellStyle name="Normal 17 4 3" xfId="22096" xr:uid="{00000000-0005-0000-0000-000012590000}"/>
    <cellStyle name="Normal 17 4 3 2" xfId="45928" xr:uid="{2FA5330D-97E0-4581-BA77-BB7BD6DD7ACD}"/>
    <cellStyle name="Normal 17 4 4" xfId="30050" xr:uid="{A5E949DC-841C-480F-A4EB-F8F53E0B1663}"/>
    <cellStyle name="Normal 17 5" xfId="9717" xr:uid="{00000000-0005-0000-0000-000013590000}"/>
    <cellStyle name="Normal 17 5 2" xfId="17675" xr:uid="{00000000-0005-0000-0000-000014590000}"/>
    <cellStyle name="Normal 17 5 2 2" xfId="41515" xr:uid="{57040DE7-B379-4C35-A71D-D48A40D114FC}"/>
    <cellStyle name="Normal 17 5 3" xfId="25619" xr:uid="{00000000-0005-0000-0000-000015590000}"/>
    <cellStyle name="Normal 17 5 3 2" xfId="49451" xr:uid="{4DB0B8FC-5171-468B-B6B1-E2D53CD01BF0}"/>
    <cellStyle name="Normal 17 5 4" xfId="33574" xr:uid="{AFFED29A-FD6D-4A10-8E6C-5A3AE836D672}"/>
    <cellStyle name="Normal 17 6" xfId="10613" xr:uid="{00000000-0005-0000-0000-000016590000}"/>
    <cellStyle name="Normal 17 6 2" xfId="34462" xr:uid="{1E3FFC6F-B24F-4A5A-A750-F8CCD5EC0D44}"/>
    <cellStyle name="Normal 17 7" xfId="18568" xr:uid="{00000000-0005-0000-0000-000017590000}"/>
    <cellStyle name="Normal 17 7 2" xfId="42400" xr:uid="{A3F949D9-022D-4205-8770-40EC5B6495E4}"/>
    <cellStyle name="Normal 17 8" xfId="26520" xr:uid="{3A93CE96-2F78-43CA-9D1C-3E235D7E1A50}"/>
    <cellStyle name="Normal 17_Exh G" xfId="3492" xr:uid="{00000000-0005-0000-0000-000018590000}"/>
    <cellStyle name="Normal 18" xfId="739" xr:uid="{00000000-0005-0000-0000-000019590000}"/>
    <cellStyle name="Normal 19" xfId="827" xr:uid="{00000000-0005-0000-0000-00001A590000}"/>
    <cellStyle name="Normal 19 2" xfId="1769" xr:uid="{00000000-0005-0000-0000-00001B590000}"/>
    <cellStyle name="Normal 19 2 2" xfId="5298" xr:uid="{00000000-0005-0000-0000-00001C590000}"/>
    <cellStyle name="Normal 19 2 2 2" xfId="8889" xr:uid="{00000000-0005-0000-0000-00001D590000}"/>
    <cellStyle name="Normal 19 2 2 2 2" xfId="16860" xr:uid="{00000000-0005-0000-0000-00001E590000}"/>
    <cellStyle name="Normal 19 2 2 2 2 2" xfId="40702" xr:uid="{5B2ABC8A-89C9-48B1-AF70-F78DCB61F643}"/>
    <cellStyle name="Normal 19 2 2 2 3" xfId="24806" xr:uid="{00000000-0005-0000-0000-00001F590000}"/>
    <cellStyle name="Normal 19 2 2 2 3 2" xfId="48638" xr:uid="{518AB5CF-E5B2-436B-965A-1C1CCB6B1ACA}"/>
    <cellStyle name="Normal 19 2 2 2 4" xfId="32761" xr:uid="{258F00AF-CF29-4F88-9E9C-EBED6D60B2B3}"/>
    <cellStyle name="Normal 19 2 2 3" xfId="13322" xr:uid="{00000000-0005-0000-0000-000020590000}"/>
    <cellStyle name="Normal 19 2 2 3 2" xfId="37171" xr:uid="{EFBC4F81-613E-40B1-9EEA-8DE3D8C3C85C}"/>
    <cellStyle name="Normal 19 2 2 4" xfId="21277" xr:uid="{00000000-0005-0000-0000-000021590000}"/>
    <cellStyle name="Normal 19 2 2 4 2" xfId="45109" xr:uid="{E7F116C7-FFE3-4276-80EF-3179522A0029}"/>
    <cellStyle name="Normal 19 2 2 5" xfId="29230" xr:uid="{27DD1935-69DB-4CCD-8510-4E29416036E7}"/>
    <cellStyle name="Normal 19 2 3" xfId="7130" xr:uid="{00000000-0005-0000-0000-000022590000}"/>
    <cellStyle name="Normal 19 2 3 2" xfId="15102" xr:uid="{00000000-0005-0000-0000-000023590000}"/>
    <cellStyle name="Normal 19 2 3 2 2" xfId="38944" xr:uid="{DEB92A1F-CC09-4770-B7D1-99C392F027A3}"/>
    <cellStyle name="Normal 19 2 3 3" xfId="23049" xr:uid="{00000000-0005-0000-0000-000024590000}"/>
    <cellStyle name="Normal 19 2 3 3 2" xfId="46881" xr:uid="{FB82E61D-6092-4529-A212-BBB6B632D4CD}"/>
    <cellStyle name="Normal 19 2 3 4" xfId="31003" xr:uid="{39C48AAF-2ABF-4F06-9E01-4691AF7E2CAE}"/>
    <cellStyle name="Normal 19 2 4" xfId="11566" xr:uid="{00000000-0005-0000-0000-000025590000}"/>
    <cellStyle name="Normal 19 2 4 2" xfId="35415" xr:uid="{424D5D3B-C840-47B5-8252-57E5698DD9AE}"/>
    <cellStyle name="Normal 19 2 5" xfId="19521" xr:uid="{00000000-0005-0000-0000-000026590000}"/>
    <cellStyle name="Normal 19 2 5 2" xfId="43353" xr:uid="{61A9EE44-5CCE-4665-A061-A9982B1D726D}"/>
    <cellStyle name="Normal 19 2 6" xfId="27473" xr:uid="{889AC3D5-B0E5-4A97-9C57-0E5B95E6858B}"/>
    <cellStyle name="Normal 19 2_Exh G" xfId="3495" xr:uid="{00000000-0005-0000-0000-000027590000}"/>
    <cellStyle name="Normal 19 3" xfId="4419" xr:uid="{00000000-0005-0000-0000-000028590000}"/>
    <cellStyle name="Normal 19 3 2" xfId="8011" xr:uid="{00000000-0005-0000-0000-000029590000}"/>
    <cellStyle name="Normal 19 3 2 2" xfId="15982" xr:uid="{00000000-0005-0000-0000-00002A590000}"/>
    <cellStyle name="Normal 19 3 2 2 2" xfId="39824" xr:uid="{BA15E2CD-85A9-460A-B1C4-DB11BBA392E3}"/>
    <cellStyle name="Normal 19 3 2 3" xfId="23928" xr:uid="{00000000-0005-0000-0000-00002B590000}"/>
    <cellStyle name="Normal 19 3 2 3 2" xfId="47760" xr:uid="{CA74B028-6423-42DA-B6AE-09201A25CE48}"/>
    <cellStyle name="Normal 19 3 2 4" xfId="31883" xr:uid="{050E366D-3CBC-47E4-BAC2-377DAC6FED34}"/>
    <cellStyle name="Normal 19 3 3" xfId="12444" xr:uid="{00000000-0005-0000-0000-00002C590000}"/>
    <cellStyle name="Normal 19 3 3 2" xfId="36293" xr:uid="{7D33ED9C-DC3E-4BAD-9452-D328D79F4DA6}"/>
    <cellStyle name="Normal 19 3 4" xfId="20399" xr:uid="{00000000-0005-0000-0000-00002D590000}"/>
    <cellStyle name="Normal 19 3 4 2" xfId="44231" xr:uid="{DC038BBA-86A3-4589-A6A0-01ED0738A485}"/>
    <cellStyle name="Normal 19 3 5" xfId="28352" xr:uid="{B246B8A9-39C6-42A9-B858-E40C30139AD8}"/>
    <cellStyle name="Normal 19 4" xfId="6249" xr:uid="{00000000-0005-0000-0000-00002E590000}"/>
    <cellStyle name="Normal 19 4 2" xfId="14224" xr:uid="{00000000-0005-0000-0000-00002F590000}"/>
    <cellStyle name="Normal 19 4 2 2" xfId="38066" xr:uid="{599EBAAE-87C3-4EF3-8A4B-0E3E89B6822B}"/>
    <cellStyle name="Normal 19 4 3" xfId="22171" xr:uid="{00000000-0005-0000-0000-000030590000}"/>
    <cellStyle name="Normal 19 4 3 2" xfId="46003" xr:uid="{7D741624-F8C5-44B0-9267-1BCDEFB7CEAC}"/>
    <cellStyle name="Normal 19 4 4" xfId="30125" xr:uid="{5F74C9B9-EE21-4FB0-9808-9E234F6F0501}"/>
    <cellStyle name="Normal 19 5" xfId="9792" xr:uid="{00000000-0005-0000-0000-000031590000}"/>
    <cellStyle name="Normal 19 5 2" xfId="17750" xr:uid="{00000000-0005-0000-0000-000032590000}"/>
    <cellStyle name="Normal 19 5 2 2" xfId="41590" xr:uid="{71E7F761-33A1-4483-9936-A72BD4DF4FA7}"/>
    <cellStyle name="Normal 19 5 3" xfId="25694" xr:uid="{00000000-0005-0000-0000-000033590000}"/>
    <cellStyle name="Normal 19 5 3 2" xfId="49526" xr:uid="{680AB394-DCCC-4074-BA2A-670437EBB0A4}"/>
    <cellStyle name="Normal 19 5 4" xfId="33649" xr:uid="{BF5784CF-1792-42FB-8550-80E447AB00E4}"/>
    <cellStyle name="Normal 19 6" xfId="10688" xr:uid="{00000000-0005-0000-0000-000034590000}"/>
    <cellStyle name="Normal 19 6 2" xfId="34537" xr:uid="{44B12C2C-4DF9-4AD5-B1AE-1F70CBDDD822}"/>
    <cellStyle name="Normal 19 7" xfId="18643" xr:uid="{00000000-0005-0000-0000-000035590000}"/>
    <cellStyle name="Normal 19 7 2" xfId="42475" xr:uid="{4824B267-7420-48ED-9915-05432C8FCCEF}"/>
    <cellStyle name="Normal 19 8" xfId="26595" xr:uid="{25CF70A7-EBEA-44BE-9A45-0B60E78F4EFD}"/>
    <cellStyle name="Normal 19_Exh G" xfId="3494" xr:uid="{00000000-0005-0000-0000-000036590000}"/>
    <cellStyle name="Normal 2" xfId="2" xr:uid="{00000000-0005-0000-0000-000037590000}"/>
    <cellStyle name="Normal 2 10" xfId="5462" xr:uid="{00000000-0005-0000-0000-000038590000}"/>
    <cellStyle name="Normal 2 10 2" xfId="9053" xr:uid="{00000000-0005-0000-0000-000039590000}"/>
    <cellStyle name="Normal 2 10 2 2" xfId="17020" xr:uid="{00000000-0005-0000-0000-00003A590000}"/>
    <cellStyle name="Normal 2 10 2 2 2" xfId="40862" xr:uid="{CA64C857-0E4D-4095-B12A-C4924280CFBA}"/>
    <cellStyle name="Normal 2 10 2 3" xfId="24966" xr:uid="{00000000-0005-0000-0000-00003B590000}"/>
    <cellStyle name="Normal 2 10 2 3 2" xfId="48798" xr:uid="{86712D4D-4B6B-457B-9593-03784B4C9BB8}"/>
    <cellStyle name="Normal 2 10 2 4" xfId="32921" xr:uid="{71FBAA7C-1A27-4A61-82CC-4E1CF5EDEBF4}"/>
    <cellStyle name="Normal 2 10 3" xfId="13483" xr:uid="{00000000-0005-0000-0000-00003C590000}"/>
    <cellStyle name="Normal 2 10 3 2" xfId="37332" xr:uid="{4E763002-6455-479E-8B20-55E2DBF62A1D}"/>
    <cellStyle name="Normal 2 10 4" xfId="21437" xr:uid="{00000000-0005-0000-0000-00003D590000}"/>
    <cellStyle name="Normal 2 10 4 2" xfId="45269" xr:uid="{9CDD32F5-0FF6-498C-BA8C-2321537B70B8}"/>
    <cellStyle name="Normal 2 10 5" xfId="29391" xr:uid="{933B2BD8-A164-4E0A-97F3-1D18FF929208}"/>
    <cellStyle name="Normal 2 11" xfId="5465" xr:uid="{00000000-0005-0000-0000-00003E590000}"/>
    <cellStyle name="Normal 2 11 2" xfId="9056" xr:uid="{00000000-0005-0000-0000-00003F590000}"/>
    <cellStyle name="Normal 2 11 2 2" xfId="17021" xr:uid="{00000000-0005-0000-0000-000040590000}"/>
    <cellStyle name="Normal 2 11 2 2 2" xfId="40863" xr:uid="{6F381C3A-2742-4E43-81CD-D8FD78BCC7F2}"/>
    <cellStyle name="Normal 2 11 2 3" xfId="24967" xr:uid="{00000000-0005-0000-0000-000041590000}"/>
    <cellStyle name="Normal 2 11 2 3 2" xfId="48799" xr:uid="{D14CDD11-3A83-4E5E-81DF-5CC3D9D748F4}"/>
    <cellStyle name="Normal 2 11 2 4" xfId="32922" xr:uid="{37FBBE42-34DE-4D66-9E26-AAB89F4B1668}"/>
    <cellStyle name="Normal 2 11 3" xfId="13484" xr:uid="{00000000-0005-0000-0000-000042590000}"/>
    <cellStyle name="Normal 2 11 3 2" xfId="37333" xr:uid="{880CC8E0-B78D-4F71-A6A0-82FBB7CFEEAB}"/>
    <cellStyle name="Normal 2 11 4" xfId="21438" xr:uid="{00000000-0005-0000-0000-000043590000}"/>
    <cellStyle name="Normal 2 11 4 2" xfId="45270" xr:uid="{FA9C8238-5237-498F-BC5D-2191F7CB86AD}"/>
    <cellStyle name="Normal 2 11 5" xfId="29392" xr:uid="{705D4795-728C-4F45-942B-3C13BA6D41DF}"/>
    <cellStyle name="Normal 2 12" xfId="5483" xr:uid="{00000000-0005-0000-0000-000044590000}"/>
    <cellStyle name="Normal 2 12 2" xfId="9063" xr:uid="{00000000-0005-0000-0000-000045590000}"/>
    <cellStyle name="Normal 2 12 2 2" xfId="17024" xr:uid="{00000000-0005-0000-0000-000046590000}"/>
    <cellStyle name="Normal 2 12 2 2 2" xfId="40866" xr:uid="{CE08DC2E-0ECF-4D2C-B27B-7C421E6206CF}"/>
    <cellStyle name="Normal 2 12 2 3" xfId="24970" xr:uid="{00000000-0005-0000-0000-000047590000}"/>
    <cellStyle name="Normal 2 12 2 3 2" xfId="48802" xr:uid="{1BC5D93A-43FF-4DF7-9445-80ABAF0F67C7}"/>
    <cellStyle name="Normal 2 12 2 4" xfId="32925" xr:uid="{7013E045-97F8-4806-A73F-626E21C58374}"/>
    <cellStyle name="Normal 2 12 3" xfId="13487" xr:uid="{00000000-0005-0000-0000-000048590000}"/>
    <cellStyle name="Normal 2 12 3 2" xfId="37336" xr:uid="{934825D1-3AFB-4219-AD79-A9291D26D6DA}"/>
    <cellStyle name="Normal 2 12 4" xfId="21441" xr:uid="{00000000-0005-0000-0000-000049590000}"/>
    <cellStyle name="Normal 2 12 4 2" xfId="45273" xr:uid="{8E4A6420-C73F-44B4-9F03-97D314CF6E47}"/>
    <cellStyle name="Normal 2 12 5" xfId="29395" xr:uid="{7DA6A644-1520-4161-B164-2F14788DFE52}"/>
    <cellStyle name="Normal 2 13" xfId="5489" xr:uid="{00000000-0005-0000-0000-00004A590000}"/>
    <cellStyle name="Normal 2 13 2" xfId="9068" xr:uid="{00000000-0005-0000-0000-00004B590000}"/>
    <cellStyle name="Normal 2 13 2 2" xfId="17027" xr:uid="{00000000-0005-0000-0000-00004C590000}"/>
    <cellStyle name="Normal 2 13 2 2 2" xfId="40869" xr:uid="{1A0C09B2-B4F3-4BEA-848B-AACF75B8F005}"/>
    <cellStyle name="Normal 2 13 2 3" xfId="24973" xr:uid="{00000000-0005-0000-0000-00004D590000}"/>
    <cellStyle name="Normal 2 13 2 3 2" xfId="48805" xr:uid="{425D28B4-1CD7-4EBC-9D9C-235BE32BE464}"/>
    <cellStyle name="Normal 2 13 2 4" xfId="32928" xr:uid="{5D0C0387-3291-4EA3-92C8-60FBD43BDE8D}"/>
    <cellStyle name="Normal 2 13 3" xfId="13490" xr:uid="{00000000-0005-0000-0000-00004E590000}"/>
    <cellStyle name="Normal 2 13 3 2" xfId="37339" xr:uid="{01EEE57E-9E86-4D5E-AECF-EDE173D0F02B}"/>
    <cellStyle name="Normal 2 13 4" xfId="21444" xr:uid="{00000000-0005-0000-0000-00004F590000}"/>
    <cellStyle name="Normal 2 13 4 2" xfId="45276" xr:uid="{BF85894B-2A00-4DF6-86C7-FFD30F033C7D}"/>
    <cellStyle name="Normal 2 13 5" xfId="29398" xr:uid="{4E13AB3D-92BD-4B4C-A1FB-E91D1AD63A6F}"/>
    <cellStyle name="Normal 2 14" xfId="5495" xr:uid="{00000000-0005-0000-0000-000050590000}"/>
    <cellStyle name="Normal 2 14 2" xfId="5515" xr:uid="{00000000-0005-0000-0000-000051590000}"/>
    <cellStyle name="Normal 2 14 3" xfId="13493" xr:uid="{00000000-0005-0000-0000-000052590000}"/>
    <cellStyle name="Normal 2 14 3 2" xfId="37340" xr:uid="{53FF9071-205A-42CA-B1A9-9507AAD078DB}"/>
    <cellStyle name="Normal 2 14 4" xfId="21445" xr:uid="{00000000-0005-0000-0000-000053590000}"/>
    <cellStyle name="Normal 2 14 4 2" xfId="45277" xr:uid="{368F7750-C68F-4ADE-B9C7-80A7A62184F7}"/>
    <cellStyle name="Normal 2 14 5" xfId="29399" xr:uid="{2A9983A8-2855-4237-8284-4C66F3E14061}"/>
    <cellStyle name="Normal 2 15" xfId="5501" xr:uid="{00000000-0005-0000-0000-000054590000}"/>
    <cellStyle name="Normal 2 15 2" xfId="13498" xr:uid="{00000000-0005-0000-0000-000055590000}"/>
    <cellStyle name="Normal 2 15 2 2" xfId="37343" xr:uid="{BFF33DCC-F8E0-41A8-8B03-F663413A5D6D}"/>
    <cellStyle name="Normal 2 15 3" xfId="21448" xr:uid="{00000000-0005-0000-0000-000056590000}"/>
    <cellStyle name="Normal 2 15 3 2" xfId="45280" xr:uid="{A3CB689D-0673-4DC3-AB4C-E18CDC2DC468}"/>
    <cellStyle name="Normal 2 15 4" xfId="29402" xr:uid="{2CFB5E36-766C-4347-8B04-F49CB97039E9}"/>
    <cellStyle name="Normal 2 16" xfId="5506" xr:uid="{00000000-0005-0000-0000-000057590000}"/>
    <cellStyle name="Normal 2 16 2" xfId="13502" xr:uid="{00000000-0005-0000-0000-000058590000}"/>
    <cellStyle name="Normal 2 16 2 2" xfId="37346" xr:uid="{180EEF91-F1F8-4E24-9949-82623DBA6F89}"/>
    <cellStyle name="Normal 2 16 3" xfId="21451" xr:uid="{00000000-0005-0000-0000-000059590000}"/>
    <cellStyle name="Normal 2 16 3 2" xfId="45283" xr:uid="{A157F319-99EA-46EF-9B76-D25EB890EA28}"/>
    <cellStyle name="Normal 2 16 4" xfId="29405" xr:uid="{B7E78D63-4AB2-44C5-A16D-0AB05EFE9420}"/>
    <cellStyle name="Normal 2 17" xfId="9071" xr:uid="{00000000-0005-0000-0000-00005A590000}"/>
    <cellStyle name="Normal 2 17 2" xfId="17030" xr:uid="{00000000-0005-0000-0000-00005B590000}"/>
    <cellStyle name="Normal 2 17 2 2" xfId="40870" xr:uid="{3269B66B-819B-4AB7-9316-DB77EEDE9B93}"/>
    <cellStyle name="Normal 2 17 3" xfId="24974" xr:uid="{00000000-0005-0000-0000-00005C590000}"/>
    <cellStyle name="Normal 2 17 3 2" xfId="48806" xr:uid="{9A3CD6CF-C3E6-40D7-84E5-7F72EC064C7E}"/>
    <cellStyle name="Normal 2 17 4" xfId="32929" xr:uid="{588FA9DA-27BB-425A-82EA-4C3DC945A1E3}"/>
    <cellStyle name="Normal 2 18" xfId="9959" xr:uid="{00000000-0005-0000-0000-00005D590000}"/>
    <cellStyle name="Normal 2 18 2" xfId="17916" xr:uid="{00000000-0005-0000-0000-00005E590000}"/>
    <cellStyle name="Normal 2 18 2 2" xfId="41754" xr:uid="{02C5C722-951E-4DAE-8BB5-0432FFC85EC9}"/>
    <cellStyle name="Normal 2 18 3" xfId="25858" xr:uid="{00000000-0005-0000-0000-00005F590000}"/>
    <cellStyle name="Normal 2 18 3 2" xfId="49690" xr:uid="{B20B1106-552A-4BA3-BFF6-56243D226A79}"/>
    <cellStyle name="Normal 2 18 4" xfId="33813" xr:uid="{1AF24AAD-962A-4FC2-953F-BA60382AD946}"/>
    <cellStyle name="Normal 2 19" xfId="9968" xr:uid="{00000000-0005-0000-0000-000060590000}"/>
    <cellStyle name="Normal 2 19 2" xfId="33817" xr:uid="{70AD8C96-C0A3-40A1-8793-DED3E2124329}"/>
    <cellStyle name="Normal 2 2" xfId="18" xr:uid="{00000000-0005-0000-0000-000061590000}"/>
    <cellStyle name="Normal 2 2 10" xfId="5503" xr:uid="{00000000-0005-0000-0000-000062590000}"/>
    <cellStyle name="Normal 2 2 10 2" xfId="13500" xr:uid="{00000000-0005-0000-0000-000063590000}"/>
    <cellStyle name="Normal 2 2 10 2 2" xfId="37345" xr:uid="{082509E2-CB2A-4396-A2E6-9D4D0D728F41}"/>
    <cellStyle name="Normal 2 2 10 3" xfId="21450" xr:uid="{00000000-0005-0000-0000-000064590000}"/>
    <cellStyle name="Normal 2 2 10 3 2" xfId="45282" xr:uid="{4F90B1C3-FEF9-4B81-B18C-39539B9C8D68}"/>
    <cellStyle name="Normal 2 2 10 4" xfId="29404" xr:uid="{D38603B3-1628-40C2-8D29-C7BF5C8198BF}"/>
    <cellStyle name="Normal 2 2 11" xfId="5510" xr:uid="{00000000-0005-0000-0000-000065590000}"/>
    <cellStyle name="Normal 2 2 11 2" xfId="13503" xr:uid="{00000000-0005-0000-0000-000066590000}"/>
    <cellStyle name="Normal 2 2 11 2 2" xfId="37347" xr:uid="{A6CD7530-F076-4F2D-8B70-24A85DD02046}"/>
    <cellStyle name="Normal 2 2 11 3" xfId="21452" xr:uid="{00000000-0005-0000-0000-000067590000}"/>
    <cellStyle name="Normal 2 2 11 3 2" xfId="45284" xr:uid="{5417BAB6-1FEF-4C29-B99B-4C7144245821}"/>
    <cellStyle name="Normal 2 2 11 4" xfId="29406" xr:uid="{C7BCEAEE-DAED-4BAD-9F4C-2E3C33BB060E}"/>
    <cellStyle name="Normal 2 2 12" xfId="9072" xr:uid="{00000000-0005-0000-0000-000068590000}"/>
    <cellStyle name="Normal 2 2 12 2" xfId="17031" xr:uid="{00000000-0005-0000-0000-000069590000}"/>
    <cellStyle name="Normal 2 2 12 2 2" xfId="40871" xr:uid="{E99533CF-5C5C-464A-872C-42D7CC6BF07F}"/>
    <cellStyle name="Normal 2 2 12 3" xfId="24975" xr:uid="{00000000-0005-0000-0000-00006A590000}"/>
    <cellStyle name="Normal 2 2 12 3 2" xfId="48807" xr:uid="{A320C410-2794-4ADA-A1BF-715B475A10CA}"/>
    <cellStyle name="Normal 2 2 12 4" xfId="32930" xr:uid="{0C79E119-86B5-4042-80A2-50FC35DEEF6B}"/>
    <cellStyle name="Normal 2 2 13" xfId="9073" xr:uid="{00000000-0005-0000-0000-00006B590000}"/>
    <cellStyle name="Normal 2 2 14" xfId="9960" xr:uid="{00000000-0005-0000-0000-00006C590000}"/>
    <cellStyle name="Normal 2 2 14 2" xfId="17917" xr:uid="{00000000-0005-0000-0000-00006D590000}"/>
    <cellStyle name="Normal 2 2 14 2 2" xfId="41755" xr:uid="{AC16A0B6-914D-4CAC-B3A4-1965BD1FE787}"/>
    <cellStyle name="Normal 2 2 14 3" xfId="25859" xr:uid="{00000000-0005-0000-0000-00006E590000}"/>
    <cellStyle name="Normal 2 2 14 3 2" xfId="49691" xr:uid="{14B83742-4E16-432A-BB69-A3F473692810}"/>
    <cellStyle name="Normal 2 2 14 4" xfId="33814" xr:uid="{2B46D65C-3B24-49BD-8E0E-99D93ADDDADC}"/>
    <cellStyle name="Normal 2 2 15" xfId="9969" xr:uid="{00000000-0005-0000-0000-00006F590000}"/>
    <cellStyle name="Normal 2 2 15 2" xfId="33818" xr:uid="{0F849721-D032-4DA7-A4AB-E7D5645A724C}"/>
    <cellStyle name="Normal 2 2 16" xfId="25871" xr:uid="{00000000-0005-0000-0000-000070590000}"/>
    <cellStyle name="Normal 2 2 2" xfId="666" xr:uid="{00000000-0005-0000-0000-000071590000}"/>
    <cellStyle name="Normal 2 2 2 2" xfId="1694" xr:uid="{00000000-0005-0000-0000-000072590000}"/>
    <cellStyle name="Normal 2 2 2 2 2" xfId="5224" xr:uid="{00000000-0005-0000-0000-000073590000}"/>
    <cellStyle name="Normal 2 2 2 2 2 2" xfId="8815" xr:uid="{00000000-0005-0000-0000-000074590000}"/>
    <cellStyle name="Normal 2 2 2 2 2 2 2" xfId="16786" xr:uid="{00000000-0005-0000-0000-000075590000}"/>
    <cellStyle name="Normal 2 2 2 2 2 2 2 2" xfId="40628" xr:uid="{05CA9161-5010-4CEB-B8F0-0C17F42FF7FE}"/>
    <cellStyle name="Normal 2 2 2 2 2 2 3" xfId="24732" xr:uid="{00000000-0005-0000-0000-000076590000}"/>
    <cellStyle name="Normal 2 2 2 2 2 2 3 2" xfId="48564" xr:uid="{0E3ED9EB-A39A-476F-A1D2-08F74AF61F0A}"/>
    <cellStyle name="Normal 2 2 2 2 2 2 4" xfId="32687" xr:uid="{91C2F312-8529-4910-ACE7-45649C23CB4B}"/>
    <cellStyle name="Normal 2 2 2 2 2 3" xfId="13248" xr:uid="{00000000-0005-0000-0000-000077590000}"/>
    <cellStyle name="Normal 2 2 2 2 2 3 2" xfId="37097" xr:uid="{EDA704F4-FC07-4491-9EE5-44BBC8F41B46}"/>
    <cellStyle name="Normal 2 2 2 2 2 4" xfId="21203" xr:uid="{00000000-0005-0000-0000-000078590000}"/>
    <cellStyle name="Normal 2 2 2 2 2 4 2" xfId="45035" xr:uid="{03EB3905-33CD-4DB5-8999-9B1A383C958F}"/>
    <cellStyle name="Normal 2 2 2 2 2 5" xfId="29156" xr:uid="{9EB6F73E-F6C4-4ADC-AA0E-7B7E1427443B}"/>
    <cellStyle name="Normal 2 2 2 2 3" xfId="7056" xr:uid="{00000000-0005-0000-0000-000079590000}"/>
    <cellStyle name="Normal 2 2 2 2 3 2" xfId="15028" xr:uid="{00000000-0005-0000-0000-00007A590000}"/>
    <cellStyle name="Normal 2 2 2 2 3 2 2" xfId="38870" xr:uid="{CE9BC003-0692-4420-9BBB-DC982FCDA782}"/>
    <cellStyle name="Normal 2 2 2 2 3 3" xfId="22975" xr:uid="{00000000-0005-0000-0000-00007B590000}"/>
    <cellStyle name="Normal 2 2 2 2 3 3 2" xfId="46807" xr:uid="{C099D7F7-285C-4E76-B3DA-ABD4B96DE614}"/>
    <cellStyle name="Normal 2 2 2 2 3 4" xfId="30929" xr:uid="{F33BCA04-70EB-4DE6-9AB5-099F2B65EEF1}"/>
    <cellStyle name="Normal 2 2 2 2 4" xfId="11492" xr:uid="{00000000-0005-0000-0000-00007C590000}"/>
    <cellStyle name="Normal 2 2 2 2 4 2" xfId="35341" xr:uid="{E0042E79-2227-4B90-935C-531902483ABE}"/>
    <cellStyle name="Normal 2 2 2 2 5" xfId="19447" xr:uid="{00000000-0005-0000-0000-00007D590000}"/>
    <cellStyle name="Normal 2 2 2 2 5 2" xfId="43279" xr:uid="{535C7EF9-DE83-430D-A360-947B08448D08}"/>
    <cellStyle name="Normal 2 2 2 2 6" xfId="27399" xr:uid="{EA5B24B8-5048-424C-8E3A-36F617F7F296}"/>
    <cellStyle name="Normal 2 2 2 2_Exh G" xfId="3498" xr:uid="{00000000-0005-0000-0000-00007E590000}"/>
    <cellStyle name="Normal 2 2 2 3" xfId="4345" xr:uid="{00000000-0005-0000-0000-00007F590000}"/>
    <cellStyle name="Normal 2 2 2 3 2" xfId="7937" xr:uid="{00000000-0005-0000-0000-000080590000}"/>
    <cellStyle name="Normal 2 2 2 3 2 2" xfId="15908" xr:uid="{00000000-0005-0000-0000-000081590000}"/>
    <cellStyle name="Normal 2 2 2 3 2 2 2" xfId="39750" xr:uid="{33439CE0-CE7D-4755-8A85-DB06CD12C459}"/>
    <cellStyle name="Normal 2 2 2 3 2 3" xfId="23854" xr:uid="{00000000-0005-0000-0000-000082590000}"/>
    <cellStyle name="Normal 2 2 2 3 2 3 2" xfId="47686" xr:uid="{C95BE1C7-7092-4C80-B915-D77F176D27FA}"/>
    <cellStyle name="Normal 2 2 2 3 2 4" xfId="31809" xr:uid="{43674D97-25E4-47F9-9273-2FE0F38E34B7}"/>
    <cellStyle name="Normal 2 2 2 3 3" xfId="12370" xr:uid="{00000000-0005-0000-0000-000083590000}"/>
    <cellStyle name="Normal 2 2 2 3 3 2" xfId="36219" xr:uid="{8EC68992-412D-4326-A729-C7435C60DA30}"/>
    <cellStyle name="Normal 2 2 2 3 4" xfId="20325" xr:uid="{00000000-0005-0000-0000-000084590000}"/>
    <cellStyle name="Normal 2 2 2 3 4 2" xfId="44157" xr:uid="{EB2B009D-CAAF-4020-8C78-E2F441B7F5B4}"/>
    <cellStyle name="Normal 2 2 2 3 5" xfId="28278" xr:uid="{531493D9-4D06-465C-906A-8E5142A9B286}"/>
    <cellStyle name="Normal 2 2 2 4" xfId="6165" xr:uid="{00000000-0005-0000-0000-000085590000}"/>
    <cellStyle name="Normal 2 2 2 4 2" xfId="14149" xr:uid="{00000000-0005-0000-0000-000086590000}"/>
    <cellStyle name="Normal 2 2 2 4 2 2" xfId="37992" xr:uid="{D24C46E5-331E-4913-8166-862CB5374948}"/>
    <cellStyle name="Normal 2 2 2 4 3" xfId="22097" xr:uid="{00000000-0005-0000-0000-000087590000}"/>
    <cellStyle name="Normal 2 2 2 4 3 2" xfId="45929" xr:uid="{2AF5DE24-4476-42C2-9CC0-B674FC17886E}"/>
    <cellStyle name="Normal 2 2 2 4 4" xfId="30051" xr:uid="{3451B5C1-0E4A-45EC-ACF5-320C4445F41D}"/>
    <cellStyle name="Normal 2 2 2 5" xfId="9718" xr:uid="{00000000-0005-0000-0000-000088590000}"/>
    <cellStyle name="Normal 2 2 2 5 2" xfId="17676" xr:uid="{00000000-0005-0000-0000-000089590000}"/>
    <cellStyle name="Normal 2 2 2 5 2 2" xfId="41516" xr:uid="{783F2A89-7B65-497E-AD09-46A24481B1DD}"/>
    <cellStyle name="Normal 2 2 2 5 3" xfId="25620" xr:uid="{00000000-0005-0000-0000-00008A590000}"/>
    <cellStyle name="Normal 2 2 2 5 3 2" xfId="49452" xr:uid="{EB2983A7-1585-4556-B915-7E0AA62DFC89}"/>
    <cellStyle name="Normal 2 2 2 5 4" xfId="33575" xr:uid="{57BCB749-2C18-405D-BAA0-C9BD2C8E135D}"/>
    <cellStyle name="Normal 2 2 2 6" xfId="10614" xr:uid="{00000000-0005-0000-0000-00008B590000}"/>
    <cellStyle name="Normal 2 2 2 6 2" xfId="34463" xr:uid="{8D8C0D61-4FC5-4710-ADD6-467999521D39}"/>
    <cellStyle name="Normal 2 2 2 7" xfId="18569" xr:uid="{00000000-0005-0000-0000-00008C590000}"/>
    <cellStyle name="Normal 2 2 2 7 2" xfId="42401" xr:uid="{11890A84-5A03-4FDF-B816-7FC30A4E1939}"/>
    <cellStyle name="Normal 2 2 2 8" xfId="26521" xr:uid="{A533B630-704F-4A5A-8572-06F9C37601E9}"/>
    <cellStyle name="Normal 2 2 2_Exh G" xfId="3497" xr:uid="{00000000-0005-0000-0000-00008D590000}"/>
    <cellStyle name="Normal 2 2 3" xfId="1049" xr:uid="{00000000-0005-0000-0000-00008E590000}"/>
    <cellStyle name="Normal 2 2 4" xfId="3700" xr:uid="{00000000-0005-0000-0000-00008F590000}"/>
    <cellStyle name="Normal 2 2 5" xfId="5471" xr:uid="{00000000-0005-0000-0000-000090590000}"/>
    <cellStyle name="Normal 2 2 5 2" xfId="9057" xr:uid="{00000000-0005-0000-0000-000091590000}"/>
    <cellStyle name="Normal 2 2 5 2 2" xfId="17022" xr:uid="{00000000-0005-0000-0000-000092590000}"/>
    <cellStyle name="Normal 2 2 5 2 2 2" xfId="40864" xr:uid="{88A756D3-8C04-4845-8D43-EBC4D0EF0BF8}"/>
    <cellStyle name="Normal 2 2 5 2 3" xfId="24968" xr:uid="{00000000-0005-0000-0000-000093590000}"/>
    <cellStyle name="Normal 2 2 5 2 3 2" xfId="48800" xr:uid="{49E2727D-A7F0-44C2-9B08-11D0AD8A2C65}"/>
    <cellStyle name="Normal 2 2 5 2 4" xfId="32923" xr:uid="{CA1478AB-A214-49BD-8E08-620EE9E64940}"/>
    <cellStyle name="Normal 2 2 5 3" xfId="13485" xr:uid="{00000000-0005-0000-0000-000094590000}"/>
    <cellStyle name="Normal 2 2 5 3 2" xfId="37334" xr:uid="{B4EFB79E-C46A-4479-9A10-2D73D4DFA6B6}"/>
    <cellStyle name="Normal 2 2 5 4" xfId="21439" xr:uid="{00000000-0005-0000-0000-000095590000}"/>
    <cellStyle name="Normal 2 2 5 4 2" xfId="45271" xr:uid="{D53C26F2-1C9E-4F23-9895-70FEBA490119}"/>
    <cellStyle name="Normal 2 2 5 5" xfId="29393" xr:uid="{5EE61492-D19A-4A65-AF12-A74B76449568}"/>
    <cellStyle name="Normal 2 2 6" xfId="5478" xr:uid="{00000000-0005-0000-0000-000096590000}"/>
    <cellStyle name="Normal 2 2 6 2" xfId="9059" xr:uid="{00000000-0005-0000-0000-000097590000}"/>
    <cellStyle name="Normal 2 2 6 2 2" xfId="17023" xr:uid="{00000000-0005-0000-0000-000098590000}"/>
    <cellStyle name="Normal 2 2 6 2 2 2" xfId="40865" xr:uid="{1310FF05-7ACF-4319-BB71-FCB8DEB38D75}"/>
    <cellStyle name="Normal 2 2 6 2 3" xfId="24969" xr:uid="{00000000-0005-0000-0000-000099590000}"/>
    <cellStyle name="Normal 2 2 6 2 3 2" xfId="48801" xr:uid="{EBE4349C-766D-4979-BC9C-68EED463584C}"/>
    <cellStyle name="Normal 2 2 6 2 4" xfId="32924" xr:uid="{AEC58115-9E0A-4580-A821-2E6C03516575}"/>
    <cellStyle name="Normal 2 2 6 3" xfId="13486" xr:uid="{00000000-0005-0000-0000-00009A590000}"/>
    <cellStyle name="Normal 2 2 6 3 2" xfId="37335" xr:uid="{A20B7E8B-083A-478E-B0B1-A301531E6E5D}"/>
    <cellStyle name="Normal 2 2 6 4" xfId="21440" xr:uid="{00000000-0005-0000-0000-00009B590000}"/>
    <cellStyle name="Normal 2 2 6 4 2" xfId="45272" xr:uid="{C295ED51-20FB-485D-A459-A0F5468CF889}"/>
    <cellStyle name="Normal 2 2 6 5" xfId="29394" xr:uid="{6C6C0616-AC05-494F-A0D8-155AD4CE91D2}"/>
    <cellStyle name="Normal 2 2 7" xfId="5496" xr:uid="{00000000-0005-0000-0000-00009C590000}"/>
    <cellStyle name="Normal 2 2 7 2" xfId="5520" xr:uid="{00000000-0005-0000-0000-00009D590000}"/>
    <cellStyle name="Normal 2 2 7 3" xfId="13494" xr:uid="{00000000-0005-0000-0000-00009E590000}"/>
    <cellStyle name="Normal 2 2 7 3 2" xfId="37341" xr:uid="{D36A97EF-0044-4C2D-B982-AE1C85B5D74A}"/>
    <cellStyle name="Normal 2 2 7 4" xfId="21446" xr:uid="{00000000-0005-0000-0000-00009F590000}"/>
    <cellStyle name="Normal 2 2 7 4 2" xfId="45278" xr:uid="{9FB16E1F-4F17-410A-BD7C-62D637A1F2B7}"/>
    <cellStyle name="Normal 2 2 7 5" xfId="29400" xr:uid="{1908E5A6-4CB3-4AF0-BDBB-77AEAC16E6AD}"/>
    <cellStyle name="Normal 2 2 8" xfId="5498" xr:uid="{00000000-0005-0000-0000-0000A0590000}"/>
    <cellStyle name="Normal 2 2 8 2" xfId="13495" xr:uid="{00000000-0005-0000-0000-0000A1590000}"/>
    <cellStyle name="Normal 2 2 8 2 2" xfId="37342" xr:uid="{7C778C82-E261-4523-A3F6-D534F94A0B9A}"/>
    <cellStyle name="Normal 2 2 8 3" xfId="21447" xr:uid="{00000000-0005-0000-0000-0000A2590000}"/>
    <cellStyle name="Normal 2 2 8 3 2" xfId="45279" xr:uid="{23180705-62E1-41D5-AB60-7E3706506D00}"/>
    <cellStyle name="Normal 2 2 8 4" xfId="29401" xr:uid="{17FE8D38-CA3B-4721-B774-2E489D2BA79D}"/>
    <cellStyle name="Normal 2 2 9" xfId="5502" xr:uid="{00000000-0005-0000-0000-0000A3590000}"/>
    <cellStyle name="Normal 2 2 9 2" xfId="13499" xr:uid="{00000000-0005-0000-0000-0000A4590000}"/>
    <cellStyle name="Normal 2 2 9 2 2" xfId="37344" xr:uid="{306A2A7B-3CE3-44EB-9CB7-5DFAA8155466}"/>
    <cellStyle name="Normal 2 2 9 3" xfId="21449" xr:uid="{00000000-0005-0000-0000-0000A5590000}"/>
    <cellStyle name="Normal 2 2 9 3 2" xfId="45281" xr:uid="{7D93B973-DD5F-47CA-9364-E77D1E5A1AEA}"/>
    <cellStyle name="Normal 2 2 9 4" xfId="29403" xr:uid="{52A38E6E-C4FC-4E37-9EE8-9C54BF410621}"/>
    <cellStyle name="Normal 2 2_Exh G" xfId="3496" xr:uid="{00000000-0005-0000-0000-0000A6590000}"/>
    <cellStyle name="Normal 2 3" xfId="667" xr:uid="{00000000-0005-0000-0000-0000A7590000}"/>
    <cellStyle name="Normal 2 3 10" xfId="26522" xr:uid="{7EBA1C10-6AC7-46C9-B9F6-14DD8768E21C}"/>
    <cellStyle name="Normal 2 3 2" xfId="836" xr:uid="{00000000-0005-0000-0000-0000A8590000}"/>
    <cellStyle name="Normal 2 3 2 2" xfId="1776" xr:uid="{00000000-0005-0000-0000-0000A9590000}"/>
    <cellStyle name="Normal 2 3 2_Exh G" xfId="3500" xr:uid="{00000000-0005-0000-0000-0000AA590000}"/>
    <cellStyle name="Normal 2 3 3" xfId="1695" xr:uid="{00000000-0005-0000-0000-0000AB590000}"/>
    <cellStyle name="Normal 2 3 3 2" xfId="5225" xr:uid="{00000000-0005-0000-0000-0000AC590000}"/>
    <cellStyle name="Normal 2 3 3 2 2" xfId="8816" xr:uid="{00000000-0005-0000-0000-0000AD590000}"/>
    <cellStyle name="Normal 2 3 3 2 2 2" xfId="16787" xr:uid="{00000000-0005-0000-0000-0000AE590000}"/>
    <cellStyle name="Normal 2 3 3 2 2 2 2" xfId="40629" xr:uid="{90C35C50-1CCC-4D16-B9D4-7D140862FABE}"/>
    <cellStyle name="Normal 2 3 3 2 2 3" xfId="24733" xr:uid="{00000000-0005-0000-0000-0000AF590000}"/>
    <cellStyle name="Normal 2 3 3 2 2 3 2" xfId="48565" xr:uid="{435577D2-9E4E-4980-97DD-6D64DE722813}"/>
    <cellStyle name="Normal 2 3 3 2 2 4" xfId="32688" xr:uid="{CAFF9C11-B42D-40F7-A44E-6190F3740C44}"/>
    <cellStyle name="Normal 2 3 3 2 3" xfId="13249" xr:uid="{00000000-0005-0000-0000-0000B0590000}"/>
    <cellStyle name="Normal 2 3 3 2 3 2" xfId="37098" xr:uid="{E4540856-B6E0-4558-BF0F-BBEE50BB76FE}"/>
    <cellStyle name="Normal 2 3 3 2 4" xfId="21204" xr:uid="{00000000-0005-0000-0000-0000B1590000}"/>
    <cellStyle name="Normal 2 3 3 2 4 2" xfId="45036" xr:uid="{C67BF61D-BB2B-4F57-A0DD-0259F1CAC28A}"/>
    <cellStyle name="Normal 2 3 3 2 5" xfId="29157" xr:uid="{7EF5649A-4D0F-419C-A36A-7F90E506E9A9}"/>
    <cellStyle name="Normal 2 3 3 3" xfId="7057" xr:uid="{00000000-0005-0000-0000-0000B2590000}"/>
    <cellStyle name="Normal 2 3 3 3 2" xfId="15029" xr:uid="{00000000-0005-0000-0000-0000B3590000}"/>
    <cellStyle name="Normal 2 3 3 3 2 2" xfId="38871" xr:uid="{78D59A54-CB50-43FE-BB09-C45E2A08932A}"/>
    <cellStyle name="Normal 2 3 3 3 3" xfId="22976" xr:uid="{00000000-0005-0000-0000-0000B4590000}"/>
    <cellStyle name="Normal 2 3 3 3 3 2" xfId="46808" xr:uid="{1AB9F581-AB55-4674-87E2-9BD9A8AD4539}"/>
    <cellStyle name="Normal 2 3 3 3 4" xfId="30930" xr:uid="{1ECF316E-85A0-45EA-88F5-28F2A0D0606B}"/>
    <cellStyle name="Normal 2 3 3 4" xfId="11493" xr:uid="{00000000-0005-0000-0000-0000B5590000}"/>
    <cellStyle name="Normal 2 3 3 4 2" xfId="35342" xr:uid="{E36C6936-189E-4773-8C2E-8055E6B061DA}"/>
    <cellStyle name="Normal 2 3 3 5" xfId="19448" xr:uid="{00000000-0005-0000-0000-0000B6590000}"/>
    <cellStyle name="Normal 2 3 3 5 2" xfId="43280" xr:uid="{DE681D3C-F13F-403C-A4E6-6F3708F1E9D8}"/>
    <cellStyle name="Normal 2 3 3 6" xfId="27400" xr:uid="{1653CD93-4888-426A-BB54-C21D8524F198}"/>
    <cellStyle name="Normal 2 3 3_Exh G" xfId="3501" xr:uid="{00000000-0005-0000-0000-0000B7590000}"/>
    <cellStyle name="Normal 2 3 4" xfId="4346" xr:uid="{00000000-0005-0000-0000-0000B8590000}"/>
    <cellStyle name="Normal 2 3 4 2" xfId="7938" xr:uid="{00000000-0005-0000-0000-0000B9590000}"/>
    <cellStyle name="Normal 2 3 4 2 2" xfId="15909" xr:uid="{00000000-0005-0000-0000-0000BA590000}"/>
    <cellStyle name="Normal 2 3 4 2 2 2" xfId="39751" xr:uid="{762279E9-D1C7-40C8-A0E7-E91A8610B236}"/>
    <cellStyle name="Normal 2 3 4 2 3" xfId="23855" xr:uid="{00000000-0005-0000-0000-0000BB590000}"/>
    <cellStyle name="Normal 2 3 4 2 3 2" xfId="47687" xr:uid="{7CB39C11-37AE-4612-98F6-0CF4EFA3CEC9}"/>
    <cellStyle name="Normal 2 3 4 2 4" xfId="31810" xr:uid="{2F265F1C-60EC-41ED-BF25-A1F62713AE1B}"/>
    <cellStyle name="Normal 2 3 4 3" xfId="12371" xr:uid="{00000000-0005-0000-0000-0000BC590000}"/>
    <cellStyle name="Normal 2 3 4 3 2" xfId="36220" xr:uid="{EE1DAE62-740A-41E9-9AD7-C299559DF50E}"/>
    <cellStyle name="Normal 2 3 4 4" xfId="20326" xr:uid="{00000000-0005-0000-0000-0000BD590000}"/>
    <cellStyle name="Normal 2 3 4 4 2" xfId="44158" xr:uid="{89A83E7E-573B-4DED-9DEF-0E3D8F307C8E}"/>
    <cellStyle name="Normal 2 3 4 5" xfId="28279" xr:uid="{6065C7AB-0447-42E8-ABDC-FB049FDA2FB4}"/>
    <cellStyle name="Normal 2 3 5" xfId="6166" xr:uid="{00000000-0005-0000-0000-0000BE590000}"/>
    <cellStyle name="Normal 2 3 5 2" xfId="14150" xr:uid="{00000000-0005-0000-0000-0000BF590000}"/>
    <cellStyle name="Normal 2 3 5 2 2" xfId="37993" xr:uid="{BA400C9A-3D47-4FCE-AA87-AE403D3F29BA}"/>
    <cellStyle name="Normal 2 3 5 3" xfId="22098" xr:uid="{00000000-0005-0000-0000-0000C0590000}"/>
    <cellStyle name="Normal 2 3 5 3 2" xfId="45930" xr:uid="{C60554F8-2F8B-4D3E-8CDB-BFBE0D19672E}"/>
    <cellStyle name="Normal 2 3 5 4" xfId="30052" xr:uid="{3B8DB166-7767-481E-865D-CEF0394B7825}"/>
    <cellStyle name="Normal 2 3 6" xfId="7291" xr:uid="{00000000-0005-0000-0000-0000C1590000}"/>
    <cellStyle name="Normal 2 3 6 2" xfId="15262" xr:uid="{00000000-0005-0000-0000-0000C2590000}"/>
    <cellStyle name="Normal 2 3 6 2 2" xfId="39104" xr:uid="{4C99232A-9244-4E81-8E45-ADC941EE2F96}"/>
    <cellStyle name="Normal 2 3 6 3" xfId="23209" xr:uid="{00000000-0005-0000-0000-0000C3590000}"/>
    <cellStyle name="Normal 2 3 6 3 2" xfId="47041" xr:uid="{766C022F-E377-4282-B319-51BB404DF9DE}"/>
    <cellStyle name="Normal 2 3 6 4" xfId="31163" xr:uid="{52FBFC9B-8C4B-4E4B-88C5-D4BC54DB9293}"/>
    <cellStyle name="Normal 2 3 7" xfId="9719" xr:uid="{00000000-0005-0000-0000-0000C4590000}"/>
    <cellStyle name="Normal 2 3 7 2" xfId="17677" xr:uid="{00000000-0005-0000-0000-0000C5590000}"/>
    <cellStyle name="Normal 2 3 7 2 2" xfId="41517" xr:uid="{AA492640-635A-4E01-9DDB-CACBFDC00E8B}"/>
    <cellStyle name="Normal 2 3 7 3" xfId="25621" xr:uid="{00000000-0005-0000-0000-0000C6590000}"/>
    <cellStyle name="Normal 2 3 7 3 2" xfId="49453" xr:uid="{4CEBB174-DA2B-4DCB-8B06-E0239BE4CF4F}"/>
    <cellStyle name="Normal 2 3 7 4" xfId="33576" xr:uid="{25FA3257-ADC0-4433-AAEA-96FBCA3598D5}"/>
    <cellStyle name="Normal 2 3 8" xfId="10615" xr:uid="{00000000-0005-0000-0000-0000C7590000}"/>
    <cellStyle name="Normal 2 3 8 2" xfId="34464" xr:uid="{A5C7D6F2-9B83-41D7-8EB9-8113DCDD16CF}"/>
    <cellStyle name="Normal 2 3 9" xfId="18570" xr:uid="{00000000-0005-0000-0000-0000C8590000}"/>
    <cellStyle name="Normal 2 3 9 2" xfId="42402" xr:uid="{1D6B96BF-8056-48B5-BCE2-DC1E5B875302}"/>
    <cellStyle name="Normal 2 3_Exh G" xfId="3499" xr:uid="{00000000-0005-0000-0000-0000C9590000}"/>
    <cellStyle name="Normal 2 4" xfId="829" xr:uid="{00000000-0005-0000-0000-0000CA590000}"/>
    <cellStyle name="Normal 2 4 2" xfId="1770" xr:uid="{00000000-0005-0000-0000-0000CB590000}"/>
    <cellStyle name="Normal 2 4_Exh G" xfId="3502" xr:uid="{00000000-0005-0000-0000-0000CC590000}"/>
    <cellStyle name="Normal 2 5" xfId="837" xr:uid="{00000000-0005-0000-0000-0000CD590000}"/>
    <cellStyle name="Normal 2 5 2" xfId="1777" xr:uid="{00000000-0005-0000-0000-0000CE590000}"/>
    <cellStyle name="Normal 2 5_Exh G" xfId="3503" xr:uid="{00000000-0005-0000-0000-0000CF590000}"/>
    <cellStyle name="Normal 2 6" xfId="838" xr:uid="{00000000-0005-0000-0000-0000D0590000}"/>
    <cellStyle name="Normal 2 6 2" xfId="1778" xr:uid="{00000000-0005-0000-0000-0000D1590000}"/>
    <cellStyle name="Normal 2 6_Exh G" xfId="3504" xr:uid="{00000000-0005-0000-0000-0000D2590000}"/>
    <cellStyle name="Normal 2 7" xfId="839" xr:uid="{00000000-0005-0000-0000-0000D3590000}"/>
    <cellStyle name="Normal 2 7 2" xfId="858" xr:uid="{00000000-0005-0000-0000-0000D4590000}"/>
    <cellStyle name="Normal 2 7 2 2" xfId="1797" xr:uid="{00000000-0005-0000-0000-0000D5590000}"/>
    <cellStyle name="Normal 2 7 2_Exh G" xfId="3506" xr:uid="{00000000-0005-0000-0000-0000D6590000}"/>
    <cellStyle name="Normal 2 7 3" xfId="1779" xr:uid="{00000000-0005-0000-0000-0000D7590000}"/>
    <cellStyle name="Normal 2 7_Exh G" xfId="3505" xr:uid="{00000000-0005-0000-0000-0000D8590000}"/>
    <cellStyle name="Normal 2 8" xfId="859" xr:uid="{00000000-0005-0000-0000-0000D9590000}"/>
    <cellStyle name="Normal 2 8 2" xfId="1798" xr:uid="{00000000-0005-0000-0000-0000DA590000}"/>
    <cellStyle name="Normal 2 8_Exh G" xfId="3507" xr:uid="{00000000-0005-0000-0000-0000DB590000}"/>
    <cellStyle name="Normal 2 9" xfId="1017" xr:uid="{00000000-0005-0000-0000-0000DC590000}"/>
    <cellStyle name="Normal 20" xfId="828" xr:uid="{00000000-0005-0000-0000-0000DD590000}"/>
    <cellStyle name="Normal 21" xfId="830" xr:uid="{00000000-0005-0000-0000-0000DE590000}"/>
    <cellStyle name="Normal 22" xfId="831" xr:uid="{00000000-0005-0000-0000-0000DF590000}"/>
    <cellStyle name="Normal 22 10" xfId="18644" xr:uid="{00000000-0005-0000-0000-0000E0590000}"/>
    <cellStyle name="Normal 22 10 2" xfId="42476" xr:uid="{31947228-6284-4DC2-9617-ACA2E6EA5459}"/>
    <cellStyle name="Normal 22 11" xfId="26596" xr:uid="{22396913-E7FA-4A6A-886D-15E72AB366BD}"/>
    <cellStyle name="Normal 22 2" xfId="1771" xr:uid="{00000000-0005-0000-0000-0000E1590000}"/>
    <cellStyle name="Normal 22 2 2" xfId="5299" xr:uid="{00000000-0005-0000-0000-0000E2590000}"/>
    <cellStyle name="Normal 22 2 2 2" xfId="8890" xr:uid="{00000000-0005-0000-0000-0000E3590000}"/>
    <cellStyle name="Normal 22 2 2 2 2" xfId="16861" xr:uid="{00000000-0005-0000-0000-0000E4590000}"/>
    <cellStyle name="Normal 22 2 2 2 2 2" xfId="40703" xr:uid="{DDDCBC29-0FE7-4281-8F0F-37E524ADB6C4}"/>
    <cellStyle name="Normal 22 2 2 2 3" xfId="24807" xr:uid="{00000000-0005-0000-0000-0000E5590000}"/>
    <cellStyle name="Normal 22 2 2 2 3 2" xfId="48639" xr:uid="{B2D42A6F-44C8-433A-A967-8B71AAD503C0}"/>
    <cellStyle name="Normal 22 2 2 2 4" xfId="32762" xr:uid="{52F6FDD4-6F20-44CD-828F-FEC7B155E5D4}"/>
    <cellStyle name="Normal 22 2 2 3" xfId="13323" xr:uid="{00000000-0005-0000-0000-0000E6590000}"/>
    <cellStyle name="Normal 22 2 2 3 2" xfId="37172" xr:uid="{D0B876EC-1ED2-4CA0-B5FF-0AA4CE1FE720}"/>
    <cellStyle name="Normal 22 2 2 4" xfId="21278" xr:uid="{00000000-0005-0000-0000-0000E7590000}"/>
    <cellStyle name="Normal 22 2 2 4 2" xfId="45110" xr:uid="{7C5CCC13-182D-4687-92CF-18CE7A7F3A03}"/>
    <cellStyle name="Normal 22 2 2 5" xfId="29231" xr:uid="{8D9EC4CE-FCE0-4F99-B331-6DBE7A39806A}"/>
    <cellStyle name="Normal 22 2 3" xfId="7131" xr:uid="{00000000-0005-0000-0000-0000E8590000}"/>
    <cellStyle name="Normal 22 2 3 2" xfId="15103" xr:uid="{00000000-0005-0000-0000-0000E9590000}"/>
    <cellStyle name="Normal 22 2 3 2 2" xfId="38945" xr:uid="{9C1DB8D1-C330-43A2-ACAC-59B566FB0108}"/>
    <cellStyle name="Normal 22 2 3 3" xfId="23050" xr:uid="{00000000-0005-0000-0000-0000EA590000}"/>
    <cellStyle name="Normal 22 2 3 3 2" xfId="46882" xr:uid="{C1CAA8DD-E0F7-40BF-A182-C76C11E456C2}"/>
    <cellStyle name="Normal 22 2 3 4" xfId="31004" xr:uid="{54062A95-16E3-4AB0-AC49-E38A08066BBE}"/>
    <cellStyle name="Normal 22 2 4" xfId="11567" xr:uid="{00000000-0005-0000-0000-0000EB590000}"/>
    <cellStyle name="Normal 22 2 4 2" xfId="35416" xr:uid="{9C1389D6-74C0-4D27-85BB-97E1DCE188CE}"/>
    <cellStyle name="Normal 22 2 5" xfId="19522" xr:uid="{00000000-0005-0000-0000-0000EC590000}"/>
    <cellStyle name="Normal 22 2 5 2" xfId="43354" xr:uid="{FC021F9D-6F30-488C-B592-2A521BCADAD3}"/>
    <cellStyle name="Normal 22 2 6" xfId="27474" xr:uid="{5608E945-EC8A-44BC-8647-BBC3C43DB392}"/>
    <cellStyle name="Normal 22 2_Exh G" xfId="3509" xr:uid="{00000000-0005-0000-0000-0000ED590000}"/>
    <cellStyle name="Normal 22 3" xfId="4420" xr:uid="{00000000-0005-0000-0000-0000EE590000}"/>
    <cellStyle name="Normal 22 3 2" xfId="8012" xr:uid="{00000000-0005-0000-0000-0000EF590000}"/>
    <cellStyle name="Normal 22 3 2 2" xfId="15983" xr:uid="{00000000-0005-0000-0000-0000F0590000}"/>
    <cellStyle name="Normal 22 3 2 2 2" xfId="39825" xr:uid="{56D5E541-6DDE-4745-AF59-92BC17C4173F}"/>
    <cellStyle name="Normal 22 3 2 3" xfId="23929" xr:uid="{00000000-0005-0000-0000-0000F1590000}"/>
    <cellStyle name="Normal 22 3 2 3 2" xfId="47761" xr:uid="{22A788EF-6240-4A9D-B221-C77B3C4EC4BB}"/>
    <cellStyle name="Normal 22 3 2 4" xfId="31884" xr:uid="{D1CA4997-3216-4458-80E2-8FCBF9B03B4A}"/>
    <cellStyle name="Normal 22 3 3" xfId="12445" xr:uid="{00000000-0005-0000-0000-0000F2590000}"/>
    <cellStyle name="Normal 22 3 3 2" xfId="36294" xr:uid="{8EB68725-02DF-414E-8FD2-C88B8FF385AC}"/>
    <cellStyle name="Normal 22 3 4" xfId="20400" xr:uid="{00000000-0005-0000-0000-0000F3590000}"/>
    <cellStyle name="Normal 22 3 4 2" xfId="44232" xr:uid="{53D26A7E-9369-4D1C-8C24-FFD231E16DD8}"/>
    <cellStyle name="Normal 22 3 5" xfId="28353" xr:uid="{3B337913-C627-4DC7-9731-DC86153553D6}"/>
    <cellStyle name="Normal 22 4" xfId="5487" xr:uid="{00000000-0005-0000-0000-0000F4590000}"/>
    <cellStyle name="Normal 22 4 2" xfId="9067" xr:uid="{00000000-0005-0000-0000-0000F5590000}"/>
    <cellStyle name="Normal 22 4 2 2" xfId="17026" xr:uid="{00000000-0005-0000-0000-0000F6590000}"/>
    <cellStyle name="Normal 22 4 2 2 2" xfId="40868" xr:uid="{EAF5C9A6-5CA1-4BE6-BF5E-1F6371DD2244}"/>
    <cellStyle name="Normal 22 4 2 3" xfId="24972" xr:uid="{00000000-0005-0000-0000-0000F7590000}"/>
    <cellStyle name="Normal 22 4 2 3 2" xfId="48804" xr:uid="{BC005DE5-D234-4D6B-90A7-5204863496A4}"/>
    <cellStyle name="Normal 22 4 2 4" xfId="32927" xr:uid="{2EEC1C81-079C-40DC-8DC8-107D000D5EC9}"/>
    <cellStyle name="Normal 22 4 3" xfId="13489" xr:uid="{00000000-0005-0000-0000-0000F8590000}"/>
    <cellStyle name="Normal 22 4 3 2" xfId="37338" xr:uid="{9259C4E1-45CA-4B30-90E8-91C96AEC2196}"/>
    <cellStyle name="Normal 22 4 4" xfId="21443" xr:uid="{00000000-0005-0000-0000-0000F9590000}"/>
    <cellStyle name="Normal 22 4 4 2" xfId="45275" xr:uid="{A0A47890-6605-4BB7-A0D6-D5D94B907FA4}"/>
    <cellStyle name="Normal 22 4 5" xfId="29397" xr:uid="{47D5B65B-972E-4ACB-ABAB-0B53F7519B24}"/>
    <cellStyle name="Normal 22 5" xfId="6250" xr:uid="{00000000-0005-0000-0000-0000FA590000}"/>
    <cellStyle name="Normal 22 5 2" xfId="14225" xr:uid="{00000000-0005-0000-0000-0000FB590000}"/>
    <cellStyle name="Normal 22 5 2 2" xfId="38067" xr:uid="{1F09014C-EF47-4D0F-9B91-5C5A12202349}"/>
    <cellStyle name="Normal 22 5 3" xfId="22172" xr:uid="{00000000-0005-0000-0000-0000FC590000}"/>
    <cellStyle name="Normal 22 5 3 2" xfId="46004" xr:uid="{DF88879D-188E-41F7-ACD2-3410797478C3}"/>
    <cellStyle name="Normal 22 5 4" xfId="30126" xr:uid="{228773AF-E040-46F9-B4AD-20C59322F245}"/>
    <cellStyle name="Normal 22 6" xfId="9793" xr:uid="{00000000-0005-0000-0000-0000FD590000}"/>
    <cellStyle name="Normal 22 6 2" xfId="17751" xr:uid="{00000000-0005-0000-0000-0000FE590000}"/>
    <cellStyle name="Normal 22 6 2 2" xfId="41591" xr:uid="{507227AD-AE84-46F8-A6D9-FE57AE4C0617}"/>
    <cellStyle name="Normal 22 6 3" xfId="25695" xr:uid="{00000000-0005-0000-0000-0000FF590000}"/>
    <cellStyle name="Normal 22 6 3 2" xfId="49527" xr:uid="{F7D58918-755D-4766-8F2B-B92A63474A72}"/>
    <cellStyle name="Normal 22 6 4" xfId="33650" xr:uid="{14896CC1-337C-43C6-8B87-F429D1BA760D}"/>
    <cellStyle name="Normal 22 7" xfId="9953" xr:uid="{00000000-0005-0000-0000-0000005A0000}"/>
    <cellStyle name="Normal 22 7 2" xfId="17911" xr:uid="{00000000-0005-0000-0000-0000015A0000}"/>
    <cellStyle name="Normal 22 7 2 2" xfId="41751" xr:uid="{3CFF87DE-AE81-4EC7-9B75-61D7C8C23A57}"/>
    <cellStyle name="Normal 22 7 3" xfId="25855" xr:uid="{00000000-0005-0000-0000-0000025A0000}"/>
    <cellStyle name="Normal 22 7 3 2" xfId="49687" xr:uid="{929F3391-080B-40DF-8472-0AEC53304DDD}"/>
    <cellStyle name="Normal 22 7 4" xfId="33810" xr:uid="{EF7EA776-EF8E-45EF-A108-083DE36E14D3}"/>
    <cellStyle name="Normal 22 8" xfId="9955" xr:uid="{00000000-0005-0000-0000-0000035A0000}"/>
    <cellStyle name="Normal 22 8 2" xfId="17913" xr:uid="{00000000-0005-0000-0000-0000045A0000}"/>
    <cellStyle name="Normal 22 8 2 2" xfId="41753" xr:uid="{6E769E63-D316-4403-B88F-79D7D2FBA8C4}"/>
    <cellStyle name="Normal 22 8 3" xfId="25857" xr:uid="{00000000-0005-0000-0000-0000055A0000}"/>
    <cellStyle name="Normal 22 8 3 2" xfId="49689" xr:uid="{ECA951CB-90DE-4CDA-8097-C4E836E07820}"/>
    <cellStyle name="Normal 22 8 4" xfId="33812" xr:uid="{666EC59C-8EB4-468C-B427-971B90C4C90F}"/>
    <cellStyle name="Normal 22 9" xfId="10689" xr:uid="{00000000-0005-0000-0000-0000065A0000}"/>
    <cellStyle name="Normal 22 9 2" xfId="34538" xr:uid="{5557E314-5136-4A49-BF07-D5159F78D705}"/>
    <cellStyle name="Normal 22_Exh G" xfId="3508" xr:uid="{00000000-0005-0000-0000-0000075A0000}"/>
    <cellStyle name="Normal 23" xfId="840" xr:uid="{00000000-0005-0000-0000-0000085A0000}"/>
    <cellStyle name="Normal 24" xfId="841" xr:uid="{00000000-0005-0000-0000-0000095A0000}"/>
    <cellStyle name="Normal 24 2" xfId="1780" xr:uid="{00000000-0005-0000-0000-00000A5A0000}"/>
    <cellStyle name="Normal 24 2 2" xfId="5301" xr:uid="{00000000-0005-0000-0000-00000B5A0000}"/>
    <cellStyle name="Normal 24 2 2 2" xfId="8892" xr:uid="{00000000-0005-0000-0000-00000C5A0000}"/>
    <cellStyle name="Normal 24 2 2 2 2" xfId="16863" xr:uid="{00000000-0005-0000-0000-00000D5A0000}"/>
    <cellStyle name="Normal 24 2 2 2 2 2" xfId="40705" xr:uid="{78E4027E-58AB-4BE8-BAB6-37B646854A9C}"/>
    <cellStyle name="Normal 24 2 2 2 3" xfId="24809" xr:uid="{00000000-0005-0000-0000-00000E5A0000}"/>
    <cellStyle name="Normal 24 2 2 2 3 2" xfId="48641" xr:uid="{5A50FE6A-DE5C-4BED-B204-783E0F9116C0}"/>
    <cellStyle name="Normal 24 2 2 2 4" xfId="32764" xr:uid="{A5423978-E5E9-4E90-8608-8CC7FD683C2E}"/>
    <cellStyle name="Normal 24 2 2 3" xfId="13325" xr:uid="{00000000-0005-0000-0000-00000F5A0000}"/>
    <cellStyle name="Normal 24 2 2 3 2" xfId="37174" xr:uid="{429555E4-E1BF-4C66-911A-97D8FA687943}"/>
    <cellStyle name="Normal 24 2 2 4" xfId="21280" xr:uid="{00000000-0005-0000-0000-0000105A0000}"/>
    <cellStyle name="Normal 24 2 2 4 2" xfId="45112" xr:uid="{ED05053D-577F-49F1-83FB-B8EB50DF1A0D}"/>
    <cellStyle name="Normal 24 2 2 5" xfId="29233" xr:uid="{3C36D7B3-A627-4F39-8453-3DD53457AE6E}"/>
    <cellStyle name="Normal 24 2 3" xfId="7133" xr:uid="{00000000-0005-0000-0000-0000115A0000}"/>
    <cellStyle name="Normal 24 2 3 2" xfId="15105" xr:uid="{00000000-0005-0000-0000-0000125A0000}"/>
    <cellStyle name="Normal 24 2 3 2 2" xfId="38947" xr:uid="{5417A021-1B4F-49BF-84C0-227778E7F90C}"/>
    <cellStyle name="Normal 24 2 3 3" xfId="23052" xr:uid="{00000000-0005-0000-0000-0000135A0000}"/>
    <cellStyle name="Normal 24 2 3 3 2" xfId="46884" xr:uid="{00E1532D-373F-417F-B024-B09DDB02DD31}"/>
    <cellStyle name="Normal 24 2 3 4" xfId="31006" xr:uid="{E4A68E10-8B85-407C-9B75-5D2FDFF4B78B}"/>
    <cellStyle name="Normal 24 2 4" xfId="11569" xr:uid="{00000000-0005-0000-0000-0000145A0000}"/>
    <cellStyle name="Normal 24 2 4 2" xfId="35418" xr:uid="{CD755745-9153-404E-BCA5-DB15C8E1129F}"/>
    <cellStyle name="Normal 24 2 5" xfId="19524" xr:uid="{00000000-0005-0000-0000-0000155A0000}"/>
    <cellStyle name="Normal 24 2 5 2" xfId="43356" xr:uid="{FFC1900B-C84B-4981-9A34-43D63B63C750}"/>
    <cellStyle name="Normal 24 2 6" xfId="27476" xr:uid="{6DE44637-CF6F-4927-8769-5370D50BB682}"/>
    <cellStyle name="Normal 24 2_Exh G" xfId="3511" xr:uid="{00000000-0005-0000-0000-0000165A0000}"/>
    <cellStyle name="Normal 24 3" xfId="4422" xr:uid="{00000000-0005-0000-0000-0000175A0000}"/>
    <cellStyle name="Normal 24 3 2" xfId="8014" xr:uid="{00000000-0005-0000-0000-0000185A0000}"/>
    <cellStyle name="Normal 24 3 2 2" xfId="15985" xr:uid="{00000000-0005-0000-0000-0000195A0000}"/>
    <cellStyle name="Normal 24 3 2 2 2" xfId="39827" xr:uid="{F27ACDB3-8627-46DC-8C12-6D95909F88BC}"/>
    <cellStyle name="Normal 24 3 2 3" xfId="23931" xr:uid="{00000000-0005-0000-0000-00001A5A0000}"/>
    <cellStyle name="Normal 24 3 2 3 2" xfId="47763" xr:uid="{32E50BC7-D857-4A60-9003-F72766CE7096}"/>
    <cellStyle name="Normal 24 3 2 4" xfId="31886" xr:uid="{0889A5C2-33BF-4387-8598-94653BD89A5A}"/>
    <cellStyle name="Normal 24 3 3" xfId="12447" xr:uid="{00000000-0005-0000-0000-00001B5A0000}"/>
    <cellStyle name="Normal 24 3 3 2" xfId="36296" xr:uid="{BEB5200F-54BE-452D-B9EA-E179AB091B27}"/>
    <cellStyle name="Normal 24 3 4" xfId="20402" xr:uid="{00000000-0005-0000-0000-00001C5A0000}"/>
    <cellStyle name="Normal 24 3 4 2" xfId="44234" xr:uid="{3569DCBD-8238-4800-9F51-44A8CF15F6C3}"/>
    <cellStyle name="Normal 24 3 5" xfId="28355" xr:uid="{21BD3045-3C3B-4A18-B33D-667DF0C449F8}"/>
    <cellStyle name="Normal 24 4" xfId="6252" xr:uid="{00000000-0005-0000-0000-00001D5A0000}"/>
    <cellStyle name="Normal 24 4 2" xfId="14227" xr:uid="{00000000-0005-0000-0000-00001E5A0000}"/>
    <cellStyle name="Normal 24 4 2 2" xfId="38069" xr:uid="{15C9D778-0BC9-4466-B73D-E93EA17C56D6}"/>
    <cellStyle name="Normal 24 4 3" xfId="22174" xr:uid="{00000000-0005-0000-0000-00001F5A0000}"/>
    <cellStyle name="Normal 24 4 3 2" xfId="46006" xr:uid="{C46981C3-0406-4C15-B7F3-9E3813FBE512}"/>
    <cellStyle name="Normal 24 4 4" xfId="30128" xr:uid="{3FC524CE-5096-4A76-8A4D-D95105A5714B}"/>
    <cellStyle name="Normal 24 5" xfId="9795" xr:uid="{00000000-0005-0000-0000-0000205A0000}"/>
    <cellStyle name="Normal 24 5 2" xfId="17753" xr:uid="{00000000-0005-0000-0000-0000215A0000}"/>
    <cellStyle name="Normal 24 5 2 2" xfId="41593" xr:uid="{CAD9003B-368D-428D-A419-A6C1C16DB730}"/>
    <cellStyle name="Normal 24 5 3" xfId="25697" xr:uid="{00000000-0005-0000-0000-0000225A0000}"/>
    <cellStyle name="Normal 24 5 3 2" xfId="49529" xr:uid="{36112C38-BF51-422E-98A0-D94A47019289}"/>
    <cellStyle name="Normal 24 5 4" xfId="33652" xr:uid="{63BD8D66-8CCC-4F0C-A01C-75C65AF2ADC3}"/>
    <cellStyle name="Normal 24 6" xfId="10691" xr:uid="{00000000-0005-0000-0000-0000235A0000}"/>
    <cellStyle name="Normal 24 6 2" xfId="34540" xr:uid="{C874C65C-9A23-4BB7-BF5C-20A7B718BDA4}"/>
    <cellStyle name="Normal 24 7" xfId="18646" xr:uid="{00000000-0005-0000-0000-0000245A0000}"/>
    <cellStyle name="Normal 24 7 2" xfId="42478" xr:uid="{B8B23BF4-D3A2-408B-AB81-FB6DD9F74712}"/>
    <cellStyle name="Normal 24 8" xfId="26598" xr:uid="{6059FEA6-E40F-4363-B0AE-F362B678C5D0}"/>
    <cellStyle name="Normal 24_Exh G" xfId="3510" xr:uid="{00000000-0005-0000-0000-0000255A0000}"/>
    <cellStyle name="Normal 25" xfId="860" xr:uid="{00000000-0005-0000-0000-0000265A0000}"/>
    <cellStyle name="Normal 26" xfId="1042" xr:uid="{00000000-0005-0000-0000-0000275A0000}"/>
    <cellStyle name="Normal 26 2" xfId="4579" xr:uid="{00000000-0005-0000-0000-0000285A0000}"/>
    <cellStyle name="Normal 26_Exh G" xfId="3512" xr:uid="{00000000-0005-0000-0000-0000295A0000}"/>
    <cellStyle name="Normal 27" xfId="1041" xr:uid="{00000000-0005-0000-0000-00002A5A0000}"/>
    <cellStyle name="Normal 27 2" xfId="25874" xr:uid="{00000000-0005-0000-0000-00002B5A0000}"/>
    <cellStyle name="Normal 28" xfId="5458" xr:uid="{00000000-0005-0000-0000-00002C5A0000}"/>
    <cellStyle name="Normal 29" xfId="5459" xr:uid="{00000000-0005-0000-0000-00002D5A0000}"/>
    <cellStyle name="Normal 29 2" xfId="9050" xr:uid="{00000000-0005-0000-0000-00002E5A0000}"/>
    <cellStyle name="Normal 3" xfId="3" xr:uid="{00000000-0005-0000-0000-00002F5A0000}"/>
    <cellStyle name="Normal 3 10" xfId="6411" xr:uid="{00000000-0005-0000-0000-0000305A0000}"/>
    <cellStyle name="Normal 3 11" xfId="49831" xr:uid="{A9B57D07-A9FA-43B9-B1EA-A68B6BE4180B}"/>
    <cellStyle name="Normal 3 2" xfId="668" xr:uid="{00000000-0005-0000-0000-0000315A0000}"/>
    <cellStyle name="Normal 3 2 10" xfId="26523" xr:uid="{8E735E9D-8663-47AE-A21E-11108BC8919A}"/>
    <cellStyle name="Normal 3 2 2" xfId="669" xr:uid="{00000000-0005-0000-0000-0000325A0000}"/>
    <cellStyle name="Normal 3 2 2 2" xfId="1697" xr:uid="{00000000-0005-0000-0000-0000335A0000}"/>
    <cellStyle name="Normal 3 2 2 2 2" xfId="5227" xr:uid="{00000000-0005-0000-0000-0000345A0000}"/>
    <cellStyle name="Normal 3 2 2 2 2 2" xfId="8818" xr:uid="{00000000-0005-0000-0000-0000355A0000}"/>
    <cellStyle name="Normal 3 2 2 2 2 2 2" xfId="16789" xr:uid="{00000000-0005-0000-0000-0000365A0000}"/>
    <cellStyle name="Normal 3 2 2 2 2 2 2 2" xfId="40631" xr:uid="{5865A4F8-8273-4804-B509-57D87E102BA7}"/>
    <cellStyle name="Normal 3 2 2 2 2 2 3" xfId="24735" xr:uid="{00000000-0005-0000-0000-0000375A0000}"/>
    <cellStyle name="Normal 3 2 2 2 2 2 3 2" xfId="48567" xr:uid="{7203DB1E-39E6-4D29-A068-681AA7DD0662}"/>
    <cellStyle name="Normal 3 2 2 2 2 2 4" xfId="32690" xr:uid="{C7F0333F-C4CA-4C64-A0C4-AF2C899B55FA}"/>
    <cellStyle name="Normal 3 2 2 2 2 3" xfId="13251" xr:uid="{00000000-0005-0000-0000-0000385A0000}"/>
    <cellStyle name="Normal 3 2 2 2 2 3 2" xfId="37100" xr:uid="{198A6414-49E0-4AAA-8EB8-ADE8ACCFEAAD}"/>
    <cellStyle name="Normal 3 2 2 2 2 4" xfId="21206" xr:uid="{00000000-0005-0000-0000-0000395A0000}"/>
    <cellStyle name="Normal 3 2 2 2 2 4 2" xfId="45038" xr:uid="{906A1E8A-0EAE-4303-9B85-D7AA2FB7D843}"/>
    <cellStyle name="Normal 3 2 2 2 2 5" xfId="29159" xr:uid="{FAA7A720-24F0-44AF-89D5-179509EF73F5}"/>
    <cellStyle name="Normal 3 2 2 2 3" xfId="7059" xr:uid="{00000000-0005-0000-0000-00003A5A0000}"/>
    <cellStyle name="Normal 3 2 2 2 3 2" xfId="15031" xr:uid="{00000000-0005-0000-0000-00003B5A0000}"/>
    <cellStyle name="Normal 3 2 2 2 3 2 2" xfId="38873" xr:uid="{85BCEA76-4052-4B96-8A72-90181ED06749}"/>
    <cellStyle name="Normal 3 2 2 2 3 3" xfId="22978" xr:uid="{00000000-0005-0000-0000-00003C5A0000}"/>
    <cellStyle name="Normal 3 2 2 2 3 3 2" xfId="46810" xr:uid="{28D9924A-D694-42A7-BE2A-89DDA6ACEB2A}"/>
    <cellStyle name="Normal 3 2 2 2 3 4" xfId="30932" xr:uid="{19780A3D-9D12-4355-AE2A-2321A01387E4}"/>
    <cellStyle name="Normal 3 2 2 2 4" xfId="11495" xr:uid="{00000000-0005-0000-0000-00003D5A0000}"/>
    <cellStyle name="Normal 3 2 2 2 4 2" xfId="35344" xr:uid="{384F5503-2712-4085-BA73-AB5ED2769E01}"/>
    <cellStyle name="Normal 3 2 2 2 5" xfId="19450" xr:uid="{00000000-0005-0000-0000-00003E5A0000}"/>
    <cellStyle name="Normal 3 2 2 2 5 2" xfId="43282" xr:uid="{41B49686-446A-45E1-9EBE-1A1488814567}"/>
    <cellStyle name="Normal 3 2 2 2 6" xfId="27402" xr:uid="{438345BA-C66B-46A0-8E5D-670471087E9D}"/>
    <cellStyle name="Normal 3 2 2 2_Exh G" xfId="3515" xr:uid="{00000000-0005-0000-0000-00003F5A0000}"/>
    <cellStyle name="Normal 3 2 2 3" xfId="4348" xr:uid="{00000000-0005-0000-0000-0000405A0000}"/>
    <cellStyle name="Normal 3 2 2 3 2" xfId="7940" xr:uid="{00000000-0005-0000-0000-0000415A0000}"/>
    <cellStyle name="Normal 3 2 2 3 2 2" xfId="15911" xr:uid="{00000000-0005-0000-0000-0000425A0000}"/>
    <cellStyle name="Normal 3 2 2 3 2 2 2" xfId="39753" xr:uid="{79C37170-D400-4D0B-BFB3-F25771F6DA3B}"/>
    <cellStyle name="Normal 3 2 2 3 2 3" xfId="23857" xr:uid="{00000000-0005-0000-0000-0000435A0000}"/>
    <cellStyle name="Normal 3 2 2 3 2 3 2" xfId="47689" xr:uid="{C9599BC9-302C-4BD2-992F-8F9F1A771EC6}"/>
    <cellStyle name="Normal 3 2 2 3 2 4" xfId="31812" xr:uid="{10F856B5-78B6-4711-96CA-80AE57D9F34A}"/>
    <cellStyle name="Normal 3 2 2 3 3" xfId="12373" xr:uid="{00000000-0005-0000-0000-0000445A0000}"/>
    <cellStyle name="Normal 3 2 2 3 3 2" xfId="36222" xr:uid="{E373C16C-93FC-4DE5-9A58-F485F6019F2E}"/>
    <cellStyle name="Normal 3 2 2 3 4" xfId="20328" xr:uid="{00000000-0005-0000-0000-0000455A0000}"/>
    <cellStyle name="Normal 3 2 2 3 4 2" xfId="44160" xr:uid="{F6D598D0-98F5-4E90-B76C-6AC86DDF675F}"/>
    <cellStyle name="Normal 3 2 2 3 5" xfId="28281" xr:uid="{E979A139-FFB5-4E5E-AE1F-D3876D813E09}"/>
    <cellStyle name="Normal 3 2 2 4" xfId="6168" xr:uid="{00000000-0005-0000-0000-0000465A0000}"/>
    <cellStyle name="Normal 3 2 2 4 2" xfId="14152" xr:uid="{00000000-0005-0000-0000-0000475A0000}"/>
    <cellStyle name="Normal 3 2 2 4 2 2" xfId="37995" xr:uid="{8D75B7D1-C6A6-42C6-A86E-9E036E5083D0}"/>
    <cellStyle name="Normal 3 2 2 4 3" xfId="22100" xr:uid="{00000000-0005-0000-0000-0000485A0000}"/>
    <cellStyle name="Normal 3 2 2 4 3 2" xfId="45932" xr:uid="{055C676A-6250-4280-89DF-21B9EDCDCD3E}"/>
    <cellStyle name="Normal 3 2 2 4 4" xfId="30054" xr:uid="{EFA0A9FA-95B1-4A7A-8DD0-9E63B6E1AB45}"/>
    <cellStyle name="Normal 3 2 2 5" xfId="9721" xr:uid="{00000000-0005-0000-0000-0000495A0000}"/>
    <cellStyle name="Normal 3 2 2 5 2" xfId="17679" xr:uid="{00000000-0005-0000-0000-00004A5A0000}"/>
    <cellStyle name="Normal 3 2 2 5 2 2" xfId="41519" xr:uid="{4DB77D2B-54F0-481D-9F54-DB1E8D1F9FBD}"/>
    <cellStyle name="Normal 3 2 2 5 3" xfId="25623" xr:uid="{00000000-0005-0000-0000-00004B5A0000}"/>
    <cellStyle name="Normal 3 2 2 5 3 2" xfId="49455" xr:uid="{A8406A9C-F709-4EC1-9AF3-CD49CCABBD2C}"/>
    <cellStyle name="Normal 3 2 2 5 4" xfId="33578" xr:uid="{05D5F4F4-697F-4848-B531-F34F3C683EB4}"/>
    <cellStyle name="Normal 3 2 2 6" xfId="10617" xr:uid="{00000000-0005-0000-0000-00004C5A0000}"/>
    <cellStyle name="Normal 3 2 2 6 2" xfId="34466" xr:uid="{8943871A-87FF-40A9-9E6A-597F08BC674B}"/>
    <cellStyle name="Normal 3 2 2 7" xfId="18572" xr:uid="{00000000-0005-0000-0000-00004D5A0000}"/>
    <cellStyle name="Normal 3 2 2 7 2" xfId="42404" xr:uid="{2A8398DD-7F15-4C25-9A96-BDF5D5F26DDF}"/>
    <cellStyle name="Normal 3 2 2 8" xfId="26524" xr:uid="{471D227A-F66C-4A85-8AAE-959A02327833}"/>
    <cellStyle name="Normal 3 2 2_Exh G" xfId="3514" xr:uid="{00000000-0005-0000-0000-00004E5A0000}"/>
    <cellStyle name="Normal 3 2 3" xfId="1019" xr:uid="{00000000-0005-0000-0000-00004F5A0000}"/>
    <cellStyle name="Normal 3 2 3 2" xfId="1924" xr:uid="{00000000-0005-0000-0000-0000505A0000}"/>
    <cellStyle name="Normal 3 2 3 2 2" xfId="5442" xr:uid="{00000000-0005-0000-0000-0000515A0000}"/>
    <cellStyle name="Normal 3 2 3 2 2 2" xfId="9033" xr:uid="{00000000-0005-0000-0000-0000525A0000}"/>
    <cellStyle name="Normal 3 2 3 2 2 2 2" xfId="17004" xr:uid="{00000000-0005-0000-0000-0000535A0000}"/>
    <cellStyle name="Normal 3 2 3 2 2 2 2 2" xfId="40846" xr:uid="{67516DFB-82C4-40AC-872D-3717EA0F3CD6}"/>
    <cellStyle name="Normal 3 2 3 2 2 2 3" xfId="24950" xr:uid="{00000000-0005-0000-0000-0000545A0000}"/>
    <cellStyle name="Normal 3 2 3 2 2 2 3 2" xfId="48782" xr:uid="{5FC2995E-6B0C-4B3D-8CDD-0703FEF8974D}"/>
    <cellStyle name="Normal 3 2 3 2 2 2 4" xfId="32905" xr:uid="{EECB7DB6-AF6E-46C0-B6D8-081C295DFB0E}"/>
    <cellStyle name="Normal 3 2 3 2 2 3" xfId="13466" xr:uid="{00000000-0005-0000-0000-0000555A0000}"/>
    <cellStyle name="Normal 3 2 3 2 2 3 2" xfId="37315" xr:uid="{56B0857A-D76E-428F-B411-421075514B1F}"/>
    <cellStyle name="Normal 3 2 3 2 2 4" xfId="21421" xr:uid="{00000000-0005-0000-0000-0000565A0000}"/>
    <cellStyle name="Normal 3 2 3 2 2 4 2" xfId="45253" xr:uid="{F0E251FE-5007-47CD-9C6C-180894D0077F}"/>
    <cellStyle name="Normal 3 2 3 2 2 5" xfId="29374" xr:uid="{65B79373-F584-42B4-A70B-6770F792F336}"/>
    <cellStyle name="Normal 3 2 3 2 3" xfId="7274" xr:uid="{00000000-0005-0000-0000-0000575A0000}"/>
    <cellStyle name="Normal 3 2 3 2 3 2" xfId="15246" xr:uid="{00000000-0005-0000-0000-0000585A0000}"/>
    <cellStyle name="Normal 3 2 3 2 3 2 2" xfId="39088" xr:uid="{431A6467-BEB1-440D-A8ED-C10242FD06C8}"/>
    <cellStyle name="Normal 3 2 3 2 3 3" xfId="23193" xr:uid="{00000000-0005-0000-0000-0000595A0000}"/>
    <cellStyle name="Normal 3 2 3 2 3 3 2" xfId="47025" xr:uid="{A529CA79-C820-4BEF-9189-F050FF8F7C1F}"/>
    <cellStyle name="Normal 3 2 3 2 3 4" xfId="31147" xr:uid="{A22FB146-3DBF-458D-BCA2-12CF785CB346}"/>
    <cellStyle name="Normal 3 2 3 2 4" xfId="11710" xr:uid="{00000000-0005-0000-0000-00005A5A0000}"/>
    <cellStyle name="Normal 3 2 3 2 4 2" xfId="35559" xr:uid="{7A5611F6-12FE-4179-99A2-BD7866FD50B1}"/>
    <cellStyle name="Normal 3 2 3 2 5" xfId="19665" xr:uid="{00000000-0005-0000-0000-00005B5A0000}"/>
    <cellStyle name="Normal 3 2 3 2 5 2" xfId="43497" xr:uid="{D90B3EA8-0BD9-4D12-BF98-D643435BBA57}"/>
    <cellStyle name="Normal 3 2 3 2 6" xfId="27617" xr:uid="{4F844FB9-BB5D-4397-92B3-E2DD4675746B}"/>
    <cellStyle name="Normal 3 2 3 2_Exh G" xfId="3517" xr:uid="{00000000-0005-0000-0000-00005C5A0000}"/>
    <cellStyle name="Normal 3 2 3 3" xfId="4563" xr:uid="{00000000-0005-0000-0000-00005D5A0000}"/>
    <cellStyle name="Normal 3 2 3 3 2" xfId="8155" xr:uid="{00000000-0005-0000-0000-00005E5A0000}"/>
    <cellStyle name="Normal 3 2 3 3 2 2" xfId="16126" xr:uid="{00000000-0005-0000-0000-00005F5A0000}"/>
    <cellStyle name="Normal 3 2 3 3 2 2 2" xfId="39968" xr:uid="{9AA4E2FD-7946-4E1F-8E0E-68918AE2EC71}"/>
    <cellStyle name="Normal 3 2 3 3 2 3" xfId="24072" xr:uid="{00000000-0005-0000-0000-0000605A0000}"/>
    <cellStyle name="Normal 3 2 3 3 2 3 2" xfId="47904" xr:uid="{C3088529-6265-42A5-AFDD-C8E2334C3554}"/>
    <cellStyle name="Normal 3 2 3 3 2 4" xfId="32027" xr:uid="{C94848AC-27EC-4225-ADC1-A2EC68761CDD}"/>
    <cellStyle name="Normal 3 2 3 3 3" xfId="12588" xr:uid="{00000000-0005-0000-0000-0000615A0000}"/>
    <cellStyle name="Normal 3 2 3 3 3 2" xfId="36437" xr:uid="{2B25F25B-31AA-40BD-82CE-010738A2CAFD}"/>
    <cellStyle name="Normal 3 2 3 3 4" xfId="20543" xr:uid="{00000000-0005-0000-0000-0000625A0000}"/>
    <cellStyle name="Normal 3 2 3 3 4 2" xfId="44375" xr:uid="{DFDFA728-7969-45ED-ABCE-590095839F2A}"/>
    <cellStyle name="Normal 3 2 3 3 5" xfId="28496" xr:uid="{E8891464-4F84-4EA7-94AF-858E3E426EC9}"/>
    <cellStyle name="Normal 3 2 3 4" xfId="6393" xr:uid="{00000000-0005-0000-0000-0000635A0000}"/>
    <cellStyle name="Normal 3 2 3 4 2" xfId="14368" xr:uid="{00000000-0005-0000-0000-0000645A0000}"/>
    <cellStyle name="Normal 3 2 3 4 2 2" xfId="38210" xr:uid="{3500EF31-F612-4119-94E2-0BC65D4BE3A1}"/>
    <cellStyle name="Normal 3 2 3 4 3" xfId="22315" xr:uid="{00000000-0005-0000-0000-0000655A0000}"/>
    <cellStyle name="Normal 3 2 3 4 3 2" xfId="46147" xr:uid="{1140E684-F922-42CC-9113-56B22B9D06E8}"/>
    <cellStyle name="Normal 3 2 3 4 4" xfId="30269" xr:uid="{7D86A6B7-44D1-48AA-BA1F-86B786408C99}"/>
    <cellStyle name="Normal 3 2 3 5" xfId="9936" xr:uid="{00000000-0005-0000-0000-0000665A0000}"/>
    <cellStyle name="Normal 3 2 3 5 2" xfId="17894" xr:uid="{00000000-0005-0000-0000-0000675A0000}"/>
    <cellStyle name="Normal 3 2 3 5 2 2" xfId="41734" xr:uid="{771074BE-4359-4A7B-8666-C538CC8D9AB1}"/>
    <cellStyle name="Normal 3 2 3 5 3" xfId="25838" xr:uid="{00000000-0005-0000-0000-0000685A0000}"/>
    <cellStyle name="Normal 3 2 3 5 3 2" xfId="49670" xr:uid="{D6A7D107-6AE9-438F-B2CB-D09EAF24D119}"/>
    <cellStyle name="Normal 3 2 3 5 4" xfId="33793" xr:uid="{8F934E8D-04A6-46DA-B8CC-60650BB81FAC}"/>
    <cellStyle name="Normal 3 2 3 6" xfId="10832" xr:uid="{00000000-0005-0000-0000-0000695A0000}"/>
    <cellStyle name="Normal 3 2 3 6 2" xfId="34681" xr:uid="{75E27A0A-C210-484B-ACC4-2ACECF6C6828}"/>
    <cellStyle name="Normal 3 2 3 7" xfId="18787" xr:uid="{00000000-0005-0000-0000-00006A5A0000}"/>
    <cellStyle name="Normal 3 2 3 7 2" xfId="42619" xr:uid="{67D0D14A-98B0-48E2-BD81-8805BD957C19}"/>
    <cellStyle name="Normal 3 2 3 8" xfId="26739" xr:uid="{977CB5AE-A5C2-40CB-8962-9513D46E3DDC}"/>
    <cellStyle name="Normal 3 2 3_Exh G" xfId="3516" xr:uid="{00000000-0005-0000-0000-00006B5A0000}"/>
    <cellStyle name="Normal 3 2 4" xfId="1696" xr:uid="{00000000-0005-0000-0000-00006C5A0000}"/>
    <cellStyle name="Normal 3 2 4 2" xfId="5226" xr:uid="{00000000-0005-0000-0000-00006D5A0000}"/>
    <cellStyle name="Normal 3 2 4 2 2" xfId="8817" xr:uid="{00000000-0005-0000-0000-00006E5A0000}"/>
    <cellStyle name="Normal 3 2 4 2 2 2" xfId="16788" xr:uid="{00000000-0005-0000-0000-00006F5A0000}"/>
    <cellStyle name="Normal 3 2 4 2 2 2 2" xfId="40630" xr:uid="{6BC3349C-6C61-4053-B9C2-1ABBCA1C5B6E}"/>
    <cellStyle name="Normal 3 2 4 2 2 3" xfId="24734" xr:uid="{00000000-0005-0000-0000-0000705A0000}"/>
    <cellStyle name="Normal 3 2 4 2 2 3 2" xfId="48566" xr:uid="{6906E151-31D2-415A-A550-E57CFFA3CD09}"/>
    <cellStyle name="Normal 3 2 4 2 2 4" xfId="32689" xr:uid="{3C8B561D-26CC-4EE0-8C62-A8FEEFA085E1}"/>
    <cellStyle name="Normal 3 2 4 2 3" xfId="13250" xr:uid="{00000000-0005-0000-0000-0000715A0000}"/>
    <cellStyle name="Normal 3 2 4 2 3 2" xfId="37099" xr:uid="{C8E32DE5-F45B-45D4-89D4-4ED66F39E45A}"/>
    <cellStyle name="Normal 3 2 4 2 4" xfId="21205" xr:uid="{00000000-0005-0000-0000-0000725A0000}"/>
    <cellStyle name="Normal 3 2 4 2 4 2" xfId="45037" xr:uid="{26C5FA4A-13F4-4F43-901E-2997FB66D010}"/>
    <cellStyle name="Normal 3 2 4 2 5" xfId="29158" xr:uid="{D259D284-D634-490F-B85D-41E72683EF99}"/>
    <cellStyle name="Normal 3 2 4 3" xfId="7058" xr:uid="{00000000-0005-0000-0000-0000735A0000}"/>
    <cellStyle name="Normal 3 2 4 3 2" xfId="15030" xr:uid="{00000000-0005-0000-0000-0000745A0000}"/>
    <cellStyle name="Normal 3 2 4 3 2 2" xfId="38872" xr:uid="{5BD278FA-3C26-415F-8C14-7248AC0D0AF0}"/>
    <cellStyle name="Normal 3 2 4 3 3" xfId="22977" xr:uid="{00000000-0005-0000-0000-0000755A0000}"/>
    <cellStyle name="Normal 3 2 4 3 3 2" xfId="46809" xr:uid="{4C3D8588-65BC-4B7D-99F0-90F16F4F944F}"/>
    <cellStyle name="Normal 3 2 4 3 4" xfId="30931" xr:uid="{6DDFCC73-BAAA-4FE1-B488-786B58BFDAFD}"/>
    <cellStyle name="Normal 3 2 4 4" xfId="11494" xr:uid="{00000000-0005-0000-0000-0000765A0000}"/>
    <cellStyle name="Normal 3 2 4 4 2" xfId="35343" xr:uid="{BBF94091-D6B7-4C6E-8621-EBB010699ED3}"/>
    <cellStyle name="Normal 3 2 4 5" xfId="19449" xr:uid="{00000000-0005-0000-0000-0000775A0000}"/>
    <cellStyle name="Normal 3 2 4 5 2" xfId="43281" xr:uid="{CD865D77-07B7-4BC2-A3F5-2D98A584A092}"/>
    <cellStyle name="Normal 3 2 4 6" xfId="27401" xr:uid="{59282816-F4AD-4AFF-965F-F86E2B3A1445}"/>
    <cellStyle name="Normal 3 2 4_Exh G" xfId="3518" xr:uid="{00000000-0005-0000-0000-0000785A0000}"/>
    <cellStyle name="Normal 3 2 5" xfId="4347" xr:uid="{00000000-0005-0000-0000-0000795A0000}"/>
    <cellStyle name="Normal 3 2 5 2" xfId="7939" xr:uid="{00000000-0005-0000-0000-00007A5A0000}"/>
    <cellStyle name="Normal 3 2 5 2 2" xfId="15910" xr:uid="{00000000-0005-0000-0000-00007B5A0000}"/>
    <cellStyle name="Normal 3 2 5 2 2 2" xfId="39752" xr:uid="{0C4920B6-9AB5-4DF4-AFE1-682B1BB608C2}"/>
    <cellStyle name="Normal 3 2 5 2 3" xfId="23856" xr:uid="{00000000-0005-0000-0000-00007C5A0000}"/>
    <cellStyle name="Normal 3 2 5 2 3 2" xfId="47688" xr:uid="{E032A6AC-012D-4CB9-BFE7-058870671475}"/>
    <cellStyle name="Normal 3 2 5 2 4" xfId="31811" xr:uid="{67300B4A-5F12-4D4F-AB4B-86A758676D54}"/>
    <cellStyle name="Normal 3 2 5 3" xfId="12372" xr:uid="{00000000-0005-0000-0000-00007D5A0000}"/>
    <cellStyle name="Normal 3 2 5 3 2" xfId="36221" xr:uid="{C03F8669-B420-4824-A594-0617460E24ED}"/>
    <cellStyle name="Normal 3 2 5 4" xfId="20327" xr:uid="{00000000-0005-0000-0000-00007E5A0000}"/>
    <cellStyle name="Normal 3 2 5 4 2" xfId="44159" xr:uid="{75A0780D-E1C9-4526-A76D-1E752E8B696F}"/>
    <cellStyle name="Normal 3 2 5 5" xfId="28280" xr:uid="{512AD40A-A2CD-4402-9AD2-5432678232CC}"/>
    <cellStyle name="Normal 3 2 6" xfId="6167" xr:uid="{00000000-0005-0000-0000-00007F5A0000}"/>
    <cellStyle name="Normal 3 2 6 2" xfId="14151" xr:uid="{00000000-0005-0000-0000-0000805A0000}"/>
    <cellStyle name="Normal 3 2 6 2 2" xfId="37994" xr:uid="{1510BEB2-2F72-4462-9830-D265477B8A9A}"/>
    <cellStyle name="Normal 3 2 6 3" xfId="22099" xr:uid="{00000000-0005-0000-0000-0000815A0000}"/>
    <cellStyle name="Normal 3 2 6 3 2" xfId="45931" xr:uid="{F324C2EC-EA2B-4EB9-8E0C-FB1E9073E267}"/>
    <cellStyle name="Normal 3 2 6 4" xfId="30053" xr:uid="{6425A3E6-3A4B-4456-B6D2-7BDCE277A45F}"/>
    <cellStyle name="Normal 3 2 7" xfId="9720" xr:uid="{00000000-0005-0000-0000-0000825A0000}"/>
    <cellStyle name="Normal 3 2 7 2" xfId="17678" xr:uid="{00000000-0005-0000-0000-0000835A0000}"/>
    <cellStyle name="Normal 3 2 7 2 2" xfId="41518" xr:uid="{ED0CD159-8F33-4F01-B978-186763EEDC4C}"/>
    <cellStyle name="Normal 3 2 7 3" xfId="25622" xr:uid="{00000000-0005-0000-0000-0000845A0000}"/>
    <cellStyle name="Normal 3 2 7 3 2" xfId="49454" xr:uid="{4E039654-3FCD-4810-B3F7-E9529B3352C5}"/>
    <cellStyle name="Normal 3 2 7 4" xfId="33577" xr:uid="{78C7E7E7-EFC5-4527-ACAB-E2F8738CA0A0}"/>
    <cellStyle name="Normal 3 2 8" xfId="10616" xr:uid="{00000000-0005-0000-0000-0000855A0000}"/>
    <cellStyle name="Normal 3 2 8 2" xfId="34465" xr:uid="{D9875C60-3B18-4528-B3E7-037551DD8DB0}"/>
    <cellStyle name="Normal 3 2 9" xfId="18571" xr:uid="{00000000-0005-0000-0000-0000865A0000}"/>
    <cellStyle name="Normal 3 2 9 2" xfId="42403" xr:uid="{C6B9A555-4E24-4438-A91F-5E9B1D003750}"/>
    <cellStyle name="Normal 3 2_Exh G" xfId="3513" xr:uid="{00000000-0005-0000-0000-0000875A0000}"/>
    <cellStyle name="Normal 3 3" xfId="670" xr:uid="{00000000-0005-0000-0000-0000885A0000}"/>
    <cellStyle name="Normal 3 3 2" xfId="1698" xr:uid="{00000000-0005-0000-0000-0000895A0000}"/>
    <cellStyle name="Normal 3 3 2 2" xfId="5228" xr:uid="{00000000-0005-0000-0000-00008A5A0000}"/>
    <cellStyle name="Normal 3 3 2 2 2" xfId="8819" xr:uid="{00000000-0005-0000-0000-00008B5A0000}"/>
    <cellStyle name="Normal 3 3 2 2 2 2" xfId="16790" xr:uid="{00000000-0005-0000-0000-00008C5A0000}"/>
    <cellStyle name="Normal 3 3 2 2 2 2 2" xfId="40632" xr:uid="{A3D283C7-F7A6-42D8-933A-89917DEF10C2}"/>
    <cellStyle name="Normal 3 3 2 2 2 3" xfId="24736" xr:uid="{00000000-0005-0000-0000-00008D5A0000}"/>
    <cellStyle name="Normal 3 3 2 2 2 3 2" xfId="48568" xr:uid="{0F5D9003-EB85-43F1-8364-39591F68ECA9}"/>
    <cellStyle name="Normal 3 3 2 2 2 4" xfId="32691" xr:uid="{E53BA89F-CA66-4DB7-B15E-CC0CCE62491E}"/>
    <cellStyle name="Normal 3 3 2 2 3" xfId="13252" xr:uid="{00000000-0005-0000-0000-00008E5A0000}"/>
    <cellStyle name="Normal 3 3 2 2 3 2" xfId="37101" xr:uid="{7C61AF97-EC6E-4376-B78D-284BB927D2D6}"/>
    <cellStyle name="Normal 3 3 2 2 4" xfId="21207" xr:uid="{00000000-0005-0000-0000-00008F5A0000}"/>
    <cellStyle name="Normal 3 3 2 2 4 2" xfId="45039" xr:uid="{D55D6581-A423-41C8-86BF-B2455ECB4124}"/>
    <cellStyle name="Normal 3 3 2 2 5" xfId="29160" xr:uid="{F3D43E99-603E-4511-BECA-A2DB365C0499}"/>
    <cellStyle name="Normal 3 3 2 3" xfId="7060" xr:uid="{00000000-0005-0000-0000-0000905A0000}"/>
    <cellStyle name="Normal 3 3 2 3 2" xfId="15032" xr:uid="{00000000-0005-0000-0000-0000915A0000}"/>
    <cellStyle name="Normal 3 3 2 3 2 2" xfId="38874" xr:uid="{EC02C9D8-DAAE-4E62-9DB4-3A308F71FF87}"/>
    <cellStyle name="Normal 3 3 2 3 3" xfId="22979" xr:uid="{00000000-0005-0000-0000-0000925A0000}"/>
    <cellStyle name="Normal 3 3 2 3 3 2" xfId="46811" xr:uid="{082AC056-3D73-4C4C-89A6-D1E9F7938438}"/>
    <cellStyle name="Normal 3 3 2 3 4" xfId="30933" xr:uid="{4467CF73-98CA-4752-9063-70A71D94DE41}"/>
    <cellStyle name="Normal 3 3 2 4" xfId="11496" xr:uid="{00000000-0005-0000-0000-0000935A0000}"/>
    <cellStyle name="Normal 3 3 2 4 2" xfId="35345" xr:uid="{C5F39555-367C-4BBF-B00C-4FF60678E257}"/>
    <cellStyle name="Normal 3 3 2 5" xfId="19451" xr:uid="{00000000-0005-0000-0000-0000945A0000}"/>
    <cellStyle name="Normal 3 3 2 5 2" xfId="43283" xr:uid="{60E08524-82F4-4384-90E1-A39E2E9D4543}"/>
    <cellStyle name="Normal 3 3 2 6" xfId="27403" xr:uid="{AABAD101-F0DF-476D-85EA-97EEC33A9900}"/>
    <cellStyle name="Normal 3 3 2_Exh G" xfId="3520" xr:uid="{00000000-0005-0000-0000-0000955A0000}"/>
    <cellStyle name="Normal 3 3 3" xfId="4349" xr:uid="{00000000-0005-0000-0000-0000965A0000}"/>
    <cellStyle name="Normal 3 3 3 2" xfId="7941" xr:uid="{00000000-0005-0000-0000-0000975A0000}"/>
    <cellStyle name="Normal 3 3 3 2 2" xfId="15912" xr:uid="{00000000-0005-0000-0000-0000985A0000}"/>
    <cellStyle name="Normal 3 3 3 2 2 2" xfId="39754" xr:uid="{286D5959-F68D-4AD2-9D87-009FB8160A7C}"/>
    <cellStyle name="Normal 3 3 3 2 3" xfId="23858" xr:uid="{00000000-0005-0000-0000-0000995A0000}"/>
    <cellStyle name="Normal 3 3 3 2 3 2" xfId="47690" xr:uid="{6E844428-E050-405C-A9B3-9D3911A0CF17}"/>
    <cellStyle name="Normal 3 3 3 2 4" xfId="31813" xr:uid="{D6344D2C-A74A-4D01-A81C-E4FF795B424F}"/>
    <cellStyle name="Normal 3 3 3 3" xfId="12374" xr:uid="{00000000-0005-0000-0000-00009A5A0000}"/>
    <cellStyle name="Normal 3 3 3 3 2" xfId="36223" xr:uid="{0019C411-6D58-44D8-8856-D37B0ED633FF}"/>
    <cellStyle name="Normal 3 3 3 4" xfId="20329" xr:uid="{00000000-0005-0000-0000-00009B5A0000}"/>
    <cellStyle name="Normal 3 3 3 4 2" xfId="44161" xr:uid="{26E03B27-C89F-482A-865C-6439527D1D96}"/>
    <cellStyle name="Normal 3 3 3 5" xfId="28282" xr:uid="{48443D11-745C-423B-8C11-D1E3FAA033B1}"/>
    <cellStyle name="Normal 3 3 4" xfId="6169" xr:uid="{00000000-0005-0000-0000-00009C5A0000}"/>
    <cellStyle name="Normal 3 3 4 2" xfId="14153" xr:uid="{00000000-0005-0000-0000-00009D5A0000}"/>
    <cellStyle name="Normal 3 3 4 2 2" xfId="37996" xr:uid="{3652950D-81AF-4DE0-8D43-E1762A836378}"/>
    <cellStyle name="Normal 3 3 4 3" xfId="22101" xr:uid="{00000000-0005-0000-0000-00009E5A0000}"/>
    <cellStyle name="Normal 3 3 4 3 2" xfId="45933" xr:uid="{A29D40F1-E45B-4140-9EB1-4352E8174D74}"/>
    <cellStyle name="Normal 3 3 4 4" xfId="30055" xr:uid="{F4F7EDD7-A6CD-4A50-9316-CE246511F638}"/>
    <cellStyle name="Normal 3 3 5" xfId="9722" xr:uid="{00000000-0005-0000-0000-00009F5A0000}"/>
    <cellStyle name="Normal 3 3 5 2" xfId="17680" xr:uid="{00000000-0005-0000-0000-0000A05A0000}"/>
    <cellStyle name="Normal 3 3 5 2 2" xfId="41520" xr:uid="{D11CEB18-207F-427E-AF08-A7C306630B12}"/>
    <cellStyle name="Normal 3 3 5 3" xfId="25624" xr:uid="{00000000-0005-0000-0000-0000A15A0000}"/>
    <cellStyle name="Normal 3 3 5 3 2" xfId="49456" xr:uid="{790C71AA-C6BA-48DE-83AB-BB8A55376079}"/>
    <cellStyle name="Normal 3 3 5 4" xfId="33579" xr:uid="{E1123C10-A712-4BC0-BF93-29BA7C783D0E}"/>
    <cellStyle name="Normal 3 3 6" xfId="10618" xr:uid="{00000000-0005-0000-0000-0000A25A0000}"/>
    <cellStyle name="Normal 3 3 6 2" xfId="34467" xr:uid="{9A1B2711-D20C-4F1C-8F7C-DB489F720F6F}"/>
    <cellStyle name="Normal 3 3 7" xfId="18573" xr:uid="{00000000-0005-0000-0000-0000A35A0000}"/>
    <cellStyle name="Normal 3 3 7 2" xfId="42405" xr:uid="{45003ED4-4C18-460A-9971-D9F3EC38950B}"/>
    <cellStyle name="Normal 3 3 8" xfId="26525" xr:uid="{74970A78-40DD-4D73-948A-A6195BBDBB31}"/>
    <cellStyle name="Normal 3 3_Exh G" xfId="3519" xr:uid="{00000000-0005-0000-0000-0000A45A0000}"/>
    <cellStyle name="Normal 3 4" xfId="1018" xr:uid="{00000000-0005-0000-0000-0000A55A0000}"/>
    <cellStyle name="Normal 3 4 2" xfId="1923" xr:uid="{00000000-0005-0000-0000-0000A65A0000}"/>
    <cellStyle name="Normal 3 4 2 2" xfId="5441" xr:uid="{00000000-0005-0000-0000-0000A75A0000}"/>
    <cellStyle name="Normal 3 4 2 2 2" xfId="9032" xr:uid="{00000000-0005-0000-0000-0000A85A0000}"/>
    <cellStyle name="Normal 3 4 2 2 2 2" xfId="17003" xr:uid="{00000000-0005-0000-0000-0000A95A0000}"/>
    <cellStyle name="Normal 3 4 2 2 2 2 2" xfId="40845" xr:uid="{D72FDD52-8193-4AE0-A48C-D661AFA11F31}"/>
    <cellStyle name="Normal 3 4 2 2 2 3" xfId="24949" xr:uid="{00000000-0005-0000-0000-0000AA5A0000}"/>
    <cellStyle name="Normal 3 4 2 2 2 3 2" xfId="48781" xr:uid="{14FD1B2D-7DB0-4A48-AA63-7BC5BF46121A}"/>
    <cellStyle name="Normal 3 4 2 2 2 4" xfId="32904" xr:uid="{12261900-5E02-498C-8C11-8F34314F4BA0}"/>
    <cellStyle name="Normal 3 4 2 2 3" xfId="13465" xr:uid="{00000000-0005-0000-0000-0000AB5A0000}"/>
    <cellStyle name="Normal 3 4 2 2 3 2" xfId="37314" xr:uid="{E6E0B72B-B57B-4126-9BFE-AA85DF1F2558}"/>
    <cellStyle name="Normal 3 4 2 2 4" xfId="21420" xr:uid="{00000000-0005-0000-0000-0000AC5A0000}"/>
    <cellStyle name="Normal 3 4 2 2 4 2" xfId="45252" xr:uid="{6FDA1DEA-97F0-4B58-920A-D69CE4D6669A}"/>
    <cellStyle name="Normal 3 4 2 2 5" xfId="29373" xr:uid="{84A0B80B-8207-42AC-A77E-43658E18AC3E}"/>
    <cellStyle name="Normal 3 4 2 3" xfId="7273" xr:uid="{00000000-0005-0000-0000-0000AD5A0000}"/>
    <cellStyle name="Normal 3 4 2 3 2" xfId="15245" xr:uid="{00000000-0005-0000-0000-0000AE5A0000}"/>
    <cellStyle name="Normal 3 4 2 3 2 2" xfId="39087" xr:uid="{6C93929E-B57F-4025-95C6-CC44E857E34C}"/>
    <cellStyle name="Normal 3 4 2 3 3" xfId="23192" xr:uid="{00000000-0005-0000-0000-0000AF5A0000}"/>
    <cellStyle name="Normal 3 4 2 3 3 2" xfId="47024" xr:uid="{726F9917-81EC-474E-941E-2DF6F9531EB5}"/>
    <cellStyle name="Normal 3 4 2 3 4" xfId="31146" xr:uid="{6E5B3D2D-8A5A-47BF-830C-3F9E1B7ED6C5}"/>
    <cellStyle name="Normal 3 4 2 4" xfId="11709" xr:uid="{00000000-0005-0000-0000-0000B05A0000}"/>
    <cellStyle name="Normal 3 4 2 4 2" xfId="35558" xr:uid="{32705D4C-B91E-4024-B501-41523B728302}"/>
    <cellStyle name="Normal 3 4 2 5" xfId="19664" xr:uid="{00000000-0005-0000-0000-0000B15A0000}"/>
    <cellStyle name="Normal 3 4 2 5 2" xfId="43496" xr:uid="{8BB1F2E9-C0B1-4539-A250-ECD9776A1FD3}"/>
    <cellStyle name="Normal 3 4 2 6" xfId="27616" xr:uid="{E4EE7908-236E-4B7C-8EE8-AF7C1B37CBEE}"/>
    <cellStyle name="Normal 3 4 2_Exh G" xfId="3522" xr:uid="{00000000-0005-0000-0000-0000B25A0000}"/>
    <cellStyle name="Normal 3 4 3" xfId="4562" xr:uid="{00000000-0005-0000-0000-0000B35A0000}"/>
    <cellStyle name="Normal 3 4 3 2" xfId="8154" xr:uid="{00000000-0005-0000-0000-0000B45A0000}"/>
    <cellStyle name="Normal 3 4 3 2 2" xfId="16125" xr:uid="{00000000-0005-0000-0000-0000B55A0000}"/>
    <cellStyle name="Normal 3 4 3 2 2 2" xfId="39967" xr:uid="{ADD358FD-FCEE-4C79-8516-39D86593A113}"/>
    <cellStyle name="Normal 3 4 3 2 3" xfId="24071" xr:uid="{00000000-0005-0000-0000-0000B65A0000}"/>
    <cellStyle name="Normal 3 4 3 2 3 2" xfId="47903" xr:uid="{E8AB8E65-7459-4EA5-92CB-8DC35F95021E}"/>
    <cellStyle name="Normal 3 4 3 2 4" xfId="32026" xr:uid="{43303025-1B33-42FC-AC3B-8F95B34908DB}"/>
    <cellStyle name="Normal 3 4 3 3" xfId="12587" xr:uid="{00000000-0005-0000-0000-0000B75A0000}"/>
    <cellStyle name="Normal 3 4 3 3 2" xfId="36436" xr:uid="{E7E48D67-A958-4115-B65D-A8939602978C}"/>
    <cellStyle name="Normal 3 4 3 4" xfId="20542" xr:uid="{00000000-0005-0000-0000-0000B85A0000}"/>
    <cellStyle name="Normal 3 4 3 4 2" xfId="44374" xr:uid="{02C46267-D450-4E80-A51D-EB140A2F951D}"/>
    <cellStyle name="Normal 3 4 3 5" xfId="28495" xr:uid="{7F4F5141-9D06-4D8E-BB0E-126FE67D0C3E}"/>
    <cellStyle name="Normal 3 4 4" xfId="6392" xr:uid="{00000000-0005-0000-0000-0000B95A0000}"/>
    <cellStyle name="Normal 3 4 4 2" xfId="14367" xr:uid="{00000000-0005-0000-0000-0000BA5A0000}"/>
    <cellStyle name="Normal 3 4 4 2 2" xfId="38209" xr:uid="{AA3BA163-7AB6-45B3-A413-EBBECCDEFB23}"/>
    <cellStyle name="Normal 3 4 4 3" xfId="22314" xr:uid="{00000000-0005-0000-0000-0000BB5A0000}"/>
    <cellStyle name="Normal 3 4 4 3 2" xfId="46146" xr:uid="{26B41090-EBD2-4AB8-AC02-A916011A6ACF}"/>
    <cellStyle name="Normal 3 4 4 4" xfId="30268" xr:uid="{B9FFE2D1-9BAC-4C56-9256-A0EF9EAE19A9}"/>
    <cellStyle name="Normal 3 4 5" xfId="9935" xr:uid="{00000000-0005-0000-0000-0000BC5A0000}"/>
    <cellStyle name="Normal 3 4 5 2" xfId="17893" xr:uid="{00000000-0005-0000-0000-0000BD5A0000}"/>
    <cellStyle name="Normal 3 4 5 2 2" xfId="41733" xr:uid="{DC2469D1-353B-4A4C-9DD2-4FD4DC8AB1A8}"/>
    <cellStyle name="Normal 3 4 5 3" xfId="25837" xr:uid="{00000000-0005-0000-0000-0000BE5A0000}"/>
    <cellStyle name="Normal 3 4 5 3 2" xfId="49669" xr:uid="{6FCD0C32-3B0B-4453-BA56-8D89B151D36F}"/>
    <cellStyle name="Normal 3 4 5 4" xfId="33792" xr:uid="{BDE8FD9B-1650-457D-8750-0B540A594732}"/>
    <cellStyle name="Normal 3 4 6" xfId="10831" xr:uid="{00000000-0005-0000-0000-0000BF5A0000}"/>
    <cellStyle name="Normal 3 4 6 2" xfId="34680" xr:uid="{BE064379-358F-4247-91B2-97B215F6B300}"/>
    <cellStyle name="Normal 3 4 7" xfId="18786" xr:uid="{00000000-0005-0000-0000-0000C05A0000}"/>
    <cellStyle name="Normal 3 4 7 2" xfId="42618" xr:uid="{6371ACE5-8124-4DC7-BD20-22DF61395FDF}"/>
    <cellStyle name="Normal 3 4 8" xfId="26738" xr:uid="{93774915-426B-4D4E-B482-E560591BDAAF}"/>
    <cellStyle name="Normal 3 4_Exh G" xfId="3521" xr:uid="{00000000-0005-0000-0000-0000C15A0000}"/>
    <cellStyle name="Normal 3 5" xfId="5466" xr:uid="{00000000-0005-0000-0000-0000C25A0000}"/>
    <cellStyle name="Normal 3 6" xfId="5475" xr:uid="{00000000-0005-0000-0000-0000C35A0000}"/>
    <cellStyle name="Normal 3 7" xfId="5490" xr:uid="{00000000-0005-0000-0000-0000C45A0000}"/>
    <cellStyle name="Normal 3 8" xfId="5516" xr:uid="{00000000-0005-0000-0000-0000C55A0000}"/>
    <cellStyle name="Normal 3 9" xfId="5507" xr:uid="{00000000-0005-0000-0000-0000C65A0000}"/>
    <cellStyle name="Normal 30" xfId="5461" xr:uid="{00000000-0005-0000-0000-0000C75A0000}"/>
    <cellStyle name="Normal 30 2" xfId="9052" xr:uid="{00000000-0005-0000-0000-0000C85A0000}"/>
    <cellStyle name="Normal 31" xfId="5463" xr:uid="{00000000-0005-0000-0000-0000C95A0000}"/>
    <cellStyle name="Normal 31 2" xfId="9054" xr:uid="{00000000-0005-0000-0000-0000CA5A0000}"/>
    <cellStyle name="Normal 32" xfId="5464" xr:uid="{00000000-0005-0000-0000-0000CB5A0000}"/>
    <cellStyle name="Normal 32 2" xfId="9055" xr:uid="{00000000-0005-0000-0000-0000CC5A0000}"/>
    <cellStyle name="Normal 33" xfId="5481" xr:uid="{00000000-0005-0000-0000-0000CD5A0000}"/>
    <cellStyle name="Normal 33 2" xfId="9061" xr:uid="{00000000-0005-0000-0000-0000CE5A0000}"/>
    <cellStyle name="Normal 34" xfId="5482" xr:uid="{00000000-0005-0000-0000-0000CF5A0000}"/>
    <cellStyle name="Normal 34 2" xfId="9062" xr:uid="{00000000-0005-0000-0000-0000D05A0000}"/>
    <cellStyle name="Normal 35" xfId="5484" xr:uid="{00000000-0005-0000-0000-0000D15A0000}"/>
    <cellStyle name="Normal 35 2" xfId="9064" xr:uid="{00000000-0005-0000-0000-0000D25A0000}"/>
    <cellStyle name="Normal 36" xfId="5485" xr:uid="{00000000-0005-0000-0000-0000D35A0000}"/>
    <cellStyle name="Normal 36 2" xfId="9065" xr:uid="{00000000-0005-0000-0000-0000D45A0000}"/>
    <cellStyle name="Normal 37" xfId="5486" xr:uid="{00000000-0005-0000-0000-0000D55A0000}"/>
    <cellStyle name="Normal 37 2" xfId="9066" xr:uid="{00000000-0005-0000-0000-0000D65A0000}"/>
    <cellStyle name="Normal 37 2 2" xfId="17025" xr:uid="{00000000-0005-0000-0000-0000D75A0000}"/>
    <cellStyle name="Normal 37 2 2 2" xfId="40867" xr:uid="{161A778C-1C81-42B4-B578-96CE1BD60C39}"/>
    <cellStyle name="Normal 37 2 3" xfId="24971" xr:uid="{00000000-0005-0000-0000-0000D85A0000}"/>
    <cellStyle name="Normal 37 2 3 2" xfId="48803" xr:uid="{926C806C-ADCA-461F-9BBC-DE25391A9E98}"/>
    <cellStyle name="Normal 37 2 4" xfId="32926" xr:uid="{452D333C-2EC4-4B35-9A56-4D5CE79A4391}"/>
    <cellStyle name="Normal 37 3" xfId="13488" xr:uid="{00000000-0005-0000-0000-0000D95A0000}"/>
    <cellStyle name="Normal 37 3 2" xfId="37337" xr:uid="{2A397325-D99B-47F3-965D-252A9D1C14FF}"/>
    <cellStyle name="Normal 37 4" xfId="21442" xr:uid="{00000000-0005-0000-0000-0000DA5A0000}"/>
    <cellStyle name="Normal 37 4 2" xfId="45274" xr:uid="{00CFBEE0-51E0-4075-A243-D4FF688ACEDC}"/>
    <cellStyle name="Normal 37 5" xfId="29396" xr:uid="{BFEF0C60-6F7E-4C20-B2BC-0B95C8CF453A}"/>
    <cellStyle name="Normal 38" xfId="5488" xr:uid="{00000000-0005-0000-0000-0000DB5A0000}"/>
    <cellStyle name="Normal 39" xfId="5493" xr:uid="{00000000-0005-0000-0000-0000DC5A0000}"/>
    <cellStyle name="Normal 39 2" xfId="5513" xr:uid="{00000000-0005-0000-0000-0000DD5A0000}"/>
    <cellStyle name="Normal 39 2 2" xfId="13504" xr:uid="{00000000-0005-0000-0000-0000DE5A0000}"/>
    <cellStyle name="Normal 39 3" xfId="13491" xr:uid="{00000000-0005-0000-0000-0000DF5A0000}"/>
    <cellStyle name="Normal 4" xfId="4" xr:uid="{00000000-0005-0000-0000-0000E05A0000}"/>
    <cellStyle name="Normal 4 10" xfId="5517" xr:uid="{00000000-0005-0000-0000-0000E15A0000}"/>
    <cellStyle name="Normal 4 11" xfId="5508" xr:uid="{00000000-0005-0000-0000-0000E25A0000}"/>
    <cellStyle name="Normal 4 2" xfId="671" xr:uid="{00000000-0005-0000-0000-0000E35A0000}"/>
    <cellStyle name="Normal 4 2 10" xfId="5505" xr:uid="{00000000-0005-0000-0000-0000E45A0000}"/>
    <cellStyle name="Normal 4 2 11" xfId="9723" xr:uid="{00000000-0005-0000-0000-0000E55A0000}"/>
    <cellStyle name="Normal 4 2 11 2" xfId="17681" xr:uid="{00000000-0005-0000-0000-0000E65A0000}"/>
    <cellStyle name="Normal 4 2 11 2 2" xfId="41521" xr:uid="{D4FE9E9C-91BC-4B29-B51C-3D7DAE5ED16E}"/>
    <cellStyle name="Normal 4 2 11 3" xfId="25625" xr:uid="{00000000-0005-0000-0000-0000E75A0000}"/>
    <cellStyle name="Normal 4 2 11 3 2" xfId="49457" xr:uid="{310BCA1A-62A0-425D-AB16-98F61EEC9399}"/>
    <cellStyle name="Normal 4 2 11 4" xfId="33580" xr:uid="{A3E0D0A8-7965-4503-9D7A-40DA5AB595FB}"/>
    <cellStyle name="Normal 4 2 12" xfId="10619" xr:uid="{00000000-0005-0000-0000-0000E85A0000}"/>
    <cellStyle name="Normal 4 2 12 2" xfId="34468" xr:uid="{B03CABAA-F0D9-41DD-AC63-CBF9D9E94573}"/>
    <cellStyle name="Normal 4 2 13" xfId="18574" xr:uid="{00000000-0005-0000-0000-0000E95A0000}"/>
    <cellStyle name="Normal 4 2 13 2" xfId="42406" xr:uid="{298595F9-5173-48C3-B171-390DC0C19B4A}"/>
    <cellStyle name="Normal 4 2 14" xfId="26526" xr:uid="{754FA3D9-6343-441F-9F0B-46BE5CA76D64}"/>
    <cellStyle name="Normal 4 2 2" xfId="672" xr:uid="{00000000-0005-0000-0000-0000EA5A0000}"/>
    <cellStyle name="Normal 4 2 2 2" xfId="1700" xr:uid="{00000000-0005-0000-0000-0000EB5A0000}"/>
    <cellStyle name="Normal 4 2 2 2 2" xfId="5230" xr:uid="{00000000-0005-0000-0000-0000EC5A0000}"/>
    <cellStyle name="Normal 4 2 2 2 2 2" xfId="8821" xr:uid="{00000000-0005-0000-0000-0000ED5A0000}"/>
    <cellStyle name="Normal 4 2 2 2 2 2 2" xfId="16792" xr:uid="{00000000-0005-0000-0000-0000EE5A0000}"/>
    <cellStyle name="Normal 4 2 2 2 2 2 2 2" xfId="40634" xr:uid="{A2A81480-3A6C-4F85-A3FD-AF259F7C6D54}"/>
    <cellStyle name="Normal 4 2 2 2 2 2 3" xfId="24738" xr:uid="{00000000-0005-0000-0000-0000EF5A0000}"/>
    <cellStyle name="Normal 4 2 2 2 2 2 3 2" xfId="48570" xr:uid="{4A581F53-AA3E-4190-8459-FF1F9B2CC50F}"/>
    <cellStyle name="Normal 4 2 2 2 2 2 4" xfId="32693" xr:uid="{799CBE96-5DBA-4D2C-9A00-4DE632BF60A6}"/>
    <cellStyle name="Normal 4 2 2 2 2 3" xfId="13254" xr:uid="{00000000-0005-0000-0000-0000F05A0000}"/>
    <cellStyle name="Normal 4 2 2 2 2 3 2" xfId="37103" xr:uid="{DA2DAF94-DDF3-4EB9-8212-9D4455631DC1}"/>
    <cellStyle name="Normal 4 2 2 2 2 4" xfId="21209" xr:uid="{00000000-0005-0000-0000-0000F15A0000}"/>
    <cellStyle name="Normal 4 2 2 2 2 4 2" xfId="45041" xr:uid="{C1C7933B-3427-424A-8FF6-1B3749D4838C}"/>
    <cellStyle name="Normal 4 2 2 2 2 5" xfId="29162" xr:uid="{27C14F40-E4D0-4A93-8D4D-811701A0BA27}"/>
    <cellStyle name="Normal 4 2 2 2 3" xfId="7062" xr:uid="{00000000-0005-0000-0000-0000F25A0000}"/>
    <cellStyle name="Normal 4 2 2 2 3 2" xfId="15034" xr:uid="{00000000-0005-0000-0000-0000F35A0000}"/>
    <cellStyle name="Normal 4 2 2 2 3 2 2" xfId="38876" xr:uid="{D5118EF6-D199-48F3-B084-3F344CCA4949}"/>
    <cellStyle name="Normal 4 2 2 2 3 3" xfId="22981" xr:uid="{00000000-0005-0000-0000-0000F45A0000}"/>
    <cellStyle name="Normal 4 2 2 2 3 3 2" xfId="46813" xr:uid="{381EB0C2-0315-4272-BE70-F6EB573FEDC7}"/>
    <cellStyle name="Normal 4 2 2 2 3 4" xfId="30935" xr:uid="{71618219-5AA4-4B1B-B70B-2E56FA36BEF7}"/>
    <cellStyle name="Normal 4 2 2 2 4" xfId="11498" xr:uid="{00000000-0005-0000-0000-0000F55A0000}"/>
    <cellStyle name="Normal 4 2 2 2 4 2" xfId="35347" xr:uid="{FCFE2840-AFEC-4C20-83ED-6CF4259A55A6}"/>
    <cellStyle name="Normal 4 2 2 2 5" xfId="19453" xr:uid="{00000000-0005-0000-0000-0000F65A0000}"/>
    <cellStyle name="Normal 4 2 2 2 5 2" xfId="43285" xr:uid="{24A94AE8-8307-467F-BF0A-83B352FBA97E}"/>
    <cellStyle name="Normal 4 2 2 2 6" xfId="27405" xr:uid="{A8DEDE8F-B4E4-45B0-A80C-81A59345C842}"/>
    <cellStyle name="Normal 4 2 2 2_Exh G" xfId="3526" xr:uid="{00000000-0005-0000-0000-0000F75A0000}"/>
    <cellStyle name="Normal 4 2 2 3" xfId="4351" xr:uid="{00000000-0005-0000-0000-0000F85A0000}"/>
    <cellStyle name="Normal 4 2 2 3 2" xfId="7943" xr:uid="{00000000-0005-0000-0000-0000F95A0000}"/>
    <cellStyle name="Normal 4 2 2 3 2 2" xfId="15914" xr:uid="{00000000-0005-0000-0000-0000FA5A0000}"/>
    <cellStyle name="Normal 4 2 2 3 2 2 2" xfId="39756" xr:uid="{A75CABCC-34C1-43AA-A0FC-4F973E1BB6F8}"/>
    <cellStyle name="Normal 4 2 2 3 2 3" xfId="23860" xr:uid="{00000000-0005-0000-0000-0000FB5A0000}"/>
    <cellStyle name="Normal 4 2 2 3 2 3 2" xfId="47692" xr:uid="{F79A0840-1746-45CE-9224-440502F73A3C}"/>
    <cellStyle name="Normal 4 2 2 3 2 4" xfId="31815" xr:uid="{ABE22496-BEB4-46B9-BA0A-AF1811EAD02C}"/>
    <cellStyle name="Normal 4 2 2 3 3" xfId="12376" xr:uid="{00000000-0005-0000-0000-0000FC5A0000}"/>
    <cellStyle name="Normal 4 2 2 3 3 2" xfId="36225" xr:uid="{26F639CD-9777-4547-8674-100509A68B21}"/>
    <cellStyle name="Normal 4 2 2 3 4" xfId="20331" xr:uid="{00000000-0005-0000-0000-0000FD5A0000}"/>
    <cellStyle name="Normal 4 2 2 3 4 2" xfId="44163" xr:uid="{F76C8ACE-DB65-4908-AC59-1861105CCFA0}"/>
    <cellStyle name="Normal 4 2 2 3 5" xfId="28284" xr:uid="{09DF61B6-47D4-4254-84D8-C30C1BD0E7D9}"/>
    <cellStyle name="Normal 4 2 2 4" xfId="6171" xr:uid="{00000000-0005-0000-0000-0000FE5A0000}"/>
    <cellStyle name="Normal 4 2 2 4 2" xfId="14155" xr:uid="{00000000-0005-0000-0000-0000FF5A0000}"/>
    <cellStyle name="Normal 4 2 2 4 2 2" xfId="37998" xr:uid="{FA7F0CA2-6054-47EB-A4E0-7D69BF601876}"/>
    <cellStyle name="Normal 4 2 2 4 3" xfId="22103" xr:uid="{00000000-0005-0000-0000-0000005B0000}"/>
    <cellStyle name="Normal 4 2 2 4 3 2" xfId="45935" xr:uid="{1AFC6B18-D743-4F69-9D11-305630F53112}"/>
    <cellStyle name="Normal 4 2 2 4 4" xfId="30057" xr:uid="{02606D28-79C3-4735-A768-2D1CF1CFF871}"/>
    <cellStyle name="Normal 4 2 2 5" xfId="9724" xr:uid="{00000000-0005-0000-0000-0000015B0000}"/>
    <cellStyle name="Normal 4 2 2 5 2" xfId="17682" xr:uid="{00000000-0005-0000-0000-0000025B0000}"/>
    <cellStyle name="Normal 4 2 2 5 2 2" xfId="41522" xr:uid="{8C5870B8-907B-4C23-92B1-CF0CAB561C73}"/>
    <cellStyle name="Normal 4 2 2 5 3" xfId="25626" xr:uid="{00000000-0005-0000-0000-0000035B0000}"/>
    <cellStyle name="Normal 4 2 2 5 3 2" xfId="49458" xr:uid="{ECCE9DA5-57E4-460F-9107-2239AA658313}"/>
    <cellStyle name="Normal 4 2 2 5 4" xfId="33581" xr:uid="{AE86A50E-5022-49F3-8AB6-1010D573CABB}"/>
    <cellStyle name="Normal 4 2 2 6" xfId="10620" xr:uid="{00000000-0005-0000-0000-0000045B0000}"/>
    <cellStyle name="Normal 4 2 2 6 2" xfId="34469" xr:uid="{0889EE6D-8E7E-4A3F-9E9A-F152DBA34E75}"/>
    <cellStyle name="Normal 4 2 2 7" xfId="18575" xr:uid="{00000000-0005-0000-0000-0000055B0000}"/>
    <cellStyle name="Normal 4 2 2 7 2" xfId="42407" xr:uid="{E68AB874-D251-46F0-8BA7-E2F437B29A4B}"/>
    <cellStyle name="Normal 4 2 2 8" xfId="26527" xr:uid="{B729D2FE-78F1-448E-BDB0-7D8670DBD3A1}"/>
    <cellStyle name="Normal 4 2 2_Exh G" xfId="3525" xr:uid="{00000000-0005-0000-0000-0000065B0000}"/>
    <cellStyle name="Normal 4 2 3" xfId="1021" xr:uid="{00000000-0005-0000-0000-0000075B0000}"/>
    <cellStyle name="Normal 4 2 3 2" xfId="1926" xr:uid="{00000000-0005-0000-0000-0000085B0000}"/>
    <cellStyle name="Normal 4 2 3 2 2" xfId="5444" xr:uid="{00000000-0005-0000-0000-0000095B0000}"/>
    <cellStyle name="Normal 4 2 3 2 2 2" xfId="9035" xr:uid="{00000000-0005-0000-0000-00000A5B0000}"/>
    <cellStyle name="Normal 4 2 3 2 2 2 2" xfId="17006" xr:uid="{00000000-0005-0000-0000-00000B5B0000}"/>
    <cellStyle name="Normal 4 2 3 2 2 2 2 2" xfId="40848" xr:uid="{0CF12FB3-5C15-4EAB-B3AE-77EC2EDFFCB8}"/>
    <cellStyle name="Normal 4 2 3 2 2 2 3" xfId="24952" xr:uid="{00000000-0005-0000-0000-00000C5B0000}"/>
    <cellStyle name="Normal 4 2 3 2 2 2 3 2" xfId="48784" xr:uid="{6A0A8BDA-5F64-44C9-9B03-4788308DD815}"/>
    <cellStyle name="Normal 4 2 3 2 2 2 4" xfId="32907" xr:uid="{1073A1CD-AE54-4FC9-B2D0-5A678A21415B}"/>
    <cellStyle name="Normal 4 2 3 2 2 3" xfId="13468" xr:uid="{00000000-0005-0000-0000-00000D5B0000}"/>
    <cellStyle name="Normal 4 2 3 2 2 3 2" xfId="37317" xr:uid="{72E1B9D4-7FC3-4760-823C-F8350026680A}"/>
    <cellStyle name="Normal 4 2 3 2 2 4" xfId="21423" xr:uid="{00000000-0005-0000-0000-00000E5B0000}"/>
    <cellStyle name="Normal 4 2 3 2 2 4 2" xfId="45255" xr:uid="{C618C59C-D309-4315-8CBD-1102E2DBB436}"/>
    <cellStyle name="Normal 4 2 3 2 2 5" xfId="29376" xr:uid="{8C86D2C8-E083-4833-B688-50C51AF311E5}"/>
    <cellStyle name="Normal 4 2 3 2 3" xfId="7276" xr:uid="{00000000-0005-0000-0000-00000F5B0000}"/>
    <cellStyle name="Normal 4 2 3 2 3 2" xfId="15248" xr:uid="{00000000-0005-0000-0000-0000105B0000}"/>
    <cellStyle name="Normal 4 2 3 2 3 2 2" xfId="39090" xr:uid="{536A2EEE-942D-4694-AD87-6EE985A9DD89}"/>
    <cellStyle name="Normal 4 2 3 2 3 3" xfId="23195" xr:uid="{00000000-0005-0000-0000-0000115B0000}"/>
    <cellStyle name="Normal 4 2 3 2 3 3 2" xfId="47027" xr:uid="{CA0EAE84-983A-4B88-B970-44601C00E400}"/>
    <cellStyle name="Normal 4 2 3 2 3 4" xfId="31149" xr:uid="{53E2F811-FD2D-4A29-9147-C1B5FA0ECB49}"/>
    <cellStyle name="Normal 4 2 3 2 4" xfId="11712" xr:uid="{00000000-0005-0000-0000-0000125B0000}"/>
    <cellStyle name="Normal 4 2 3 2 4 2" xfId="35561" xr:uid="{8B28B491-DBF3-4D3F-9282-4425DB3C6207}"/>
    <cellStyle name="Normal 4 2 3 2 5" xfId="19667" xr:uid="{00000000-0005-0000-0000-0000135B0000}"/>
    <cellStyle name="Normal 4 2 3 2 5 2" xfId="43499" xr:uid="{3837740A-BC98-43E6-AA2C-AD656DDCB2AD}"/>
    <cellStyle name="Normal 4 2 3 2 6" xfId="27619" xr:uid="{A56F8236-1B83-45B0-B0E4-D5385D1CFFE5}"/>
    <cellStyle name="Normal 4 2 3 2_Exh G" xfId="3528" xr:uid="{00000000-0005-0000-0000-0000145B0000}"/>
    <cellStyle name="Normal 4 2 3 3" xfId="4565" xr:uid="{00000000-0005-0000-0000-0000155B0000}"/>
    <cellStyle name="Normal 4 2 3 3 2" xfId="8157" xr:uid="{00000000-0005-0000-0000-0000165B0000}"/>
    <cellStyle name="Normal 4 2 3 3 2 2" xfId="16128" xr:uid="{00000000-0005-0000-0000-0000175B0000}"/>
    <cellStyle name="Normal 4 2 3 3 2 2 2" xfId="39970" xr:uid="{94F56576-CF9C-4639-BE50-20AD4D7D75EA}"/>
    <cellStyle name="Normal 4 2 3 3 2 3" xfId="24074" xr:uid="{00000000-0005-0000-0000-0000185B0000}"/>
    <cellStyle name="Normal 4 2 3 3 2 3 2" xfId="47906" xr:uid="{B3754F1B-ED1F-4D94-80EF-EECB6C733AAC}"/>
    <cellStyle name="Normal 4 2 3 3 2 4" xfId="32029" xr:uid="{F2A3B4B8-0BA9-4AB6-9566-DFD97F09B682}"/>
    <cellStyle name="Normal 4 2 3 3 3" xfId="12590" xr:uid="{00000000-0005-0000-0000-0000195B0000}"/>
    <cellStyle name="Normal 4 2 3 3 3 2" xfId="36439" xr:uid="{FBC4F45D-2431-495F-8C4B-E00017CAB22A}"/>
    <cellStyle name="Normal 4 2 3 3 4" xfId="20545" xr:uid="{00000000-0005-0000-0000-00001A5B0000}"/>
    <cellStyle name="Normal 4 2 3 3 4 2" xfId="44377" xr:uid="{D5691C13-A449-4F80-883A-A3A7190DB9FB}"/>
    <cellStyle name="Normal 4 2 3 3 5" xfId="28498" xr:uid="{B1BB44B6-D47F-4B0E-AF7D-E53447B6A4E8}"/>
    <cellStyle name="Normal 4 2 3 4" xfId="6395" xr:uid="{00000000-0005-0000-0000-00001B5B0000}"/>
    <cellStyle name="Normal 4 2 3 4 2" xfId="14370" xr:uid="{00000000-0005-0000-0000-00001C5B0000}"/>
    <cellStyle name="Normal 4 2 3 4 2 2" xfId="38212" xr:uid="{C166A558-36E2-446D-B4C4-D7A48CD2F885}"/>
    <cellStyle name="Normal 4 2 3 4 3" xfId="22317" xr:uid="{00000000-0005-0000-0000-00001D5B0000}"/>
    <cellStyle name="Normal 4 2 3 4 3 2" xfId="46149" xr:uid="{E9AEF763-52E5-47DB-B585-7F5BF81A5418}"/>
    <cellStyle name="Normal 4 2 3 4 4" xfId="30271" xr:uid="{C9495894-160F-4ED2-9469-A1E911240E9D}"/>
    <cellStyle name="Normal 4 2 3 5" xfId="9938" xr:uid="{00000000-0005-0000-0000-00001E5B0000}"/>
    <cellStyle name="Normal 4 2 3 5 2" xfId="17896" xr:uid="{00000000-0005-0000-0000-00001F5B0000}"/>
    <cellStyle name="Normal 4 2 3 5 2 2" xfId="41736" xr:uid="{570043E6-E2BD-4587-A7D4-FEF9D954B8FE}"/>
    <cellStyle name="Normal 4 2 3 5 3" xfId="25840" xr:uid="{00000000-0005-0000-0000-0000205B0000}"/>
    <cellStyle name="Normal 4 2 3 5 3 2" xfId="49672" xr:uid="{92B21F28-9034-43A1-91E8-8CDDC495FB8B}"/>
    <cellStyle name="Normal 4 2 3 5 4" xfId="33795" xr:uid="{D577321F-0279-4970-99F3-D92707E5DB46}"/>
    <cellStyle name="Normal 4 2 3 6" xfId="10834" xr:uid="{00000000-0005-0000-0000-0000215B0000}"/>
    <cellStyle name="Normal 4 2 3 6 2" xfId="34683" xr:uid="{26726439-CBD4-44D0-A9D5-C00A37AC1F0B}"/>
    <cellStyle name="Normal 4 2 3 7" xfId="18789" xr:uid="{00000000-0005-0000-0000-0000225B0000}"/>
    <cellStyle name="Normal 4 2 3 7 2" xfId="42621" xr:uid="{ADD81AEB-0D0E-48A3-9A5E-3D6CF5600DA9}"/>
    <cellStyle name="Normal 4 2 3 8" xfId="26741" xr:uid="{F8495095-4CC4-4EA7-9A7A-4FA31C0C69E6}"/>
    <cellStyle name="Normal 4 2 3_Exh G" xfId="3527" xr:uid="{00000000-0005-0000-0000-0000235B0000}"/>
    <cellStyle name="Normal 4 2 4" xfId="1699" xr:uid="{00000000-0005-0000-0000-0000245B0000}"/>
    <cellStyle name="Normal 4 2 4 2" xfId="5229" xr:uid="{00000000-0005-0000-0000-0000255B0000}"/>
    <cellStyle name="Normal 4 2 4 2 2" xfId="8820" xr:uid="{00000000-0005-0000-0000-0000265B0000}"/>
    <cellStyle name="Normal 4 2 4 2 2 2" xfId="16791" xr:uid="{00000000-0005-0000-0000-0000275B0000}"/>
    <cellStyle name="Normal 4 2 4 2 2 2 2" xfId="40633" xr:uid="{8A410990-40E1-4801-AE54-A143673E7130}"/>
    <cellStyle name="Normal 4 2 4 2 2 3" xfId="24737" xr:uid="{00000000-0005-0000-0000-0000285B0000}"/>
    <cellStyle name="Normal 4 2 4 2 2 3 2" xfId="48569" xr:uid="{1CE42006-675F-4317-A689-133A372F3DC5}"/>
    <cellStyle name="Normal 4 2 4 2 2 4" xfId="32692" xr:uid="{E293A1C7-B377-4A88-A3B0-2DA393120BBD}"/>
    <cellStyle name="Normal 4 2 4 2 3" xfId="13253" xr:uid="{00000000-0005-0000-0000-0000295B0000}"/>
    <cellStyle name="Normal 4 2 4 2 3 2" xfId="37102" xr:uid="{537CBFC5-84F8-4E92-9D40-D8E3DB0B9EA7}"/>
    <cellStyle name="Normal 4 2 4 2 4" xfId="21208" xr:uid="{00000000-0005-0000-0000-00002A5B0000}"/>
    <cellStyle name="Normal 4 2 4 2 4 2" xfId="45040" xr:uid="{6959E99D-EC4A-448F-B533-CE3627AA9827}"/>
    <cellStyle name="Normal 4 2 4 2 5" xfId="29161" xr:uid="{7E6D5CEE-8EAD-4FFB-BD4F-6ED36BE09CB3}"/>
    <cellStyle name="Normal 4 2 4 3" xfId="7061" xr:uid="{00000000-0005-0000-0000-00002B5B0000}"/>
    <cellStyle name="Normal 4 2 4 3 2" xfId="15033" xr:uid="{00000000-0005-0000-0000-00002C5B0000}"/>
    <cellStyle name="Normal 4 2 4 3 2 2" xfId="38875" xr:uid="{C98D3F7F-B19D-4F88-AC3C-C2C3580C6993}"/>
    <cellStyle name="Normal 4 2 4 3 3" xfId="22980" xr:uid="{00000000-0005-0000-0000-00002D5B0000}"/>
    <cellStyle name="Normal 4 2 4 3 3 2" xfId="46812" xr:uid="{7BA9A754-3D55-4D2A-800B-DB18A507184C}"/>
    <cellStyle name="Normal 4 2 4 3 4" xfId="30934" xr:uid="{CDD7A2DD-E3D1-4049-AB34-BA5239CC3325}"/>
    <cellStyle name="Normal 4 2 4 4" xfId="11497" xr:uid="{00000000-0005-0000-0000-00002E5B0000}"/>
    <cellStyle name="Normal 4 2 4 4 2" xfId="35346" xr:uid="{1ED9514F-E234-427D-B7DD-1BB515F7CF15}"/>
    <cellStyle name="Normal 4 2 4 5" xfId="19452" xr:uid="{00000000-0005-0000-0000-00002F5B0000}"/>
    <cellStyle name="Normal 4 2 4 5 2" xfId="43284" xr:uid="{DB39A032-6452-4015-B8CF-9540E4FCCCB0}"/>
    <cellStyle name="Normal 4 2 4 6" xfId="27404" xr:uid="{118B784C-2995-4B04-B3AA-594E6634BC5F}"/>
    <cellStyle name="Normal 4 2 4_Exh G" xfId="3529" xr:uid="{00000000-0005-0000-0000-0000305B0000}"/>
    <cellStyle name="Normal 4 2 5" xfId="4350" xr:uid="{00000000-0005-0000-0000-0000315B0000}"/>
    <cellStyle name="Normal 4 2 5 2" xfId="7942" xr:uid="{00000000-0005-0000-0000-0000325B0000}"/>
    <cellStyle name="Normal 4 2 5 2 2" xfId="15913" xr:uid="{00000000-0005-0000-0000-0000335B0000}"/>
    <cellStyle name="Normal 4 2 5 2 2 2" xfId="39755" xr:uid="{4A670C80-07AD-4B52-A6F4-DB5504429589}"/>
    <cellStyle name="Normal 4 2 5 2 3" xfId="23859" xr:uid="{00000000-0005-0000-0000-0000345B0000}"/>
    <cellStyle name="Normal 4 2 5 2 3 2" xfId="47691" xr:uid="{F3A60766-7EDF-403F-8033-24699256D9AD}"/>
    <cellStyle name="Normal 4 2 5 2 4" xfId="31814" xr:uid="{CD2C5F65-6A7A-48BC-B0F1-097D3E789DCB}"/>
    <cellStyle name="Normal 4 2 5 3" xfId="12375" xr:uid="{00000000-0005-0000-0000-0000355B0000}"/>
    <cellStyle name="Normal 4 2 5 3 2" xfId="36224" xr:uid="{0B675E7D-FB76-47D0-892C-352BBF57CF88}"/>
    <cellStyle name="Normal 4 2 5 4" xfId="20330" xr:uid="{00000000-0005-0000-0000-0000365B0000}"/>
    <cellStyle name="Normal 4 2 5 4 2" xfId="44162" xr:uid="{E104A238-5118-4929-A999-FAF3141EE6AF}"/>
    <cellStyle name="Normal 4 2 5 5" xfId="28283" xr:uid="{07187815-E500-474F-B6D4-86137F70F48B}"/>
    <cellStyle name="Normal 4 2 6" xfId="5472" xr:uid="{00000000-0005-0000-0000-0000375B0000}"/>
    <cellStyle name="Normal 4 2 7" xfId="5479" xr:uid="{00000000-0005-0000-0000-0000385B0000}"/>
    <cellStyle name="Normal 4 2 8" xfId="6170" xr:uid="{00000000-0005-0000-0000-0000395B0000}"/>
    <cellStyle name="Normal 4 2 8 2" xfId="14154" xr:uid="{00000000-0005-0000-0000-00003A5B0000}"/>
    <cellStyle name="Normal 4 2 8 2 2" xfId="37997" xr:uid="{D1CD2FE6-0782-4826-82EE-4665A3D0A63C}"/>
    <cellStyle name="Normal 4 2 8 3" xfId="22102" xr:uid="{00000000-0005-0000-0000-00003B5B0000}"/>
    <cellStyle name="Normal 4 2 8 3 2" xfId="45934" xr:uid="{8D8728F7-3F39-446B-A3B4-281F4C3AF1EC}"/>
    <cellStyle name="Normal 4 2 8 4" xfId="30056" xr:uid="{9A867873-03DF-4F40-A46B-5F99ADCA6AF3}"/>
    <cellStyle name="Normal 4 2 9" xfId="5511" xr:uid="{00000000-0005-0000-0000-00003C5B0000}"/>
    <cellStyle name="Normal 4 2_Exh G" xfId="3524" xr:uid="{00000000-0005-0000-0000-00003D5B0000}"/>
    <cellStyle name="Normal 4 3" xfId="673" xr:uid="{00000000-0005-0000-0000-00003E5B0000}"/>
    <cellStyle name="Normal 4 3 2" xfId="1701" xr:uid="{00000000-0005-0000-0000-00003F5B0000}"/>
    <cellStyle name="Normal 4 3 2 2" xfId="5231" xr:uid="{00000000-0005-0000-0000-0000405B0000}"/>
    <cellStyle name="Normal 4 3 2 2 2" xfId="8822" xr:uid="{00000000-0005-0000-0000-0000415B0000}"/>
    <cellStyle name="Normal 4 3 2 2 2 2" xfId="16793" xr:uid="{00000000-0005-0000-0000-0000425B0000}"/>
    <cellStyle name="Normal 4 3 2 2 2 2 2" xfId="40635" xr:uid="{66D390C3-4969-4953-9E36-F6CF5D7ABA44}"/>
    <cellStyle name="Normal 4 3 2 2 2 3" xfId="24739" xr:uid="{00000000-0005-0000-0000-0000435B0000}"/>
    <cellStyle name="Normal 4 3 2 2 2 3 2" xfId="48571" xr:uid="{8D93ED8E-2EFB-483C-BA01-5004CB7E60AE}"/>
    <cellStyle name="Normal 4 3 2 2 2 4" xfId="32694" xr:uid="{5BA1CF63-8DC2-4956-BFDE-2CCB04D7D407}"/>
    <cellStyle name="Normal 4 3 2 2 3" xfId="13255" xr:uid="{00000000-0005-0000-0000-0000445B0000}"/>
    <cellStyle name="Normal 4 3 2 2 3 2" xfId="37104" xr:uid="{762DCD33-1319-4B61-B580-A1E9CA9300AC}"/>
    <cellStyle name="Normal 4 3 2 2 4" xfId="21210" xr:uid="{00000000-0005-0000-0000-0000455B0000}"/>
    <cellStyle name="Normal 4 3 2 2 4 2" xfId="45042" xr:uid="{E5D61FA6-5CEC-4EFF-A1AB-27A4ADECF760}"/>
    <cellStyle name="Normal 4 3 2 2 5" xfId="29163" xr:uid="{EFB0814A-A3B8-4231-ACF6-8393411BC55F}"/>
    <cellStyle name="Normal 4 3 2 3" xfId="7063" xr:uid="{00000000-0005-0000-0000-0000465B0000}"/>
    <cellStyle name="Normal 4 3 2 3 2" xfId="15035" xr:uid="{00000000-0005-0000-0000-0000475B0000}"/>
    <cellStyle name="Normal 4 3 2 3 2 2" xfId="38877" xr:uid="{4221E60A-CB09-4D73-8BC4-B3FB92A5D044}"/>
    <cellStyle name="Normal 4 3 2 3 3" xfId="22982" xr:uid="{00000000-0005-0000-0000-0000485B0000}"/>
    <cellStyle name="Normal 4 3 2 3 3 2" xfId="46814" xr:uid="{0004A40F-57A9-4C11-9F58-8CCFCFCD9173}"/>
    <cellStyle name="Normal 4 3 2 3 4" xfId="30936" xr:uid="{48B3A057-6757-4C0C-AF1F-A979914BDB97}"/>
    <cellStyle name="Normal 4 3 2 4" xfId="11499" xr:uid="{00000000-0005-0000-0000-0000495B0000}"/>
    <cellStyle name="Normal 4 3 2 4 2" xfId="35348" xr:uid="{0A53A42B-E07D-45B0-9A7A-2A198E893293}"/>
    <cellStyle name="Normal 4 3 2 5" xfId="19454" xr:uid="{00000000-0005-0000-0000-00004A5B0000}"/>
    <cellStyle name="Normal 4 3 2 5 2" xfId="43286" xr:uid="{4505F875-47BA-4F16-A572-9631150928DA}"/>
    <cellStyle name="Normal 4 3 2 6" xfId="27406" xr:uid="{A101CBDD-C2E6-46D5-8BC8-58483DB516C3}"/>
    <cellStyle name="Normal 4 3 2_Exh G" xfId="3531" xr:uid="{00000000-0005-0000-0000-00004B5B0000}"/>
    <cellStyle name="Normal 4 3 3" xfId="4352" xr:uid="{00000000-0005-0000-0000-00004C5B0000}"/>
    <cellStyle name="Normal 4 3 3 2" xfId="7944" xr:uid="{00000000-0005-0000-0000-00004D5B0000}"/>
    <cellStyle name="Normal 4 3 3 2 2" xfId="15915" xr:uid="{00000000-0005-0000-0000-00004E5B0000}"/>
    <cellStyle name="Normal 4 3 3 2 2 2" xfId="39757" xr:uid="{6C5989C6-3084-49BA-B66B-4813F2E37220}"/>
    <cellStyle name="Normal 4 3 3 2 3" xfId="23861" xr:uid="{00000000-0005-0000-0000-00004F5B0000}"/>
    <cellStyle name="Normal 4 3 3 2 3 2" xfId="47693" xr:uid="{24293E9B-E507-452F-9753-8271796D41F1}"/>
    <cellStyle name="Normal 4 3 3 2 4" xfId="31816" xr:uid="{EE1D5EFC-49ED-474A-93EF-8216A413B26E}"/>
    <cellStyle name="Normal 4 3 3 3" xfId="12377" xr:uid="{00000000-0005-0000-0000-0000505B0000}"/>
    <cellStyle name="Normal 4 3 3 3 2" xfId="36226" xr:uid="{BEB12262-1317-4F75-B314-73CE7EDB4C97}"/>
    <cellStyle name="Normal 4 3 3 4" xfId="20332" xr:uid="{00000000-0005-0000-0000-0000515B0000}"/>
    <cellStyle name="Normal 4 3 3 4 2" xfId="44164" xr:uid="{D3FDEDC8-5961-41E5-B1E7-40335BE4DD42}"/>
    <cellStyle name="Normal 4 3 3 5" xfId="28285" xr:uid="{53D1ACDF-B7E7-40E7-8F43-988A032B2A35}"/>
    <cellStyle name="Normal 4 3 4" xfId="6172" xr:uid="{00000000-0005-0000-0000-0000525B0000}"/>
    <cellStyle name="Normal 4 3 4 2" xfId="14156" xr:uid="{00000000-0005-0000-0000-0000535B0000}"/>
    <cellStyle name="Normal 4 3 4 2 2" xfId="37999" xr:uid="{63DC00F6-A8C4-4569-8066-2532D59CC017}"/>
    <cellStyle name="Normal 4 3 4 3" xfId="22104" xr:uid="{00000000-0005-0000-0000-0000545B0000}"/>
    <cellStyle name="Normal 4 3 4 3 2" xfId="45936" xr:uid="{7CBA2233-A23C-4F28-ACE6-5EBE6C065F28}"/>
    <cellStyle name="Normal 4 3 4 4" xfId="30058" xr:uid="{6FB79863-6B68-4610-8A5C-F556EAB15121}"/>
    <cellStyle name="Normal 4 3 5" xfId="9725" xr:uid="{00000000-0005-0000-0000-0000555B0000}"/>
    <cellStyle name="Normal 4 3 5 2" xfId="17683" xr:uid="{00000000-0005-0000-0000-0000565B0000}"/>
    <cellStyle name="Normal 4 3 5 2 2" xfId="41523" xr:uid="{939F35A7-43FF-4863-AE07-EA6B9DEFC711}"/>
    <cellStyle name="Normal 4 3 5 3" xfId="25627" xr:uid="{00000000-0005-0000-0000-0000575B0000}"/>
    <cellStyle name="Normal 4 3 5 3 2" xfId="49459" xr:uid="{D43BFEF4-B5DB-487E-89B8-1B1B885810A6}"/>
    <cellStyle name="Normal 4 3 5 4" xfId="33582" xr:uid="{EEC43314-BC42-4FA4-9DAB-F86D897F14C0}"/>
    <cellStyle name="Normal 4 3 6" xfId="10621" xr:uid="{00000000-0005-0000-0000-0000585B0000}"/>
    <cellStyle name="Normal 4 3 6 2" xfId="34470" xr:uid="{EFA05D23-6BFC-4B15-8929-D599AEA11D71}"/>
    <cellStyle name="Normal 4 3 7" xfId="18576" xr:uid="{00000000-0005-0000-0000-0000595B0000}"/>
    <cellStyle name="Normal 4 3 7 2" xfId="42408" xr:uid="{EFF53BE8-82A5-4A1C-8FA6-2770F4C152D3}"/>
    <cellStyle name="Normal 4 3 8" xfId="26528" xr:uid="{BAD7F576-DA1C-491A-8EE2-AB2287C461B1}"/>
    <cellStyle name="Normal 4 3_Exh G" xfId="3530" xr:uid="{00000000-0005-0000-0000-00005A5B0000}"/>
    <cellStyle name="Normal 4 4" xfId="1020" xr:uid="{00000000-0005-0000-0000-00005B5B0000}"/>
    <cellStyle name="Normal 4 4 2" xfId="1925" xr:uid="{00000000-0005-0000-0000-00005C5B0000}"/>
    <cellStyle name="Normal 4 4 2 2" xfId="5443" xr:uid="{00000000-0005-0000-0000-00005D5B0000}"/>
    <cellStyle name="Normal 4 4 2 2 2" xfId="9034" xr:uid="{00000000-0005-0000-0000-00005E5B0000}"/>
    <cellStyle name="Normal 4 4 2 2 2 2" xfId="17005" xr:uid="{00000000-0005-0000-0000-00005F5B0000}"/>
    <cellStyle name="Normal 4 4 2 2 2 2 2" xfId="40847" xr:uid="{74A092C0-0DE6-4B7D-AD63-5D945A49A528}"/>
    <cellStyle name="Normal 4 4 2 2 2 3" xfId="24951" xr:uid="{00000000-0005-0000-0000-0000605B0000}"/>
    <cellStyle name="Normal 4 4 2 2 2 3 2" xfId="48783" xr:uid="{74844784-60A9-47BB-8A1B-93C1354420B7}"/>
    <cellStyle name="Normal 4 4 2 2 2 4" xfId="32906" xr:uid="{84C7D302-3F66-41B1-82BD-74B71F5FF3DB}"/>
    <cellStyle name="Normal 4 4 2 2 3" xfId="13467" xr:uid="{00000000-0005-0000-0000-0000615B0000}"/>
    <cellStyle name="Normal 4 4 2 2 3 2" xfId="37316" xr:uid="{54198E69-EB02-4FFA-8429-67AE5FB644F1}"/>
    <cellStyle name="Normal 4 4 2 2 4" xfId="21422" xr:uid="{00000000-0005-0000-0000-0000625B0000}"/>
    <cellStyle name="Normal 4 4 2 2 4 2" xfId="45254" xr:uid="{8E3A7681-FACC-499F-BEFE-02966BB10A56}"/>
    <cellStyle name="Normal 4 4 2 2 5" xfId="29375" xr:uid="{1E8D4740-6123-4DEF-A0A5-AC61F2C2C78C}"/>
    <cellStyle name="Normal 4 4 2 3" xfId="7275" xr:uid="{00000000-0005-0000-0000-0000635B0000}"/>
    <cellStyle name="Normal 4 4 2 3 2" xfId="15247" xr:uid="{00000000-0005-0000-0000-0000645B0000}"/>
    <cellStyle name="Normal 4 4 2 3 2 2" xfId="39089" xr:uid="{878BA881-B7E1-45ED-BC99-E44865A74F8C}"/>
    <cellStyle name="Normal 4 4 2 3 3" xfId="23194" xr:uid="{00000000-0005-0000-0000-0000655B0000}"/>
    <cellStyle name="Normal 4 4 2 3 3 2" xfId="47026" xr:uid="{1035E536-331E-40E5-8361-0C7554CD3863}"/>
    <cellStyle name="Normal 4 4 2 3 4" xfId="31148" xr:uid="{720C91A9-6F55-4FB1-8C74-E5467C56A558}"/>
    <cellStyle name="Normal 4 4 2 4" xfId="11711" xr:uid="{00000000-0005-0000-0000-0000665B0000}"/>
    <cellStyle name="Normal 4 4 2 4 2" xfId="35560" xr:uid="{06978E9F-3746-48DF-920F-3F3CF89883A3}"/>
    <cellStyle name="Normal 4 4 2 5" xfId="19666" xr:uid="{00000000-0005-0000-0000-0000675B0000}"/>
    <cellStyle name="Normal 4 4 2 5 2" xfId="43498" xr:uid="{B7DFDE71-D03B-455B-8095-E7E7A465DC28}"/>
    <cellStyle name="Normal 4 4 2 6" xfId="27618" xr:uid="{5945A45A-E3FF-44FB-81AA-AA1708856EB1}"/>
    <cellStyle name="Normal 4 4 2_Exh G" xfId="3533" xr:uid="{00000000-0005-0000-0000-0000685B0000}"/>
    <cellStyle name="Normal 4 4 3" xfId="4564" xr:uid="{00000000-0005-0000-0000-0000695B0000}"/>
    <cellStyle name="Normal 4 4 3 2" xfId="8156" xr:uid="{00000000-0005-0000-0000-00006A5B0000}"/>
    <cellStyle name="Normal 4 4 3 2 2" xfId="16127" xr:uid="{00000000-0005-0000-0000-00006B5B0000}"/>
    <cellStyle name="Normal 4 4 3 2 2 2" xfId="39969" xr:uid="{C9CE5802-E5C5-4A44-B86A-8CEE15A19FD5}"/>
    <cellStyle name="Normal 4 4 3 2 3" xfId="24073" xr:uid="{00000000-0005-0000-0000-00006C5B0000}"/>
    <cellStyle name="Normal 4 4 3 2 3 2" xfId="47905" xr:uid="{93E122ED-DE40-4F03-8F61-8722396093CC}"/>
    <cellStyle name="Normal 4 4 3 2 4" xfId="32028" xr:uid="{9743689D-95EE-44C6-9F22-5DDC0B71A83B}"/>
    <cellStyle name="Normal 4 4 3 3" xfId="12589" xr:uid="{00000000-0005-0000-0000-00006D5B0000}"/>
    <cellStyle name="Normal 4 4 3 3 2" xfId="36438" xr:uid="{981F37E0-8795-4AB9-B950-D5A90F1061CD}"/>
    <cellStyle name="Normal 4 4 3 4" xfId="20544" xr:uid="{00000000-0005-0000-0000-00006E5B0000}"/>
    <cellStyle name="Normal 4 4 3 4 2" xfId="44376" xr:uid="{6699BF0E-8F46-4775-AF29-004595A293D9}"/>
    <cellStyle name="Normal 4 4 3 5" xfId="28497" xr:uid="{1C9D3FAC-D607-41E2-955B-44DA5FF454A9}"/>
    <cellStyle name="Normal 4 4 4" xfId="6394" xr:uid="{00000000-0005-0000-0000-00006F5B0000}"/>
    <cellStyle name="Normal 4 4 4 2" xfId="14369" xr:uid="{00000000-0005-0000-0000-0000705B0000}"/>
    <cellStyle name="Normal 4 4 4 2 2" xfId="38211" xr:uid="{4397CCB3-25ED-4705-B385-2C252A21F977}"/>
    <cellStyle name="Normal 4 4 4 3" xfId="22316" xr:uid="{00000000-0005-0000-0000-0000715B0000}"/>
    <cellStyle name="Normal 4 4 4 3 2" xfId="46148" xr:uid="{46F5ACFD-FBAE-4AC2-9BBA-F47973D01B9B}"/>
    <cellStyle name="Normal 4 4 4 4" xfId="30270" xr:uid="{C296F7FF-913D-45AE-AE15-8A97953B5C06}"/>
    <cellStyle name="Normal 4 4 5" xfId="9937" xr:uid="{00000000-0005-0000-0000-0000725B0000}"/>
    <cellStyle name="Normal 4 4 5 2" xfId="17895" xr:uid="{00000000-0005-0000-0000-0000735B0000}"/>
    <cellStyle name="Normal 4 4 5 2 2" xfId="41735" xr:uid="{1FFE099F-8863-4D36-ADA2-3900ECF8B3E9}"/>
    <cellStyle name="Normal 4 4 5 3" xfId="25839" xr:uid="{00000000-0005-0000-0000-0000745B0000}"/>
    <cellStyle name="Normal 4 4 5 3 2" xfId="49671" xr:uid="{20ACC2F1-55EB-458E-A910-68EC6D0F6394}"/>
    <cellStyle name="Normal 4 4 5 4" xfId="33794" xr:uid="{EE5F08CF-20C7-49AB-9BC0-2CE5EC72ECE8}"/>
    <cellStyle name="Normal 4 4 6" xfId="10833" xr:uid="{00000000-0005-0000-0000-0000755B0000}"/>
    <cellStyle name="Normal 4 4 6 2" xfId="34682" xr:uid="{458229C9-D527-4455-B53D-E1CE4C76C16D}"/>
    <cellStyle name="Normal 4 4 7" xfId="18788" xr:uid="{00000000-0005-0000-0000-0000765B0000}"/>
    <cellStyle name="Normal 4 4 7 2" xfId="42620" xr:uid="{6A0D028F-4F27-4B36-AC9C-0FFDEBF087C8}"/>
    <cellStyle name="Normal 4 4 8" xfId="26740" xr:uid="{C0219FA1-FB3A-4FEE-8E9D-4C93206E869F}"/>
    <cellStyle name="Normal 4 4_Exh G" xfId="3532" xr:uid="{00000000-0005-0000-0000-0000775B0000}"/>
    <cellStyle name="Normal 4 5" xfId="1045" xr:uid="{00000000-0005-0000-0000-0000785B0000}"/>
    <cellStyle name="Normal 4 6" xfId="3698" xr:uid="{00000000-0005-0000-0000-0000795B0000}"/>
    <cellStyle name="Normal 4 7" xfId="5468" xr:uid="{00000000-0005-0000-0000-00007A5B0000}"/>
    <cellStyle name="Normal 4 8" xfId="5476" xr:uid="{00000000-0005-0000-0000-00007B5B0000}"/>
    <cellStyle name="Normal 4 9" xfId="5491" xr:uid="{00000000-0005-0000-0000-00007C5B0000}"/>
    <cellStyle name="Normal 4_Exh G" xfId="3523" xr:uid="{00000000-0005-0000-0000-00007D5B0000}"/>
    <cellStyle name="Normal 40" xfId="5494" xr:uid="{00000000-0005-0000-0000-00007E5B0000}"/>
    <cellStyle name="Normal 40 2" xfId="13492" xr:uid="{00000000-0005-0000-0000-00007F5B0000}"/>
    <cellStyle name="Normal 41" xfId="5499" xr:uid="{00000000-0005-0000-0000-0000805B0000}"/>
    <cellStyle name="Normal 41 2" xfId="13496" xr:uid="{00000000-0005-0000-0000-0000815B0000}"/>
    <cellStyle name="Normal 42" xfId="5500" xr:uid="{00000000-0005-0000-0000-0000825B0000}"/>
    <cellStyle name="Normal 42 2" xfId="13497" xr:uid="{00000000-0005-0000-0000-0000835B0000}"/>
    <cellStyle name="Normal 43" xfId="5504" xr:uid="{00000000-0005-0000-0000-0000845B0000}"/>
    <cellStyle name="Normal 43 2" xfId="13501" xr:uid="{00000000-0005-0000-0000-0000855B0000}"/>
    <cellStyle name="Normal 44" xfId="6248" xr:uid="{00000000-0005-0000-0000-0000865B0000}"/>
    <cellStyle name="Normal 44 2" xfId="14223" xr:uid="{00000000-0005-0000-0000-0000875B0000}"/>
    <cellStyle name="Normal 45" xfId="9069" xr:uid="{00000000-0005-0000-0000-0000885B0000}"/>
    <cellStyle name="Normal 45 2" xfId="17028" xr:uid="{00000000-0005-0000-0000-0000895B0000}"/>
    <cellStyle name="Normal 46" xfId="9070" xr:uid="{00000000-0005-0000-0000-00008A5B0000}"/>
    <cellStyle name="Normal 46 2" xfId="17029" xr:uid="{00000000-0005-0000-0000-00008B5B0000}"/>
    <cellStyle name="Normal 47" xfId="9952" xr:uid="{00000000-0005-0000-0000-00008C5B0000}"/>
    <cellStyle name="Normal 47 2" xfId="17910" xr:uid="{00000000-0005-0000-0000-00008D5B0000}"/>
    <cellStyle name="Normal 47 2 2" xfId="41750" xr:uid="{C894D257-7AF7-48BB-95F7-86BB2C13A818}"/>
    <cellStyle name="Normal 47 3" xfId="25854" xr:uid="{00000000-0005-0000-0000-00008E5B0000}"/>
    <cellStyle name="Normal 47 3 2" xfId="49686" xr:uid="{D044D8AC-9682-4C44-AAFA-370B85BAE31F}"/>
    <cellStyle name="Normal 47 4" xfId="33809" xr:uid="{A43380EB-3EF9-4457-AF16-349251BBB010}"/>
    <cellStyle name="Normal 48" xfId="9954" xr:uid="{00000000-0005-0000-0000-00008F5B0000}"/>
    <cellStyle name="Normal 48 2" xfId="17912" xr:uid="{00000000-0005-0000-0000-0000905B0000}"/>
    <cellStyle name="Normal 48 2 2" xfId="41752" xr:uid="{540217B4-1E7C-461C-808A-3DE2E0BA5101}"/>
    <cellStyle name="Normal 48 3" xfId="25856" xr:uid="{00000000-0005-0000-0000-0000915B0000}"/>
    <cellStyle name="Normal 48 3 2" xfId="49688" xr:uid="{7C8AA8F7-0C81-4642-986D-F18E097DC54F}"/>
    <cellStyle name="Normal 48 4" xfId="33811" xr:uid="{598253AF-8E19-4B31-AB13-CCA715060B29}"/>
    <cellStyle name="Normal 49" xfId="9956" xr:uid="{00000000-0005-0000-0000-0000925B0000}"/>
    <cellStyle name="Normal 5" xfId="8" xr:uid="{00000000-0005-0000-0000-0000935B0000}"/>
    <cellStyle name="Normal 5 2" xfId="814" xr:uid="{00000000-0005-0000-0000-0000945B0000}"/>
    <cellStyle name="Normal 5 2 10" xfId="9791" xr:uid="{00000000-0005-0000-0000-0000955B0000}"/>
    <cellStyle name="Normal 5 2 10 2" xfId="17749" xr:uid="{00000000-0005-0000-0000-0000965B0000}"/>
    <cellStyle name="Normal 5 2 10 2 2" xfId="41589" xr:uid="{16C3E8A5-534B-4BC7-B5E1-B5974B6274A9}"/>
    <cellStyle name="Normal 5 2 10 3" xfId="25693" xr:uid="{00000000-0005-0000-0000-0000975B0000}"/>
    <cellStyle name="Normal 5 2 10 3 2" xfId="49525" xr:uid="{E35E1C0B-7B39-40FD-AE4E-8B49057AC38C}"/>
    <cellStyle name="Normal 5 2 10 4" xfId="33648" xr:uid="{EEDF0490-3B4D-425C-9E8B-757981CD3267}"/>
    <cellStyle name="Normal 5 2 11" xfId="10687" xr:uid="{00000000-0005-0000-0000-0000985B0000}"/>
    <cellStyle name="Normal 5 2 11 2" xfId="34536" xr:uid="{AA2E0682-8F9A-4079-8755-397E19E02D94}"/>
    <cellStyle name="Normal 5 2 12" xfId="18642" xr:uid="{00000000-0005-0000-0000-0000995B0000}"/>
    <cellStyle name="Normal 5 2 12 2" xfId="42474" xr:uid="{2D206685-6124-4225-8A11-0561D7981DEF}"/>
    <cellStyle name="Normal 5 2 13" xfId="26594" xr:uid="{E0B9890E-C7C9-476A-B49E-6FB390DB6E06}"/>
    <cellStyle name="Normal 5 2 2" xfId="1023" xr:uid="{00000000-0005-0000-0000-00009A5B0000}"/>
    <cellStyle name="Normal 5 2 2 2" xfId="1928" xr:uid="{00000000-0005-0000-0000-00009B5B0000}"/>
    <cellStyle name="Normal 5 2 2 2 2" xfId="5446" xr:uid="{00000000-0005-0000-0000-00009C5B0000}"/>
    <cellStyle name="Normal 5 2 2 2 2 2" xfId="9037" xr:uid="{00000000-0005-0000-0000-00009D5B0000}"/>
    <cellStyle name="Normal 5 2 2 2 2 2 2" xfId="17008" xr:uid="{00000000-0005-0000-0000-00009E5B0000}"/>
    <cellStyle name="Normal 5 2 2 2 2 2 2 2" xfId="40850" xr:uid="{7E366E3B-50A2-42A2-A8DE-253A59E5C8B0}"/>
    <cellStyle name="Normal 5 2 2 2 2 2 3" xfId="24954" xr:uid="{00000000-0005-0000-0000-00009F5B0000}"/>
    <cellStyle name="Normal 5 2 2 2 2 2 3 2" xfId="48786" xr:uid="{137B9155-9C87-4597-A801-9A366DCF087F}"/>
    <cellStyle name="Normal 5 2 2 2 2 2 4" xfId="32909" xr:uid="{0BE18F5A-2B64-4177-8B09-F669F3F07B59}"/>
    <cellStyle name="Normal 5 2 2 2 2 3" xfId="13470" xr:uid="{00000000-0005-0000-0000-0000A05B0000}"/>
    <cellStyle name="Normal 5 2 2 2 2 3 2" xfId="37319" xr:uid="{955A9DE0-383D-4C89-A9CD-D28AEAE06D1E}"/>
    <cellStyle name="Normal 5 2 2 2 2 4" xfId="21425" xr:uid="{00000000-0005-0000-0000-0000A15B0000}"/>
    <cellStyle name="Normal 5 2 2 2 2 4 2" xfId="45257" xr:uid="{C7E575B0-1985-4BAF-B938-BC624F53C1EA}"/>
    <cellStyle name="Normal 5 2 2 2 2 5" xfId="29378" xr:uid="{0FDF0E6F-6C89-426F-972E-6F3ADBBDE59C}"/>
    <cellStyle name="Normal 5 2 2 2 3" xfId="7278" xr:uid="{00000000-0005-0000-0000-0000A25B0000}"/>
    <cellStyle name="Normal 5 2 2 2 3 2" xfId="15250" xr:uid="{00000000-0005-0000-0000-0000A35B0000}"/>
    <cellStyle name="Normal 5 2 2 2 3 2 2" xfId="39092" xr:uid="{E7433DBA-B238-4988-8A70-B34026376B9A}"/>
    <cellStyle name="Normal 5 2 2 2 3 3" xfId="23197" xr:uid="{00000000-0005-0000-0000-0000A45B0000}"/>
    <cellStyle name="Normal 5 2 2 2 3 3 2" xfId="47029" xr:uid="{A7E8C9D5-EA83-4868-BBAF-D13A0122C74E}"/>
    <cellStyle name="Normal 5 2 2 2 3 4" xfId="31151" xr:uid="{5805930B-BCE0-4229-991E-B49681451F89}"/>
    <cellStyle name="Normal 5 2 2 2 4" xfId="11714" xr:uid="{00000000-0005-0000-0000-0000A55B0000}"/>
    <cellStyle name="Normal 5 2 2 2 4 2" xfId="35563" xr:uid="{09F094CB-5818-483B-9E81-E30DA4713D79}"/>
    <cellStyle name="Normal 5 2 2 2 5" xfId="19669" xr:uid="{00000000-0005-0000-0000-0000A65B0000}"/>
    <cellStyle name="Normal 5 2 2 2 5 2" xfId="43501" xr:uid="{49F3535D-3F95-4CBF-BBF8-B7B14282E0E3}"/>
    <cellStyle name="Normal 5 2 2 2 6" xfId="27621" xr:uid="{45EBBE49-AF53-43DD-92F9-5765DB43D6D0}"/>
    <cellStyle name="Normal 5 2 2 2_Exh G" xfId="3536" xr:uid="{00000000-0005-0000-0000-0000A75B0000}"/>
    <cellStyle name="Normal 5 2 2 3" xfId="4567" xr:uid="{00000000-0005-0000-0000-0000A85B0000}"/>
    <cellStyle name="Normal 5 2 2 3 2" xfId="8159" xr:uid="{00000000-0005-0000-0000-0000A95B0000}"/>
    <cellStyle name="Normal 5 2 2 3 2 2" xfId="16130" xr:uid="{00000000-0005-0000-0000-0000AA5B0000}"/>
    <cellStyle name="Normal 5 2 2 3 2 2 2" xfId="39972" xr:uid="{0C4463CC-3A6A-452E-9BA4-1A002031FAB9}"/>
    <cellStyle name="Normal 5 2 2 3 2 3" xfId="24076" xr:uid="{00000000-0005-0000-0000-0000AB5B0000}"/>
    <cellStyle name="Normal 5 2 2 3 2 3 2" xfId="47908" xr:uid="{454D7446-D955-4B52-9E81-CF0CD56E154E}"/>
    <cellStyle name="Normal 5 2 2 3 2 4" xfId="32031" xr:uid="{509749A0-3A2C-44BA-84E2-0B85A9904894}"/>
    <cellStyle name="Normal 5 2 2 3 3" xfId="12592" xr:uid="{00000000-0005-0000-0000-0000AC5B0000}"/>
    <cellStyle name="Normal 5 2 2 3 3 2" xfId="36441" xr:uid="{3E5A4959-2DD0-44B1-A11E-355A050A82EE}"/>
    <cellStyle name="Normal 5 2 2 3 4" xfId="20547" xr:uid="{00000000-0005-0000-0000-0000AD5B0000}"/>
    <cellStyle name="Normal 5 2 2 3 4 2" xfId="44379" xr:uid="{1AEBC6B7-44BA-4761-9B0E-7B671963589B}"/>
    <cellStyle name="Normal 5 2 2 3 5" xfId="28500" xr:uid="{92957B10-CB19-45CB-BF94-9E49543DD8C0}"/>
    <cellStyle name="Normal 5 2 2 4" xfId="6397" xr:uid="{00000000-0005-0000-0000-0000AE5B0000}"/>
    <cellStyle name="Normal 5 2 2 4 2" xfId="14372" xr:uid="{00000000-0005-0000-0000-0000AF5B0000}"/>
    <cellStyle name="Normal 5 2 2 4 2 2" xfId="38214" xr:uid="{8DDBF1F4-C6C3-4436-98A7-96D98890A772}"/>
    <cellStyle name="Normal 5 2 2 4 3" xfId="22319" xr:uid="{00000000-0005-0000-0000-0000B05B0000}"/>
    <cellStyle name="Normal 5 2 2 4 3 2" xfId="46151" xr:uid="{757BA193-D55A-4AEB-9070-D14BEC617B8B}"/>
    <cellStyle name="Normal 5 2 2 4 4" xfId="30273" xr:uid="{47A7850A-FCDB-49C4-93F6-6589A1DFEE25}"/>
    <cellStyle name="Normal 5 2 2 5" xfId="9940" xr:uid="{00000000-0005-0000-0000-0000B15B0000}"/>
    <cellStyle name="Normal 5 2 2 5 2" xfId="17898" xr:uid="{00000000-0005-0000-0000-0000B25B0000}"/>
    <cellStyle name="Normal 5 2 2 5 2 2" xfId="41738" xr:uid="{06BAEBE7-2CF1-453E-90C5-567A033BF960}"/>
    <cellStyle name="Normal 5 2 2 5 3" xfId="25842" xr:uid="{00000000-0005-0000-0000-0000B35B0000}"/>
    <cellStyle name="Normal 5 2 2 5 3 2" xfId="49674" xr:uid="{D91E9FBB-E713-44AF-B65D-ED7501B6391F}"/>
    <cellStyle name="Normal 5 2 2 5 4" xfId="33797" xr:uid="{D2ADB937-DA0F-4688-81E2-C75F7F7742F1}"/>
    <cellStyle name="Normal 5 2 2 6" xfId="10836" xr:uid="{00000000-0005-0000-0000-0000B45B0000}"/>
    <cellStyle name="Normal 5 2 2 6 2" xfId="34685" xr:uid="{E7C770D6-F97A-494C-903D-98D2DE6F6829}"/>
    <cellStyle name="Normal 5 2 2 7" xfId="18791" xr:uid="{00000000-0005-0000-0000-0000B55B0000}"/>
    <cellStyle name="Normal 5 2 2 7 2" xfId="42623" xr:uid="{52C745D1-6C81-423F-BF8D-DC0D83B2B7AF}"/>
    <cellStyle name="Normal 5 2 2 8" xfId="26743" xr:uid="{10370B5A-4D33-4A06-84EE-882359402FBD}"/>
    <cellStyle name="Normal 5 2 2_Exh G" xfId="3535" xr:uid="{00000000-0005-0000-0000-0000B65B0000}"/>
    <cellStyle name="Normal 5 2 3" xfId="1768" xr:uid="{00000000-0005-0000-0000-0000B75B0000}"/>
    <cellStyle name="Normal 5 2 3 2" xfId="5297" xr:uid="{00000000-0005-0000-0000-0000B85B0000}"/>
    <cellStyle name="Normal 5 2 3 2 2" xfId="8888" xr:uid="{00000000-0005-0000-0000-0000B95B0000}"/>
    <cellStyle name="Normal 5 2 3 2 2 2" xfId="16859" xr:uid="{00000000-0005-0000-0000-0000BA5B0000}"/>
    <cellStyle name="Normal 5 2 3 2 2 2 2" xfId="40701" xr:uid="{2F9F77F2-5589-401A-AA40-CCEAB7E858A5}"/>
    <cellStyle name="Normal 5 2 3 2 2 3" xfId="24805" xr:uid="{00000000-0005-0000-0000-0000BB5B0000}"/>
    <cellStyle name="Normal 5 2 3 2 2 3 2" xfId="48637" xr:uid="{350A08F0-AA2B-4BB0-90BA-4DAF6F285C53}"/>
    <cellStyle name="Normal 5 2 3 2 2 4" xfId="32760" xr:uid="{A7A01E46-F503-4C73-AAA4-2F0A29AE9643}"/>
    <cellStyle name="Normal 5 2 3 2 3" xfId="13321" xr:uid="{00000000-0005-0000-0000-0000BC5B0000}"/>
    <cellStyle name="Normal 5 2 3 2 3 2" xfId="37170" xr:uid="{7D69541D-FD7A-4AD0-8005-9564BDE9DD55}"/>
    <cellStyle name="Normal 5 2 3 2 4" xfId="21276" xr:uid="{00000000-0005-0000-0000-0000BD5B0000}"/>
    <cellStyle name="Normal 5 2 3 2 4 2" xfId="45108" xr:uid="{01513940-4492-4675-984F-03E284564AF8}"/>
    <cellStyle name="Normal 5 2 3 2 5" xfId="29229" xr:uid="{55B33F87-6BA5-459E-B1FB-259787306935}"/>
    <cellStyle name="Normal 5 2 3 3" xfId="7129" xr:uid="{00000000-0005-0000-0000-0000BE5B0000}"/>
    <cellStyle name="Normal 5 2 3 3 2" xfId="15101" xr:uid="{00000000-0005-0000-0000-0000BF5B0000}"/>
    <cellStyle name="Normal 5 2 3 3 2 2" xfId="38943" xr:uid="{9722E5C6-55EE-4C1A-8DDC-66E0EFC3543D}"/>
    <cellStyle name="Normal 5 2 3 3 3" xfId="23048" xr:uid="{00000000-0005-0000-0000-0000C05B0000}"/>
    <cellStyle name="Normal 5 2 3 3 3 2" xfId="46880" xr:uid="{5E0C0A87-5657-4A36-852C-C099F8244AB5}"/>
    <cellStyle name="Normal 5 2 3 3 4" xfId="31002" xr:uid="{C6D60E03-AAE4-4836-BCCF-8CB339807737}"/>
    <cellStyle name="Normal 5 2 3 4" xfId="11565" xr:uid="{00000000-0005-0000-0000-0000C15B0000}"/>
    <cellStyle name="Normal 5 2 3 4 2" xfId="35414" xr:uid="{536EF997-A927-444E-8762-0A50670C7F01}"/>
    <cellStyle name="Normal 5 2 3 5" xfId="19520" xr:uid="{00000000-0005-0000-0000-0000C25B0000}"/>
    <cellStyle name="Normal 5 2 3 5 2" xfId="43352" xr:uid="{4C0C4D69-5EB9-46B7-8291-CDF935847EF4}"/>
    <cellStyle name="Normal 5 2 3 6" xfId="27472" xr:uid="{2C183011-FB94-4704-A688-87BBFD988821}"/>
    <cellStyle name="Normal 5 2 3_Exh G" xfId="3537" xr:uid="{00000000-0005-0000-0000-0000C35B0000}"/>
    <cellStyle name="Normal 5 2 4" xfId="4418" xr:uid="{00000000-0005-0000-0000-0000C45B0000}"/>
    <cellStyle name="Normal 5 2 4 2" xfId="8010" xr:uid="{00000000-0005-0000-0000-0000C55B0000}"/>
    <cellStyle name="Normal 5 2 4 2 2" xfId="15981" xr:uid="{00000000-0005-0000-0000-0000C65B0000}"/>
    <cellStyle name="Normal 5 2 4 2 2 2" xfId="39823" xr:uid="{85B9F26E-AFAF-4443-A274-A824631C8271}"/>
    <cellStyle name="Normal 5 2 4 2 3" xfId="23927" xr:uid="{00000000-0005-0000-0000-0000C75B0000}"/>
    <cellStyle name="Normal 5 2 4 2 3 2" xfId="47759" xr:uid="{B010533D-EE43-42E2-974D-ADB31254C1C2}"/>
    <cellStyle name="Normal 5 2 4 2 4" xfId="31882" xr:uid="{E013174E-02CB-4987-A471-52CDCF7DCE6F}"/>
    <cellStyle name="Normal 5 2 4 3" xfId="12443" xr:uid="{00000000-0005-0000-0000-0000C85B0000}"/>
    <cellStyle name="Normal 5 2 4 3 2" xfId="36292" xr:uid="{EDE0EA03-F12F-4440-9100-BC1CC4E89116}"/>
    <cellStyle name="Normal 5 2 4 4" xfId="20398" xr:uid="{00000000-0005-0000-0000-0000C95B0000}"/>
    <cellStyle name="Normal 5 2 4 4 2" xfId="44230" xr:uid="{D1700D8E-63A6-4BE8-A46B-4AD9990AE7E9}"/>
    <cellStyle name="Normal 5 2 4 5" xfId="28351" xr:uid="{AC1028BA-2228-4E77-9303-F240246B99A2}"/>
    <cellStyle name="Normal 5 2 5" xfId="5474" xr:uid="{00000000-0005-0000-0000-0000CA5B0000}"/>
    <cellStyle name="Normal 5 2 5 2" xfId="9058" xr:uid="{00000000-0005-0000-0000-0000CB5B0000}"/>
    <cellStyle name="Normal 5 2 6" xfId="5480" xr:uid="{00000000-0005-0000-0000-0000CC5B0000}"/>
    <cellStyle name="Normal 5 2 6 2" xfId="9060" xr:uid="{00000000-0005-0000-0000-0000CD5B0000}"/>
    <cellStyle name="Normal 5 2 7" xfId="6242" xr:uid="{00000000-0005-0000-0000-0000CE5B0000}"/>
    <cellStyle name="Normal 5 2 7 2" xfId="14222" xr:uid="{00000000-0005-0000-0000-0000CF5B0000}"/>
    <cellStyle name="Normal 5 2 7 2 2" xfId="38065" xr:uid="{E4000B0F-0E27-45D1-A895-856B6E9D4D35}"/>
    <cellStyle name="Normal 5 2 7 3" xfId="22170" xr:uid="{00000000-0005-0000-0000-0000D05B0000}"/>
    <cellStyle name="Normal 5 2 7 3 2" xfId="46002" xr:uid="{FF6DA7BD-C3E1-4367-BE1C-6C6E4D8A263F}"/>
    <cellStyle name="Normal 5 2 7 4" xfId="30124" xr:uid="{1A40978C-304D-4E65-9664-35F956A53E81}"/>
    <cellStyle name="Normal 5 2 8" xfId="5512" xr:uid="{00000000-0005-0000-0000-0000D15B0000}"/>
    <cellStyle name="Normal 5 2 9" xfId="6243" xr:uid="{00000000-0005-0000-0000-0000D25B0000}"/>
    <cellStyle name="Normal 5 2_Exh G" xfId="3534" xr:uid="{00000000-0005-0000-0000-0000D35B0000}"/>
    <cellStyle name="Normal 5 3" xfId="1022" xr:uid="{00000000-0005-0000-0000-0000D45B0000}"/>
    <cellStyle name="Normal 5 3 2" xfId="1927" xr:uid="{00000000-0005-0000-0000-0000D55B0000}"/>
    <cellStyle name="Normal 5 3 2 2" xfId="5445" xr:uid="{00000000-0005-0000-0000-0000D65B0000}"/>
    <cellStyle name="Normal 5 3 2 2 2" xfId="9036" xr:uid="{00000000-0005-0000-0000-0000D75B0000}"/>
    <cellStyle name="Normal 5 3 2 2 2 2" xfId="17007" xr:uid="{00000000-0005-0000-0000-0000D85B0000}"/>
    <cellStyle name="Normal 5 3 2 2 2 2 2" xfId="40849" xr:uid="{83B2E9CD-4AD7-4F48-A32F-B578D5D9FD2F}"/>
    <cellStyle name="Normal 5 3 2 2 2 3" xfId="24953" xr:uid="{00000000-0005-0000-0000-0000D95B0000}"/>
    <cellStyle name="Normal 5 3 2 2 2 3 2" xfId="48785" xr:uid="{5B9D0430-0CB4-4E67-8620-3027085B62AB}"/>
    <cellStyle name="Normal 5 3 2 2 2 4" xfId="32908" xr:uid="{ECDC09E2-C56F-4009-AD03-6C64F547B1A8}"/>
    <cellStyle name="Normal 5 3 2 2 3" xfId="13469" xr:uid="{00000000-0005-0000-0000-0000DA5B0000}"/>
    <cellStyle name="Normal 5 3 2 2 3 2" xfId="37318" xr:uid="{B6B18022-CBF4-4B94-9E82-4A39B669AC75}"/>
    <cellStyle name="Normal 5 3 2 2 4" xfId="21424" xr:uid="{00000000-0005-0000-0000-0000DB5B0000}"/>
    <cellStyle name="Normal 5 3 2 2 4 2" xfId="45256" xr:uid="{53328BFC-5B10-491A-9AB5-3612ABE5F017}"/>
    <cellStyle name="Normal 5 3 2 2 5" xfId="29377" xr:uid="{CF4FAD9D-6B34-4577-9F96-0EF84819DFEA}"/>
    <cellStyle name="Normal 5 3 2 3" xfId="7277" xr:uid="{00000000-0005-0000-0000-0000DC5B0000}"/>
    <cellStyle name="Normal 5 3 2 3 2" xfId="15249" xr:uid="{00000000-0005-0000-0000-0000DD5B0000}"/>
    <cellStyle name="Normal 5 3 2 3 2 2" xfId="39091" xr:uid="{112008D6-DF4D-4472-8C9F-7D4FA7757DED}"/>
    <cellStyle name="Normal 5 3 2 3 3" xfId="23196" xr:uid="{00000000-0005-0000-0000-0000DE5B0000}"/>
    <cellStyle name="Normal 5 3 2 3 3 2" xfId="47028" xr:uid="{6AC69D58-B8E1-42FF-BB3E-3695BC5D800B}"/>
    <cellStyle name="Normal 5 3 2 3 4" xfId="31150" xr:uid="{9F735EBB-027E-4BD9-A3D2-CBC79AB51707}"/>
    <cellStyle name="Normal 5 3 2 4" xfId="11713" xr:uid="{00000000-0005-0000-0000-0000DF5B0000}"/>
    <cellStyle name="Normal 5 3 2 4 2" xfId="35562" xr:uid="{0368FE80-D7AE-4DDD-BDBF-F084F0347D2B}"/>
    <cellStyle name="Normal 5 3 2 5" xfId="19668" xr:uid="{00000000-0005-0000-0000-0000E05B0000}"/>
    <cellStyle name="Normal 5 3 2 5 2" xfId="43500" xr:uid="{FF47D24E-74F5-4CC9-ABD9-0E34B404E801}"/>
    <cellStyle name="Normal 5 3 2 6" xfId="27620" xr:uid="{D6E7B058-F54C-44A6-9E0B-C76784D19018}"/>
    <cellStyle name="Normal 5 3 2_Exh G" xfId="3539" xr:uid="{00000000-0005-0000-0000-0000E15B0000}"/>
    <cellStyle name="Normal 5 3 3" xfId="4566" xr:uid="{00000000-0005-0000-0000-0000E25B0000}"/>
    <cellStyle name="Normal 5 3 3 2" xfId="8158" xr:uid="{00000000-0005-0000-0000-0000E35B0000}"/>
    <cellStyle name="Normal 5 3 3 2 2" xfId="16129" xr:uid="{00000000-0005-0000-0000-0000E45B0000}"/>
    <cellStyle name="Normal 5 3 3 2 2 2" xfId="39971" xr:uid="{E834D649-0E49-4056-871E-96699D517125}"/>
    <cellStyle name="Normal 5 3 3 2 3" xfId="24075" xr:uid="{00000000-0005-0000-0000-0000E55B0000}"/>
    <cellStyle name="Normal 5 3 3 2 3 2" xfId="47907" xr:uid="{3217F206-93AA-4492-8126-2FF698E29D8B}"/>
    <cellStyle name="Normal 5 3 3 2 4" xfId="32030" xr:uid="{E9026164-E5F4-40CA-B138-BDA335978C7B}"/>
    <cellStyle name="Normal 5 3 3 3" xfId="12591" xr:uid="{00000000-0005-0000-0000-0000E65B0000}"/>
    <cellStyle name="Normal 5 3 3 3 2" xfId="36440" xr:uid="{C3B3825D-A1ED-4119-823B-6EDC70125366}"/>
    <cellStyle name="Normal 5 3 3 4" xfId="20546" xr:uid="{00000000-0005-0000-0000-0000E75B0000}"/>
    <cellStyle name="Normal 5 3 3 4 2" xfId="44378" xr:uid="{9B978B88-B0A5-4F3E-9262-48CBB6BA0E8B}"/>
    <cellStyle name="Normal 5 3 3 5" xfId="28499" xr:uid="{744699C6-ECB8-4DFF-935A-8BAE00C4A4F4}"/>
    <cellStyle name="Normal 5 3 4" xfId="6396" xr:uid="{00000000-0005-0000-0000-0000E85B0000}"/>
    <cellStyle name="Normal 5 3 4 2" xfId="14371" xr:uid="{00000000-0005-0000-0000-0000E95B0000}"/>
    <cellStyle name="Normal 5 3 4 2 2" xfId="38213" xr:uid="{8FE16914-CC25-4F54-B5A1-A4DE44F5057B}"/>
    <cellStyle name="Normal 5 3 4 3" xfId="22318" xr:uid="{00000000-0005-0000-0000-0000EA5B0000}"/>
    <cellStyle name="Normal 5 3 4 3 2" xfId="46150" xr:uid="{1AE713E9-5208-4009-BE94-2DA9C2012DEE}"/>
    <cellStyle name="Normal 5 3 4 4" xfId="30272" xr:uid="{D99B4A87-69FB-4BF7-ABEF-250B26F45BF5}"/>
    <cellStyle name="Normal 5 3 5" xfId="9939" xr:uid="{00000000-0005-0000-0000-0000EB5B0000}"/>
    <cellStyle name="Normal 5 3 5 2" xfId="17897" xr:uid="{00000000-0005-0000-0000-0000EC5B0000}"/>
    <cellStyle name="Normal 5 3 5 2 2" xfId="41737" xr:uid="{E2BE326D-54F4-4115-9489-958119280ADA}"/>
    <cellStyle name="Normal 5 3 5 3" xfId="25841" xr:uid="{00000000-0005-0000-0000-0000ED5B0000}"/>
    <cellStyle name="Normal 5 3 5 3 2" xfId="49673" xr:uid="{4873AD86-F653-4672-AB4B-474E77164655}"/>
    <cellStyle name="Normal 5 3 5 4" xfId="33796" xr:uid="{3D6B51E8-0D34-4985-B30F-66FE45BCCAFF}"/>
    <cellStyle name="Normal 5 3 6" xfId="10835" xr:uid="{00000000-0005-0000-0000-0000EE5B0000}"/>
    <cellStyle name="Normal 5 3 6 2" xfId="34684" xr:uid="{B9386769-14B6-4FA8-9BD2-8EF347976FD9}"/>
    <cellStyle name="Normal 5 3 7" xfId="18790" xr:uid="{00000000-0005-0000-0000-0000EF5B0000}"/>
    <cellStyle name="Normal 5 3 7 2" xfId="42622" xr:uid="{F1346E3C-9112-4D48-9E09-CFB96237CC3B}"/>
    <cellStyle name="Normal 5 3 8" xfId="26742" xr:uid="{D4E09084-3C80-4A4B-AA34-160446B2C41C}"/>
    <cellStyle name="Normal 5 3_Exh G" xfId="3538" xr:uid="{00000000-0005-0000-0000-0000F05B0000}"/>
    <cellStyle name="Normal 5 4" xfId="5470" xr:uid="{00000000-0005-0000-0000-0000F15B0000}"/>
    <cellStyle name="Normal 5 5" xfId="5477" xr:uid="{00000000-0005-0000-0000-0000F25B0000}"/>
    <cellStyle name="Normal 5 6" xfId="5492" xr:uid="{00000000-0005-0000-0000-0000F35B0000}"/>
    <cellStyle name="Normal 5 7" xfId="5519" xr:uid="{00000000-0005-0000-0000-0000F45B0000}"/>
    <cellStyle name="Normal 5 8" xfId="5509" xr:uid="{00000000-0005-0000-0000-0000F55B0000}"/>
    <cellStyle name="Normal 5 9" xfId="9051" xr:uid="{00000000-0005-0000-0000-0000F65B0000}"/>
    <cellStyle name="Normal 50" xfId="9957" xr:uid="{00000000-0005-0000-0000-0000F75B0000}"/>
    <cellStyle name="Normal 50 2" xfId="17914" xr:uid="{00000000-0005-0000-0000-0000F85B0000}"/>
    <cellStyle name="Normal 51" xfId="9958" xr:uid="{00000000-0005-0000-0000-0000F95B0000}"/>
    <cellStyle name="Normal 51 2" xfId="17915" xr:uid="{00000000-0005-0000-0000-0000FA5B0000}"/>
    <cellStyle name="Normal 52" xfId="9961" xr:uid="{00000000-0005-0000-0000-0000FB5B0000}"/>
    <cellStyle name="Normal 52 2" xfId="17918" xr:uid="{00000000-0005-0000-0000-0000FC5B0000}"/>
    <cellStyle name="Normal 53" xfId="9962" xr:uid="{00000000-0005-0000-0000-0000FD5B0000}"/>
    <cellStyle name="Normal 53 2" xfId="17919" xr:uid="{00000000-0005-0000-0000-0000FE5B0000}"/>
    <cellStyle name="Normal 54" xfId="9963" xr:uid="{00000000-0005-0000-0000-0000FF5B0000}"/>
    <cellStyle name="Normal 54 2" xfId="17920" xr:uid="{00000000-0005-0000-0000-0000005C0000}"/>
    <cellStyle name="Normal 55" xfId="9964" xr:uid="{00000000-0005-0000-0000-0000015C0000}"/>
    <cellStyle name="Normal 55 2" xfId="17921" xr:uid="{00000000-0005-0000-0000-0000025C0000}"/>
    <cellStyle name="Normal 56" xfId="9965" xr:uid="{00000000-0005-0000-0000-0000035C0000}"/>
    <cellStyle name="Normal 56 2" xfId="17922" xr:uid="{00000000-0005-0000-0000-0000045C0000}"/>
    <cellStyle name="Normal 57" xfId="9966" xr:uid="{00000000-0005-0000-0000-0000055C0000}"/>
    <cellStyle name="Normal 57 2" xfId="17923" xr:uid="{00000000-0005-0000-0000-0000065C0000}"/>
    <cellStyle name="Normal 57 2 2" xfId="41756" xr:uid="{4C5C7D43-961A-4D88-A8D5-F0BA5099414C}"/>
    <cellStyle name="Normal 57 3" xfId="25860" xr:uid="{00000000-0005-0000-0000-0000075C0000}"/>
    <cellStyle name="Normal 57 3 2" xfId="49692" xr:uid="{665CC5C5-9CEE-490B-B2C3-F778DEA4CFE7}"/>
    <cellStyle name="Normal 57 4" xfId="33815" xr:uid="{D884C984-9BD2-4347-B768-977185CA12C2}"/>
    <cellStyle name="Normal 58" xfId="9967" xr:uid="{00000000-0005-0000-0000-0000085C0000}"/>
    <cellStyle name="Normal 58 2" xfId="33816" xr:uid="{F9247D12-CEF2-43E0-B39C-40F9DB6B6DD2}"/>
    <cellStyle name="Normal 59" xfId="25862" xr:uid="{00000000-0005-0000-0000-0000095C0000}"/>
    <cellStyle name="Normal 59 2" xfId="49693" xr:uid="{E59435A3-FCE8-46C9-B64A-6DFE78A97A02}"/>
    <cellStyle name="Normal 6" xfId="10" xr:uid="{00000000-0005-0000-0000-00000A5C0000}"/>
    <cellStyle name="Normal 6 2" xfId="674" xr:uid="{00000000-0005-0000-0000-00000B5C0000}"/>
    <cellStyle name="Normal 6 2 2" xfId="675" xr:uid="{00000000-0005-0000-0000-00000C5C0000}"/>
    <cellStyle name="Normal 6 2 2 2" xfId="1703" xr:uid="{00000000-0005-0000-0000-00000D5C0000}"/>
    <cellStyle name="Normal 6 2 2 2 2" xfId="5233" xr:uid="{00000000-0005-0000-0000-00000E5C0000}"/>
    <cellStyle name="Normal 6 2 2 2 2 2" xfId="8824" xr:uid="{00000000-0005-0000-0000-00000F5C0000}"/>
    <cellStyle name="Normal 6 2 2 2 2 2 2" xfId="16795" xr:uid="{00000000-0005-0000-0000-0000105C0000}"/>
    <cellStyle name="Normal 6 2 2 2 2 2 2 2" xfId="40637" xr:uid="{81D0AD05-99DD-4E89-A868-EFA14370AD60}"/>
    <cellStyle name="Normal 6 2 2 2 2 2 3" xfId="24741" xr:uid="{00000000-0005-0000-0000-0000115C0000}"/>
    <cellStyle name="Normal 6 2 2 2 2 2 3 2" xfId="48573" xr:uid="{4A67A498-B854-4B66-98F8-752DE4CC9769}"/>
    <cellStyle name="Normal 6 2 2 2 2 2 4" xfId="32696" xr:uid="{A6039D21-85B7-46A4-AAF0-1FF7FEF512F8}"/>
    <cellStyle name="Normal 6 2 2 2 2 3" xfId="13257" xr:uid="{00000000-0005-0000-0000-0000125C0000}"/>
    <cellStyle name="Normal 6 2 2 2 2 3 2" xfId="37106" xr:uid="{9E24BB74-0F6B-4D4E-BB64-0C882B5CA493}"/>
    <cellStyle name="Normal 6 2 2 2 2 4" xfId="21212" xr:uid="{00000000-0005-0000-0000-0000135C0000}"/>
    <cellStyle name="Normal 6 2 2 2 2 4 2" xfId="45044" xr:uid="{2A91D031-072A-4CA0-B1E6-02C6F949B2BC}"/>
    <cellStyle name="Normal 6 2 2 2 2 5" xfId="29165" xr:uid="{772A7F78-F2FE-4017-9B80-B1642F0CCA6B}"/>
    <cellStyle name="Normal 6 2 2 2 3" xfId="7065" xr:uid="{00000000-0005-0000-0000-0000145C0000}"/>
    <cellStyle name="Normal 6 2 2 2 3 2" xfId="15037" xr:uid="{00000000-0005-0000-0000-0000155C0000}"/>
    <cellStyle name="Normal 6 2 2 2 3 2 2" xfId="38879" xr:uid="{C590DD3B-8013-41DD-B015-3FD751B7AA8A}"/>
    <cellStyle name="Normal 6 2 2 2 3 3" xfId="22984" xr:uid="{00000000-0005-0000-0000-0000165C0000}"/>
    <cellStyle name="Normal 6 2 2 2 3 3 2" xfId="46816" xr:uid="{89AD3532-C710-4A07-896C-FA4D9D467BE0}"/>
    <cellStyle name="Normal 6 2 2 2 3 4" xfId="30938" xr:uid="{04FDE233-A134-4BBD-9F08-1A3C83FFA1E0}"/>
    <cellStyle name="Normal 6 2 2 2 4" xfId="11501" xr:uid="{00000000-0005-0000-0000-0000175C0000}"/>
    <cellStyle name="Normal 6 2 2 2 4 2" xfId="35350" xr:uid="{AA7313D5-EBB4-4DA6-91FC-8E45D1626A67}"/>
    <cellStyle name="Normal 6 2 2 2 5" xfId="19456" xr:uid="{00000000-0005-0000-0000-0000185C0000}"/>
    <cellStyle name="Normal 6 2 2 2 5 2" xfId="43288" xr:uid="{00E4149D-E8D1-4614-9BF9-FE18E1BF9A89}"/>
    <cellStyle name="Normal 6 2 2 2 6" xfId="27408" xr:uid="{9B8406D9-E501-42B4-B1A6-BD7A0D3E2734}"/>
    <cellStyle name="Normal 6 2 2 2_Exh G" xfId="3542" xr:uid="{00000000-0005-0000-0000-0000195C0000}"/>
    <cellStyle name="Normal 6 2 2 3" xfId="4354" xr:uid="{00000000-0005-0000-0000-00001A5C0000}"/>
    <cellStyle name="Normal 6 2 2 3 2" xfId="7946" xr:uid="{00000000-0005-0000-0000-00001B5C0000}"/>
    <cellStyle name="Normal 6 2 2 3 2 2" xfId="15917" xr:uid="{00000000-0005-0000-0000-00001C5C0000}"/>
    <cellStyle name="Normal 6 2 2 3 2 2 2" xfId="39759" xr:uid="{3EF4DFA8-3B40-4216-928B-F8C981DBC784}"/>
    <cellStyle name="Normal 6 2 2 3 2 3" xfId="23863" xr:uid="{00000000-0005-0000-0000-00001D5C0000}"/>
    <cellStyle name="Normal 6 2 2 3 2 3 2" xfId="47695" xr:uid="{C0801D33-858C-4FF5-9FD9-4FDB4AF51B6A}"/>
    <cellStyle name="Normal 6 2 2 3 2 4" xfId="31818" xr:uid="{CECEF1CF-E438-4D3C-9BFC-3029F6EA97F3}"/>
    <cellStyle name="Normal 6 2 2 3 3" xfId="12379" xr:uid="{00000000-0005-0000-0000-00001E5C0000}"/>
    <cellStyle name="Normal 6 2 2 3 3 2" xfId="36228" xr:uid="{6CA1BE02-E27B-4EF3-9A62-EF89E2FD03D6}"/>
    <cellStyle name="Normal 6 2 2 3 4" xfId="20334" xr:uid="{00000000-0005-0000-0000-00001F5C0000}"/>
    <cellStyle name="Normal 6 2 2 3 4 2" xfId="44166" xr:uid="{BF728E80-1A57-40F7-A845-081796F1F7D6}"/>
    <cellStyle name="Normal 6 2 2 3 5" xfId="28287" xr:uid="{19922E8F-AA98-4E08-956D-21BA6B25CDE9}"/>
    <cellStyle name="Normal 6 2 2 4" xfId="6174" xr:uid="{00000000-0005-0000-0000-0000205C0000}"/>
    <cellStyle name="Normal 6 2 2 4 2" xfId="14158" xr:uid="{00000000-0005-0000-0000-0000215C0000}"/>
    <cellStyle name="Normal 6 2 2 4 2 2" xfId="38001" xr:uid="{F4768A7A-8E88-4278-AFBC-DF52AC368D16}"/>
    <cellStyle name="Normal 6 2 2 4 3" xfId="22106" xr:uid="{00000000-0005-0000-0000-0000225C0000}"/>
    <cellStyle name="Normal 6 2 2 4 3 2" xfId="45938" xr:uid="{1A06E939-5CA9-4819-80AB-C40F1A673BDB}"/>
    <cellStyle name="Normal 6 2 2 4 4" xfId="30060" xr:uid="{67E4CEB6-DC2D-4FE5-9B3E-47BBC2495275}"/>
    <cellStyle name="Normal 6 2 2 5" xfId="9727" xr:uid="{00000000-0005-0000-0000-0000235C0000}"/>
    <cellStyle name="Normal 6 2 2 5 2" xfId="17685" xr:uid="{00000000-0005-0000-0000-0000245C0000}"/>
    <cellStyle name="Normal 6 2 2 5 2 2" xfId="41525" xr:uid="{833F6E88-3D66-47EF-9C3E-E52A53EF59A1}"/>
    <cellStyle name="Normal 6 2 2 5 3" xfId="25629" xr:uid="{00000000-0005-0000-0000-0000255C0000}"/>
    <cellStyle name="Normal 6 2 2 5 3 2" xfId="49461" xr:uid="{20C3B42C-AE77-47EA-92B7-BC8C78A30EE1}"/>
    <cellStyle name="Normal 6 2 2 5 4" xfId="33584" xr:uid="{F3ACACAA-3006-48E7-A56B-5B3F5022B1E6}"/>
    <cellStyle name="Normal 6 2 2 6" xfId="10623" xr:uid="{00000000-0005-0000-0000-0000265C0000}"/>
    <cellStyle name="Normal 6 2 2 6 2" xfId="34472" xr:uid="{8169C5F2-333D-48EE-9519-9C17D921BBAA}"/>
    <cellStyle name="Normal 6 2 2 7" xfId="18578" xr:uid="{00000000-0005-0000-0000-0000275C0000}"/>
    <cellStyle name="Normal 6 2 2 7 2" xfId="42410" xr:uid="{286C9CEF-DC98-4F66-BAB4-9C28EC2B854D}"/>
    <cellStyle name="Normal 6 2 2 8" xfId="26530" xr:uid="{E1410258-C146-4C65-84E7-9CBE05E2F635}"/>
    <cellStyle name="Normal 6 2 2_Exh G" xfId="3541" xr:uid="{00000000-0005-0000-0000-0000285C0000}"/>
    <cellStyle name="Normal 6 2 3" xfId="1702" xr:uid="{00000000-0005-0000-0000-0000295C0000}"/>
    <cellStyle name="Normal 6 2 3 2" xfId="5232" xr:uid="{00000000-0005-0000-0000-00002A5C0000}"/>
    <cellStyle name="Normal 6 2 3 2 2" xfId="8823" xr:uid="{00000000-0005-0000-0000-00002B5C0000}"/>
    <cellStyle name="Normal 6 2 3 2 2 2" xfId="16794" xr:uid="{00000000-0005-0000-0000-00002C5C0000}"/>
    <cellStyle name="Normal 6 2 3 2 2 2 2" xfId="40636" xr:uid="{F80032EE-831E-4206-BCF3-AC26BA445220}"/>
    <cellStyle name="Normal 6 2 3 2 2 3" xfId="24740" xr:uid="{00000000-0005-0000-0000-00002D5C0000}"/>
    <cellStyle name="Normal 6 2 3 2 2 3 2" xfId="48572" xr:uid="{D0D8B8AF-44EF-4FB2-B8A8-578166DD7E79}"/>
    <cellStyle name="Normal 6 2 3 2 2 4" xfId="32695" xr:uid="{72582EEC-6D34-4FCE-B003-7B842715721F}"/>
    <cellStyle name="Normal 6 2 3 2 3" xfId="13256" xr:uid="{00000000-0005-0000-0000-00002E5C0000}"/>
    <cellStyle name="Normal 6 2 3 2 3 2" xfId="37105" xr:uid="{397B15E9-0B97-45DC-A3C7-13AD021DD2DD}"/>
    <cellStyle name="Normal 6 2 3 2 4" xfId="21211" xr:uid="{00000000-0005-0000-0000-00002F5C0000}"/>
    <cellStyle name="Normal 6 2 3 2 4 2" xfId="45043" xr:uid="{B504C9D6-029F-435A-92EA-C8DC820C50B8}"/>
    <cellStyle name="Normal 6 2 3 2 5" xfId="29164" xr:uid="{A20D9CB1-4B6E-45ED-8910-0093E9D9D6BF}"/>
    <cellStyle name="Normal 6 2 3 3" xfId="7064" xr:uid="{00000000-0005-0000-0000-0000305C0000}"/>
    <cellStyle name="Normal 6 2 3 3 2" xfId="15036" xr:uid="{00000000-0005-0000-0000-0000315C0000}"/>
    <cellStyle name="Normal 6 2 3 3 2 2" xfId="38878" xr:uid="{27193CE4-3DE8-43B8-9C3B-17378E5E0556}"/>
    <cellStyle name="Normal 6 2 3 3 3" xfId="22983" xr:uid="{00000000-0005-0000-0000-0000325C0000}"/>
    <cellStyle name="Normal 6 2 3 3 3 2" xfId="46815" xr:uid="{18AEA82B-EA64-4DF8-B099-7F0EDE3E2266}"/>
    <cellStyle name="Normal 6 2 3 3 4" xfId="30937" xr:uid="{F8C2AC97-BA18-43D0-ABF9-8B85BB3BB2DC}"/>
    <cellStyle name="Normal 6 2 3 4" xfId="11500" xr:uid="{00000000-0005-0000-0000-0000335C0000}"/>
    <cellStyle name="Normal 6 2 3 4 2" xfId="35349" xr:uid="{D8BCDF6F-1D7A-4ACD-804C-E4E4D71FFF65}"/>
    <cellStyle name="Normal 6 2 3 5" xfId="19455" xr:uid="{00000000-0005-0000-0000-0000345C0000}"/>
    <cellStyle name="Normal 6 2 3 5 2" xfId="43287" xr:uid="{BC917E7F-DDE0-4585-A4F7-F3744DC954A2}"/>
    <cellStyle name="Normal 6 2 3 6" xfId="27407" xr:uid="{4A754FA9-C4CB-466B-AF0F-3513B654D754}"/>
    <cellStyle name="Normal 6 2 3_Exh G" xfId="3543" xr:uid="{00000000-0005-0000-0000-0000355C0000}"/>
    <cellStyle name="Normal 6 2 4" xfId="4353" xr:uid="{00000000-0005-0000-0000-0000365C0000}"/>
    <cellStyle name="Normal 6 2 4 2" xfId="7945" xr:uid="{00000000-0005-0000-0000-0000375C0000}"/>
    <cellStyle name="Normal 6 2 4 2 2" xfId="15916" xr:uid="{00000000-0005-0000-0000-0000385C0000}"/>
    <cellStyle name="Normal 6 2 4 2 2 2" xfId="39758" xr:uid="{8C757703-6A4F-407A-8D7D-CC8AA63965D3}"/>
    <cellStyle name="Normal 6 2 4 2 3" xfId="23862" xr:uid="{00000000-0005-0000-0000-0000395C0000}"/>
    <cellStyle name="Normal 6 2 4 2 3 2" xfId="47694" xr:uid="{1C1CA53D-A682-4283-8F4F-30F197B1DB7C}"/>
    <cellStyle name="Normal 6 2 4 2 4" xfId="31817" xr:uid="{41F20BF4-79ED-4B30-BF52-CAE36C82B394}"/>
    <cellStyle name="Normal 6 2 4 3" xfId="12378" xr:uid="{00000000-0005-0000-0000-00003A5C0000}"/>
    <cellStyle name="Normal 6 2 4 3 2" xfId="36227" xr:uid="{931D03A3-8CD1-49D6-B1B5-3508DAA01487}"/>
    <cellStyle name="Normal 6 2 4 4" xfId="20333" xr:uid="{00000000-0005-0000-0000-00003B5C0000}"/>
    <cellStyle name="Normal 6 2 4 4 2" xfId="44165" xr:uid="{5ADB4EDA-F32F-4C32-9174-727E12513DDF}"/>
    <cellStyle name="Normal 6 2 4 5" xfId="28286" xr:uid="{CC2EE59E-3425-4228-81DD-59016DA9C7DD}"/>
    <cellStyle name="Normal 6 2 5" xfId="6173" xr:uid="{00000000-0005-0000-0000-00003C5C0000}"/>
    <cellStyle name="Normal 6 2 5 2" xfId="14157" xr:uid="{00000000-0005-0000-0000-00003D5C0000}"/>
    <cellStyle name="Normal 6 2 5 2 2" xfId="38000" xr:uid="{CA4AE2D1-A7BC-4705-A31F-09D2CBC6F3F4}"/>
    <cellStyle name="Normal 6 2 5 3" xfId="22105" xr:uid="{00000000-0005-0000-0000-00003E5C0000}"/>
    <cellStyle name="Normal 6 2 5 3 2" xfId="45937" xr:uid="{55FC8930-BDFE-4D0F-8D4C-B61B0247FADB}"/>
    <cellStyle name="Normal 6 2 5 4" xfId="30059" xr:uid="{E9D09E70-09E5-49D6-9B7C-DCD5E86FBD7A}"/>
    <cellStyle name="Normal 6 2 6" xfId="9726" xr:uid="{00000000-0005-0000-0000-00003F5C0000}"/>
    <cellStyle name="Normal 6 2 6 2" xfId="17684" xr:uid="{00000000-0005-0000-0000-0000405C0000}"/>
    <cellStyle name="Normal 6 2 6 2 2" xfId="41524" xr:uid="{3244AA27-7FCC-4AD3-A742-755E5FCD6F48}"/>
    <cellStyle name="Normal 6 2 6 3" xfId="25628" xr:uid="{00000000-0005-0000-0000-0000415C0000}"/>
    <cellStyle name="Normal 6 2 6 3 2" xfId="49460" xr:uid="{F36F319F-0512-4EDA-8BAE-222A4659E8E1}"/>
    <cellStyle name="Normal 6 2 6 4" xfId="33583" xr:uid="{7A2F59FC-D1A0-472C-BDCC-4B40ACCA1372}"/>
    <cellStyle name="Normal 6 2 7" xfId="10622" xr:uid="{00000000-0005-0000-0000-0000425C0000}"/>
    <cellStyle name="Normal 6 2 7 2" xfId="34471" xr:uid="{3EDAD2C4-6A3D-4D79-BA70-AFD5063BA864}"/>
    <cellStyle name="Normal 6 2 8" xfId="18577" xr:uid="{00000000-0005-0000-0000-0000435C0000}"/>
    <cellStyle name="Normal 6 2 8 2" xfId="42409" xr:uid="{3299C5C9-8A5C-49B6-8DA3-B423C24B5938}"/>
    <cellStyle name="Normal 6 2 9" xfId="26529" xr:uid="{54B9AA36-DBBF-4E76-88E7-F1310A2B5792}"/>
    <cellStyle name="Normal 6 2_Exh G" xfId="3540" xr:uid="{00000000-0005-0000-0000-0000445C0000}"/>
    <cellStyle name="Normal 6 3" xfId="676" xr:uid="{00000000-0005-0000-0000-0000455C0000}"/>
    <cellStyle name="Normal 6 3 2" xfId="1704" xr:uid="{00000000-0005-0000-0000-0000465C0000}"/>
    <cellStyle name="Normal 6 3 2 2" xfId="5234" xr:uid="{00000000-0005-0000-0000-0000475C0000}"/>
    <cellStyle name="Normal 6 3 2 2 2" xfId="8825" xr:uid="{00000000-0005-0000-0000-0000485C0000}"/>
    <cellStyle name="Normal 6 3 2 2 2 2" xfId="16796" xr:uid="{00000000-0005-0000-0000-0000495C0000}"/>
    <cellStyle name="Normal 6 3 2 2 2 2 2" xfId="40638" xr:uid="{B107A4C3-CD79-48A6-9AF8-996C81B66084}"/>
    <cellStyle name="Normal 6 3 2 2 2 3" xfId="24742" xr:uid="{00000000-0005-0000-0000-00004A5C0000}"/>
    <cellStyle name="Normal 6 3 2 2 2 3 2" xfId="48574" xr:uid="{7B1EA573-95EC-4348-84C3-371F79711434}"/>
    <cellStyle name="Normal 6 3 2 2 2 4" xfId="32697" xr:uid="{609D2C46-C8B3-4188-BF80-9118A28C6000}"/>
    <cellStyle name="Normal 6 3 2 2 3" xfId="13258" xr:uid="{00000000-0005-0000-0000-00004B5C0000}"/>
    <cellStyle name="Normal 6 3 2 2 3 2" xfId="37107" xr:uid="{7A77CBBB-CA4C-428C-B9E8-3A5817D93E8E}"/>
    <cellStyle name="Normal 6 3 2 2 4" xfId="21213" xr:uid="{00000000-0005-0000-0000-00004C5C0000}"/>
    <cellStyle name="Normal 6 3 2 2 4 2" xfId="45045" xr:uid="{C90BA967-88B6-489A-AAF4-ED3ECA6AF403}"/>
    <cellStyle name="Normal 6 3 2 2 5" xfId="29166" xr:uid="{109D5074-47A3-4916-AE0F-2EC3BF935922}"/>
    <cellStyle name="Normal 6 3 2 3" xfId="7066" xr:uid="{00000000-0005-0000-0000-00004D5C0000}"/>
    <cellStyle name="Normal 6 3 2 3 2" xfId="15038" xr:uid="{00000000-0005-0000-0000-00004E5C0000}"/>
    <cellStyle name="Normal 6 3 2 3 2 2" xfId="38880" xr:uid="{A28FEA7A-9440-4C97-BF00-E19FB468019A}"/>
    <cellStyle name="Normal 6 3 2 3 3" xfId="22985" xr:uid="{00000000-0005-0000-0000-00004F5C0000}"/>
    <cellStyle name="Normal 6 3 2 3 3 2" xfId="46817" xr:uid="{149F52C8-A687-4F72-B976-52529488CBAF}"/>
    <cellStyle name="Normal 6 3 2 3 4" xfId="30939" xr:uid="{88AC5ABC-7BF2-421D-A2D5-81A11768101D}"/>
    <cellStyle name="Normal 6 3 2 4" xfId="11502" xr:uid="{00000000-0005-0000-0000-0000505C0000}"/>
    <cellStyle name="Normal 6 3 2 4 2" xfId="35351" xr:uid="{58532F9B-4021-45B3-9889-D1FCC24F2001}"/>
    <cellStyle name="Normal 6 3 2 5" xfId="19457" xr:uid="{00000000-0005-0000-0000-0000515C0000}"/>
    <cellStyle name="Normal 6 3 2 5 2" xfId="43289" xr:uid="{5E184F73-4AA1-4B7B-85DE-E4C9620F2975}"/>
    <cellStyle name="Normal 6 3 2 6" xfId="27409" xr:uid="{F4DF8306-F677-4142-893E-1ABEB2FB314E}"/>
    <cellStyle name="Normal 6 3 2_Exh G" xfId="3545" xr:uid="{00000000-0005-0000-0000-0000525C0000}"/>
    <cellStyle name="Normal 6 3 3" xfId="4355" xr:uid="{00000000-0005-0000-0000-0000535C0000}"/>
    <cellStyle name="Normal 6 3 3 2" xfId="7947" xr:uid="{00000000-0005-0000-0000-0000545C0000}"/>
    <cellStyle name="Normal 6 3 3 2 2" xfId="15918" xr:uid="{00000000-0005-0000-0000-0000555C0000}"/>
    <cellStyle name="Normal 6 3 3 2 2 2" xfId="39760" xr:uid="{1CC7D53E-10EF-4486-8FEF-A5846B6172BD}"/>
    <cellStyle name="Normal 6 3 3 2 3" xfId="23864" xr:uid="{00000000-0005-0000-0000-0000565C0000}"/>
    <cellStyle name="Normal 6 3 3 2 3 2" xfId="47696" xr:uid="{1FEBB912-4048-463F-BE3B-56AE7EDDC3DC}"/>
    <cellStyle name="Normal 6 3 3 2 4" xfId="31819" xr:uid="{71FA5EE9-B89E-443B-8F79-8E1DF2DDF45D}"/>
    <cellStyle name="Normal 6 3 3 3" xfId="12380" xr:uid="{00000000-0005-0000-0000-0000575C0000}"/>
    <cellStyle name="Normal 6 3 3 3 2" xfId="36229" xr:uid="{3C26122F-E700-4589-8404-9FE1DEA26EA4}"/>
    <cellStyle name="Normal 6 3 3 4" xfId="20335" xr:uid="{00000000-0005-0000-0000-0000585C0000}"/>
    <cellStyle name="Normal 6 3 3 4 2" xfId="44167" xr:uid="{7CF6BC36-A932-4B9F-A911-326B4B76BADC}"/>
    <cellStyle name="Normal 6 3 3 5" xfId="28288" xr:uid="{F6D24A9B-8C5D-4D4B-8921-EF26C73A4CE1}"/>
    <cellStyle name="Normal 6 3 4" xfId="6175" xr:uid="{00000000-0005-0000-0000-0000595C0000}"/>
    <cellStyle name="Normal 6 3 4 2" xfId="14159" xr:uid="{00000000-0005-0000-0000-00005A5C0000}"/>
    <cellStyle name="Normal 6 3 4 2 2" xfId="38002" xr:uid="{7BF43140-5167-4829-AA09-C9BDE3C463B7}"/>
    <cellStyle name="Normal 6 3 4 3" xfId="22107" xr:uid="{00000000-0005-0000-0000-00005B5C0000}"/>
    <cellStyle name="Normal 6 3 4 3 2" xfId="45939" xr:uid="{2D7B8D60-C50F-4CF3-A5DD-23541A59BDCC}"/>
    <cellStyle name="Normal 6 3 4 4" xfId="30061" xr:uid="{A4B9F9BE-C245-481A-B303-36C00B7ABAF8}"/>
    <cellStyle name="Normal 6 3 5" xfId="9728" xr:uid="{00000000-0005-0000-0000-00005C5C0000}"/>
    <cellStyle name="Normal 6 3 5 2" xfId="17686" xr:uid="{00000000-0005-0000-0000-00005D5C0000}"/>
    <cellStyle name="Normal 6 3 5 2 2" xfId="41526" xr:uid="{3228814C-F6EC-4036-9145-1A10B1B3FA51}"/>
    <cellStyle name="Normal 6 3 5 3" xfId="25630" xr:uid="{00000000-0005-0000-0000-00005E5C0000}"/>
    <cellStyle name="Normal 6 3 5 3 2" xfId="49462" xr:uid="{F9529FC5-1530-4028-BC54-8089BB5CA674}"/>
    <cellStyle name="Normal 6 3 5 4" xfId="33585" xr:uid="{6AB2804D-D83A-44D5-BC3C-A474E0FA762B}"/>
    <cellStyle name="Normal 6 3 6" xfId="10624" xr:uid="{00000000-0005-0000-0000-00005F5C0000}"/>
    <cellStyle name="Normal 6 3 6 2" xfId="34473" xr:uid="{3D86AAC3-3F94-418D-BB2E-9A652AA50797}"/>
    <cellStyle name="Normal 6 3 7" xfId="18579" xr:uid="{00000000-0005-0000-0000-0000605C0000}"/>
    <cellStyle name="Normal 6 3 7 2" xfId="42411" xr:uid="{D11ED0BD-93EC-41DC-AE8F-4E069ACBCFE0}"/>
    <cellStyle name="Normal 6 3 8" xfId="26531" xr:uid="{473D5499-E958-4650-A063-804F9F2E76C2}"/>
    <cellStyle name="Normal 6 3_Exh G" xfId="3544" xr:uid="{00000000-0005-0000-0000-0000615C0000}"/>
    <cellStyle name="Normal 6 4" xfId="1024" xr:uid="{00000000-0005-0000-0000-0000625C0000}"/>
    <cellStyle name="Normal 60" xfId="49708" xr:uid="{21714B4E-006B-4FAF-8A57-C62674FCFD8C}"/>
    <cellStyle name="Normal 61" xfId="49793" xr:uid="{E268CA34-7E45-483D-ABEB-5CE3333CD824}"/>
    <cellStyle name="Normal 7" xfId="17" xr:uid="{00000000-0005-0000-0000-0000635C0000}"/>
    <cellStyle name="Normal 7 2" xfId="677" xr:uid="{00000000-0005-0000-0000-0000645C0000}"/>
    <cellStyle name="Normal 7 2 2" xfId="678" xr:uid="{00000000-0005-0000-0000-0000655C0000}"/>
    <cellStyle name="Normal 7 2 2 2" xfId="1706" xr:uid="{00000000-0005-0000-0000-0000665C0000}"/>
    <cellStyle name="Normal 7 2 2 2 2" xfId="5236" xr:uid="{00000000-0005-0000-0000-0000675C0000}"/>
    <cellStyle name="Normal 7 2 2 2 2 2" xfId="8827" xr:uid="{00000000-0005-0000-0000-0000685C0000}"/>
    <cellStyle name="Normal 7 2 2 2 2 2 2" xfId="16798" xr:uid="{00000000-0005-0000-0000-0000695C0000}"/>
    <cellStyle name="Normal 7 2 2 2 2 2 2 2" xfId="40640" xr:uid="{FF0F6E1B-1864-41BD-BD9B-345625AF7802}"/>
    <cellStyle name="Normal 7 2 2 2 2 2 3" xfId="24744" xr:uid="{00000000-0005-0000-0000-00006A5C0000}"/>
    <cellStyle name="Normal 7 2 2 2 2 2 3 2" xfId="48576" xr:uid="{B5F1DB96-2BC8-4C04-8BCB-2CF7D2AD02E5}"/>
    <cellStyle name="Normal 7 2 2 2 2 2 4" xfId="32699" xr:uid="{472590A4-F1D1-490A-BEB5-7B4806AF5B7C}"/>
    <cellStyle name="Normal 7 2 2 2 2 3" xfId="13260" xr:uid="{00000000-0005-0000-0000-00006B5C0000}"/>
    <cellStyle name="Normal 7 2 2 2 2 3 2" xfId="37109" xr:uid="{1942B260-F92F-45FA-B808-92F4D85D0F20}"/>
    <cellStyle name="Normal 7 2 2 2 2 4" xfId="21215" xr:uid="{00000000-0005-0000-0000-00006C5C0000}"/>
    <cellStyle name="Normal 7 2 2 2 2 4 2" xfId="45047" xr:uid="{066EA486-23DB-4909-B7EC-99DEA8DECB59}"/>
    <cellStyle name="Normal 7 2 2 2 2 5" xfId="29168" xr:uid="{2547F517-646B-4C3D-8F1F-748A312D8F77}"/>
    <cellStyle name="Normal 7 2 2 2 3" xfId="7068" xr:uid="{00000000-0005-0000-0000-00006D5C0000}"/>
    <cellStyle name="Normal 7 2 2 2 3 2" xfId="15040" xr:uid="{00000000-0005-0000-0000-00006E5C0000}"/>
    <cellStyle name="Normal 7 2 2 2 3 2 2" xfId="38882" xr:uid="{D9A74686-2EB8-42AA-A465-54D0B8C4069F}"/>
    <cellStyle name="Normal 7 2 2 2 3 3" xfId="22987" xr:uid="{00000000-0005-0000-0000-00006F5C0000}"/>
    <cellStyle name="Normal 7 2 2 2 3 3 2" xfId="46819" xr:uid="{9E3C9F62-3830-4996-90FA-15FA29CF1E86}"/>
    <cellStyle name="Normal 7 2 2 2 3 4" xfId="30941" xr:uid="{F0FD206A-314F-4BEF-9AFD-C46E67B41F38}"/>
    <cellStyle name="Normal 7 2 2 2 4" xfId="11504" xr:uid="{00000000-0005-0000-0000-0000705C0000}"/>
    <cellStyle name="Normal 7 2 2 2 4 2" xfId="35353" xr:uid="{382417E8-0E0B-4BD1-AF53-9217C775288A}"/>
    <cellStyle name="Normal 7 2 2 2 5" xfId="19459" xr:uid="{00000000-0005-0000-0000-0000715C0000}"/>
    <cellStyle name="Normal 7 2 2 2 5 2" xfId="43291" xr:uid="{4F3A0E46-8302-4215-A111-15B2F7892B19}"/>
    <cellStyle name="Normal 7 2 2 2 6" xfId="27411" xr:uid="{3EE80686-747F-4827-A84C-F57BDFAEB6A1}"/>
    <cellStyle name="Normal 7 2 2 2_Exh G" xfId="3548" xr:uid="{00000000-0005-0000-0000-0000725C0000}"/>
    <cellStyle name="Normal 7 2 2 3" xfId="4357" xr:uid="{00000000-0005-0000-0000-0000735C0000}"/>
    <cellStyle name="Normal 7 2 2 3 2" xfId="7949" xr:uid="{00000000-0005-0000-0000-0000745C0000}"/>
    <cellStyle name="Normal 7 2 2 3 2 2" xfId="15920" xr:uid="{00000000-0005-0000-0000-0000755C0000}"/>
    <cellStyle name="Normal 7 2 2 3 2 2 2" xfId="39762" xr:uid="{042C69B6-11F9-4A39-AA84-B4A919CBB6C4}"/>
    <cellStyle name="Normal 7 2 2 3 2 3" xfId="23866" xr:uid="{00000000-0005-0000-0000-0000765C0000}"/>
    <cellStyle name="Normal 7 2 2 3 2 3 2" xfId="47698" xr:uid="{45FBE99D-6B4E-4BC6-806A-ADAB6339A9B9}"/>
    <cellStyle name="Normal 7 2 2 3 2 4" xfId="31821" xr:uid="{9E51E2BE-0F98-46E5-A7AA-37F9CD988E0F}"/>
    <cellStyle name="Normal 7 2 2 3 3" xfId="12382" xr:uid="{00000000-0005-0000-0000-0000775C0000}"/>
    <cellStyle name="Normal 7 2 2 3 3 2" xfId="36231" xr:uid="{11AC048F-6697-408E-8E84-173DC98995BE}"/>
    <cellStyle name="Normal 7 2 2 3 4" xfId="20337" xr:uid="{00000000-0005-0000-0000-0000785C0000}"/>
    <cellStyle name="Normal 7 2 2 3 4 2" xfId="44169" xr:uid="{A2AD6F73-558C-41AA-87C2-D4EC52A79033}"/>
    <cellStyle name="Normal 7 2 2 3 5" xfId="28290" xr:uid="{001E2925-7D82-4165-BA0E-A52785D7013D}"/>
    <cellStyle name="Normal 7 2 2 4" xfId="6177" xr:uid="{00000000-0005-0000-0000-0000795C0000}"/>
    <cellStyle name="Normal 7 2 2 4 2" xfId="14161" xr:uid="{00000000-0005-0000-0000-00007A5C0000}"/>
    <cellStyle name="Normal 7 2 2 4 2 2" xfId="38004" xr:uid="{4961A324-CE04-41DD-8EAB-D62596A9DDCD}"/>
    <cellStyle name="Normal 7 2 2 4 3" xfId="22109" xr:uid="{00000000-0005-0000-0000-00007B5C0000}"/>
    <cellStyle name="Normal 7 2 2 4 3 2" xfId="45941" xr:uid="{56A698C0-B75B-48F2-85CC-5E58118A7BAD}"/>
    <cellStyle name="Normal 7 2 2 4 4" xfId="30063" xr:uid="{8DBE7797-DC92-4FC5-B0F8-B93C5ABE0BED}"/>
    <cellStyle name="Normal 7 2 2 5" xfId="9730" xr:uid="{00000000-0005-0000-0000-00007C5C0000}"/>
    <cellStyle name="Normal 7 2 2 5 2" xfId="17688" xr:uid="{00000000-0005-0000-0000-00007D5C0000}"/>
    <cellStyle name="Normal 7 2 2 5 2 2" xfId="41528" xr:uid="{326FD392-C0BF-4A0F-8ACF-BDF7C6466EA4}"/>
    <cellStyle name="Normal 7 2 2 5 3" xfId="25632" xr:uid="{00000000-0005-0000-0000-00007E5C0000}"/>
    <cellStyle name="Normal 7 2 2 5 3 2" xfId="49464" xr:uid="{BC634A06-D743-4ECC-A818-CD490B86A96C}"/>
    <cellStyle name="Normal 7 2 2 5 4" xfId="33587" xr:uid="{0D3FC9AA-C692-4FFA-9FA2-15B6DBF5E3C5}"/>
    <cellStyle name="Normal 7 2 2 6" xfId="10626" xr:uid="{00000000-0005-0000-0000-00007F5C0000}"/>
    <cellStyle name="Normal 7 2 2 6 2" xfId="34475" xr:uid="{5FC7DB22-02BF-405B-9CC8-099B2D3AB48A}"/>
    <cellStyle name="Normal 7 2 2 7" xfId="18581" xr:uid="{00000000-0005-0000-0000-0000805C0000}"/>
    <cellStyle name="Normal 7 2 2 7 2" xfId="42413" xr:uid="{8C8F492D-59A3-43BA-8103-C6CDEFEF5C56}"/>
    <cellStyle name="Normal 7 2 2 8" xfId="26533" xr:uid="{99C004A8-790C-4DCE-94DA-AF4D274CA8EA}"/>
    <cellStyle name="Normal 7 2 2_Exh G" xfId="3547" xr:uid="{00000000-0005-0000-0000-0000815C0000}"/>
    <cellStyle name="Normal 7 2 3" xfId="1705" xr:uid="{00000000-0005-0000-0000-0000825C0000}"/>
    <cellStyle name="Normal 7 2 3 2" xfId="5235" xr:uid="{00000000-0005-0000-0000-0000835C0000}"/>
    <cellStyle name="Normal 7 2 3 2 2" xfId="8826" xr:uid="{00000000-0005-0000-0000-0000845C0000}"/>
    <cellStyle name="Normal 7 2 3 2 2 2" xfId="16797" xr:uid="{00000000-0005-0000-0000-0000855C0000}"/>
    <cellStyle name="Normal 7 2 3 2 2 2 2" xfId="40639" xr:uid="{D22B0DF6-D8A9-4BDB-A234-901A09F65409}"/>
    <cellStyle name="Normal 7 2 3 2 2 3" xfId="24743" xr:uid="{00000000-0005-0000-0000-0000865C0000}"/>
    <cellStyle name="Normal 7 2 3 2 2 3 2" xfId="48575" xr:uid="{950842B3-74EC-4DB1-999D-E90B1B8D9458}"/>
    <cellStyle name="Normal 7 2 3 2 2 4" xfId="32698" xr:uid="{77C7EC99-9845-4994-9F84-D5276A776D34}"/>
    <cellStyle name="Normal 7 2 3 2 3" xfId="13259" xr:uid="{00000000-0005-0000-0000-0000875C0000}"/>
    <cellStyle name="Normal 7 2 3 2 3 2" xfId="37108" xr:uid="{BC847302-3854-45D1-A1B4-1C8ED96D57EC}"/>
    <cellStyle name="Normal 7 2 3 2 4" xfId="21214" xr:uid="{00000000-0005-0000-0000-0000885C0000}"/>
    <cellStyle name="Normal 7 2 3 2 4 2" xfId="45046" xr:uid="{F2EA5B77-520C-4268-82C0-183C6E58075F}"/>
    <cellStyle name="Normal 7 2 3 2 5" xfId="29167" xr:uid="{4CA66B30-9BA4-4E8C-922B-34AE3C9D76AC}"/>
    <cellStyle name="Normal 7 2 3 3" xfId="7067" xr:uid="{00000000-0005-0000-0000-0000895C0000}"/>
    <cellStyle name="Normal 7 2 3 3 2" xfId="15039" xr:uid="{00000000-0005-0000-0000-00008A5C0000}"/>
    <cellStyle name="Normal 7 2 3 3 2 2" xfId="38881" xr:uid="{50F6BEA6-D039-4069-A6BA-DBBDD22947F1}"/>
    <cellStyle name="Normal 7 2 3 3 3" xfId="22986" xr:uid="{00000000-0005-0000-0000-00008B5C0000}"/>
    <cellStyle name="Normal 7 2 3 3 3 2" xfId="46818" xr:uid="{86C72ABF-C094-454F-96DC-1C1B8A2317FA}"/>
    <cellStyle name="Normal 7 2 3 3 4" xfId="30940" xr:uid="{7738E423-FAC9-4AE3-9D6D-857B4847847D}"/>
    <cellStyle name="Normal 7 2 3 4" xfId="11503" xr:uid="{00000000-0005-0000-0000-00008C5C0000}"/>
    <cellStyle name="Normal 7 2 3 4 2" xfId="35352" xr:uid="{BB25CD30-6A37-4233-A5C8-B5130A8A0078}"/>
    <cellStyle name="Normal 7 2 3 5" xfId="19458" xr:uid="{00000000-0005-0000-0000-00008D5C0000}"/>
    <cellStyle name="Normal 7 2 3 5 2" xfId="43290" xr:uid="{4BBD77DD-016E-49E2-A740-C845358E6316}"/>
    <cellStyle name="Normal 7 2 3 6" xfId="27410" xr:uid="{D2200BAA-CCAE-4D8C-BB32-3E16D0FDB267}"/>
    <cellStyle name="Normal 7 2 3_Exh G" xfId="3549" xr:uid="{00000000-0005-0000-0000-00008E5C0000}"/>
    <cellStyle name="Normal 7 2 4" xfId="4356" xr:uid="{00000000-0005-0000-0000-00008F5C0000}"/>
    <cellStyle name="Normal 7 2 4 2" xfId="7948" xr:uid="{00000000-0005-0000-0000-0000905C0000}"/>
    <cellStyle name="Normal 7 2 4 2 2" xfId="15919" xr:uid="{00000000-0005-0000-0000-0000915C0000}"/>
    <cellStyle name="Normal 7 2 4 2 2 2" xfId="39761" xr:uid="{E89FD23A-E398-4923-BD68-0DCC5101F313}"/>
    <cellStyle name="Normal 7 2 4 2 3" xfId="23865" xr:uid="{00000000-0005-0000-0000-0000925C0000}"/>
    <cellStyle name="Normal 7 2 4 2 3 2" xfId="47697" xr:uid="{BFD8D6EB-B6B0-4135-90F9-9B5E629DD777}"/>
    <cellStyle name="Normal 7 2 4 2 4" xfId="31820" xr:uid="{F97636BD-CF90-49C3-B0C8-D13F8EAE0B3B}"/>
    <cellStyle name="Normal 7 2 4 3" xfId="12381" xr:uid="{00000000-0005-0000-0000-0000935C0000}"/>
    <cellStyle name="Normal 7 2 4 3 2" xfId="36230" xr:uid="{ED9E73DB-19FB-4722-A68D-204E26A1CD4F}"/>
    <cellStyle name="Normal 7 2 4 4" xfId="20336" xr:uid="{00000000-0005-0000-0000-0000945C0000}"/>
    <cellStyle name="Normal 7 2 4 4 2" xfId="44168" xr:uid="{A99E3B2E-7672-486B-BA92-EF4156D4D6BE}"/>
    <cellStyle name="Normal 7 2 4 5" xfId="28289" xr:uid="{54775B63-D7A6-4F04-99AE-BB5C36A761C5}"/>
    <cellStyle name="Normal 7 2 5" xfId="6176" xr:uid="{00000000-0005-0000-0000-0000955C0000}"/>
    <cellStyle name="Normal 7 2 5 2" xfId="14160" xr:uid="{00000000-0005-0000-0000-0000965C0000}"/>
    <cellStyle name="Normal 7 2 5 2 2" xfId="38003" xr:uid="{7B94E44A-A6EE-42D5-9A6E-0FDAF17BD9E8}"/>
    <cellStyle name="Normal 7 2 5 3" xfId="22108" xr:uid="{00000000-0005-0000-0000-0000975C0000}"/>
    <cellStyle name="Normal 7 2 5 3 2" xfId="45940" xr:uid="{DDFA4B30-72A1-4AC8-A88C-574F156BC890}"/>
    <cellStyle name="Normal 7 2 5 4" xfId="30062" xr:uid="{41B6EE24-8F98-4206-9BFF-0DAAFB269087}"/>
    <cellStyle name="Normal 7 2 6" xfId="9729" xr:uid="{00000000-0005-0000-0000-0000985C0000}"/>
    <cellStyle name="Normal 7 2 6 2" xfId="17687" xr:uid="{00000000-0005-0000-0000-0000995C0000}"/>
    <cellStyle name="Normal 7 2 6 2 2" xfId="41527" xr:uid="{44CDF1C1-2280-45C0-A6B4-B9C770AE86E2}"/>
    <cellStyle name="Normal 7 2 6 3" xfId="25631" xr:uid="{00000000-0005-0000-0000-00009A5C0000}"/>
    <cellStyle name="Normal 7 2 6 3 2" xfId="49463" xr:uid="{C26E3672-E43A-497D-809C-5A3F7B421F6C}"/>
    <cellStyle name="Normal 7 2 6 4" xfId="33586" xr:uid="{BFC50412-7798-4C01-8C8C-12F4E9A972D5}"/>
    <cellStyle name="Normal 7 2 7" xfId="10625" xr:uid="{00000000-0005-0000-0000-00009B5C0000}"/>
    <cellStyle name="Normal 7 2 7 2" xfId="34474" xr:uid="{BD510F7D-5342-4BF3-B83E-367E2E86947C}"/>
    <cellStyle name="Normal 7 2 8" xfId="18580" xr:uid="{00000000-0005-0000-0000-00009C5C0000}"/>
    <cellStyle name="Normal 7 2 8 2" xfId="42412" xr:uid="{3AE38050-4B9B-4B3C-9BAB-E029CC6604B0}"/>
    <cellStyle name="Normal 7 2 9" xfId="26532" xr:uid="{1449B79A-09A1-4BB1-A19B-0556E1204FEB}"/>
    <cellStyle name="Normal 7 2_Exh G" xfId="3546" xr:uid="{00000000-0005-0000-0000-00009D5C0000}"/>
    <cellStyle name="Normal 7 3" xfId="679" xr:uid="{00000000-0005-0000-0000-00009E5C0000}"/>
    <cellStyle name="Normal 7 3 2" xfId="1707" xr:uid="{00000000-0005-0000-0000-00009F5C0000}"/>
    <cellStyle name="Normal 7 3 2 2" xfId="5237" xr:uid="{00000000-0005-0000-0000-0000A05C0000}"/>
    <cellStyle name="Normal 7 3 2 2 2" xfId="8828" xr:uid="{00000000-0005-0000-0000-0000A15C0000}"/>
    <cellStyle name="Normal 7 3 2 2 2 2" xfId="16799" xr:uid="{00000000-0005-0000-0000-0000A25C0000}"/>
    <cellStyle name="Normal 7 3 2 2 2 2 2" xfId="40641" xr:uid="{C4DB7C2C-1F5D-44EE-97C3-984E0D95970C}"/>
    <cellStyle name="Normal 7 3 2 2 2 3" xfId="24745" xr:uid="{00000000-0005-0000-0000-0000A35C0000}"/>
    <cellStyle name="Normal 7 3 2 2 2 3 2" xfId="48577" xr:uid="{0DC3283A-069C-437C-BF89-38134A07BFA1}"/>
    <cellStyle name="Normal 7 3 2 2 2 4" xfId="32700" xr:uid="{235A41E1-E647-402B-8B86-AA4801DDFC2C}"/>
    <cellStyle name="Normal 7 3 2 2 3" xfId="13261" xr:uid="{00000000-0005-0000-0000-0000A45C0000}"/>
    <cellStyle name="Normal 7 3 2 2 3 2" xfId="37110" xr:uid="{33D37FA1-79C0-45F1-B297-3A61C3B92291}"/>
    <cellStyle name="Normal 7 3 2 2 4" xfId="21216" xr:uid="{00000000-0005-0000-0000-0000A55C0000}"/>
    <cellStyle name="Normal 7 3 2 2 4 2" xfId="45048" xr:uid="{9EEA8B19-49AF-4539-9543-F18BEDE9F67E}"/>
    <cellStyle name="Normal 7 3 2 2 5" xfId="29169" xr:uid="{79041CBC-8AB8-4EBA-8AAF-60A7A4D7158C}"/>
    <cellStyle name="Normal 7 3 2 3" xfId="7069" xr:uid="{00000000-0005-0000-0000-0000A65C0000}"/>
    <cellStyle name="Normal 7 3 2 3 2" xfId="15041" xr:uid="{00000000-0005-0000-0000-0000A75C0000}"/>
    <cellStyle name="Normal 7 3 2 3 2 2" xfId="38883" xr:uid="{6FB720FD-149F-45B5-9520-E4CA5E6C4A0D}"/>
    <cellStyle name="Normal 7 3 2 3 3" xfId="22988" xr:uid="{00000000-0005-0000-0000-0000A85C0000}"/>
    <cellStyle name="Normal 7 3 2 3 3 2" xfId="46820" xr:uid="{C735AC3F-3AD3-43E6-B338-9B125635D3DF}"/>
    <cellStyle name="Normal 7 3 2 3 4" xfId="30942" xr:uid="{EC1B7583-CCDF-4280-80D5-F0C40E991F35}"/>
    <cellStyle name="Normal 7 3 2 4" xfId="11505" xr:uid="{00000000-0005-0000-0000-0000A95C0000}"/>
    <cellStyle name="Normal 7 3 2 4 2" xfId="35354" xr:uid="{17A47C8B-343C-457E-9480-7B8FEBFCCCF0}"/>
    <cellStyle name="Normal 7 3 2 5" xfId="19460" xr:uid="{00000000-0005-0000-0000-0000AA5C0000}"/>
    <cellStyle name="Normal 7 3 2 5 2" xfId="43292" xr:uid="{AA260415-9F59-4E8B-8339-2A70472C1379}"/>
    <cellStyle name="Normal 7 3 2 6" xfId="27412" xr:uid="{6128C80A-DD68-425C-B80A-29542A4410CC}"/>
    <cellStyle name="Normal 7 3 2_Exh G" xfId="3551" xr:uid="{00000000-0005-0000-0000-0000AB5C0000}"/>
    <cellStyle name="Normal 7 3 3" xfId="4358" xr:uid="{00000000-0005-0000-0000-0000AC5C0000}"/>
    <cellStyle name="Normal 7 3 3 2" xfId="7950" xr:uid="{00000000-0005-0000-0000-0000AD5C0000}"/>
    <cellStyle name="Normal 7 3 3 2 2" xfId="15921" xr:uid="{00000000-0005-0000-0000-0000AE5C0000}"/>
    <cellStyle name="Normal 7 3 3 2 2 2" xfId="39763" xr:uid="{E59B7E23-8F0E-4022-8BE1-D360589E8BA1}"/>
    <cellStyle name="Normal 7 3 3 2 3" xfId="23867" xr:uid="{00000000-0005-0000-0000-0000AF5C0000}"/>
    <cellStyle name="Normal 7 3 3 2 3 2" xfId="47699" xr:uid="{F48473AF-C3BB-41EF-B64E-B3C1AEACAEE8}"/>
    <cellStyle name="Normal 7 3 3 2 4" xfId="31822" xr:uid="{BB147F57-6EB7-470D-800E-E7BCAD0982B9}"/>
    <cellStyle name="Normal 7 3 3 3" xfId="12383" xr:uid="{00000000-0005-0000-0000-0000B05C0000}"/>
    <cellStyle name="Normal 7 3 3 3 2" xfId="36232" xr:uid="{A600801F-A728-4A46-A1BF-221123FF7998}"/>
    <cellStyle name="Normal 7 3 3 4" xfId="20338" xr:uid="{00000000-0005-0000-0000-0000B15C0000}"/>
    <cellStyle name="Normal 7 3 3 4 2" xfId="44170" xr:uid="{F2C9C6F1-90F6-44CB-84F2-A8F35DEC9EAF}"/>
    <cellStyle name="Normal 7 3 3 5" xfId="28291" xr:uid="{1824D0AA-1968-42F4-BA18-52894F0197A8}"/>
    <cellStyle name="Normal 7 3 4" xfId="6178" xr:uid="{00000000-0005-0000-0000-0000B25C0000}"/>
    <cellStyle name="Normal 7 3 4 2" xfId="14162" xr:uid="{00000000-0005-0000-0000-0000B35C0000}"/>
    <cellStyle name="Normal 7 3 4 2 2" xfId="38005" xr:uid="{F73EB7B2-636A-432B-A98D-E1917F26B012}"/>
    <cellStyle name="Normal 7 3 4 3" xfId="22110" xr:uid="{00000000-0005-0000-0000-0000B45C0000}"/>
    <cellStyle name="Normal 7 3 4 3 2" xfId="45942" xr:uid="{A7844438-6A0D-4FAA-8D8C-E1E416622C5C}"/>
    <cellStyle name="Normal 7 3 4 4" xfId="30064" xr:uid="{98316EDA-2B5B-483C-BB3A-C5A9C2EC7957}"/>
    <cellStyle name="Normal 7 3 5" xfId="9731" xr:uid="{00000000-0005-0000-0000-0000B55C0000}"/>
    <cellStyle name="Normal 7 3 5 2" xfId="17689" xr:uid="{00000000-0005-0000-0000-0000B65C0000}"/>
    <cellStyle name="Normal 7 3 5 2 2" xfId="41529" xr:uid="{F8DBD918-4432-40C5-A492-EA59590E75FF}"/>
    <cellStyle name="Normal 7 3 5 3" xfId="25633" xr:uid="{00000000-0005-0000-0000-0000B75C0000}"/>
    <cellStyle name="Normal 7 3 5 3 2" xfId="49465" xr:uid="{D6AF2357-9B0A-4430-8E5E-4FF4D3B24FC6}"/>
    <cellStyle name="Normal 7 3 5 4" xfId="33588" xr:uid="{078F311B-1584-4283-8420-77BBC32DA5FF}"/>
    <cellStyle name="Normal 7 3 6" xfId="10627" xr:uid="{00000000-0005-0000-0000-0000B85C0000}"/>
    <cellStyle name="Normal 7 3 6 2" xfId="34476" xr:uid="{26CD6393-79A2-4D46-B4E2-3CF575747D19}"/>
    <cellStyle name="Normal 7 3 7" xfId="18582" xr:uid="{00000000-0005-0000-0000-0000B95C0000}"/>
    <cellStyle name="Normal 7 3 7 2" xfId="42414" xr:uid="{2321ED3A-B9F3-4F3F-A0B7-203AE421A322}"/>
    <cellStyle name="Normal 7 3 8" xfId="26534" xr:uid="{D540DBFE-0764-4F74-A923-D26EF57ABE6B}"/>
    <cellStyle name="Normal 7 3_Exh G" xfId="3550" xr:uid="{00000000-0005-0000-0000-0000BA5C0000}"/>
    <cellStyle name="Normal 7 4" xfId="1025" xr:uid="{00000000-0005-0000-0000-0000BB5C0000}"/>
    <cellStyle name="Normal 8" xfId="20" xr:uid="{00000000-0005-0000-0000-0000BC5C0000}"/>
    <cellStyle name="Normal 8 10" xfId="17925" xr:uid="{00000000-0005-0000-0000-0000BD5C0000}"/>
    <cellStyle name="Normal 8 10 2" xfId="41757" xr:uid="{88F606E3-5CAF-4EB3-ADB7-058FF64FA3BA}"/>
    <cellStyle name="Normal 8 11" xfId="25877" xr:uid="{ADA657A7-0DAF-47EB-B242-D4C5E6B965F9}"/>
    <cellStyle name="Normal 8 2" xfId="680" xr:uid="{00000000-0005-0000-0000-0000BE5C0000}"/>
    <cellStyle name="Normal 8 2 2" xfId="681" xr:uid="{00000000-0005-0000-0000-0000BF5C0000}"/>
    <cellStyle name="Normal 8 2 2 2" xfId="1709" xr:uid="{00000000-0005-0000-0000-0000C05C0000}"/>
    <cellStyle name="Normal 8 2 2 2 2" xfId="5239" xr:uid="{00000000-0005-0000-0000-0000C15C0000}"/>
    <cellStyle name="Normal 8 2 2 2 2 2" xfId="8830" xr:uid="{00000000-0005-0000-0000-0000C25C0000}"/>
    <cellStyle name="Normal 8 2 2 2 2 2 2" xfId="16801" xr:uid="{00000000-0005-0000-0000-0000C35C0000}"/>
    <cellStyle name="Normal 8 2 2 2 2 2 2 2" xfId="40643" xr:uid="{84E813C7-6477-42C9-B41B-93CD45F38D43}"/>
    <cellStyle name="Normal 8 2 2 2 2 2 3" xfId="24747" xr:uid="{00000000-0005-0000-0000-0000C45C0000}"/>
    <cellStyle name="Normal 8 2 2 2 2 2 3 2" xfId="48579" xr:uid="{43930959-B052-430A-9D88-7CB0A726C748}"/>
    <cellStyle name="Normal 8 2 2 2 2 2 4" xfId="32702" xr:uid="{51D21878-C63E-4B6C-93D5-46A088B6DBC5}"/>
    <cellStyle name="Normal 8 2 2 2 2 3" xfId="13263" xr:uid="{00000000-0005-0000-0000-0000C55C0000}"/>
    <cellStyle name="Normal 8 2 2 2 2 3 2" xfId="37112" xr:uid="{D2FA213B-097D-4BC0-8D61-A35D641AC228}"/>
    <cellStyle name="Normal 8 2 2 2 2 4" xfId="21218" xr:uid="{00000000-0005-0000-0000-0000C65C0000}"/>
    <cellStyle name="Normal 8 2 2 2 2 4 2" xfId="45050" xr:uid="{ABA351C5-4AC0-44F4-AA5A-4045A4F94AE9}"/>
    <cellStyle name="Normal 8 2 2 2 2 5" xfId="29171" xr:uid="{37B9D941-80B6-4114-AE6B-07415A59FCC0}"/>
    <cellStyle name="Normal 8 2 2 2 3" xfId="7071" xr:uid="{00000000-0005-0000-0000-0000C75C0000}"/>
    <cellStyle name="Normal 8 2 2 2 3 2" xfId="15043" xr:uid="{00000000-0005-0000-0000-0000C85C0000}"/>
    <cellStyle name="Normal 8 2 2 2 3 2 2" xfId="38885" xr:uid="{6062B615-38A0-4A36-866B-7DF3594624C9}"/>
    <cellStyle name="Normal 8 2 2 2 3 3" xfId="22990" xr:uid="{00000000-0005-0000-0000-0000C95C0000}"/>
    <cellStyle name="Normal 8 2 2 2 3 3 2" xfId="46822" xr:uid="{DB44900C-CA71-41EC-A6B5-8E9BA8D1F69B}"/>
    <cellStyle name="Normal 8 2 2 2 3 4" xfId="30944" xr:uid="{A3227AC0-86AB-499F-BF77-441060E1F2E1}"/>
    <cellStyle name="Normal 8 2 2 2 4" xfId="11507" xr:uid="{00000000-0005-0000-0000-0000CA5C0000}"/>
    <cellStyle name="Normal 8 2 2 2 4 2" xfId="35356" xr:uid="{124A4825-9B99-4EAA-8EDB-DA6A6A3B3590}"/>
    <cellStyle name="Normal 8 2 2 2 5" xfId="19462" xr:uid="{00000000-0005-0000-0000-0000CB5C0000}"/>
    <cellStyle name="Normal 8 2 2 2 5 2" xfId="43294" xr:uid="{F4810A0E-4B71-4205-8EE2-25AE8785597D}"/>
    <cellStyle name="Normal 8 2 2 2 6" xfId="27414" xr:uid="{CE93A1AA-AC0F-4C84-954C-9221E8F0F91B}"/>
    <cellStyle name="Normal 8 2 2 2_Exh G" xfId="3555" xr:uid="{00000000-0005-0000-0000-0000CC5C0000}"/>
    <cellStyle name="Normal 8 2 2 3" xfId="4360" xr:uid="{00000000-0005-0000-0000-0000CD5C0000}"/>
    <cellStyle name="Normal 8 2 2 3 2" xfId="7952" xr:uid="{00000000-0005-0000-0000-0000CE5C0000}"/>
    <cellStyle name="Normal 8 2 2 3 2 2" xfId="15923" xr:uid="{00000000-0005-0000-0000-0000CF5C0000}"/>
    <cellStyle name="Normal 8 2 2 3 2 2 2" xfId="39765" xr:uid="{64E4367C-CE98-4C24-B30F-B863979ABB9D}"/>
    <cellStyle name="Normal 8 2 2 3 2 3" xfId="23869" xr:uid="{00000000-0005-0000-0000-0000D05C0000}"/>
    <cellStyle name="Normal 8 2 2 3 2 3 2" xfId="47701" xr:uid="{6520D215-1EA2-4CE2-AC5C-CD10CE6B633B}"/>
    <cellStyle name="Normal 8 2 2 3 2 4" xfId="31824" xr:uid="{A3EB5D09-4B32-4186-AF0C-617C723E0224}"/>
    <cellStyle name="Normal 8 2 2 3 3" xfId="12385" xr:uid="{00000000-0005-0000-0000-0000D15C0000}"/>
    <cellStyle name="Normal 8 2 2 3 3 2" xfId="36234" xr:uid="{1A8D16D3-8152-4BF6-83B7-0563EDC9A2E1}"/>
    <cellStyle name="Normal 8 2 2 3 4" xfId="20340" xr:uid="{00000000-0005-0000-0000-0000D25C0000}"/>
    <cellStyle name="Normal 8 2 2 3 4 2" xfId="44172" xr:uid="{12E18EC9-1FBF-446A-8F49-24426B3D6E4D}"/>
    <cellStyle name="Normal 8 2 2 3 5" xfId="28293" xr:uid="{D116EE40-AB47-435D-9888-D86CF05F7881}"/>
    <cellStyle name="Normal 8 2 2 4" xfId="6180" xr:uid="{00000000-0005-0000-0000-0000D35C0000}"/>
    <cellStyle name="Normal 8 2 2 4 2" xfId="14164" xr:uid="{00000000-0005-0000-0000-0000D45C0000}"/>
    <cellStyle name="Normal 8 2 2 4 2 2" xfId="38007" xr:uid="{2B54D896-BC3B-453D-B8E8-4DB40D6554D9}"/>
    <cellStyle name="Normal 8 2 2 4 3" xfId="22112" xr:uid="{00000000-0005-0000-0000-0000D55C0000}"/>
    <cellStyle name="Normal 8 2 2 4 3 2" xfId="45944" xr:uid="{5981F9BB-9B68-4561-A99E-630260EBDEB3}"/>
    <cellStyle name="Normal 8 2 2 4 4" xfId="30066" xr:uid="{F77E9B05-90F1-4F0B-B8DD-F1D49C200E26}"/>
    <cellStyle name="Normal 8 2 2 5" xfId="9733" xr:uid="{00000000-0005-0000-0000-0000D65C0000}"/>
    <cellStyle name="Normal 8 2 2 5 2" xfId="17691" xr:uid="{00000000-0005-0000-0000-0000D75C0000}"/>
    <cellStyle name="Normal 8 2 2 5 2 2" xfId="41531" xr:uid="{D2BFC31F-ABC6-40B1-BB6E-11100BE35119}"/>
    <cellStyle name="Normal 8 2 2 5 3" xfId="25635" xr:uid="{00000000-0005-0000-0000-0000D85C0000}"/>
    <cellStyle name="Normal 8 2 2 5 3 2" xfId="49467" xr:uid="{6F7649E6-2C8C-4B43-9BC8-532428D30C17}"/>
    <cellStyle name="Normal 8 2 2 5 4" xfId="33590" xr:uid="{68654532-EFB5-425E-8F08-FB01B987E2CC}"/>
    <cellStyle name="Normal 8 2 2 6" xfId="10629" xr:uid="{00000000-0005-0000-0000-0000D95C0000}"/>
    <cellStyle name="Normal 8 2 2 6 2" xfId="34478" xr:uid="{46CC65C0-CC6F-4C22-A448-88E2DFEFDE2C}"/>
    <cellStyle name="Normal 8 2 2 7" xfId="18584" xr:uid="{00000000-0005-0000-0000-0000DA5C0000}"/>
    <cellStyle name="Normal 8 2 2 7 2" xfId="42416" xr:uid="{BDF0D757-344B-43E3-B82B-186CBED907AB}"/>
    <cellStyle name="Normal 8 2 2 8" xfId="26536" xr:uid="{4BE2A993-3C94-41C6-93B5-4A896DD7B01D}"/>
    <cellStyle name="Normal 8 2 2_Exh G" xfId="3554" xr:uid="{00000000-0005-0000-0000-0000DB5C0000}"/>
    <cellStyle name="Normal 8 2 3" xfId="1708" xr:uid="{00000000-0005-0000-0000-0000DC5C0000}"/>
    <cellStyle name="Normal 8 2 3 2" xfId="5238" xr:uid="{00000000-0005-0000-0000-0000DD5C0000}"/>
    <cellStyle name="Normal 8 2 3 2 2" xfId="8829" xr:uid="{00000000-0005-0000-0000-0000DE5C0000}"/>
    <cellStyle name="Normal 8 2 3 2 2 2" xfId="16800" xr:uid="{00000000-0005-0000-0000-0000DF5C0000}"/>
    <cellStyle name="Normal 8 2 3 2 2 2 2" xfId="40642" xr:uid="{8AB98D2F-046F-42BA-8255-EC40FFC73EB5}"/>
    <cellStyle name="Normal 8 2 3 2 2 3" xfId="24746" xr:uid="{00000000-0005-0000-0000-0000E05C0000}"/>
    <cellStyle name="Normal 8 2 3 2 2 3 2" xfId="48578" xr:uid="{8AC3BD3E-4D59-4549-8115-CE5447FB8707}"/>
    <cellStyle name="Normal 8 2 3 2 2 4" xfId="32701" xr:uid="{766451CC-407F-465E-B636-CF413C6F0665}"/>
    <cellStyle name="Normal 8 2 3 2 3" xfId="13262" xr:uid="{00000000-0005-0000-0000-0000E15C0000}"/>
    <cellStyle name="Normal 8 2 3 2 3 2" xfId="37111" xr:uid="{AF5A5DD0-6E7E-40E8-A79D-E128B5354FC0}"/>
    <cellStyle name="Normal 8 2 3 2 4" xfId="21217" xr:uid="{00000000-0005-0000-0000-0000E25C0000}"/>
    <cellStyle name="Normal 8 2 3 2 4 2" xfId="45049" xr:uid="{D111ECF6-1543-4D35-AF1B-A8D0B49DE44F}"/>
    <cellStyle name="Normal 8 2 3 2 5" xfId="29170" xr:uid="{611B82CD-2749-4BB6-A9A0-B0016E591850}"/>
    <cellStyle name="Normal 8 2 3 3" xfId="7070" xr:uid="{00000000-0005-0000-0000-0000E35C0000}"/>
    <cellStyle name="Normal 8 2 3 3 2" xfId="15042" xr:uid="{00000000-0005-0000-0000-0000E45C0000}"/>
    <cellStyle name="Normal 8 2 3 3 2 2" xfId="38884" xr:uid="{B4B7C5F5-1B9D-4C3B-9443-304333B13DFD}"/>
    <cellStyle name="Normal 8 2 3 3 3" xfId="22989" xr:uid="{00000000-0005-0000-0000-0000E55C0000}"/>
    <cellStyle name="Normal 8 2 3 3 3 2" xfId="46821" xr:uid="{8A6E7059-B234-45A6-A8AA-D4099E645C0A}"/>
    <cellStyle name="Normal 8 2 3 3 4" xfId="30943" xr:uid="{7EF4FDCC-9264-4035-972B-32FAC6762FD6}"/>
    <cellStyle name="Normal 8 2 3 4" xfId="11506" xr:uid="{00000000-0005-0000-0000-0000E65C0000}"/>
    <cellStyle name="Normal 8 2 3 4 2" xfId="35355" xr:uid="{09973C76-344B-4445-A9E2-126A79A04859}"/>
    <cellStyle name="Normal 8 2 3 5" xfId="19461" xr:uid="{00000000-0005-0000-0000-0000E75C0000}"/>
    <cellStyle name="Normal 8 2 3 5 2" xfId="43293" xr:uid="{87A544B6-62F7-4CF3-BEBA-24718A07CAC4}"/>
    <cellStyle name="Normal 8 2 3 6" xfId="27413" xr:uid="{E5BD2166-02D9-45C4-9DFF-6B3F15D4A2D4}"/>
    <cellStyle name="Normal 8 2 3_Exh G" xfId="3556" xr:uid="{00000000-0005-0000-0000-0000E85C0000}"/>
    <cellStyle name="Normal 8 2 4" xfId="4359" xr:uid="{00000000-0005-0000-0000-0000E95C0000}"/>
    <cellStyle name="Normal 8 2 4 2" xfId="7951" xr:uid="{00000000-0005-0000-0000-0000EA5C0000}"/>
    <cellStyle name="Normal 8 2 4 2 2" xfId="15922" xr:uid="{00000000-0005-0000-0000-0000EB5C0000}"/>
    <cellStyle name="Normal 8 2 4 2 2 2" xfId="39764" xr:uid="{C1F0BB29-E58A-4300-BF1F-BC88A57A5331}"/>
    <cellStyle name="Normal 8 2 4 2 3" xfId="23868" xr:uid="{00000000-0005-0000-0000-0000EC5C0000}"/>
    <cellStyle name="Normal 8 2 4 2 3 2" xfId="47700" xr:uid="{AE6C6530-5496-4006-9867-8C524E545631}"/>
    <cellStyle name="Normal 8 2 4 2 4" xfId="31823" xr:uid="{B07BBB8D-6E1C-48B1-B65A-2105F70F879A}"/>
    <cellStyle name="Normal 8 2 4 3" xfId="12384" xr:uid="{00000000-0005-0000-0000-0000ED5C0000}"/>
    <cellStyle name="Normal 8 2 4 3 2" xfId="36233" xr:uid="{CDC5C577-B783-46AB-8BEC-10CE5009639B}"/>
    <cellStyle name="Normal 8 2 4 4" xfId="20339" xr:uid="{00000000-0005-0000-0000-0000EE5C0000}"/>
    <cellStyle name="Normal 8 2 4 4 2" xfId="44171" xr:uid="{F09B61D8-6037-47EB-AD2F-84E27F5A58FB}"/>
    <cellStyle name="Normal 8 2 4 5" xfId="28292" xr:uid="{DF747BDF-3BD8-42C6-A1A4-54486DB0DFCE}"/>
    <cellStyle name="Normal 8 2 5" xfId="6179" xr:uid="{00000000-0005-0000-0000-0000EF5C0000}"/>
    <cellStyle name="Normal 8 2 5 2" xfId="14163" xr:uid="{00000000-0005-0000-0000-0000F05C0000}"/>
    <cellStyle name="Normal 8 2 5 2 2" xfId="38006" xr:uid="{30B7E8FB-E653-4FA0-AEB2-FE552F913E31}"/>
    <cellStyle name="Normal 8 2 5 3" xfId="22111" xr:uid="{00000000-0005-0000-0000-0000F15C0000}"/>
    <cellStyle name="Normal 8 2 5 3 2" xfId="45943" xr:uid="{1EF6B9F2-9C55-4450-9907-FF0B8B65EB64}"/>
    <cellStyle name="Normal 8 2 5 4" xfId="30065" xr:uid="{43D2CA10-9BA2-4887-9AE5-06740C6A725C}"/>
    <cellStyle name="Normal 8 2 6" xfId="9732" xr:uid="{00000000-0005-0000-0000-0000F25C0000}"/>
    <cellStyle name="Normal 8 2 6 2" xfId="17690" xr:uid="{00000000-0005-0000-0000-0000F35C0000}"/>
    <cellStyle name="Normal 8 2 6 2 2" xfId="41530" xr:uid="{15215A3E-3DEA-4365-BEF3-4904BD90F0F1}"/>
    <cellStyle name="Normal 8 2 6 3" xfId="25634" xr:uid="{00000000-0005-0000-0000-0000F45C0000}"/>
    <cellStyle name="Normal 8 2 6 3 2" xfId="49466" xr:uid="{393E9442-401A-4BF4-B029-225202562EC6}"/>
    <cellStyle name="Normal 8 2 6 4" xfId="33589" xr:uid="{1BF38E6E-249F-4EBA-BD5E-ABB43650D5B6}"/>
    <cellStyle name="Normal 8 2 7" xfId="10628" xr:uid="{00000000-0005-0000-0000-0000F55C0000}"/>
    <cellStyle name="Normal 8 2 7 2" xfId="34477" xr:uid="{8AFDCEEA-5DBA-4B64-99C0-C1D41F966378}"/>
    <cellStyle name="Normal 8 2 8" xfId="18583" xr:uid="{00000000-0005-0000-0000-0000F65C0000}"/>
    <cellStyle name="Normal 8 2 8 2" xfId="42415" xr:uid="{33401550-F263-4AEC-9F09-F456642262F3}"/>
    <cellStyle name="Normal 8 2 9" xfId="26535" xr:uid="{468A5E4D-1D58-4D93-BF66-23EF05406E99}"/>
    <cellStyle name="Normal 8 2_Exh G" xfId="3553" xr:uid="{00000000-0005-0000-0000-0000F75C0000}"/>
    <cellStyle name="Normal 8 3" xfId="682" xr:uid="{00000000-0005-0000-0000-0000F85C0000}"/>
    <cellStyle name="Normal 8 3 2" xfId="1710" xr:uid="{00000000-0005-0000-0000-0000F95C0000}"/>
    <cellStyle name="Normal 8 3 2 2" xfId="5240" xr:uid="{00000000-0005-0000-0000-0000FA5C0000}"/>
    <cellStyle name="Normal 8 3 2 2 2" xfId="8831" xr:uid="{00000000-0005-0000-0000-0000FB5C0000}"/>
    <cellStyle name="Normal 8 3 2 2 2 2" xfId="16802" xr:uid="{00000000-0005-0000-0000-0000FC5C0000}"/>
    <cellStyle name="Normal 8 3 2 2 2 2 2" xfId="40644" xr:uid="{08FEAABA-E6FE-4F28-9E80-4E0308C094E1}"/>
    <cellStyle name="Normal 8 3 2 2 2 3" xfId="24748" xr:uid="{00000000-0005-0000-0000-0000FD5C0000}"/>
    <cellStyle name="Normal 8 3 2 2 2 3 2" xfId="48580" xr:uid="{9F79789C-0805-4A15-AD92-9C6CC3851E76}"/>
    <cellStyle name="Normal 8 3 2 2 2 4" xfId="32703" xr:uid="{27E9B574-0312-4985-804F-45528A8735BD}"/>
    <cellStyle name="Normal 8 3 2 2 3" xfId="13264" xr:uid="{00000000-0005-0000-0000-0000FE5C0000}"/>
    <cellStyle name="Normal 8 3 2 2 3 2" xfId="37113" xr:uid="{050D9EA3-4EB5-41CA-AF58-09E62787F9A7}"/>
    <cellStyle name="Normal 8 3 2 2 4" xfId="21219" xr:uid="{00000000-0005-0000-0000-0000FF5C0000}"/>
    <cellStyle name="Normal 8 3 2 2 4 2" xfId="45051" xr:uid="{7715C16B-CD66-4112-9213-6024622E0D93}"/>
    <cellStyle name="Normal 8 3 2 2 5" xfId="29172" xr:uid="{C8618F27-DF38-4A09-A136-6F08F9D366FC}"/>
    <cellStyle name="Normal 8 3 2 3" xfId="7072" xr:uid="{00000000-0005-0000-0000-0000005D0000}"/>
    <cellStyle name="Normal 8 3 2 3 2" xfId="15044" xr:uid="{00000000-0005-0000-0000-0000015D0000}"/>
    <cellStyle name="Normal 8 3 2 3 2 2" xfId="38886" xr:uid="{D5490B9F-2B46-4021-AF95-50784F1A1326}"/>
    <cellStyle name="Normal 8 3 2 3 3" xfId="22991" xr:uid="{00000000-0005-0000-0000-0000025D0000}"/>
    <cellStyle name="Normal 8 3 2 3 3 2" xfId="46823" xr:uid="{255D4317-8635-42B8-9197-D24E26949DCE}"/>
    <cellStyle name="Normal 8 3 2 3 4" xfId="30945" xr:uid="{4E860C36-46CB-4D48-A8C2-3F33D24932CF}"/>
    <cellStyle name="Normal 8 3 2 4" xfId="11508" xr:uid="{00000000-0005-0000-0000-0000035D0000}"/>
    <cellStyle name="Normal 8 3 2 4 2" xfId="35357" xr:uid="{DF663694-0075-4FAD-B3BC-E5B1D6B3CCD8}"/>
    <cellStyle name="Normal 8 3 2 5" xfId="19463" xr:uid="{00000000-0005-0000-0000-0000045D0000}"/>
    <cellStyle name="Normal 8 3 2 5 2" xfId="43295" xr:uid="{00D5C056-AD3C-4C17-B662-C1193C65541B}"/>
    <cellStyle name="Normal 8 3 2 6" xfId="27415" xr:uid="{C881EFEF-3851-47E9-AD51-EFF75D19FBE2}"/>
    <cellStyle name="Normal 8 3 2_Exh G" xfId="3558" xr:uid="{00000000-0005-0000-0000-0000055D0000}"/>
    <cellStyle name="Normal 8 3 3" xfId="4361" xr:uid="{00000000-0005-0000-0000-0000065D0000}"/>
    <cellStyle name="Normal 8 3 3 2" xfId="7953" xr:uid="{00000000-0005-0000-0000-0000075D0000}"/>
    <cellStyle name="Normal 8 3 3 2 2" xfId="15924" xr:uid="{00000000-0005-0000-0000-0000085D0000}"/>
    <cellStyle name="Normal 8 3 3 2 2 2" xfId="39766" xr:uid="{078AB45F-79B1-4C87-B2CB-A56BBB1962BE}"/>
    <cellStyle name="Normal 8 3 3 2 3" xfId="23870" xr:uid="{00000000-0005-0000-0000-0000095D0000}"/>
    <cellStyle name="Normal 8 3 3 2 3 2" xfId="47702" xr:uid="{EBC1CA77-2813-4CBA-8CDC-39CE6631E747}"/>
    <cellStyle name="Normal 8 3 3 2 4" xfId="31825" xr:uid="{9BB2BDE4-9DA0-4D23-9E88-AD0D7D75F5FD}"/>
    <cellStyle name="Normal 8 3 3 3" xfId="12386" xr:uid="{00000000-0005-0000-0000-00000A5D0000}"/>
    <cellStyle name="Normal 8 3 3 3 2" xfId="36235" xr:uid="{12237F24-4CE8-4D80-8C53-3A0BDE7117E7}"/>
    <cellStyle name="Normal 8 3 3 4" xfId="20341" xr:uid="{00000000-0005-0000-0000-00000B5D0000}"/>
    <cellStyle name="Normal 8 3 3 4 2" xfId="44173" xr:uid="{48F58250-F17E-47B7-A1A1-08F177BEFB58}"/>
    <cellStyle name="Normal 8 3 3 5" xfId="28294" xr:uid="{12157AFA-44DA-4636-86AE-34E356001069}"/>
    <cellStyle name="Normal 8 3 4" xfId="6181" xr:uid="{00000000-0005-0000-0000-00000C5D0000}"/>
    <cellStyle name="Normal 8 3 4 2" xfId="14165" xr:uid="{00000000-0005-0000-0000-00000D5D0000}"/>
    <cellStyle name="Normal 8 3 4 2 2" xfId="38008" xr:uid="{7B64CDB6-1E15-4CBF-9148-4F018DB9DF64}"/>
    <cellStyle name="Normal 8 3 4 3" xfId="22113" xr:uid="{00000000-0005-0000-0000-00000E5D0000}"/>
    <cellStyle name="Normal 8 3 4 3 2" xfId="45945" xr:uid="{25311F7B-4779-4B9D-9AA6-0F6D5D3B8D80}"/>
    <cellStyle name="Normal 8 3 4 4" xfId="30067" xr:uid="{36608529-1573-4C07-901F-29655DD16633}"/>
    <cellStyle name="Normal 8 3 5" xfId="9734" xr:uid="{00000000-0005-0000-0000-00000F5D0000}"/>
    <cellStyle name="Normal 8 3 5 2" xfId="17692" xr:uid="{00000000-0005-0000-0000-0000105D0000}"/>
    <cellStyle name="Normal 8 3 5 2 2" xfId="41532" xr:uid="{E8B00019-8FD2-40D9-9274-FEB714D1A756}"/>
    <cellStyle name="Normal 8 3 5 3" xfId="25636" xr:uid="{00000000-0005-0000-0000-0000115D0000}"/>
    <cellStyle name="Normal 8 3 5 3 2" xfId="49468" xr:uid="{19BDE02D-D171-409E-8BB9-F91B4AAFC894}"/>
    <cellStyle name="Normal 8 3 5 4" xfId="33591" xr:uid="{5E789B54-EA85-44D2-A163-389C75F45D01}"/>
    <cellStyle name="Normal 8 3 6" xfId="10630" xr:uid="{00000000-0005-0000-0000-0000125D0000}"/>
    <cellStyle name="Normal 8 3 6 2" xfId="34479" xr:uid="{8AF66E74-0E79-46FE-84F2-8BFBB17AD817}"/>
    <cellStyle name="Normal 8 3 7" xfId="18585" xr:uid="{00000000-0005-0000-0000-0000135D0000}"/>
    <cellStyle name="Normal 8 3 7 2" xfId="42417" xr:uid="{8A5CA100-B4E5-4250-93C0-652803E868F2}"/>
    <cellStyle name="Normal 8 3 8" xfId="26537" xr:uid="{AC23CE1F-AD9C-446A-A5A9-E80F79423996}"/>
    <cellStyle name="Normal 8 3_Exh G" xfId="3557" xr:uid="{00000000-0005-0000-0000-0000145D0000}"/>
    <cellStyle name="Normal 8 4" xfId="1026" xr:uid="{00000000-0005-0000-0000-0000155D0000}"/>
    <cellStyle name="Normal 8 5" xfId="1050" xr:uid="{00000000-0005-0000-0000-0000165D0000}"/>
    <cellStyle name="Normal 8 5 2" xfId="4580" xr:uid="{00000000-0005-0000-0000-0000175D0000}"/>
    <cellStyle name="Normal 8 5 2 2" xfId="8171" xr:uid="{00000000-0005-0000-0000-0000185D0000}"/>
    <cellStyle name="Normal 8 5 2 2 2" xfId="16142" xr:uid="{00000000-0005-0000-0000-0000195D0000}"/>
    <cellStyle name="Normal 8 5 2 2 2 2" xfId="39984" xr:uid="{0AF7272A-67E0-4715-BAEC-A8BCBB49DC22}"/>
    <cellStyle name="Normal 8 5 2 2 3" xfId="24088" xr:uid="{00000000-0005-0000-0000-00001A5D0000}"/>
    <cellStyle name="Normal 8 5 2 2 3 2" xfId="47920" xr:uid="{560F34DB-6A17-4A5A-B81C-258606F87EF1}"/>
    <cellStyle name="Normal 8 5 2 2 4" xfId="32043" xr:uid="{65A29923-EF79-48B6-84F4-17A66F21C92E}"/>
    <cellStyle name="Normal 8 5 2 3" xfId="12604" xr:uid="{00000000-0005-0000-0000-00001B5D0000}"/>
    <cellStyle name="Normal 8 5 2 3 2" xfId="36453" xr:uid="{7FD45F56-704D-4947-B67D-5A883644D8A5}"/>
    <cellStyle name="Normal 8 5 2 4" xfId="20559" xr:uid="{00000000-0005-0000-0000-00001C5D0000}"/>
    <cellStyle name="Normal 8 5 2 4 2" xfId="44391" xr:uid="{B6AF6627-E573-4065-B9BC-BAE7D0A46C9A}"/>
    <cellStyle name="Normal 8 5 2 5" xfId="28512" xr:uid="{38C13BC7-C3C9-4058-8E59-761F473CD3B7}"/>
    <cellStyle name="Normal 8 5 3" xfId="6412" xr:uid="{00000000-0005-0000-0000-00001D5D0000}"/>
    <cellStyle name="Normal 8 5 3 2" xfId="14384" xr:uid="{00000000-0005-0000-0000-00001E5D0000}"/>
    <cellStyle name="Normal 8 5 3 2 2" xfId="38226" xr:uid="{2CE82C03-DA1B-4F24-A030-F387A7E1CF14}"/>
    <cellStyle name="Normal 8 5 3 3" xfId="22331" xr:uid="{00000000-0005-0000-0000-00001F5D0000}"/>
    <cellStyle name="Normal 8 5 3 3 2" xfId="46163" xr:uid="{864A56D2-0FBB-4A90-A15F-41670610BCD0}"/>
    <cellStyle name="Normal 8 5 3 4" xfId="30285" xr:uid="{FCB18097-FA50-48CF-9719-D0BC3F8C6D33}"/>
    <cellStyle name="Normal 8 5 4" xfId="10848" xr:uid="{00000000-0005-0000-0000-0000205D0000}"/>
    <cellStyle name="Normal 8 5 4 2" xfId="34697" xr:uid="{CEFC448C-E2E9-4F7A-A395-FEA5A1CA980B}"/>
    <cellStyle name="Normal 8 5 5" xfId="18803" xr:uid="{00000000-0005-0000-0000-0000215D0000}"/>
    <cellStyle name="Normal 8 5 5 2" xfId="42635" xr:uid="{54F35F78-D94E-43D3-AC18-09EF131B0C0C}"/>
    <cellStyle name="Normal 8 5 6" xfId="26755" xr:uid="{580A508E-2384-428B-B209-FD251F5230AF}"/>
    <cellStyle name="Normal 8 5_Exh G" xfId="3559" xr:uid="{00000000-0005-0000-0000-0000225D0000}"/>
    <cellStyle name="Normal 8 6" xfId="3701" xr:uid="{00000000-0005-0000-0000-0000235D0000}"/>
    <cellStyle name="Normal 8 6 2" xfId="7293" xr:uid="{00000000-0005-0000-0000-0000245D0000}"/>
    <cellStyle name="Normal 8 6 2 2" xfId="15264" xr:uid="{00000000-0005-0000-0000-0000255D0000}"/>
    <cellStyle name="Normal 8 6 2 2 2" xfId="39106" xr:uid="{476C6F23-F9F1-4420-8BC8-357B34BA8B8D}"/>
    <cellStyle name="Normal 8 6 2 3" xfId="23210" xr:uid="{00000000-0005-0000-0000-0000265D0000}"/>
    <cellStyle name="Normal 8 6 2 3 2" xfId="47042" xr:uid="{2D1123FD-1E69-43CB-BEEC-32F69FCE834E}"/>
    <cellStyle name="Normal 8 6 2 4" xfId="31165" xr:uid="{2DB7F8AB-7851-4F4E-A720-2545E6B8FAC7}"/>
    <cellStyle name="Normal 8 6 3" xfId="11726" xr:uid="{00000000-0005-0000-0000-0000275D0000}"/>
    <cellStyle name="Normal 8 6 3 2" xfId="35575" xr:uid="{472C2F70-05BD-4389-906A-D8C12F70ABA4}"/>
    <cellStyle name="Normal 8 6 4" xfId="19681" xr:uid="{00000000-0005-0000-0000-0000285D0000}"/>
    <cellStyle name="Normal 8 6 4 2" xfId="43513" xr:uid="{3FBDB115-C666-4A1A-AFCB-D3772255CCC0}"/>
    <cellStyle name="Normal 8 6 5" xfId="27634" xr:uid="{AE52E15E-1B90-466E-8E93-5F38B84F627C}"/>
    <cellStyle name="Normal 8 7" xfId="5521" xr:uid="{00000000-0005-0000-0000-0000295D0000}"/>
    <cellStyle name="Normal 8 7 2" xfId="13505" xr:uid="{00000000-0005-0000-0000-00002A5D0000}"/>
    <cellStyle name="Normal 8 7 2 2" xfId="37348" xr:uid="{906A635D-89ED-4CE4-84E4-25AEC23DE52F}"/>
    <cellStyle name="Normal 8 7 3" xfId="21453" xr:uid="{00000000-0005-0000-0000-00002B5D0000}"/>
    <cellStyle name="Normal 8 7 3 2" xfId="45285" xr:uid="{4A30A027-F9F8-4B48-B528-FC8FB2F744EF}"/>
    <cellStyle name="Normal 8 7 4" xfId="29407" xr:uid="{E17E3AE9-915E-415D-820D-896CA3814EF4}"/>
    <cellStyle name="Normal 8 8" xfId="9074" xr:uid="{00000000-0005-0000-0000-00002C5D0000}"/>
    <cellStyle name="Normal 8 8 2" xfId="17032" xr:uid="{00000000-0005-0000-0000-00002D5D0000}"/>
    <cellStyle name="Normal 8 8 2 2" xfId="40872" xr:uid="{3E43EE21-B54C-4086-92F0-2F48E18FDF05}"/>
    <cellStyle name="Normal 8 8 3" xfId="24976" xr:uid="{00000000-0005-0000-0000-00002E5D0000}"/>
    <cellStyle name="Normal 8 8 3 2" xfId="48808" xr:uid="{6C0E0FAF-72A0-46EC-9A51-A194A8248300}"/>
    <cellStyle name="Normal 8 8 4" xfId="32931" xr:uid="{BE063995-FD90-4793-8783-7CC567A0F45B}"/>
    <cellStyle name="Normal 8 9" xfId="9970" xr:uid="{00000000-0005-0000-0000-00002F5D0000}"/>
    <cellStyle name="Normal 8 9 2" xfId="33819" xr:uid="{6C1C3F92-D535-442C-B708-904A2323AFC9}"/>
    <cellStyle name="Normal 8_Exh G" xfId="3552" xr:uid="{00000000-0005-0000-0000-0000305D0000}"/>
    <cellStyle name="Normal 9" xfId="23" xr:uid="{00000000-0005-0000-0000-0000315D0000}"/>
    <cellStyle name="Normal 9 2" xfId="683" xr:uid="{00000000-0005-0000-0000-0000325D0000}"/>
    <cellStyle name="Normal 9 2 2" xfId="684" xr:uid="{00000000-0005-0000-0000-0000335D0000}"/>
    <cellStyle name="Normal 9 2 2 2" xfId="1712" xr:uid="{00000000-0005-0000-0000-0000345D0000}"/>
    <cellStyle name="Normal 9 2 2 2 2" xfId="5242" xr:uid="{00000000-0005-0000-0000-0000355D0000}"/>
    <cellStyle name="Normal 9 2 2 2 2 2" xfId="8833" xr:uid="{00000000-0005-0000-0000-0000365D0000}"/>
    <cellStyle name="Normal 9 2 2 2 2 2 2" xfId="16804" xr:uid="{00000000-0005-0000-0000-0000375D0000}"/>
    <cellStyle name="Normal 9 2 2 2 2 2 2 2" xfId="40646" xr:uid="{31AFDA83-11B8-46CB-8DFA-77EB6AFD0403}"/>
    <cellStyle name="Normal 9 2 2 2 2 2 3" xfId="24750" xr:uid="{00000000-0005-0000-0000-0000385D0000}"/>
    <cellStyle name="Normal 9 2 2 2 2 2 3 2" xfId="48582" xr:uid="{FB408584-AABE-4301-B75C-F5DF448C7662}"/>
    <cellStyle name="Normal 9 2 2 2 2 2 4" xfId="32705" xr:uid="{E3921746-B206-4C79-A08C-EFDD2E8B94E0}"/>
    <cellStyle name="Normal 9 2 2 2 2 3" xfId="13266" xr:uid="{00000000-0005-0000-0000-0000395D0000}"/>
    <cellStyle name="Normal 9 2 2 2 2 3 2" xfId="37115" xr:uid="{473652E6-9A41-4152-8902-EA0041BB87CD}"/>
    <cellStyle name="Normal 9 2 2 2 2 4" xfId="21221" xr:uid="{00000000-0005-0000-0000-00003A5D0000}"/>
    <cellStyle name="Normal 9 2 2 2 2 4 2" xfId="45053" xr:uid="{639490C5-63D3-469B-89D6-1B509072AD9D}"/>
    <cellStyle name="Normal 9 2 2 2 2 5" xfId="29174" xr:uid="{2335678E-24A7-4AE7-A435-4743FC62E1AE}"/>
    <cellStyle name="Normal 9 2 2 2 3" xfId="7074" xr:uid="{00000000-0005-0000-0000-00003B5D0000}"/>
    <cellStyle name="Normal 9 2 2 2 3 2" xfId="15046" xr:uid="{00000000-0005-0000-0000-00003C5D0000}"/>
    <cellStyle name="Normal 9 2 2 2 3 2 2" xfId="38888" xr:uid="{7E8676B3-DA46-4060-8477-ED33E82A51B1}"/>
    <cellStyle name="Normal 9 2 2 2 3 3" xfId="22993" xr:uid="{00000000-0005-0000-0000-00003D5D0000}"/>
    <cellStyle name="Normal 9 2 2 2 3 3 2" xfId="46825" xr:uid="{71BD6777-C9AD-4710-810B-12F2D0839C9B}"/>
    <cellStyle name="Normal 9 2 2 2 3 4" xfId="30947" xr:uid="{F19B86A9-7E69-4B48-B1BF-6219D3AB7718}"/>
    <cellStyle name="Normal 9 2 2 2 4" xfId="11510" xr:uid="{00000000-0005-0000-0000-00003E5D0000}"/>
    <cellStyle name="Normal 9 2 2 2 4 2" xfId="35359" xr:uid="{81E1F28C-0F2B-4FA9-B13E-125AE126B24A}"/>
    <cellStyle name="Normal 9 2 2 2 5" xfId="19465" xr:uid="{00000000-0005-0000-0000-00003F5D0000}"/>
    <cellStyle name="Normal 9 2 2 2 5 2" xfId="43297" xr:uid="{7320AE84-94B6-4ADC-A755-586C7973BA5D}"/>
    <cellStyle name="Normal 9 2 2 2 6" xfId="27417" xr:uid="{9862B43C-0906-4137-9AA9-1D1A28FF8190}"/>
    <cellStyle name="Normal 9 2 2 2_Exh G" xfId="3563" xr:uid="{00000000-0005-0000-0000-0000405D0000}"/>
    <cellStyle name="Normal 9 2 2 3" xfId="4363" xr:uid="{00000000-0005-0000-0000-0000415D0000}"/>
    <cellStyle name="Normal 9 2 2 3 2" xfId="7955" xr:uid="{00000000-0005-0000-0000-0000425D0000}"/>
    <cellStyle name="Normal 9 2 2 3 2 2" xfId="15926" xr:uid="{00000000-0005-0000-0000-0000435D0000}"/>
    <cellStyle name="Normal 9 2 2 3 2 2 2" xfId="39768" xr:uid="{429CE6B3-B0E4-413E-99AA-FDD49DCD8A96}"/>
    <cellStyle name="Normal 9 2 2 3 2 3" xfId="23872" xr:uid="{00000000-0005-0000-0000-0000445D0000}"/>
    <cellStyle name="Normal 9 2 2 3 2 3 2" xfId="47704" xr:uid="{FDFD3E2A-50B3-4262-B7D8-A99ACFB34891}"/>
    <cellStyle name="Normal 9 2 2 3 2 4" xfId="31827" xr:uid="{506DE2A3-21C0-4075-9EB9-4BC4FFB03430}"/>
    <cellStyle name="Normal 9 2 2 3 3" xfId="12388" xr:uid="{00000000-0005-0000-0000-0000455D0000}"/>
    <cellStyle name="Normal 9 2 2 3 3 2" xfId="36237" xr:uid="{04411B99-11DE-4C8C-B72E-11A50802169F}"/>
    <cellStyle name="Normal 9 2 2 3 4" xfId="20343" xr:uid="{00000000-0005-0000-0000-0000465D0000}"/>
    <cellStyle name="Normal 9 2 2 3 4 2" xfId="44175" xr:uid="{A3A34FFF-25D9-43FD-B9AA-AB9423424D4E}"/>
    <cellStyle name="Normal 9 2 2 3 5" xfId="28296" xr:uid="{CBA5D05A-B0DA-4DAE-978B-CC743A6D7A42}"/>
    <cellStyle name="Normal 9 2 2 4" xfId="6183" xr:uid="{00000000-0005-0000-0000-0000475D0000}"/>
    <cellStyle name="Normal 9 2 2 4 2" xfId="14167" xr:uid="{00000000-0005-0000-0000-0000485D0000}"/>
    <cellStyle name="Normal 9 2 2 4 2 2" xfId="38010" xr:uid="{4F7EC98C-D6F8-474B-BB2D-163C62CEBA60}"/>
    <cellStyle name="Normal 9 2 2 4 3" xfId="22115" xr:uid="{00000000-0005-0000-0000-0000495D0000}"/>
    <cellStyle name="Normal 9 2 2 4 3 2" xfId="45947" xr:uid="{7D3D4DFA-115D-4C70-A528-AAEB19E353A2}"/>
    <cellStyle name="Normal 9 2 2 4 4" xfId="30069" xr:uid="{63702ABB-0365-4636-AB72-DC32731A7344}"/>
    <cellStyle name="Normal 9 2 2 5" xfId="9736" xr:uid="{00000000-0005-0000-0000-00004A5D0000}"/>
    <cellStyle name="Normal 9 2 2 5 2" xfId="17694" xr:uid="{00000000-0005-0000-0000-00004B5D0000}"/>
    <cellStyle name="Normal 9 2 2 5 2 2" xfId="41534" xr:uid="{47478E62-43C3-421B-978F-8C998F17D52D}"/>
    <cellStyle name="Normal 9 2 2 5 3" xfId="25638" xr:uid="{00000000-0005-0000-0000-00004C5D0000}"/>
    <cellStyle name="Normal 9 2 2 5 3 2" xfId="49470" xr:uid="{2AC72F9B-7799-4CC1-9481-3231C3495C3D}"/>
    <cellStyle name="Normal 9 2 2 5 4" xfId="33593" xr:uid="{5C4F607C-062C-4039-BD8E-097237ED0EF0}"/>
    <cellStyle name="Normal 9 2 2 6" xfId="10632" xr:uid="{00000000-0005-0000-0000-00004D5D0000}"/>
    <cellStyle name="Normal 9 2 2 6 2" xfId="34481" xr:uid="{A22B842F-7E12-4789-8242-9B64819AC21F}"/>
    <cellStyle name="Normal 9 2 2 7" xfId="18587" xr:uid="{00000000-0005-0000-0000-00004E5D0000}"/>
    <cellStyle name="Normal 9 2 2 7 2" xfId="42419" xr:uid="{55FC89C1-D6AA-4469-B225-5B89B6A636BA}"/>
    <cellStyle name="Normal 9 2 2 8" xfId="26539" xr:uid="{AA93E874-F588-4BF7-8FDB-381854DE9E62}"/>
    <cellStyle name="Normal 9 2 2_Exh G" xfId="3562" xr:uid="{00000000-0005-0000-0000-00004F5D0000}"/>
    <cellStyle name="Normal 9 2 3" xfId="1711" xr:uid="{00000000-0005-0000-0000-0000505D0000}"/>
    <cellStyle name="Normal 9 2 3 2" xfId="5241" xr:uid="{00000000-0005-0000-0000-0000515D0000}"/>
    <cellStyle name="Normal 9 2 3 2 2" xfId="8832" xr:uid="{00000000-0005-0000-0000-0000525D0000}"/>
    <cellStyle name="Normal 9 2 3 2 2 2" xfId="16803" xr:uid="{00000000-0005-0000-0000-0000535D0000}"/>
    <cellStyle name="Normal 9 2 3 2 2 2 2" xfId="40645" xr:uid="{1096F5F0-AA8F-4206-BA8A-8C6A2059AE87}"/>
    <cellStyle name="Normal 9 2 3 2 2 3" xfId="24749" xr:uid="{00000000-0005-0000-0000-0000545D0000}"/>
    <cellStyle name="Normal 9 2 3 2 2 3 2" xfId="48581" xr:uid="{22CED8B8-D846-49F5-BE96-413B5BB2ED12}"/>
    <cellStyle name="Normal 9 2 3 2 2 4" xfId="32704" xr:uid="{EA942A5C-120A-4626-882D-65E144A22159}"/>
    <cellStyle name="Normal 9 2 3 2 3" xfId="13265" xr:uid="{00000000-0005-0000-0000-0000555D0000}"/>
    <cellStyle name="Normal 9 2 3 2 3 2" xfId="37114" xr:uid="{FAF029FE-202E-4C62-B3C3-64A1AF6FFC2B}"/>
    <cellStyle name="Normal 9 2 3 2 4" xfId="21220" xr:uid="{00000000-0005-0000-0000-0000565D0000}"/>
    <cellStyle name="Normal 9 2 3 2 4 2" xfId="45052" xr:uid="{A5748F4B-90AE-4874-B404-E5DB0D6A3BB1}"/>
    <cellStyle name="Normal 9 2 3 2 5" xfId="29173" xr:uid="{6A201999-C3F2-40B8-9BED-0E3B4E113135}"/>
    <cellStyle name="Normal 9 2 3 3" xfId="7073" xr:uid="{00000000-0005-0000-0000-0000575D0000}"/>
    <cellStyle name="Normal 9 2 3 3 2" xfId="15045" xr:uid="{00000000-0005-0000-0000-0000585D0000}"/>
    <cellStyle name="Normal 9 2 3 3 2 2" xfId="38887" xr:uid="{5F93C304-C07D-40D7-8CF7-470584F782A5}"/>
    <cellStyle name="Normal 9 2 3 3 3" xfId="22992" xr:uid="{00000000-0005-0000-0000-0000595D0000}"/>
    <cellStyle name="Normal 9 2 3 3 3 2" xfId="46824" xr:uid="{F662998E-B5EA-4C05-A956-51CCD4508C8A}"/>
    <cellStyle name="Normal 9 2 3 3 4" xfId="30946" xr:uid="{2C86DEB6-8AFA-4F32-997B-46FC79376A6E}"/>
    <cellStyle name="Normal 9 2 3 4" xfId="11509" xr:uid="{00000000-0005-0000-0000-00005A5D0000}"/>
    <cellStyle name="Normal 9 2 3 4 2" xfId="35358" xr:uid="{26DFA86C-990D-44F5-A177-8F06AF7E6C5B}"/>
    <cellStyle name="Normal 9 2 3 5" xfId="19464" xr:uid="{00000000-0005-0000-0000-00005B5D0000}"/>
    <cellStyle name="Normal 9 2 3 5 2" xfId="43296" xr:uid="{CF5998EE-0D8E-4C2A-822F-F11524B5F00D}"/>
    <cellStyle name="Normal 9 2 3 6" xfId="27416" xr:uid="{E8D77E77-BB05-475E-A339-ECBD5D46AEFD}"/>
    <cellStyle name="Normal 9 2 3_Exh G" xfId="3564" xr:uid="{00000000-0005-0000-0000-00005C5D0000}"/>
    <cellStyle name="Normal 9 2 4" xfId="4362" xr:uid="{00000000-0005-0000-0000-00005D5D0000}"/>
    <cellStyle name="Normal 9 2 4 2" xfId="7954" xr:uid="{00000000-0005-0000-0000-00005E5D0000}"/>
    <cellStyle name="Normal 9 2 4 2 2" xfId="15925" xr:uid="{00000000-0005-0000-0000-00005F5D0000}"/>
    <cellStyle name="Normal 9 2 4 2 2 2" xfId="39767" xr:uid="{59058DB0-25C0-4EB7-9C53-8024FAC6D9BB}"/>
    <cellStyle name="Normal 9 2 4 2 3" xfId="23871" xr:uid="{00000000-0005-0000-0000-0000605D0000}"/>
    <cellStyle name="Normal 9 2 4 2 3 2" xfId="47703" xr:uid="{84466C33-B826-4071-8420-4B2934E6BFC7}"/>
    <cellStyle name="Normal 9 2 4 2 4" xfId="31826" xr:uid="{BA1BEB49-2DB4-4D10-B534-3462F9379F1F}"/>
    <cellStyle name="Normal 9 2 4 3" xfId="12387" xr:uid="{00000000-0005-0000-0000-0000615D0000}"/>
    <cellStyle name="Normal 9 2 4 3 2" xfId="36236" xr:uid="{2A8B0A7B-7E33-4960-8DA2-4C4A25F1B718}"/>
    <cellStyle name="Normal 9 2 4 4" xfId="20342" xr:uid="{00000000-0005-0000-0000-0000625D0000}"/>
    <cellStyle name="Normal 9 2 4 4 2" xfId="44174" xr:uid="{6FF052BB-1AD1-4FB0-B9A5-2138445CB619}"/>
    <cellStyle name="Normal 9 2 4 5" xfId="28295" xr:uid="{C65B4E50-1406-4582-A4EB-05FC9CF2A231}"/>
    <cellStyle name="Normal 9 2 5" xfId="6182" xr:uid="{00000000-0005-0000-0000-0000635D0000}"/>
    <cellStyle name="Normal 9 2 5 2" xfId="14166" xr:uid="{00000000-0005-0000-0000-0000645D0000}"/>
    <cellStyle name="Normal 9 2 5 2 2" xfId="38009" xr:uid="{7B4FC3DF-D78A-4C93-AC99-E6EEDEB16D02}"/>
    <cellStyle name="Normal 9 2 5 3" xfId="22114" xr:uid="{00000000-0005-0000-0000-0000655D0000}"/>
    <cellStyle name="Normal 9 2 5 3 2" xfId="45946" xr:uid="{1593D5FC-4BE5-4ECB-854F-2E8142236A1E}"/>
    <cellStyle name="Normal 9 2 5 4" xfId="30068" xr:uid="{B696C983-9358-45F5-BBBE-DC737111DD0C}"/>
    <cellStyle name="Normal 9 2 6" xfId="9735" xr:uid="{00000000-0005-0000-0000-0000665D0000}"/>
    <cellStyle name="Normal 9 2 6 2" xfId="17693" xr:uid="{00000000-0005-0000-0000-0000675D0000}"/>
    <cellStyle name="Normal 9 2 6 2 2" xfId="41533" xr:uid="{C473A185-6253-4C62-9920-F853FD380769}"/>
    <cellStyle name="Normal 9 2 6 3" xfId="25637" xr:uid="{00000000-0005-0000-0000-0000685D0000}"/>
    <cellStyle name="Normal 9 2 6 3 2" xfId="49469" xr:uid="{B7726DE7-6C3A-4A8A-8F0A-A0520A6CF060}"/>
    <cellStyle name="Normal 9 2 6 4" xfId="33592" xr:uid="{0104B41E-C8C1-4B4A-B693-9144D712266D}"/>
    <cellStyle name="Normal 9 2 7" xfId="10631" xr:uid="{00000000-0005-0000-0000-0000695D0000}"/>
    <cellStyle name="Normal 9 2 7 2" xfId="34480" xr:uid="{597A2970-3F9A-4BD9-BB75-BD455E2A828A}"/>
    <cellStyle name="Normal 9 2 8" xfId="18586" xr:uid="{00000000-0005-0000-0000-00006A5D0000}"/>
    <cellStyle name="Normal 9 2 8 2" xfId="42418" xr:uid="{75922DDD-5F1E-4213-BA45-4EB6814EB336}"/>
    <cellStyle name="Normal 9 2 9" xfId="26538" xr:uid="{3D60A566-004E-42DD-A465-F6E95D6E35E1}"/>
    <cellStyle name="Normal 9 2_Exh G" xfId="3561" xr:uid="{00000000-0005-0000-0000-00006B5D0000}"/>
    <cellStyle name="Normal 9 3" xfId="685" xr:uid="{00000000-0005-0000-0000-00006C5D0000}"/>
    <cellStyle name="Normal 9 3 2" xfId="1713" xr:uid="{00000000-0005-0000-0000-00006D5D0000}"/>
    <cellStyle name="Normal 9 3 2 2" xfId="5243" xr:uid="{00000000-0005-0000-0000-00006E5D0000}"/>
    <cellStyle name="Normal 9 3 2 2 2" xfId="8834" xr:uid="{00000000-0005-0000-0000-00006F5D0000}"/>
    <cellStyle name="Normal 9 3 2 2 2 2" xfId="16805" xr:uid="{00000000-0005-0000-0000-0000705D0000}"/>
    <cellStyle name="Normal 9 3 2 2 2 2 2" xfId="40647" xr:uid="{0867E83C-F29D-4CD9-9D69-88F8D1F6445E}"/>
    <cellStyle name="Normal 9 3 2 2 2 3" xfId="24751" xr:uid="{00000000-0005-0000-0000-0000715D0000}"/>
    <cellStyle name="Normal 9 3 2 2 2 3 2" xfId="48583" xr:uid="{05C44EB5-A0C8-4364-829C-F6900491C056}"/>
    <cellStyle name="Normal 9 3 2 2 2 4" xfId="32706" xr:uid="{03446BB6-4601-444F-B30C-BDADD1D6D577}"/>
    <cellStyle name="Normal 9 3 2 2 3" xfId="13267" xr:uid="{00000000-0005-0000-0000-0000725D0000}"/>
    <cellStyle name="Normal 9 3 2 2 3 2" xfId="37116" xr:uid="{72D37D46-20EF-4688-887A-9A7E82150BE1}"/>
    <cellStyle name="Normal 9 3 2 2 4" xfId="21222" xr:uid="{00000000-0005-0000-0000-0000735D0000}"/>
    <cellStyle name="Normal 9 3 2 2 4 2" xfId="45054" xr:uid="{C48DE4CE-9272-495C-A4DA-7467B782A574}"/>
    <cellStyle name="Normal 9 3 2 2 5" xfId="29175" xr:uid="{016DB06F-7CD5-4005-A592-5650CC95826C}"/>
    <cellStyle name="Normal 9 3 2 3" xfId="7075" xr:uid="{00000000-0005-0000-0000-0000745D0000}"/>
    <cellStyle name="Normal 9 3 2 3 2" xfId="15047" xr:uid="{00000000-0005-0000-0000-0000755D0000}"/>
    <cellStyle name="Normal 9 3 2 3 2 2" xfId="38889" xr:uid="{46D2AE92-3D19-497E-80A0-2131CBA69D75}"/>
    <cellStyle name="Normal 9 3 2 3 3" xfId="22994" xr:uid="{00000000-0005-0000-0000-0000765D0000}"/>
    <cellStyle name="Normal 9 3 2 3 3 2" xfId="46826" xr:uid="{7CE86B90-8778-445D-8757-834F263EF150}"/>
    <cellStyle name="Normal 9 3 2 3 4" xfId="30948" xr:uid="{FB0803FE-5A24-435D-A56F-99B2D9D2340B}"/>
    <cellStyle name="Normal 9 3 2 4" xfId="11511" xr:uid="{00000000-0005-0000-0000-0000775D0000}"/>
    <cellStyle name="Normal 9 3 2 4 2" xfId="35360" xr:uid="{CC9C321D-3D21-4FAA-9E1C-20D88D1794FC}"/>
    <cellStyle name="Normal 9 3 2 5" xfId="19466" xr:uid="{00000000-0005-0000-0000-0000785D0000}"/>
    <cellStyle name="Normal 9 3 2 5 2" xfId="43298" xr:uid="{14032111-0E36-4357-A69F-245D96F773ED}"/>
    <cellStyle name="Normal 9 3 2 6" xfId="27418" xr:uid="{077BA26D-FE76-4405-B5A8-576E6330D979}"/>
    <cellStyle name="Normal 9 3 2_Exh G" xfId="3566" xr:uid="{00000000-0005-0000-0000-0000795D0000}"/>
    <cellStyle name="Normal 9 3 3" xfId="4364" xr:uid="{00000000-0005-0000-0000-00007A5D0000}"/>
    <cellStyle name="Normal 9 3 3 2" xfId="7956" xr:uid="{00000000-0005-0000-0000-00007B5D0000}"/>
    <cellStyle name="Normal 9 3 3 2 2" xfId="15927" xr:uid="{00000000-0005-0000-0000-00007C5D0000}"/>
    <cellStyle name="Normal 9 3 3 2 2 2" xfId="39769" xr:uid="{F5E7D05D-6F71-4953-9DEE-27D842B1FDA5}"/>
    <cellStyle name="Normal 9 3 3 2 3" xfId="23873" xr:uid="{00000000-0005-0000-0000-00007D5D0000}"/>
    <cellStyle name="Normal 9 3 3 2 3 2" xfId="47705" xr:uid="{1E8FB1AC-B868-4FAF-9B60-1CCCC2BBAE96}"/>
    <cellStyle name="Normal 9 3 3 2 4" xfId="31828" xr:uid="{0BE5418B-3453-4B1D-99BE-1AE976FAD343}"/>
    <cellStyle name="Normal 9 3 3 3" xfId="12389" xr:uid="{00000000-0005-0000-0000-00007E5D0000}"/>
    <cellStyle name="Normal 9 3 3 3 2" xfId="36238" xr:uid="{ED0D1C75-A123-4CF1-874A-3E92074038AF}"/>
    <cellStyle name="Normal 9 3 3 4" xfId="20344" xr:uid="{00000000-0005-0000-0000-00007F5D0000}"/>
    <cellStyle name="Normal 9 3 3 4 2" xfId="44176" xr:uid="{8C6AFEF4-EEA7-404A-BF00-B2951D2E01AC}"/>
    <cellStyle name="Normal 9 3 3 5" xfId="28297" xr:uid="{33C09A77-3018-477A-8BC9-BE50CBE6357C}"/>
    <cellStyle name="Normal 9 3 4" xfId="6184" xr:uid="{00000000-0005-0000-0000-0000805D0000}"/>
    <cellStyle name="Normal 9 3 4 2" xfId="14168" xr:uid="{00000000-0005-0000-0000-0000815D0000}"/>
    <cellStyle name="Normal 9 3 4 2 2" xfId="38011" xr:uid="{D1BD21BB-07A1-44A1-88B1-680A5A0B7C47}"/>
    <cellStyle name="Normal 9 3 4 3" xfId="22116" xr:uid="{00000000-0005-0000-0000-0000825D0000}"/>
    <cellStyle name="Normal 9 3 4 3 2" xfId="45948" xr:uid="{0F58DFFC-81A0-4A81-A1BC-3C3CB7855227}"/>
    <cellStyle name="Normal 9 3 4 4" xfId="30070" xr:uid="{9F6255FA-9F34-48AA-ACB9-F5335ED268B6}"/>
    <cellStyle name="Normal 9 3 5" xfId="9737" xr:uid="{00000000-0005-0000-0000-0000835D0000}"/>
    <cellStyle name="Normal 9 3 5 2" xfId="17695" xr:uid="{00000000-0005-0000-0000-0000845D0000}"/>
    <cellStyle name="Normal 9 3 5 2 2" xfId="41535" xr:uid="{284BB6F5-B584-4566-B884-B0B7511B3E9A}"/>
    <cellStyle name="Normal 9 3 5 3" xfId="25639" xr:uid="{00000000-0005-0000-0000-0000855D0000}"/>
    <cellStyle name="Normal 9 3 5 3 2" xfId="49471" xr:uid="{41527972-EA86-4AB6-B1C9-F5697360EF6C}"/>
    <cellStyle name="Normal 9 3 5 4" xfId="33594" xr:uid="{14DB8310-F2B5-496C-908E-C92749DA848C}"/>
    <cellStyle name="Normal 9 3 6" xfId="10633" xr:uid="{00000000-0005-0000-0000-0000865D0000}"/>
    <cellStyle name="Normal 9 3 6 2" xfId="34482" xr:uid="{B1073145-306E-4B96-8B34-5BD166BBC40D}"/>
    <cellStyle name="Normal 9 3 7" xfId="18588" xr:uid="{00000000-0005-0000-0000-0000875D0000}"/>
    <cellStyle name="Normal 9 3 7 2" xfId="42420" xr:uid="{9B09E826-10E6-4BC1-A9FE-43196FC76519}"/>
    <cellStyle name="Normal 9 3 8" xfId="26540" xr:uid="{DBADD298-0709-4CA0-8A4F-5D2F6BD1B197}"/>
    <cellStyle name="Normal 9 3_Exh G" xfId="3565" xr:uid="{00000000-0005-0000-0000-0000885D0000}"/>
    <cellStyle name="Normal 9 4" xfId="1027" xr:uid="{00000000-0005-0000-0000-0000895D0000}"/>
    <cellStyle name="Normal 9 4 2" xfId="1929" xr:uid="{00000000-0005-0000-0000-00008A5D0000}"/>
    <cellStyle name="Normal 9 4 2 2" xfId="5447" xr:uid="{00000000-0005-0000-0000-00008B5D0000}"/>
    <cellStyle name="Normal 9 4 2 2 2" xfId="9038" xr:uid="{00000000-0005-0000-0000-00008C5D0000}"/>
    <cellStyle name="Normal 9 4 2 2 2 2" xfId="17009" xr:uid="{00000000-0005-0000-0000-00008D5D0000}"/>
    <cellStyle name="Normal 9 4 2 2 2 2 2" xfId="40851" xr:uid="{32C6739D-76DE-4A77-A070-50BC2672D35A}"/>
    <cellStyle name="Normal 9 4 2 2 2 3" xfId="24955" xr:uid="{00000000-0005-0000-0000-00008E5D0000}"/>
    <cellStyle name="Normal 9 4 2 2 2 3 2" xfId="48787" xr:uid="{526A2850-CFF0-4373-BAC6-0C070DEAA876}"/>
    <cellStyle name="Normal 9 4 2 2 2 4" xfId="32910" xr:uid="{1362283F-EB08-4B4E-B604-9484CDD0BDD5}"/>
    <cellStyle name="Normal 9 4 2 2 3" xfId="13471" xr:uid="{00000000-0005-0000-0000-00008F5D0000}"/>
    <cellStyle name="Normal 9 4 2 2 3 2" xfId="37320" xr:uid="{68D2A07F-7F13-48D8-8899-D7FBE5DB9B15}"/>
    <cellStyle name="Normal 9 4 2 2 4" xfId="21426" xr:uid="{00000000-0005-0000-0000-0000905D0000}"/>
    <cellStyle name="Normal 9 4 2 2 4 2" xfId="45258" xr:uid="{CC4E2B56-4CB5-4A99-BF97-BF87B2DADED4}"/>
    <cellStyle name="Normal 9 4 2 2 5" xfId="29379" xr:uid="{5F8D9472-2E5B-45E9-8B36-3F141498A176}"/>
    <cellStyle name="Normal 9 4 2 3" xfId="7279" xr:uid="{00000000-0005-0000-0000-0000915D0000}"/>
    <cellStyle name="Normal 9 4 2 3 2" xfId="15251" xr:uid="{00000000-0005-0000-0000-0000925D0000}"/>
    <cellStyle name="Normal 9 4 2 3 2 2" xfId="39093" xr:uid="{0D5CD203-CA2E-4AA1-BCE6-0015C3C2E613}"/>
    <cellStyle name="Normal 9 4 2 3 3" xfId="23198" xr:uid="{00000000-0005-0000-0000-0000935D0000}"/>
    <cellStyle name="Normal 9 4 2 3 3 2" xfId="47030" xr:uid="{6AD667E6-FB7B-41F6-A361-7E45BFB4E1E8}"/>
    <cellStyle name="Normal 9 4 2 3 4" xfId="31152" xr:uid="{7B49A630-468D-46D2-9AAD-E5E7D8F94FE3}"/>
    <cellStyle name="Normal 9 4 2 4" xfId="11715" xr:uid="{00000000-0005-0000-0000-0000945D0000}"/>
    <cellStyle name="Normal 9 4 2 4 2" xfId="35564" xr:uid="{07957492-7174-42C0-A2E8-702C5CEBFDE6}"/>
    <cellStyle name="Normal 9 4 2 5" xfId="19670" xr:uid="{00000000-0005-0000-0000-0000955D0000}"/>
    <cellStyle name="Normal 9 4 2 5 2" xfId="43502" xr:uid="{1199BF8F-05B6-4F45-8BDE-69552E6DA562}"/>
    <cellStyle name="Normal 9 4 2 6" xfId="27622" xr:uid="{9316E394-EF73-4C67-8297-7157C7C9BB0E}"/>
    <cellStyle name="Normal 9 4 2_Exh G" xfId="3568" xr:uid="{00000000-0005-0000-0000-0000965D0000}"/>
    <cellStyle name="Normal 9 4 3" xfId="4568" xr:uid="{00000000-0005-0000-0000-0000975D0000}"/>
    <cellStyle name="Normal 9 4 3 2" xfId="8160" xr:uid="{00000000-0005-0000-0000-0000985D0000}"/>
    <cellStyle name="Normal 9 4 3 2 2" xfId="16131" xr:uid="{00000000-0005-0000-0000-0000995D0000}"/>
    <cellStyle name="Normal 9 4 3 2 2 2" xfId="39973" xr:uid="{174CAC2D-99D2-41EC-905F-0B49567B769F}"/>
    <cellStyle name="Normal 9 4 3 2 3" xfId="24077" xr:uid="{00000000-0005-0000-0000-00009A5D0000}"/>
    <cellStyle name="Normal 9 4 3 2 3 2" xfId="47909" xr:uid="{50E4E083-6AB5-46C2-83A0-35F582E02930}"/>
    <cellStyle name="Normal 9 4 3 2 4" xfId="32032" xr:uid="{3DA8519D-4A7E-4962-9BD6-F5EB21203B54}"/>
    <cellStyle name="Normal 9 4 3 3" xfId="12593" xr:uid="{00000000-0005-0000-0000-00009B5D0000}"/>
    <cellStyle name="Normal 9 4 3 3 2" xfId="36442" xr:uid="{A42BF1C1-F998-4C8C-87EF-46EE30609F25}"/>
    <cellStyle name="Normal 9 4 3 4" xfId="20548" xr:uid="{00000000-0005-0000-0000-00009C5D0000}"/>
    <cellStyle name="Normal 9 4 3 4 2" xfId="44380" xr:uid="{8A6BFBE0-387B-433B-AFE5-7457CD3353D0}"/>
    <cellStyle name="Normal 9 4 3 5" xfId="28501" xr:uid="{4F3C5504-3C48-4FA7-9289-DCBC459B103A}"/>
    <cellStyle name="Normal 9 4 4" xfId="6398" xr:uid="{00000000-0005-0000-0000-00009D5D0000}"/>
    <cellStyle name="Normal 9 4 4 2" xfId="14373" xr:uid="{00000000-0005-0000-0000-00009E5D0000}"/>
    <cellStyle name="Normal 9 4 4 2 2" xfId="38215" xr:uid="{BBB12647-4BEB-4A94-8506-B2DEF3D98F52}"/>
    <cellStyle name="Normal 9 4 4 3" xfId="22320" xr:uid="{00000000-0005-0000-0000-00009F5D0000}"/>
    <cellStyle name="Normal 9 4 4 3 2" xfId="46152" xr:uid="{F99A4906-9905-4A25-B226-6D9844F59146}"/>
    <cellStyle name="Normal 9 4 4 4" xfId="30274" xr:uid="{2C47DBE0-8E0A-42DC-9B10-8F051882924F}"/>
    <cellStyle name="Normal 9 4 5" xfId="9941" xr:uid="{00000000-0005-0000-0000-0000A05D0000}"/>
    <cellStyle name="Normal 9 4 5 2" xfId="17899" xr:uid="{00000000-0005-0000-0000-0000A15D0000}"/>
    <cellStyle name="Normal 9 4 5 2 2" xfId="41739" xr:uid="{34F32108-BE57-4611-A37B-830D7440E4C0}"/>
    <cellStyle name="Normal 9 4 5 3" xfId="25843" xr:uid="{00000000-0005-0000-0000-0000A25D0000}"/>
    <cellStyle name="Normal 9 4 5 3 2" xfId="49675" xr:uid="{399F9C2B-29F9-4BE5-BF45-25B4A1B1A4BE}"/>
    <cellStyle name="Normal 9 4 5 4" xfId="33798" xr:uid="{424BE975-17FE-42DE-92F7-047D68146C34}"/>
    <cellStyle name="Normal 9 4 6" xfId="10837" xr:uid="{00000000-0005-0000-0000-0000A35D0000}"/>
    <cellStyle name="Normal 9 4 6 2" xfId="34686" xr:uid="{3118F787-5801-479B-B93B-CA209D8042C8}"/>
    <cellStyle name="Normal 9 4 7" xfId="18792" xr:uid="{00000000-0005-0000-0000-0000A45D0000}"/>
    <cellStyle name="Normal 9 4 7 2" xfId="42624" xr:uid="{870DB111-5E36-4222-A0E3-42DFD905E807}"/>
    <cellStyle name="Normal 9 4 8" xfId="26744" xr:uid="{958602D8-7E24-4B0C-953D-EB0336DE7CA7}"/>
    <cellStyle name="Normal 9 4_Exh G" xfId="3567" xr:uid="{00000000-0005-0000-0000-0000A55D0000}"/>
    <cellStyle name="Normal 9_Exh G" xfId="3560" xr:uid="{00000000-0005-0000-0000-0000A65D0000}"/>
    <cellStyle name="Normal_Appendix G 11 FEBRUARY 10 temploan no 303 ver2 2" xfId="1028" xr:uid="{00000000-0005-0000-0000-0000A75D0000}"/>
    <cellStyle name="Normal_ExhibitF_05-06" xfId="19" xr:uid="{00000000-0005-0000-0000-0000A85D0000}"/>
    <cellStyle name="Normal_ExhibitF_05-06 2" xfId="25861" xr:uid="{00000000-0005-0000-0000-0000A95D0000}"/>
    <cellStyle name="Normal_Summary Analysis" xfId="25875" xr:uid="{00000000-0005-0000-0000-0000AA5D0000}"/>
    <cellStyle name="Note 10" xfId="686" xr:uid="{00000000-0005-0000-0000-0000AB5D0000}"/>
    <cellStyle name="Note 10 10" xfId="18589" xr:uid="{00000000-0005-0000-0000-0000AC5D0000}"/>
    <cellStyle name="Note 10 10 2" xfId="42421" xr:uid="{B4A4751D-A348-4128-B140-2F7DA7977575}"/>
    <cellStyle name="Note 10 11" xfId="26541" xr:uid="{170622BA-A862-4ECF-9A41-9BB1FFE1C0BC}"/>
    <cellStyle name="Note 10 2" xfId="687" xr:uid="{00000000-0005-0000-0000-0000AD5D0000}"/>
    <cellStyle name="Note 10 2 2" xfId="688" xr:uid="{00000000-0005-0000-0000-0000AE5D0000}"/>
    <cellStyle name="Note 10 2 2 2" xfId="1716" xr:uid="{00000000-0005-0000-0000-0000AF5D0000}"/>
    <cellStyle name="Note 10 2 2 2 2" xfId="5246" xr:uid="{00000000-0005-0000-0000-0000B05D0000}"/>
    <cellStyle name="Note 10 2 2 2 2 2" xfId="8837" xr:uid="{00000000-0005-0000-0000-0000B15D0000}"/>
    <cellStyle name="Note 10 2 2 2 2 2 2" xfId="16808" xr:uid="{00000000-0005-0000-0000-0000B25D0000}"/>
    <cellStyle name="Note 10 2 2 2 2 2 2 2" xfId="40650" xr:uid="{1490DD00-CDFE-4D04-A0AE-573BDF6A7C2B}"/>
    <cellStyle name="Note 10 2 2 2 2 2 3" xfId="24754" xr:uid="{00000000-0005-0000-0000-0000B35D0000}"/>
    <cellStyle name="Note 10 2 2 2 2 2 3 2" xfId="48586" xr:uid="{11FD39CC-EB21-49EF-BD95-0316F2B07347}"/>
    <cellStyle name="Note 10 2 2 2 2 2 4" xfId="32709" xr:uid="{018C9CF5-10E4-45B1-9DF5-62FF8BED762E}"/>
    <cellStyle name="Note 10 2 2 2 2 3" xfId="13270" xr:uid="{00000000-0005-0000-0000-0000B45D0000}"/>
    <cellStyle name="Note 10 2 2 2 2 3 2" xfId="37119" xr:uid="{4404C457-7672-41A6-996E-79840EBE06C2}"/>
    <cellStyle name="Note 10 2 2 2 2 4" xfId="21225" xr:uid="{00000000-0005-0000-0000-0000B55D0000}"/>
    <cellStyle name="Note 10 2 2 2 2 4 2" xfId="45057" xr:uid="{1E9211A2-D342-42B2-A275-EE55461160E3}"/>
    <cellStyle name="Note 10 2 2 2 2 5" xfId="29178" xr:uid="{C15539FA-5404-406A-8A0D-9ADFF44A2F3E}"/>
    <cellStyle name="Note 10 2 2 2 3" xfId="7078" xr:uid="{00000000-0005-0000-0000-0000B65D0000}"/>
    <cellStyle name="Note 10 2 2 2 3 2" xfId="15050" xr:uid="{00000000-0005-0000-0000-0000B75D0000}"/>
    <cellStyle name="Note 10 2 2 2 3 2 2" xfId="38892" xr:uid="{89B19CB6-EA01-49EA-BD82-93A67921F102}"/>
    <cellStyle name="Note 10 2 2 2 3 3" xfId="22997" xr:uid="{00000000-0005-0000-0000-0000B85D0000}"/>
    <cellStyle name="Note 10 2 2 2 3 3 2" xfId="46829" xr:uid="{F55F58B3-5D80-4529-9270-AC0BA554DF17}"/>
    <cellStyle name="Note 10 2 2 2 3 4" xfId="30951" xr:uid="{2E3BD48D-D467-4C75-BEAE-3CE5A04A1C93}"/>
    <cellStyle name="Note 10 2 2 2 4" xfId="11514" xr:uid="{00000000-0005-0000-0000-0000B95D0000}"/>
    <cellStyle name="Note 10 2 2 2 4 2" xfId="35363" xr:uid="{F7BC85E4-7902-4F07-BBC7-E98EE1E38D51}"/>
    <cellStyle name="Note 10 2 2 2 5" xfId="19469" xr:uid="{00000000-0005-0000-0000-0000BA5D0000}"/>
    <cellStyle name="Note 10 2 2 2 5 2" xfId="43301" xr:uid="{66FB5783-DE2E-413E-B679-7F62EE865006}"/>
    <cellStyle name="Note 10 2 2 2 6" xfId="27421" xr:uid="{D95A1833-EB7F-4336-BAF9-8F0334946E3C}"/>
    <cellStyle name="Note 10 2 2 2_Exh G" xfId="3572" xr:uid="{00000000-0005-0000-0000-0000BB5D0000}"/>
    <cellStyle name="Note 10 2 2 3" xfId="4367" xr:uid="{00000000-0005-0000-0000-0000BC5D0000}"/>
    <cellStyle name="Note 10 2 2 3 2" xfId="7959" xr:uid="{00000000-0005-0000-0000-0000BD5D0000}"/>
    <cellStyle name="Note 10 2 2 3 2 2" xfId="15930" xr:uid="{00000000-0005-0000-0000-0000BE5D0000}"/>
    <cellStyle name="Note 10 2 2 3 2 2 2" xfId="39772" xr:uid="{F628BFA7-0138-404D-8293-DDC32F2D61F6}"/>
    <cellStyle name="Note 10 2 2 3 2 3" xfId="23876" xr:uid="{00000000-0005-0000-0000-0000BF5D0000}"/>
    <cellStyle name="Note 10 2 2 3 2 3 2" xfId="47708" xr:uid="{E26F4AA7-8583-43D3-8AF0-BA2D674506FC}"/>
    <cellStyle name="Note 10 2 2 3 2 4" xfId="31831" xr:uid="{B3DADC3F-89A4-4688-88E9-353CB37835DE}"/>
    <cellStyle name="Note 10 2 2 3 3" xfId="12392" xr:uid="{00000000-0005-0000-0000-0000C05D0000}"/>
    <cellStyle name="Note 10 2 2 3 3 2" xfId="36241" xr:uid="{D5CA6250-ECA6-4E16-84A9-0C4B94D372EE}"/>
    <cellStyle name="Note 10 2 2 3 4" xfId="20347" xr:uid="{00000000-0005-0000-0000-0000C15D0000}"/>
    <cellStyle name="Note 10 2 2 3 4 2" xfId="44179" xr:uid="{F669E793-7FB9-464E-97F8-4CF0196F17A6}"/>
    <cellStyle name="Note 10 2 2 3 5" xfId="28300" xr:uid="{FCDD3FD7-324C-4868-98B9-41B2B385C1DA}"/>
    <cellStyle name="Note 10 2 2 4" xfId="6187" xr:uid="{00000000-0005-0000-0000-0000C25D0000}"/>
    <cellStyle name="Note 10 2 2 4 2" xfId="14171" xr:uid="{00000000-0005-0000-0000-0000C35D0000}"/>
    <cellStyle name="Note 10 2 2 4 2 2" xfId="38014" xr:uid="{6E444B27-9BED-4A5D-9951-3A0EACB6EAFC}"/>
    <cellStyle name="Note 10 2 2 4 3" xfId="22119" xr:uid="{00000000-0005-0000-0000-0000C45D0000}"/>
    <cellStyle name="Note 10 2 2 4 3 2" xfId="45951" xr:uid="{BA36D904-A27A-4283-A25F-B081C76B1574}"/>
    <cellStyle name="Note 10 2 2 4 4" xfId="30073" xr:uid="{B80CC1CC-3D53-4156-87D7-330D975264F4}"/>
    <cellStyle name="Note 10 2 2 5" xfId="9740" xr:uid="{00000000-0005-0000-0000-0000C55D0000}"/>
    <cellStyle name="Note 10 2 2 5 2" xfId="17698" xr:uid="{00000000-0005-0000-0000-0000C65D0000}"/>
    <cellStyle name="Note 10 2 2 5 2 2" xfId="41538" xr:uid="{790BC151-BD71-4D5E-9C0B-F8FFAC064CDA}"/>
    <cellStyle name="Note 10 2 2 5 3" xfId="25642" xr:uid="{00000000-0005-0000-0000-0000C75D0000}"/>
    <cellStyle name="Note 10 2 2 5 3 2" xfId="49474" xr:uid="{EE003F27-D5CA-461A-A135-1D28C89BAAC3}"/>
    <cellStyle name="Note 10 2 2 5 4" xfId="33597" xr:uid="{E1830BCB-4DCE-436E-80A0-510C53C3B0EB}"/>
    <cellStyle name="Note 10 2 2 6" xfId="10636" xr:uid="{00000000-0005-0000-0000-0000C85D0000}"/>
    <cellStyle name="Note 10 2 2 6 2" xfId="34485" xr:uid="{3B65DE2A-1FFD-402F-BB87-AC17A31ED759}"/>
    <cellStyle name="Note 10 2 2 7" xfId="18591" xr:uid="{00000000-0005-0000-0000-0000C95D0000}"/>
    <cellStyle name="Note 10 2 2 7 2" xfId="42423" xr:uid="{D4819311-77D5-444A-BB1F-C305257218BA}"/>
    <cellStyle name="Note 10 2 2 8" xfId="26543" xr:uid="{604B63B3-530A-4DBF-B4FD-DA25C4C5A0DB}"/>
    <cellStyle name="Note 10 2 2_Exh G" xfId="3571" xr:uid="{00000000-0005-0000-0000-0000CA5D0000}"/>
    <cellStyle name="Note 10 2 3" xfId="1715" xr:uid="{00000000-0005-0000-0000-0000CB5D0000}"/>
    <cellStyle name="Note 10 2 3 2" xfId="5245" xr:uid="{00000000-0005-0000-0000-0000CC5D0000}"/>
    <cellStyle name="Note 10 2 3 2 2" xfId="8836" xr:uid="{00000000-0005-0000-0000-0000CD5D0000}"/>
    <cellStyle name="Note 10 2 3 2 2 2" xfId="16807" xr:uid="{00000000-0005-0000-0000-0000CE5D0000}"/>
    <cellStyle name="Note 10 2 3 2 2 2 2" xfId="40649" xr:uid="{AECF2571-4702-4DF6-A2EF-0ACBA272634E}"/>
    <cellStyle name="Note 10 2 3 2 2 3" xfId="24753" xr:uid="{00000000-0005-0000-0000-0000CF5D0000}"/>
    <cellStyle name="Note 10 2 3 2 2 3 2" xfId="48585" xr:uid="{7170AEAA-D595-4CC4-84FE-39B613A4EA58}"/>
    <cellStyle name="Note 10 2 3 2 2 4" xfId="32708" xr:uid="{B66DD962-6549-4671-BC36-AB5B41009528}"/>
    <cellStyle name="Note 10 2 3 2 3" xfId="13269" xr:uid="{00000000-0005-0000-0000-0000D05D0000}"/>
    <cellStyle name="Note 10 2 3 2 3 2" xfId="37118" xr:uid="{D1E043B4-7A14-4DA3-BB2D-23BF792020BC}"/>
    <cellStyle name="Note 10 2 3 2 4" xfId="21224" xr:uid="{00000000-0005-0000-0000-0000D15D0000}"/>
    <cellStyle name="Note 10 2 3 2 4 2" xfId="45056" xr:uid="{64B9102B-C9D9-4959-B1F9-4FB09BFD5982}"/>
    <cellStyle name="Note 10 2 3 2 5" xfId="29177" xr:uid="{6B15E573-6DBA-4273-AC6D-513A3CEB7316}"/>
    <cellStyle name="Note 10 2 3 3" xfId="7077" xr:uid="{00000000-0005-0000-0000-0000D25D0000}"/>
    <cellStyle name="Note 10 2 3 3 2" xfId="15049" xr:uid="{00000000-0005-0000-0000-0000D35D0000}"/>
    <cellStyle name="Note 10 2 3 3 2 2" xfId="38891" xr:uid="{30400AC1-BA81-41B2-8E4A-04FEBF2C94CE}"/>
    <cellStyle name="Note 10 2 3 3 3" xfId="22996" xr:uid="{00000000-0005-0000-0000-0000D45D0000}"/>
    <cellStyle name="Note 10 2 3 3 3 2" xfId="46828" xr:uid="{16D542E3-18E8-4FF4-BAC0-9F8BDFD36C9F}"/>
    <cellStyle name="Note 10 2 3 3 4" xfId="30950" xr:uid="{EBAD7FB9-EC9D-48A2-862E-423895629125}"/>
    <cellStyle name="Note 10 2 3 4" xfId="11513" xr:uid="{00000000-0005-0000-0000-0000D55D0000}"/>
    <cellStyle name="Note 10 2 3 4 2" xfId="35362" xr:uid="{9DACD60E-4DFC-4A08-B6C5-752CA815F355}"/>
    <cellStyle name="Note 10 2 3 5" xfId="19468" xr:uid="{00000000-0005-0000-0000-0000D65D0000}"/>
    <cellStyle name="Note 10 2 3 5 2" xfId="43300" xr:uid="{F5BE6D8A-6469-4011-8B94-812BA3ACDFA3}"/>
    <cellStyle name="Note 10 2 3 6" xfId="27420" xr:uid="{D94C5ED7-F1C3-45ED-9B71-56BF11845C8E}"/>
    <cellStyle name="Note 10 2 3_Exh G" xfId="3573" xr:uid="{00000000-0005-0000-0000-0000D75D0000}"/>
    <cellStyle name="Note 10 2 4" xfId="4366" xr:uid="{00000000-0005-0000-0000-0000D85D0000}"/>
    <cellStyle name="Note 10 2 4 2" xfId="7958" xr:uid="{00000000-0005-0000-0000-0000D95D0000}"/>
    <cellStyle name="Note 10 2 4 2 2" xfId="15929" xr:uid="{00000000-0005-0000-0000-0000DA5D0000}"/>
    <cellStyle name="Note 10 2 4 2 2 2" xfId="39771" xr:uid="{4F110200-1344-4CC1-B6B0-90D8D32FDD5E}"/>
    <cellStyle name="Note 10 2 4 2 3" xfId="23875" xr:uid="{00000000-0005-0000-0000-0000DB5D0000}"/>
    <cellStyle name="Note 10 2 4 2 3 2" xfId="47707" xr:uid="{A79C15A5-EDAA-4E52-BE1C-FEFF6A876CE9}"/>
    <cellStyle name="Note 10 2 4 2 4" xfId="31830" xr:uid="{0C0D29BF-A5B0-4F8C-8A06-CE6B2A9E31C9}"/>
    <cellStyle name="Note 10 2 4 3" xfId="12391" xr:uid="{00000000-0005-0000-0000-0000DC5D0000}"/>
    <cellStyle name="Note 10 2 4 3 2" xfId="36240" xr:uid="{85EE77F7-BDF3-4481-9900-03FEB4B4F16E}"/>
    <cellStyle name="Note 10 2 4 4" xfId="20346" xr:uid="{00000000-0005-0000-0000-0000DD5D0000}"/>
    <cellStyle name="Note 10 2 4 4 2" xfId="44178" xr:uid="{9A033D24-F1FF-4C75-B651-8948DEDBF6B2}"/>
    <cellStyle name="Note 10 2 4 5" xfId="28299" xr:uid="{6F07A4A5-0756-4599-B3B2-86C5F8537AD6}"/>
    <cellStyle name="Note 10 2 5" xfId="6186" xr:uid="{00000000-0005-0000-0000-0000DE5D0000}"/>
    <cellStyle name="Note 10 2 5 2" xfId="14170" xr:uid="{00000000-0005-0000-0000-0000DF5D0000}"/>
    <cellStyle name="Note 10 2 5 2 2" xfId="38013" xr:uid="{F1253C75-5245-4503-BDB1-BC6CEEEB4307}"/>
    <cellStyle name="Note 10 2 5 3" xfId="22118" xr:uid="{00000000-0005-0000-0000-0000E05D0000}"/>
    <cellStyle name="Note 10 2 5 3 2" xfId="45950" xr:uid="{ADE5950D-8FA5-42E6-8813-38A75EC1B9C0}"/>
    <cellStyle name="Note 10 2 5 4" xfId="30072" xr:uid="{AC49522A-A2B8-4915-AD11-06D9764F0BF7}"/>
    <cellStyle name="Note 10 2 6" xfId="9739" xr:uid="{00000000-0005-0000-0000-0000E15D0000}"/>
    <cellStyle name="Note 10 2 6 2" xfId="17697" xr:uid="{00000000-0005-0000-0000-0000E25D0000}"/>
    <cellStyle name="Note 10 2 6 2 2" xfId="41537" xr:uid="{DF21C95F-A3BC-40EA-8769-3C040ECB4C5A}"/>
    <cellStyle name="Note 10 2 6 3" xfId="25641" xr:uid="{00000000-0005-0000-0000-0000E35D0000}"/>
    <cellStyle name="Note 10 2 6 3 2" xfId="49473" xr:uid="{CB976899-6B2A-4B45-8832-F966E2B41DF0}"/>
    <cellStyle name="Note 10 2 6 4" xfId="33596" xr:uid="{BAD3A0B4-B02D-4031-96CE-0914B2AB62E6}"/>
    <cellStyle name="Note 10 2 7" xfId="10635" xr:uid="{00000000-0005-0000-0000-0000E45D0000}"/>
    <cellStyle name="Note 10 2 7 2" xfId="34484" xr:uid="{5534D42E-DFD7-4F51-92BB-EA9412653D36}"/>
    <cellStyle name="Note 10 2 8" xfId="18590" xr:uid="{00000000-0005-0000-0000-0000E55D0000}"/>
    <cellStyle name="Note 10 2 8 2" xfId="42422" xr:uid="{5935D558-1E13-4AA4-B0FD-F556A6B059C8}"/>
    <cellStyle name="Note 10 2 9" xfId="26542" xr:uid="{D8150226-1888-49F5-8072-3DD6685E0D8D}"/>
    <cellStyle name="Note 10 2_Exh G" xfId="3570" xr:uid="{00000000-0005-0000-0000-0000E65D0000}"/>
    <cellStyle name="Note 10 3" xfId="689" xr:uid="{00000000-0005-0000-0000-0000E75D0000}"/>
    <cellStyle name="Note 10 3 2" xfId="1717" xr:uid="{00000000-0005-0000-0000-0000E85D0000}"/>
    <cellStyle name="Note 10 3 2 2" xfId="5247" xr:uid="{00000000-0005-0000-0000-0000E95D0000}"/>
    <cellStyle name="Note 10 3 2 2 2" xfId="8838" xr:uid="{00000000-0005-0000-0000-0000EA5D0000}"/>
    <cellStyle name="Note 10 3 2 2 2 2" xfId="16809" xr:uid="{00000000-0005-0000-0000-0000EB5D0000}"/>
    <cellStyle name="Note 10 3 2 2 2 2 2" xfId="40651" xr:uid="{93DBB7C2-736C-4E9E-9C81-D3E19311595E}"/>
    <cellStyle name="Note 10 3 2 2 2 3" xfId="24755" xr:uid="{00000000-0005-0000-0000-0000EC5D0000}"/>
    <cellStyle name="Note 10 3 2 2 2 3 2" xfId="48587" xr:uid="{392EEE8B-61C8-4C2D-BCC4-FF7888D3BEDA}"/>
    <cellStyle name="Note 10 3 2 2 2 4" xfId="32710" xr:uid="{011A74FD-7FDE-477A-874A-CF23FB51AC22}"/>
    <cellStyle name="Note 10 3 2 2 3" xfId="13271" xr:uid="{00000000-0005-0000-0000-0000ED5D0000}"/>
    <cellStyle name="Note 10 3 2 2 3 2" xfId="37120" xr:uid="{69034329-2489-4359-9142-9DF556993DBE}"/>
    <cellStyle name="Note 10 3 2 2 4" xfId="21226" xr:uid="{00000000-0005-0000-0000-0000EE5D0000}"/>
    <cellStyle name="Note 10 3 2 2 4 2" xfId="45058" xr:uid="{3A81930D-535F-4EB4-8190-ECA107C3B620}"/>
    <cellStyle name="Note 10 3 2 2 5" xfId="29179" xr:uid="{F1E5A12B-F6C7-4249-B4BD-848F3E138502}"/>
    <cellStyle name="Note 10 3 2 3" xfId="7079" xr:uid="{00000000-0005-0000-0000-0000EF5D0000}"/>
    <cellStyle name="Note 10 3 2 3 2" xfId="15051" xr:uid="{00000000-0005-0000-0000-0000F05D0000}"/>
    <cellStyle name="Note 10 3 2 3 2 2" xfId="38893" xr:uid="{224A0B50-B012-4415-9E28-1A16982116CF}"/>
    <cellStyle name="Note 10 3 2 3 3" xfId="22998" xr:uid="{00000000-0005-0000-0000-0000F15D0000}"/>
    <cellStyle name="Note 10 3 2 3 3 2" xfId="46830" xr:uid="{E3EFBBAD-563D-4AD9-B352-2C4F6EDF9A5F}"/>
    <cellStyle name="Note 10 3 2 3 4" xfId="30952" xr:uid="{D66E009C-DC13-46F4-92C0-29386610090A}"/>
    <cellStyle name="Note 10 3 2 4" xfId="11515" xr:uid="{00000000-0005-0000-0000-0000F25D0000}"/>
    <cellStyle name="Note 10 3 2 4 2" xfId="35364" xr:uid="{E55282D2-5B29-4744-B33D-AA03AC064A11}"/>
    <cellStyle name="Note 10 3 2 5" xfId="19470" xr:uid="{00000000-0005-0000-0000-0000F35D0000}"/>
    <cellStyle name="Note 10 3 2 5 2" xfId="43302" xr:uid="{D733343C-7757-4119-809F-8DBF5EC4DDFA}"/>
    <cellStyle name="Note 10 3 2 6" xfId="27422" xr:uid="{0C2559BA-7214-432C-AF27-1B0FAFDD84B2}"/>
    <cellStyle name="Note 10 3 2_Exh G" xfId="3575" xr:uid="{00000000-0005-0000-0000-0000F45D0000}"/>
    <cellStyle name="Note 10 3 3" xfId="4368" xr:uid="{00000000-0005-0000-0000-0000F55D0000}"/>
    <cellStyle name="Note 10 3 3 2" xfId="7960" xr:uid="{00000000-0005-0000-0000-0000F65D0000}"/>
    <cellStyle name="Note 10 3 3 2 2" xfId="15931" xr:uid="{00000000-0005-0000-0000-0000F75D0000}"/>
    <cellStyle name="Note 10 3 3 2 2 2" xfId="39773" xr:uid="{CC89AA70-42D8-4070-8618-1B8B222BD180}"/>
    <cellStyle name="Note 10 3 3 2 3" xfId="23877" xr:uid="{00000000-0005-0000-0000-0000F85D0000}"/>
    <cellStyle name="Note 10 3 3 2 3 2" xfId="47709" xr:uid="{0232DCDE-5857-4B1B-9870-01C54E9C0F51}"/>
    <cellStyle name="Note 10 3 3 2 4" xfId="31832" xr:uid="{37EFB53C-A027-44CA-8523-9CA9C0ED661C}"/>
    <cellStyle name="Note 10 3 3 3" xfId="12393" xr:uid="{00000000-0005-0000-0000-0000F95D0000}"/>
    <cellStyle name="Note 10 3 3 3 2" xfId="36242" xr:uid="{9AED8CC0-E5AE-4AE6-B4A7-7D526778334B}"/>
    <cellStyle name="Note 10 3 3 4" xfId="20348" xr:uid="{00000000-0005-0000-0000-0000FA5D0000}"/>
    <cellStyle name="Note 10 3 3 4 2" xfId="44180" xr:uid="{025894E3-3D38-410A-83A4-D6FDCEE1242B}"/>
    <cellStyle name="Note 10 3 3 5" xfId="28301" xr:uid="{DA7D1939-FFF5-4389-93DF-C3C8610B82B8}"/>
    <cellStyle name="Note 10 3 4" xfId="6188" xr:uid="{00000000-0005-0000-0000-0000FB5D0000}"/>
    <cellStyle name="Note 10 3 4 2" xfId="14172" xr:uid="{00000000-0005-0000-0000-0000FC5D0000}"/>
    <cellStyle name="Note 10 3 4 2 2" xfId="38015" xr:uid="{A643D03E-5FC4-441A-A85A-EF1F6CDAD45F}"/>
    <cellStyle name="Note 10 3 4 3" xfId="22120" xr:uid="{00000000-0005-0000-0000-0000FD5D0000}"/>
    <cellStyle name="Note 10 3 4 3 2" xfId="45952" xr:uid="{A7F91B9A-0E70-4741-B4FF-1CCC6A375AFF}"/>
    <cellStyle name="Note 10 3 4 4" xfId="30074" xr:uid="{95D62A08-2014-4611-90B7-8B39B111F960}"/>
    <cellStyle name="Note 10 3 5" xfId="9741" xr:uid="{00000000-0005-0000-0000-0000FE5D0000}"/>
    <cellStyle name="Note 10 3 5 2" xfId="17699" xr:uid="{00000000-0005-0000-0000-0000FF5D0000}"/>
    <cellStyle name="Note 10 3 5 2 2" xfId="41539" xr:uid="{8750041F-793E-48C9-B3FE-A9764967ABFA}"/>
    <cellStyle name="Note 10 3 5 3" xfId="25643" xr:uid="{00000000-0005-0000-0000-0000005E0000}"/>
    <cellStyle name="Note 10 3 5 3 2" xfId="49475" xr:uid="{B310BA77-288C-43B5-9DD5-F2AD1D778661}"/>
    <cellStyle name="Note 10 3 5 4" xfId="33598" xr:uid="{27C9862E-260D-4A62-A183-DA1525210B1F}"/>
    <cellStyle name="Note 10 3 6" xfId="10637" xr:uid="{00000000-0005-0000-0000-0000015E0000}"/>
    <cellStyle name="Note 10 3 6 2" xfId="34486" xr:uid="{7D4C2C73-2426-4D6D-B815-59EA9CB64D7D}"/>
    <cellStyle name="Note 10 3 7" xfId="18592" xr:uid="{00000000-0005-0000-0000-0000025E0000}"/>
    <cellStyle name="Note 10 3 7 2" xfId="42424" xr:uid="{D4EA7FB1-10C0-45AA-8DE1-2D0E85DCECDD}"/>
    <cellStyle name="Note 10 3 8" xfId="26544" xr:uid="{9D371C36-E494-410E-8836-E3F845FB80A0}"/>
    <cellStyle name="Note 10 3_Exh G" xfId="3574" xr:uid="{00000000-0005-0000-0000-0000035E0000}"/>
    <cellStyle name="Note 10 4" xfId="1029" xr:uid="{00000000-0005-0000-0000-0000045E0000}"/>
    <cellStyle name="Note 10 4 2" xfId="6399" xr:uid="{00000000-0005-0000-0000-0000055E0000}"/>
    <cellStyle name="Note 10 5" xfId="1714" xr:uid="{00000000-0005-0000-0000-0000065E0000}"/>
    <cellStyle name="Note 10 5 2" xfId="5244" xr:uid="{00000000-0005-0000-0000-0000075E0000}"/>
    <cellStyle name="Note 10 5 2 2" xfId="8835" xr:uid="{00000000-0005-0000-0000-0000085E0000}"/>
    <cellStyle name="Note 10 5 2 2 2" xfId="16806" xr:uid="{00000000-0005-0000-0000-0000095E0000}"/>
    <cellStyle name="Note 10 5 2 2 2 2" xfId="40648" xr:uid="{0EB4C82E-4FA2-45CE-9425-30E9AD21FF89}"/>
    <cellStyle name="Note 10 5 2 2 3" xfId="24752" xr:uid="{00000000-0005-0000-0000-00000A5E0000}"/>
    <cellStyle name="Note 10 5 2 2 3 2" xfId="48584" xr:uid="{8CB982B9-8466-4353-BF84-42EACF615DA6}"/>
    <cellStyle name="Note 10 5 2 2 4" xfId="32707" xr:uid="{098B5D08-4649-4433-9464-A83FCBD13E58}"/>
    <cellStyle name="Note 10 5 2 3" xfId="13268" xr:uid="{00000000-0005-0000-0000-00000B5E0000}"/>
    <cellStyle name="Note 10 5 2 3 2" xfId="37117" xr:uid="{5D778B4B-B038-4918-AA8C-4AF0A2E5C182}"/>
    <cellStyle name="Note 10 5 2 4" xfId="21223" xr:uid="{00000000-0005-0000-0000-00000C5E0000}"/>
    <cellStyle name="Note 10 5 2 4 2" xfId="45055" xr:uid="{B341AB2C-A733-434C-95B0-7E8B2A015E1A}"/>
    <cellStyle name="Note 10 5 2 5" xfId="29176" xr:uid="{3D3A213F-01A1-4813-9CED-FF5F2D0BCAFB}"/>
    <cellStyle name="Note 10 5 3" xfId="7076" xr:uid="{00000000-0005-0000-0000-00000D5E0000}"/>
    <cellStyle name="Note 10 5 3 2" xfId="15048" xr:uid="{00000000-0005-0000-0000-00000E5E0000}"/>
    <cellStyle name="Note 10 5 3 2 2" xfId="38890" xr:uid="{217EB7AF-77A3-4FE4-BEE7-607FAAB05378}"/>
    <cellStyle name="Note 10 5 3 3" xfId="22995" xr:uid="{00000000-0005-0000-0000-00000F5E0000}"/>
    <cellStyle name="Note 10 5 3 3 2" xfId="46827" xr:uid="{EFDFFC0E-ADDB-4431-B90F-7E3E05D9DCAC}"/>
    <cellStyle name="Note 10 5 3 4" xfId="30949" xr:uid="{B06A96AF-C34C-4DB5-BA7F-04B7AEAB27E9}"/>
    <cellStyle name="Note 10 5 4" xfId="11512" xr:uid="{00000000-0005-0000-0000-0000105E0000}"/>
    <cellStyle name="Note 10 5 4 2" xfId="35361" xr:uid="{4C74F94D-949F-4830-8C7C-E58F7C477BA9}"/>
    <cellStyle name="Note 10 5 5" xfId="19467" xr:uid="{00000000-0005-0000-0000-0000115E0000}"/>
    <cellStyle name="Note 10 5 5 2" xfId="43299" xr:uid="{8DFB658E-6F39-4179-828D-321DAAC6C7A5}"/>
    <cellStyle name="Note 10 5 6" xfId="27419" xr:uid="{D29929F4-5463-4C43-8809-4CA1A6E5B562}"/>
    <cellStyle name="Note 10 5_Exh G" xfId="3576" xr:uid="{00000000-0005-0000-0000-0000125E0000}"/>
    <cellStyle name="Note 10 6" xfId="4365" xr:uid="{00000000-0005-0000-0000-0000135E0000}"/>
    <cellStyle name="Note 10 6 2" xfId="7957" xr:uid="{00000000-0005-0000-0000-0000145E0000}"/>
    <cellStyle name="Note 10 6 2 2" xfId="15928" xr:uid="{00000000-0005-0000-0000-0000155E0000}"/>
    <cellStyle name="Note 10 6 2 2 2" xfId="39770" xr:uid="{44626A73-64C5-4579-989B-A441E27B5420}"/>
    <cellStyle name="Note 10 6 2 3" xfId="23874" xr:uid="{00000000-0005-0000-0000-0000165E0000}"/>
    <cellStyle name="Note 10 6 2 3 2" xfId="47706" xr:uid="{58DD46FB-6A5F-4438-B8EB-B57574F87660}"/>
    <cellStyle name="Note 10 6 2 4" xfId="31829" xr:uid="{4B658873-0A6D-49C8-ADBB-2EBB9603BF9B}"/>
    <cellStyle name="Note 10 6 3" xfId="12390" xr:uid="{00000000-0005-0000-0000-0000175E0000}"/>
    <cellStyle name="Note 10 6 3 2" xfId="36239" xr:uid="{9A543664-3487-4C00-83E0-828FF7E9E830}"/>
    <cellStyle name="Note 10 6 4" xfId="20345" xr:uid="{00000000-0005-0000-0000-0000185E0000}"/>
    <cellStyle name="Note 10 6 4 2" xfId="44177" xr:uid="{D253D1C5-D8DD-4986-83BF-9F1BE1558FA2}"/>
    <cellStyle name="Note 10 6 5" xfId="28298" xr:uid="{BC437D1C-2E5D-4585-BBB5-12A00C93DCA4}"/>
    <cellStyle name="Note 10 7" xfId="6185" xr:uid="{00000000-0005-0000-0000-0000195E0000}"/>
    <cellStyle name="Note 10 7 2" xfId="14169" xr:uid="{00000000-0005-0000-0000-00001A5E0000}"/>
    <cellStyle name="Note 10 7 2 2" xfId="38012" xr:uid="{EE21B758-7E4E-48BB-9F9F-C8A5CB187B74}"/>
    <cellStyle name="Note 10 7 3" xfId="22117" xr:uid="{00000000-0005-0000-0000-00001B5E0000}"/>
    <cellStyle name="Note 10 7 3 2" xfId="45949" xr:uid="{23C9551B-D962-49FE-A99E-4CE1C494B958}"/>
    <cellStyle name="Note 10 7 4" xfId="30071" xr:uid="{33469D56-9521-4434-BBEC-9FB2814EA7B8}"/>
    <cellStyle name="Note 10 8" xfId="9738" xr:uid="{00000000-0005-0000-0000-00001C5E0000}"/>
    <cellStyle name="Note 10 8 2" xfId="17696" xr:uid="{00000000-0005-0000-0000-00001D5E0000}"/>
    <cellStyle name="Note 10 8 2 2" xfId="41536" xr:uid="{E0334137-843F-482A-9811-782366288129}"/>
    <cellStyle name="Note 10 8 3" xfId="25640" xr:uid="{00000000-0005-0000-0000-00001E5E0000}"/>
    <cellStyle name="Note 10 8 3 2" xfId="49472" xr:uid="{84208654-A65D-4FDA-8547-623EBA2A61DF}"/>
    <cellStyle name="Note 10 8 4" xfId="33595" xr:uid="{213201B0-173F-4736-BB7C-8118C497C286}"/>
    <cellStyle name="Note 10 9" xfId="10634" xr:uid="{00000000-0005-0000-0000-00001F5E0000}"/>
    <cellStyle name="Note 10 9 2" xfId="34483" xr:uid="{6E262670-C577-4CBA-8951-7C95F86A37D3}"/>
    <cellStyle name="Note 10_Exh G" xfId="3569" xr:uid="{00000000-0005-0000-0000-0000205E0000}"/>
    <cellStyle name="Note 11" xfId="690" xr:uid="{00000000-0005-0000-0000-0000215E0000}"/>
    <cellStyle name="Note 11 10" xfId="26545" xr:uid="{2772E2A4-028E-42C3-BE92-E4453FA13237}"/>
    <cellStyle name="Note 11 2" xfId="691" xr:uid="{00000000-0005-0000-0000-0000225E0000}"/>
    <cellStyle name="Note 11 2 2" xfId="692" xr:uid="{00000000-0005-0000-0000-0000235E0000}"/>
    <cellStyle name="Note 11 2 2 2" xfId="1720" xr:uid="{00000000-0005-0000-0000-0000245E0000}"/>
    <cellStyle name="Note 11 2 2 2 2" xfId="5250" xr:uid="{00000000-0005-0000-0000-0000255E0000}"/>
    <cellStyle name="Note 11 2 2 2 2 2" xfId="8841" xr:uid="{00000000-0005-0000-0000-0000265E0000}"/>
    <cellStyle name="Note 11 2 2 2 2 2 2" xfId="16812" xr:uid="{00000000-0005-0000-0000-0000275E0000}"/>
    <cellStyle name="Note 11 2 2 2 2 2 2 2" xfId="40654" xr:uid="{E64B8A8F-9100-4BF8-89BE-6F65E22E80F7}"/>
    <cellStyle name="Note 11 2 2 2 2 2 3" xfId="24758" xr:uid="{00000000-0005-0000-0000-0000285E0000}"/>
    <cellStyle name="Note 11 2 2 2 2 2 3 2" xfId="48590" xr:uid="{BAE8DCB4-B8B1-4E4B-9895-8BF9DD0BE734}"/>
    <cellStyle name="Note 11 2 2 2 2 2 4" xfId="32713" xr:uid="{D7E1F3BC-8878-4D05-A59E-53AF9C150036}"/>
    <cellStyle name="Note 11 2 2 2 2 3" xfId="13274" xr:uid="{00000000-0005-0000-0000-0000295E0000}"/>
    <cellStyle name="Note 11 2 2 2 2 3 2" xfId="37123" xr:uid="{4DA85904-3966-4010-B196-33C2C4DFFD85}"/>
    <cellStyle name="Note 11 2 2 2 2 4" xfId="21229" xr:uid="{00000000-0005-0000-0000-00002A5E0000}"/>
    <cellStyle name="Note 11 2 2 2 2 4 2" xfId="45061" xr:uid="{488C2674-FAFC-4AC5-B24F-F3A41C800CCD}"/>
    <cellStyle name="Note 11 2 2 2 2 5" xfId="29182" xr:uid="{780E5C32-16B6-42B1-8D4A-28A9150DB98B}"/>
    <cellStyle name="Note 11 2 2 2 3" xfId="7082" xr:uid="{00000000-0005-0000-0000-00002B5E0000}"/>
    <cellStyle name="Note 11 2 2 2 3 2" xfId="15054" xr:uid="{00000000-0005-0000-0000-00002C5E0000}"/>
    <cellStyle name="Note 11 2 2 2 3 2 2" xfId="38896" xr:uid="{4BF09063-B5E6-4CBB-AA7B-9E9E1A0FEA83}"/>
    <cellStyle name="Note 11 2 2 2 3 3" xfId="23001" xr:uid="{00000000-0005-0000-0000-00002D5E0000}"/>
    <cellStyle name="Note 11 2 2 2 3 3 2" xfId="46833" xr:uid="{B84ACC48-780B-4B2D-9F29-4044C536D8D4}"/>
    <cellStyle name="Note 11 2 2 2 3 4" xfId="30955" xr:uid="{4414CAF7-A1A9-4E0D-B120-D038FE1A4FB1}"/>
    <cellStyle name="Note 11 2 2 2 4" xfId="11518" xr:uid="{00000000-0005-0000-0000-00002E5E0000}"/>
    <cellStyle name="Note 11 2 2 2 4 2" xfId="35367" xr:uid="{53C8782C-43FC-4971-A039-7A4A8BC70ABC}"/>
    <cellStyle name="Note 11 2 2 2 5" xfId="19473" xr:uid="{00000000-0005-0000-0000-00002F5E0000}"/>
    <cellStyle name="Note 11 2 2 2 5 2" xfId="43305" xr:uid="{CAACA4DB-F97A-406E-BAE0-2B1C68075655}"/>
    <cellStyle name="Note 11 2 2 2 6" xfId="27425" xr:uid="{36374237-41AC-455A-899C-8A9F201031A9}"/>
    <cellStyle name="Note 11 2 2 2_Exh G" xfId="3580" xr:uid="{00000000-0005-0000-0000-0000305E0000}"/>
    <cellStyle name="Note 11 2 2 3" xfId="4371" xr:uid="{00000000-0005-0000-0000-0000315E0000}"/>
    <cellStyle name="Note 11 2 2 3 2" xfId="7963" xr:uid="{00000000-0005-0000-0000-0000325E0000}"/>
    <cellStyle name="Note 11 2 2 3 2 2" xfId="15934" xr:uid="{00000000-0005-0000-0000-0000335E0000}"/>
    <cellStyle name="Note 11 2 2 3 2 2 2" xfId="39776" xr:uid="{742B7DF5-F47B-42CC-B488-1FB540560633}"/>
    <cellStyle name="Note 11 2 2 3 2 3" xfId="23880" xr:uid="{00000000-0005-0000-0000-0000345E0000}"/>
    <cellStyle name="Note 11 2 2 3 2 3 2" xfId="47712" xr:uid="{076DEEEA-608A-47E5-903C-5F81C048F432}"/>
    <cellStyle name="Note 11 2 2 3 2 4" xfId="31835" xr:uid="{77205B89-68C3-4FF8-B538-8E6114AE4714}"/>
    <cellStyle name="Note 11 2 2 3 3" xfId="12396" xr:uid="{00000000-0005-0000-0000-0000355E0000}"/>
    <cellStyle name="Note 11 2 2 3 3 2" xfId="36245" xr:uid="{E6DC345C-4258-4D78-9ED8-EFC3419692AD}"/>
    <cellStyle name="Note 11 2 2 3 4" xfId="20351" xr:uid="{00000000-0005-0000-0000-0000365E0000}"/>
    <cellStyle name="Note 11 2 2 3 4 2" xfId="44183" xr:uid="{DF973D62-870A-4327-A22E-616C1D125621}"/>
    <cellStyle name="Note 11 2 2 3 5" xfId="28304" xr:uid="{BB86783B-1379-430A-9AF0-5F5F080CCAD8}"/>
    <cellStyle name="Note 11 2 2 4" xfId="6191" xr:uid="{00000000-0005-0000-0000-0000375E0000}"/>
    <cellStyle name="Note 11 2 2 4 2" xfId="14175" xr:uid="{00000000-0005-0000-0000-0000385E0000}"/>
    <cellStyle name="Note 11 2 2 4 2 2" xfId="38018" xr:uid="{71E37706-4A01-4F16-95AC-97E6FC09F5CB}"/>
    <cellStyle name="Note 11 2 2 4 3" xfId="22123" xr:uid="{00000000-0005-0000-0000-0000395E0000}"/>
    <cellStyle name="Note 11 2 2 4 3 2" xfId="45955" xr:uid="{FE5A30F3-EA59-432B-9892-87CB77DA17E5}"/>
    <cellStyle name="Note 11 2 2 4 4" xfId="30077" xr:uid="{9A7F59CC-414A-4587-BCBF-CD5E99698B5A}"/>
    <cellStyle name="Note 11 2 2 5" xfId="9744" xr:uid="{00000000-0005-0000-0000-00003A5E0000}"/>
    <cellStyle name="Note 11 2 2 5 2" xfId="17702" xr:uid="{00000000-0005-0000-0000-00003B5E0000}"/>
    <cellStyle name="Note 11 2 2 5 2 2" xfId="41542" xr:uid="{5C7955AF-D70C-4A20-A1E7-EB65364D8DDA}"/>
    <cellStyle name="Note 11 2 2 5 3" xfId="25646" xr:uid="{00000000-0005-0000-0000-00003C5E0000}"/>
    <cellStyle name="Note 11 2 2 5 3 2" xfId="49478" xr:uid="{25F666A9-3EB1-4A44-BCFC-436A938BBAE9}"/>
    <cellStyle name="Note 11 2 2 5 4" xfId="33601" xr:uid="{AD5B7E39-7556-4729-8431-EC4B79977E90}"/>
    <cellStyle name="Note 11 2 2 6" xfId="10640" xr:uid="{00000000-0005-0000-0000-00003D5E0000}"/>
    <cellStyle name="Note 11 2 2 6 2" xfId="34489" xr:uid="{B55FE4FA-AA92-4DFA-B588-62CE2051DE98}"/>
    <cellStyle name="Note 11 2 2 7" xfId="18595" xr:uid="{00000000-0005-0000-0000-00003E5E0000}"/>
    <cellStyle name="Note 11 2 2 7 2" xfId="42427" xr:uid="{D3823AC8-F45B-46EC-AEA9-C434A2D9C54B}"/>
    <cellStyle name="Note 11 2 2 8" xfId="26547" xr:uid="{7C11E179-0326-41BA-8E59-B0EE4BE74E71}"/>
    <cellStyle name="Note 11 2 2_Exh G" xfId="3579" xr:uid="{00000000-0005-0000-0000-00003F5E0000}"/>
    <cellStyle name="Note 11 2 3" xfId="1719" xr:uid="{00000000-0005-0000-0000-0000405E0000}"/>
    <cellStyle name="Note 11 2 3 2" xfId="5249" xr:uid="{00000000-0005-0000-0000-0000415E0000}"/>
    <cellStyle name="Note 11 2 3 2 2" xfId="8840" xr:uid="{00000000-0005-0000-0000-0000425E0000}"/>
    <cellStyle name="Note 11 2 3 2 2 2" xfId="16811" xr:uid="{00000000-0005-0000-0000-0000435E0000}"/>
    <cellStyle name="Note 11 2 3 2 2 2 2" xfId="40653" xr:uid="{025F76BF-F999-44B6-A801-0A7E99E6251E}"/>
    <cellStyle name="Note 11 2 3 2 2 3" xfId="24757" xr:uid="{00000000-0005-0000-0000-0000445E0000}"/>
    <cellStyle name="Note 11 2 3 2 2 3 2" xfId="48589" xr:uid="{0718A8FA-8C4A-484C-99E7-8B9B5811DE8C}"/>
    <cellStyle name="Note 11 2 3 2 2 4" xfId="32712" xr:uid="{1FE62F41-FC29-47E4-8AA8-8AE1C66DF1B3}"/>
    <cellStyle name="Note 11 2 3 2 3" xfId="13273" xr:uid="{00000000-0005-0000-0000-0000455E0000}"/>
    <cellStyle name="Note 11 2 3 2 3 2" xfId="37122" xr:uid="{1AAC3B41-0100-4DE7-9542-B0E41C2EC5D5}"/>
    <cellStyle name="Note 11 2 3 2 4" xfId="21228" xr:uid="{00000000-0005-0000-0000-0000465E0000}"/>
    <cellStyle name="Note 11 2 3 2 4 2" xfId="45060" xr:uid="{7789D6BD-B51B-42B6-B4E2-24F05EDA8F15}"/>
    <cellStyle name="Note 11 2 3 2 5" xfId="29181" xr:uid="{CF8D4F40-533F-4304-BE83-223F55AA09DD}"/>
    <cellStyle name="Note 11 2 3 3" xfId="7081" xr:uid="{00000000-0005-0000-0000-0000475E0000}"/>
    <cellStyle name="Note 11 2 3 3 2" xfId="15053" xr:uid="{00000000-0005-0000-0000-0000485E0000}"/>
    <cellStyle name="Note 11 2 3 3 2 2" xfId="38895" xr:uid="{D5D3B0CD-55B2-4215-8294-92058955D043}"/>
    <cellStyle name="Note 11 2 3 3 3" xfId="23000" xr:uid="{00000000-0005-0000-0000-0000495E0000}"/>
    <cellStyle name="Note 11 2 3 3 3 2" xfId="46832" xr:uid="{4E9670F2-33D0-4F2D-86E6-A759D21B6C78}"/>
    <cellStyle name="Note 11 2 3 3 4" xfId="30954" xr:uid="{BAD69133-D2B4-46F9-8F1B-FF3998F8D944}"/>
    <cellStyle name="Note 11 2 3 4" xfId="11517" xr:uid="{00000000-0005-0000-0000-00004A5E0000}"/>
    <cellStyle name="Note 11 2 3 4 2" xfId="35366" xr:uid="{D5F7C4A3-21D3-4D97-BFAE-B610718578C8}"/>
    <cellStyle name="Note 11 2 3 5" xfId="19472" xr:uid="{00000000-0005-0000-0000-00004B5E0000}"/>
    <cellStyle name="Note 11 2 3 5 2" xfId="43304" xr:uid="{D7D6DC8D-6753-4F34-8AF8-F10DC08DE617}"/>
    <cellStyle name="Note 11 2 3 6" xfId="27424" xr:uid="{ECA9DFD3-4499-4248-A921-C4565295AC3A}"/>
    <cellStyle name="Note 11 2 3_Exh G" xfId="3581" xr:uid="{00000000-0005-0000-0000-00004C5E0000}"/>
    <cellStyle name="Note 11 2 4" xfId="4370" xr:uid="{00000000-0005-0000-0000-00004D5E0000}"/>
    <cellStyle name="Note 11 2 4 2" xfId="7962" xr:uid="{00000000-0005-0000-0000-00004E5E0000}"/>
    <cellStyle name="Note 11 2 4 2 2" xfId="15933" xr:uid="{00000000-0005-0000-0000-00004F5E0000}"/>
    <cellStyle name="Note 11 2 4 2 2 2" xfId="39775" xr:uid="{8B579F00-7B9C-4880-B7BA-5D1F0BC7DA0D}"/>
    <cellStyle name="Note 11 2 4 2 3" xfId="23879" xr:uid="{00000000-0005-0000-0000-0000505E0000}"/>
    <cellStyle name="Note 11 2 4 2 3 2" xfId="47711" xr:uid="{C3BC14DB-594A-4D89-8DBA-C3724E35B314}"/>
    <cellStyle name="Note 11 2 4 2 4" xfId="31834" xr:uid="{59216E86-0CBE-4D91-8916-FD93F81F8623}"/>
    <cellStyle name="Note 11 2 4 3" xfId="12395" xr:uid="{00000000-0005-0000-0000-0000515E0000}"/>
    <cellStyle name="Note 11 2 4 3 2" xfId="36244" xr:uid="{CA8FB3C2-7340-40CF-B803-A348EB4FA531}"/>
    <cellStyle name="Note 11 2 4 4" xfId="20350" xr:uid="{00000000-0005-0000-0000-0000525E0000}"/>
    <cellStyle name="Note 11 2 4 4 2" xfId="44182" xr:uid="{F5870B9C-D036-4A50-8BD1-3D1E95EAF3A4}"/>
    <cellStyle name="Note 11 2 4 5" xfId="28303" xr:uid="{D2E4DC05-7F96-47DB-AD4D-1D45C4DEB6D5}"/>
    <cellStyle name="Note 11 2 5" xfId="6190" xr:uid="{00000000-0005-0000-0000-0000535E0000}"/>
    <cellStyle name="Note 11 2 5 2" xfId="14174" xr:uid="{00000000-0005-0000-0000-0000545E0000}"/>
    <cellStyle name="Note 11 2 5 2 2" xfId="38017" xr:uid="{6F7EE94E-9DE9-402B-90CC-4F742436D4AC}"/>
    <cellStyle name="Note 11 2 5 3" xfId="22122" xr:uid="{00000000-0005-0000-0000-0000555E0000}"/>
    <cellStyle name="Note 11 2 5 3 2" xfId="45954" xr:uid="{C10D8241-01C1-478B-9D8A-1E653986D7DC}"/>
    <cellStyle name="Note 11 2 5 4" xfId="30076" xr:uid="{1C9D47D1-5B22-4C14-A803-3AD206602164}"/>
    <cellStyle name="Note 11 2 6" xfId="9743" xr:uid="{00000000-0005-0000-0000-0000565E0000}"/>
    <cellStyle name="Note 11 2 6 2" xfId="17701" xr:uid="{00000000-0005-0000-0000-0000575E0000}"/>
    <cellStyle name="Note 11 2 6 2 2" xfId="41541" xr:uid="{C3C82148-8518-437B-B7C4-338BAB1696C8}"/>
    <cellStyle name="Note 11 2 6 3" xfId="25645" xr:uid="{00000000-0005-0000-0000-0000585E0000}"/>
    <cellStyle name="Note 11 2 6 3 2" xfId="49477" xr:uid="{DA17696B-34FC-42DB-95FA-402818CB7A1E}"/>
    <cellStyle name="Note 11 2 6 4" xfId="33600" xr:uid="{46CA2D41-52D7-4FA5-AF5C-6B3738D758E0}"/>
    <cellStyle name="Note 11 2 7" xfId="10639" xr:uid="{00000000-0005-0000-0000-0000595E0000}"/>
    <cellStyle name="Note 11 2 7 2" xfId="34488" xr:uid="{B5433961-EDF8-4CD2-8967-22F4A86DE262}"/>
    <cellStyle name="Note 11 2 8" xfId="18594" xr:uid="{00000000-0005-0000-0000-00005A5E0000}"/>
    <cellStyle name="Note 11 2 8 2" xfId="42426" xr:uid="{A76BD0D9-8A1E-4AF2-A5F5-C5EBBC4630D4}"/>
    <cellStyle name="Note 11 2 9" xfId="26546" xr:uid="{A9215C11-F55C-4E7D-A21A-62B7B405FF84}"/>
    <cellStyle name="Note 11 2_Exh G" xfId="3578" xr:uid="{00000000-0005-0000-0000-00005B5E0000}"/>
    <cellStyle name="Note 11 3" xfId="693" xr:uid="{00000000-0005-0000-0000-00005C5E0000}"/>
    <cellStyle name="Note 11 3 2" xfId="1721" xr:uid="{00000000-0005-0000-0000-00005D5E0000}"/>
    <cellStyle name="Note 11 3 2 2" xfId="5251" xr:uid="{00000000-0005-0000-0000-00005E5E0000}"/>
    <cellStyle name="Note 11 3 2 2 2" xfId="8842" xr:uid="{00000000-0005-0000-0000-00005F5E0000}"/>
    <cellStyle name="Note 11 3 2 2 2 2" xfId="16813" xr:uid="{00000000-0005-0000-0000-0000605E0000}"/>
    <cellStyle name="Note 11 3 2 2 2 2 2" xfId="40655" xr:uid="{4EA1183B-10B6-41BD-959A-0E74600E8D29}"/>
    <cellStyle name="Note 11 3 2 2 2 3" xfId="24759" xr:uid="{00000000-0005-0000-0000-0000615E0000}"/>
    <cellStyle name="Note 11 3 2 2 2 3 2" xfId="48591" xr:uid="{22FD8824-A5E8-482A-A2E6-2B8832AAE110}"/>
    <cellStyle name="Note 11 3 2 2 2 4" xfId="32714" xr:uid="{5B2A147A-1263-43F9-8CE9-EA1E8C0C9E23}"/>
    <cellStyle name="Note 11 3 2 2 3" xfId="13275" xr:uid="{00000000-0005-0000-0000-0000625E0000}"/>
    <cellStyle name="Note 11 3 2 2 3 2" xfId="37124" xr:uid="{3BABF7DD-2AA5-40A5-9876-D938367C1496}"/>
    <cellStyle name="Note 11 3 2 2 4" xfId="21230" xr:uid="{00000000-0005-0000-0000-0000635E0000}"/>
    <cellStyle name="Note 11 3 2 2 4 2" xfId="45062" xr:uid="{3F9D67E8-5CA1-459E-BD4B-AE607C1003D8}"/>
    <cellStyle name="Note 11 3 2 2 5" xfId="29183" xr:uid="{3F9C4F71-D652-462E-9AD6-C75B838F26C3}"/>
    <cellStyle name="Note 11 3 2 3" xfId="7083" xr:uid="{00000000-0005-0000-0000-0000645E0000}"/>
    <cellStyle name="Note 11 3 2 3 2" xfId="15055" xr:uid="{00000000-0005-0000-0000-0000655E0000}"/>
    <cellStyle name="Note 11 3 2 3 2 2" xfId="38897" xr:uid="{2A0EEEB0-043D-4436-8F2F-DCDDF675B593}"/>
    <cellStyle name="Note 11 3 2 3 3" xfId="23002" xr:uid="{00000000-0005-0000-0000-0000665E0000}"/>
    <cellStyle name="Note 11 3 2 3 3 2" xfId="46834" xr:uid="{19775B6E-C260-480D-938B-38B2BF3F4AA8}"/>
    <cellStyle name="Note 11 3 2 3 4" xfId="30956" xr:uid="{679CCF4C-146F-4101-A3E2-451EB12B2E7C}"/>
    <cellStyle name="Note 11 3 2 4" xfId="11519" xr:uid="{00000000-0005-0000-0000-0000675E0000}"/>
    <cellStyle name="Note 11 3 2 4 2" xfId="35368" xr:uid="{6ECB0833-9AAA-4C8C-B33A-11BD4A76A984}"/>
    <cellStyle name="Note 11 3 2 5" xfId="19474" xr:uid="{00000000-0005-0000-0000-0000685E0000}"/>
    <cellStyle name="Note 11 3 2 5 2" xfId="43306" xr:uid="{1B2C8E86-7CFD-4B27-8157-B2438AC96A6D}"/>
    <cellStyle name="Note 11 3 2 6" xfId="27426" xr:uid="{ACFFED94-E339-47EB-88AD-9ADEA17FD10F}"/>
    <cellStyle name="Note 11 3 2_Exh G" xfId="3583" xr:uid="{00000000-0005-0000-0000-0000695E0000}"/>
    <cellStyle name="Note 11 3 3" xfId="4372" xr:uid="{00000000-0005-0000-0000-00006A5E0000}"/>
    <cellStyle name="Note 11 3 3 2" xfId="7964" xr:uid="{00000000-0005-0000-0000-00006B5E0000}"/>
    <cellStyle name="Note 11 3 3 2 2" xfId="15935" xr:uid="{00000000-0005-0000-0000-00006C5E0000}"/>
    <cellStyle name="Note 11 3 3 2 2 2" xfId="39777" xr:uid="{AA396D04-A5C5-4567-8C62-8290CCC34FF2}"/>
    <cellStyle name="Note 11 3 3 2 3" xfId="23881" xr:uid="{00000000-0005-0000-0000-00006D5E0000}"/>
    <cellStyle name="Note 11 3 3 2 3 2" xfId="47713" xr:uid="{05B917DB-BB85-44EE-B48A-C8C05B36570E}"/>
    <cellStyle name="Note 11 3 3 2 4" xfId="31836" xr:uid="{A4FED450-E1F8-4553-984E-49FC5ED786B1}"/>
    <cellStyle name="Note 11 3 3 3" xfId="12397" xr:uid="{00000000-0005-0000-0000-00006E5E0000}"/>
    <cellStyle name="Note 11 3 3 3 2" xfId="36246" xr:uid="{EC93E455-9E3C-4FD1-98EE-11F395298D11}"/>
    <cellStyle name="Note 11 3 3 4" xfId="20352" xr:uid="{00000000-0005-0000-0000-00006F5E0000}"/>
    <cellStyle name="Note 11 3 3 4 2" xfId="44184" xr:uid="{3835409E-0418-427B-B0F8-8ED2901E7A11}"/>
    <cellStyle name="Note 11 3 3 5" xfId="28305" xr:uid="{631B392D-C2FE-47EB-A273-F09277CFAC1C}"/>
    <cellStyle name="Note 11 3 4" xfId="6192" xr:uid="{00000000-0005-0000-0000-0000705E0000}"/>
    <cellStyle name="Note 11 3 4 2" xfId="14176" xr:uid="{00000000-0005-0000-0000-0000715E0000}"/>
    <cellStyle name="Note 11 3 4 2 2" xfId="38019" xr:uid="{0A95C67E-DE79-492D-B787-A6A57C319EC6}"/>
    <cellStyle name="Note 11 3 4 3" xfId="22124" xr:uid="{00000000-0005-0000-0000-0000725E0000}"/>
    <cellStyle name="Note 11 3 4 3 2" xfId="45956" xr:uid="{420C8557-BEDD-45BE-BB4F-E3BA597A425E}"/>
    <cellStyle name="Note 11 3 4 4" xfId="30078" xr:uid="{35ACBA66-36CA-49EC-8F1C-855E872FA7ED}"/>
    <cellStyle name="Note 11 3 5" xfId="9745" xr:uid="{00000000-0005-0000-0000-0000735E0000}"/>
    <cellStyle name="Note 11 3 5 2" xfId="17703" xr:uid="{00000000-0005-0000-0000-0000745E0000}"/>
    <cellStyle name="Note 11 3 5 2 2" xfId="41543" xr:uid="{595D139E-09FD-4C04-BD87-91CD91A4746F}"/>
    <cellStyle name="Note 11 3 5 3" xfId="25647" xr:uid="{00000000-0005-0000-0000-0000755E0000}"/>
    <cellStyle name="Note 11 3 5 3 2" xfId="49479" xr:uid="{2BD4B6C4-1068-4AB1-A600-F3C2ADAF83EA}"/>
    <cellStyle name="Note 11 3 5 4" xfId="33602" xr:uid="{A78B44A9-763B-4CCF-B304-0A0030456C1A}"/>
    <cellStyle name="Note 11 3 6" xfId="10641" xr:uid="{00000000-0005-0000-0000-0000765E0000}"/>
    <cellStyle name="Note 11 3 6 2" xfId="34490" xr:uid="{3E7BCA0D-D23C-4A17-890C-5CB359054698}"/>
    <cellStyle name="Note 11 3 7" xfId="18596" xr:uid="{00000000-0005-0000-0000-0000775E0000}"/>
    <cellStyle name="Note 11 3 7 2" xfId="42428" xr:uid="{A079EC33-27AB-46F8-A21B-DEB4FF128E91}"/>
    <cellStyle name="Note 11 3 8" xfId="26548" xr:uid="{34778D38-7B72-4C3D-B6BA-64B536212EF0}"/>
    <cellStyle name="Note 11 3_Exh G" xfId="3582" xr:uid="{00000000-0005-0000-0000-0000785E0000}"/>
    <cellStyle name="Note 11 4" xfId="1718" xr:uid="{00000000-0005-0000-0000-0000795E0000}"/>
    <cellStyle name="Note 11 4 2" xfId="5248" xr:uid="{00000000-0005-0000-0000-00007A5E0000}"/>
    <cellStyle name="Note 11 4 2 2" xfId="8839" xr:uid="{00000000-0005-0000-0000-00007B5E0000}"/>
    <cellStyle name="Note 11 4 2 2 2" xfId="16810" xr:uid="{00000000-0005-0000-0000-00007C5E0000}"/>
    <cellStyle name="Note 11 4 2 2 2 2" xfId="40652" xr:uid="{442B280D-7EB7-4270-A416-C94344FB5AE1}"/>
    <cellStyle name="Note 11 4 2 2 3" xfId="24756" xr:uid="{00000000-0005-0000-0000-00007D5E0000}"/>
    <cellStyle name="Note 11 4 2 2 3 2" xfId="48588" xr:uid="{FEBAAEDB-48F2-437B-A485-E63AC425957B}"/>
    <cellStyle name="Note 11 4 2 2 4" xfId="32711" xr:uid="{2290B46A-E357-4BFD-B5F3-E714D54480BB}"/>
    <cellStyle name="Note 11 4 2 3" xfId="13272" xr:uid="{00000000-0005-0000-0000-00007E5E0000}"/>
    <cellStyle name="Note 11 4 2 3 2" xfId="37121" xr:uid="{539B6834-C92B-4BD8-8D47-D5104F15C76E}"/>
    <cellStyle name="Note 11 4 2 4" xfId="21227" xr:uid="{00000000-0005-0000-0000-00007F5E0000}"/>
    <cellStyle name="Note 11 4 2 4 2" xfId="45059" xr:uid="{EDDB026B-D471-4141-B799-3D0BAF639ED8}"/>
    <cellStyle name="Note 11 4 2 5" xfId="29180" xr:uid="{0E7D69CB-FD6F-4708-B75F-5D2DBDB83425}"/>
    <cellStyle name="Note 11 4 3" xfId="7080" xr:uid="{00000000-0005-0000-0000-0000805E0000}"/>
    <cellStyle name="Note 11 4 3 2" xfId="15052" xr:uid="{00000000-0005-0000-0000-0000815E0000}"/>
    <cellStyle name="Note 11 4 3 2 2" xfId="38894" xr:uid="{904032FA-325F-48E8-88F9-65320D18592D}"/>
    <cellStyle name="Note 11 4 3 3" xfId="22999" xr:uid="{00000000-0005-0000-0000-0000825E0000}"/>
    <cellStyle name="Note 11 4 3 3 2" xfId="46831" xr:uid="{1F5D98B4-EB98-4031-9A64-A5DAECAA000A}"/>
    <cellStyle name="Note 11 4 3 4" xfId="30953" xr:uid="{46D64DAB-F148-4414-BC7B-5237576661AD}"/>
    <cellStyle name="Note 11 4 4" xfId="11516" xr:uid="{00000000-0005-0000-0000-0000835E0000}"/>
    <cellStyle name="Note 11 4 4 2" xfId="35365" xr:uid="{0568B62E-40DE-4372-A67D-7B2736A72C65}"/>
    <cellStyle name="Note 11 4 5" xfId="19471" xr:uid="{00000000-0005-0000-0000-0000845E0000}"/>
    <cellStyle name="Note 11 4 5 2" xfId="43303" xr:uid="{D9885F11-54AE-49D1-A1F5-18587111F152}"/>
    <cellStyle name="Note 11 4 6" xfId="27423" xr:uid="{3C9EE7F5-89D4-4CAF-9E87-3E0C2B6B17CF}"/>
    <cellStyle name="Note 11 4_Exh G" xfId="3584" xr:uid="{00000000-0005-0000-0000-0000855E0000}"/>
    <cellStyle name="Note 11 5" xfId="4369" xr:uid="{00000000-0005-0000-0000-0000865E0000}"/>
    <cellStyle name="Note 11 5 2" xfId="7961" xr:uid="{00000000-0005-0000-0000-0000875E0000}"/>
    <cellStyle name="Note 11 5 2 2" xfId="15932" xr:uid="{00000000-0005-0000-0000-0000885E0000}"/>
    <cellStyle name="Note 11 5 2 2 2" xfId="39774" xr:uid="{5FAADA2F-4DCF-42F3-8718-5EFC122E1A9C}"/>
    <cellStyle name="Note 11 5 2 3" xfId="23878" xr:uid="{00000000-0005-0000-0000-0000895E0000}"/>
    <cellStyle name="Note 11 5 2 3 2" xfId="47710" xr:uid="{45997B01-EDEB-4D6F-B41E-ED5F3A102A62}"/>
    <cellStyle name="Note 11 5 2 4" xfId="31833" xr:uid="{DAC9184C-FEF6-47D9-8B99-D87D14341EF4}"/>
    <cellStyle name="Note 11 5 3" xfId="12394" xr:uid="{00000000-0005-0000-0000-00008A5E0000}"/>
    <cellStyle name="Note 11 5 3 2" xfId="36243" xr:uid="{26044A94-9B1B-4569-AC47-C5884CD9622F}"/>
    <cellStyle name="Note 11 5 4" xfId="20349" xr:uid="{00000000-0005-0000-0000-00008B5E0000}"/>
    <cellStyle name="Note 11 5 4 2" xfId="44181" xr:uid="{9FBDDF47-0EBE-4764-A3BA-EEFBC91FE384}"/>
    <cellStyle name="Note 11 5 5" xfId="28302" xr:uid="{D1AA0AF7-06AB-4A2A-B6A7-C87C7F2D5556}"/>
    <cellStyle name="Note 11 6" xfId="6189" xr:uid="{00000000-0005-0000-0000-00008C5E0000}"/>
    <cellStyle name="Note 11 6 2" xfId="14173" xr:uid="{00000000-0005-0000-0000-00008D5E0000}"/>
    <cellStyle name="Note 11 6 2 2" xfId="38016" xr:uid="{96D2CDD5-D350-46F5-A141-FF98F557E84E}"/>
    <cellStyle name="Note 11 6 3" xfId="22121" xr:uid="{00000000-0005-0000-0000-00008E5E0000}"/>
    <cellStyle name="Note 11 6 3 2" xfId="45953" xr:uid="{D0B75DCE-F8FC-4A3D-B6C9-29C3E1BE6293}"/>
    <cellStyle name="Note 11 6 4" xfId="30075" xr:uid="{1883113B-B48F-4666-91E8-AF49C5DB9C4C}"/>
    <cellStyle name="Note 11 7" xfId="9742" xr:uid="{00000000-0005-0000-0000-00008F5E0000}"/>
    <cellStyle name="Note 11 7 2" xfId="17700" xr:uid="{00000000-0005-0000-0000-0000905E0000}"/>
    <cellStyle name="Note 11 7 2 2" xfId="41540" xr:uid="{4260AE21-91EE-45A0-BD70-57C23A1F7FC0}"/>
    <cellStyle name="Note 11 7 3" xfId="25644" xr:uid="{00000000-0005-0000-0000-0000915E0000}"/>
    <cellStyle name="Note 11 7 3 2" xfId="49476" xr:uid="{42895597-D6A2-4498-80AE-ACE2DCFA4B1B}"/>
    <cellStyle name="Note 11 7 4" xfId="33599" xr:uid="{18708582-6774-4499-A751-E66543C7EF49}"/>
    <cellStyle name="Note 11 8" xfId="10638" xr:uid="{00000000-0005-0000-0000-0000925E0000}"/>
    <cellStyle name="Note 11 8 2" xfId="34487" xr:uid="{DEFEC8AC-7E06-4656-9588-9B143C589CF1}"/>
    <cellStyle name="Note 11 9" xfId="18593" xr:uid="{00000000-0005-0000-0000-0000935E0000}"/>
    <cellStyle name="Note 11 9 2" xfId="42425" xr:uid="{8F0F3FF6-CF2F-4986-A9C5-3ECD87FE8DC9}"/>
    <cellStyle name="Note 11_Exh G" xfId="3577" xr:uid="{00000000-0005-0000-0000-0000945E0000}"/>
    <cellStyle name="Note 12" xfId="694" xr:uid="{00000000-0005-0000-0000-0000955E0000}"/>
    <cellStyle name="Note 12 10" xfId="26549" xr:uid="{BA2C6DAA-B55F-42F2-8569-858D90D80BBD}"/>
    <cellStyle name="Note 12 2" xfId="695" xr:uid="{00000000-0005-0000-0000-0000965E0000}"/>
    <cellStyle name="Note 12 2 2" xfId="696" xr:uid="{00000000-0005-0000-0000-0000975E0000}"/>
    <cellStyle name="Note 12 2 2 2" xfId="1724" xr:uid="{00000000-0005-0000-0000-0000985E0000}"/>
    <cellStyle name="Note 12 2 2 2 2" xfId="5254" xr:uid="{00000000-0005-0000-0000-0000995E0000}"/>
    <cellStyle name="Note 12 2 2 2 2 2" xfId="8845" xr:uid="{00000000-0005-0000-0000-00009A5E0000}"/>
    <cellStyle name="Note 12 2 2 2 2 2 2" xfId="16816" xr:uid="{00000000-0005-0000-0000-00009B5E0000}"/>
    <cellStyle name="Note 12 2 2 2 2 2 2 2" xfId="40658" xr:uid="{678840FF-CC71-4F50-BFFF-1B3B90FF516D}"/>
    <cellStyle name="Note 12 2 2 2 2 2 3" xfId="24762" xr:uid="{00000000-0005-0000-0000-00009C5E0000}"/>
    <cellStyle name="Note 12 2 2 2 2 2 3 2" xfId="48594" xr:uid="{7322BA47-C8F8-4E56-A292-6AF29CE540B0}"/>
    <cellStyle name="Note 12 2 2 2 2 2 4" xfId="32717" xr:uid="{DDF307BC-B990-4908-B7EB-89CECB1483CA}"/>
    <cellStyle name="Note 12 2 2 2 2 3" xfId="13278" xr:uid="{00000000-0005-0000-0000-00009D5E0000}"/>
    <cellStyle name="Note 12 2 2 2 2 3 2" xfId="37127" xr:uid="{1ABBEA83-4DF3-4687-9339-709AFEF51082}"/>
    <cellStyle name="Note 12 2 2 2 2 4" xfId="21233" xr:uid="{00000000-0005-0000-0000-00009E5E0000}"/>
    <cellStyle name="Note 12 2 2 2 2 4 2" xfId="45065" xr:uid="{F7BF0C80-B5BA-4228-BEFF-FC10C7E9388F}"/>
    <cellStyle name="Note 12 2 2 2 2 5" xfId="29186" xr:uid="{2921B559-D54F-4E8A-AEFD-CC3B93C771A0}"/>
    <cellStyle name="Note 12 2 2 2 3" xfId="7086" xr:uid="{00000000-0005-0000-0000-00009F5E0000}"/>
    <cellStyle name="Note 12 2 2 2 3 2" xfId="15058" xr:uid="{00000000-0005-0000-0000-0000A05E0000}"/>
    <cellStyle name="Note 12 2 2 2 3 2 2" xfId="38900" xr:uid="{3C0F05FF-7D3B-4394-86B6-A4FCC5F97BAE}"/>
    <cellStyle name="Note 12 2 2 2 3 3" xfId="23005" xr:uid="{00000000-0005-0000-0000-0000A15E0000}"/>
    <cellStyle name="Note 12 2 2 2 3 3 2" xfId="46837" xr:uid="{824243CB-3D70-4381-BAFB-E01687D094DF}"/>
    <cellStyle name="Note 12 2 2 2 3 4" xfId="30959" xr:uid="{D0434809-260A-468C-A740-FE55E5A5D47F}"/>
    <cellStyle name="Note 12 2 2 2 4" xfId="11522" xr:uid="{00000000-0005-0000-0000-0000A25E0000}"/>
    <cellStyle name="Note 12 2 2 2 4 2" xfId="35371" xr:uid="{E68FA592-2937-44ED-BE5A-C2EDF8499A91}"/>
    <cellStyle name="Note 12 2 2 2 5" xfId="19477" xr:uid="{00000000-0005-0000-0000-0000A35E0000}"/>
    <cellStyle name="Note 12 2 2 2 5 2" xfId="43309" xr:uid="{DEC1A623-9D49-454D-B24B-3568EFD7041A}"/>
    <cellStyle name="Note 12 2 2 2 6" xfId="27429" xr:uid="{5D94C44A-BBBA-477C-A55D-506FFD79541F}"/>
    <cellStyle name="Note 12 2 2 2_Exh G" xfId="3588" xr:uid="{00000000-0005-0000-0000-0000A45E0000}"/>
    <cellStyle name="Note 12 2 2 3" xfId="4375" xr:uid="{00000000-0005-0000-0000-0000A55E0000}"/>
    <cellStyle name="Note 12 2 2 3 2" xfId="7967" xr:uid="{00000000-0005-0000-0000-0000A65E0000}"/>
    <cellStyle name="Note 12 2 2 3 2 2" xfId="15938" xr:uid="{00000000-0005-0000-0000-0000A75E0000}"/>
    <cellStyle name="Note 12 2 2 3 2 2 2" xfId="39780" xr:uid="{6AC8F567-08E6-4839-B3D0-67F1B4E2CEA7}"/>
    <cellStyle name="Note 12 2 2 3 2 3" xfId="23884" xr:uid="{00000000-0005-0000-0000-0000A85E0000}"/>
    <cellStyle name="Note 12 2 2 3 2 3 2" xfId="47716" xr:uid="{9F94E431-E00D-4321-A667-5A4023180AD4}"/>
    <cellStyle name="Note 12 2 2 3 2 4" xfId="31839" xr:uid="{79EE0801-18C2-4C08-8182-B9E02A620BED}"/>
    <cellStyle name="Note 12 2 2 3 3" xfId="12400" xr:uid="{00000000-0005-0000-0000-0000A95E0000}"/>
    <cellStyle name="Note 12 2 2 3 3 2" xfId="36249" xr:uid="{5BC8EC7A-E3DA-47B8-ACDD-BB44BDD4BD5E}"/>
    <cellStyle name="Note 12 2 2 3 4" xfId="20355" xr:uid="{00000000-0005-0000-0000-0000AA5E0000}"/>
    <cellStyle name="Note 12 2 2 3 4 2" xfId="44187" xr:uid="{E145C323-31A1-43BC-B812-F42B1CDEFDF0}"/>
    <cellStyle name="Note 12 2 2 3 5" xfId="28308" xr:uid="{DF4F1886-EEBE-4735-B873-9A2328485A26}"/>
    <cellStyle name="Note 12 2 2 4" xfId="6195" xr:uid="{00000000-0005-0000-0000-0000AB5E0000}"/>
    <cellStyle name="Note 12 2 2 4 2" xfId="14179" xr:uid="{00000000-0005-0000-0000-0000AC5E0000}"/>
    <cellStyle name="Note 12 2 2 4 2 2" xfId="38022" xr:uid="{79ABAB10-C8EB-4225-858C-0D61F7FA78F9}"/>
    <cellStyle name="Note 12 2 2 4 3" xfId="22127" xr:uid="{00000000-0005-0000-0000-0000AD5E0000}"/>
    <cellStyle name="Note 12 2 2 4 3 2" xfId="45959" xr:uid="{B3193197-585C-4A25-98B7-6DBD3993ADC7}"/>
    <cellStyle name="Note 12 2 2 4 4" xfId="30081" xr:uid="{A01093E0-B3DD-4203-8B52-27D184D13678}"/>
    <cellStyle name="Note 12 2 2 5" xfId="9748" xr:uid="{00000000-0005-0000-0000-0000AE5E0000}"/>
    <cellStyle name="Note 12 2 2 5 2" xfId="17706" xr:uid="{00000000-0005-0000-0000-0000AF5E0000}"/>
    <cellStyle name="Note 12 2 2 5 2 2" xfId="41546" xr:uid="{16BA824B-9C1C-43F2-9A40-C5B76A952634}"/>
    <cellStyle name="Note 12 2 2 5 3" xfId="25650" xr:uid="{00000000-0005-0000-0000-0000B05E0000}"/>
    <cellStyle name="Note 12 2 2 5 3 2" xfId="49482" xr:uid="{687D22E1-27A1-4C2B-9A62-E4EC126C86B3}"/>
    <cellStyle name="Note 12 2 2 5 4" xfId="33605" xr:uid="{3C137A43-0DA6-48FE-BE77-3B2A678C1BE5}"/>
    <cellStyle name="Note 12 2 2 6" xfId="10644" xr:uid="{00000000-0005-0000-0000-0000B15E0000}"/>
    <cellStyle name="Note 12 2 2 6 2" xfId="34493" xr:uid="{697573F7-2E7E-4F6C-A19B-C3840F51A6BF}"/>
    <cellStyle name="Note 12 2 2 7" xfId="18599" xr:uid="{00000000-0005-0000-0000-0000B25E0000}"/>
    <cellStyle name="Note 12 2 2 7 2" xfId="42431" xr:uid="{27A77840-5BE6-4B34-92BC-E959DE391534}"/>
    <cellStyle name="Note 12 2 2 8" xfId="26551" xr:uid="{7E401A51-8AD1-4631-990E-7773A82F7398}"/>
    <cellStyle name="Note 12 2 2_Exh G" xfId="3587" xr:uid="{00000000-0005-0000-0000-0000B35E0000}"/>
    <cellStyle name="Note 12 2 3" xfId="1723" xr:uid="{00000000-0005-0000-0000-0000B45E0000}"/>
    <cellStyle name="Note 12 2 3 2" xfId="5253" xr:uid="{00000000-0005-0000-0000-0000B55E0000}"/>
    <cellStyle name="Note 12 2 3 2 2" xfId="8844" xr:uid="{00000000-0005-0000-0000-0000B65E0000}"/>
    <cellStyle name="Note 12 2 3 2 2 2" xfId="16815" xr:uid="{00000000-0005-0000-0000-0000B75E0000}"/>
    <cellStyle name="Note 12 2 3 2 2 2 2" xfId="40657" xr:uid="{D7045618-860A-4DD5-B128-E8E4255E87FB}"/>
    <cellStyle name="Note 12 2 3 2 2 3" xfId="24761" xr:uid="{00000000-0005-0000-0000-0000B85E0000}"/>
    <cellStyle name="Note 12 2 3 2 2 3 2" xfId="48593" xr:uid="{78C5836D-0A49-4665-A772-F29BAE9E4E15}"/>
    <cellStyle name="Note 12 2 3 2 2 4" xfId="32716" xr:uid="{4EBCB3E9-48D6-4365-ACC2-CFA5C65392B3}"/>
    <cellStyle name="Note 12 2 3 2 3" xfId="13277" xr:uid="{00000000-0005-0000-0000-0000B95E0000}"/>
    <cellStyle name="Note 12 2 3 2 3 2" xfId="37126" xr:uid="{D8AF160C-02E8-4FA3-9307-0B8C46947353}"/>
    <cellStyle name="Note 12 2 3 2 4" xfId="21232" xr:uid="{00000000-0005-0000-0000-0000BA5E0000}"/>
    <cellStyle name="Note 12 2 3 2 4 2" xfId="45064" xr:uid="{1B1816EB-E3A2-42F1-9C69-EE62ED487A4C}"/>
    <cellStyle name="Note 12 2 3 2 5" xfId="29185" xr:uid="{0857566A-9EE4-4A17-8003-36508464E5CE}"/>
    <cellStyle name="Note 12 2 3 3" xfId="7085" xr:uid="{00000000-0005-0000-0000-0000BB5E0000}"/>
    <cellStyle name="Note 12 2 3 3 2" xfId="15057" xr:uid="{00000000-0005-0000-0000-0000BC5E0000}"/>
    <cellStyle name="Note 12 2 3 3 2 2" xfId="38899" xr:uid="{B4891B40-8C8D-44CB-A6FC-0D5AA3DF7102}"/>
    <cellStyle name="Note 12 2 3 3 3" xfId="23004" xr:uid="{00000000-0005-0000-0000-0000BD5E0000}"/>
    <cellStyle name="Note 12 2 3 3 3 2" xfId="46836" xr:uid="{5D6A457E-9619-40C6-80FB-1105DBD64D68}"/>
    <cellStyle name="Note 12 2 3 3 4" xfId="30958" xr:uid="{B0E2D52D-16E3-4C19-A711-7D9DF4973838}"/>
    <cellStyle name="Note 12 2 3 4" xfId="11521" xr:uid="{00000000-0005-0000-0000-0000BE5E0000}"/>
    <cellStyle name="Note 12 2 3 4 2" xfId="35370" xr:uid="{7FE51C37-132F-492A-8932-4EF1DF5EC07F}"/>
    <cellStyle name="Note 12 2 3 5" xfId="19476" xr:uid="{00000000-0005-0000-0000-0000BF5E0000}"/>
    <cellStyle name="Note 12 2 3 5 2" xfId="43308" xr:uid="{5D602EAC-F21B-489D-B773-5F41D91B9903}"/>
    <cellStyle name="Note 12 2 3 6" xfId="27428" xr:uid="{925E18C4-281A-4730-BFBD-C2C59BF32D47}"/>
    <cellStyle name="Note 12 2 3_Exh G" xfId="3589" xr:uid="{00000000-0005-0000-0000-0000C05E0000}"/>
    <cellStyle name="Note 12 2 4" xfId="4374" xr:uid="{00000000-0005-0000-0000-0000C15E0000}"/>
    <cellStyle name="Note 12 2 4 2" xfId="7966" xr:uid="{00000000-0005-0000-0000-0000C25E0000}"/>
    <cellStyle name="Note 12 2 4 2 2" xfId="15937" xr:uid="{00000000-0005-0000-0000-0000C35E0000}"/>
    <cellStyle name="Note 12 2 4 2 2 2" xfId="39779" xr:uid="{81DDE60C-E6C2-4EF6-B4F6-B0AA6EFFFB19}"/>
    <cellStyle name="Note 12 2 4 2 3" xfId="23883" xr:uid="{00000000-0005-0000-0000-0000C45E0000}"/>
    <cellStyle name="Note 12 2 4 2 3 2" xfId="47715" xr:uid="{BC4D6F5B-E838-44CB-90C0-E8D2C346142C}"/>
    <cellStyle name="Note 12 2 4 2 4" xfId="31838" xr:uid="{61CDB169-928A-4A40-834A-BB846BD926B5}"/>
    <cellStyle name="Note 12 2 4 3" xfId="12399" xr:uid="{00000000-0005-0000-0000-0000C55E0000}"/>
    <cellStyle name="Note 12 2 4 3 2" xfId="36248" xr:uid="{BB227793-10A3-44BB-AD28-150151EFB0CC}"/>
    <cellStyle name="Note 12 2 4 4" xfId="20354" xr:uid="{00000000-0005-0000-0000-0000C65E0000}"/>
    <cellStyle name="Note 12 2 4 4 2" xfId="44186" xr:uid="{DC250D31-522B-4E50-948B-214379D58959}"/>
    <cellStyle name="Note 12 2 4 5" xfId="28307" xr:uid="{A0F487BC-7379-4895-9586-6A9DBBE5EA69}"/>
    <cellStyle name="Note 12 2 5" xfId="6194" xr:uid="{00000000-0005-0000-0000-0000C75E0000}"/>
    <cellStyle name="Note 12 2 5 2" xfId="14178" xr:uid="{00000000-0005-0000-0000-0000C85E0000}"/>
    <cellStyle name="Note 12 2 5 2 2" xfId="38021" xr:uid="{2796C590-C067-4AFB-96F9-F329E989460B}"/>
    <cellStyle name="Note 12 2 5 3" xfId="22126" xr:uid="{00000000-0005-0000-0000-0000C95E0000}"/>
    <cellStyle name="Note 12 2 5 3 2" xfId="45958" xr:uid="{5A4C1C8D-DE9C-4E24-9D7B-3CF1BE8D14E3}"/>
    <cellStyle name="Note 12 2 5 4" xfId="30080" xr:uid="{B14E999D-0B40-46D1-AEBA-19921B79DFC0}"/>
    <cellStyle name="Note 12 2 6" xfId="9747" xr:uid="{00000000-0005-0000-0000-0000CA5E0000}"/>
    <cellStyle name="Note 12 2 6 2" xfId="17705" xr:uid="{00000000-0005-0000-0000-0000CB5E0000}"/>
    <cellStyle name="Note 12 2 6 2 2" xfId="41545" xr:uid="{8C8CC0A7-56C5-4240-BCAE-458A73A3140E}"/>
    <cellStyle name="Note 12 2 6 3" xfId="25649" xr:uid="{00000000-0005-0000-0000-0000CC5E0000}"/>
    <cellStyle name="Note 12 2 6 3 2" xfId="49481" xr:uid="{060417AF-3C7D-41AD-A6C3-6A9BCB0655A8}"/>
    <cellStyle name="Note 12 2 6 4" xfId="33604" xr:uid="{3FD34420-686A-4CF7-9602-77906F65C883}"/>
    <cellStyle name="Note 12 2 7" xfId="10643" xr:uid="{00000000-0005-0000-0000-0000CD5E0000}"/>
    <cellStyle name="Note 12 2 7 2" xfId="34492" xr:uid="{3BE78548-A38E-4F93-A7F0-368A6B8E34AD}"/>
    <cellStyle name="Note 12 2 8" xfId="18598" xr:uid="{00000000-0005-0000-0000-0000CE5E0000}"/>
    <cellStyle name="Note 12 2 8 2" xfId="42430" xr:uid="{CC4592DD-503A-4D75-B33A-04156A3027B3}"/>
    <cellStyle name="Note 12 2 9" xfId="26550" xr:uid="{6A5E1A6B-FF39-4345-89AF-95CE559071C5}"/>
    <cellStyle name="Note 12 2_Exh G" xfId="3586" xr:uid="{00000000-0005-0000-0000-0000CF5E0000}"/>
    <cellStyle name="Note 12 3" xfId="697" xr:uid="{00000000-0005-0000-0000-0000D05E0000}"/>
    <cellStyle name="Note 12 3 2" xfId="1725" xr:uid="{00000000-0005-0000-0000-0000D15E0000}"/>
    <cellStyle name="Note 12 3 2 2" xfId="5255" xr:uid="{00000000-0005-0000-0000-0000D25E0000}"/>
    <cellStyle name="Note 12 3 2 2 2" xfId="8846" xr:uid="{00000000-0005-0000-0000-0000D35E0000}"/>
    <cellStyle name="Note 12 3 2 2 2 2" xfId="16817" xr:uid="{00000000-0005-0000-0000-0000D45E0000}"/>
    <cellStyle name="Note 12 3 2 2 2 2 2" xfId="40659" xr:uid="{C677C747-13BC-4865-8E7B-287CDE8CF9F7}"/>
    <cellStyle name="Note 12 3 2 2 2 3" xfId="24763" xr:uid="{00000000-0005-0000-0000-0000D55E0000}"/>
    <cellStyle name="Note 12 3 2 2 2 3 2" xfId="48595" xr:uid="{17F59018-9AB0-4DE8-B1A4-34A2E5EB915D}"/>
    <cellStyle name="Note 12 3 2 2 2 4" xfId="32718" xr:uid="{B2FE36D6-B997-4F25-AC99-0078824C2AFF}"/>
    <cellStyle name="Note 12 3 2 2 3" xfId="13279" xr:uid="{00000000-0005-0000-0000-0000D65E0000}"/>
    <cellStyle name="Note 12 3 2 2 3 2" xfId="37128" xr:uid="{64AADF3F-05B6-43CB-AE84-F49034B240BA}"/>
    <cellStyle name="Note 12 3 2 2 4" xfId="21234" xr:uid="{00000000-0005-0000-0000-0000D75E0000}"/>
    <cellStyle name="Note 12 3 2 2 4 2" xfId="45066" xr:uid="{D803C0E7-E7AB-49B3-A092-A7F1D832D551}"/>
    <cellStyle name="Note 12 3 2 2 5" xfId="29187" xr:uid="{8BD20342-E252-4207-B11E-DDA5089615A0}"/>
    <cellStyle name="Note 12 3 2 3" xfId="7087" xr:uid="{00000000-0005-0000-0000-0000D85E0000}"/>
    <cellStyle name="Note 12 3 2 3 2" xfId="15059" xr:uid="{00000000-0005-0000-0000-0000D95E0000}"/>
    <cellStyle name="Note 12 3 2 3 2 2" xfId="38901" xr:uid="{78F6926D-DDD6-4137-8E25-56D099BA3F7D}"/>
    <cellStyle name="Note 12 3 2 3 3" xfId="23006" xr:uid="{00000000-0005-0000-0000-0000DA5E0000}"/>
    <cellStyle name="Note 12 3 2 3 3 2" xfId="46838" xr:uid="{0794B60D-1BE5-4763-869D-085AC8004911}"/>
    <cellStyle name="Note 12 3 2 3 4" xfId="30960" xr:uid="{7125CA74-138F-4955-AB6E-06CC7606623B}"/>
    <cellStyle name="Note 12 3 2 4" xfId="11523" xr:uid="{00000000-0005-0000-0000-0000DB5E0000}"/>
    <cellStyle name="Note 12 3 2 4 2" xfId="35372" xr:uid="{B4D2B30E-6BE6-440E-AEA0-65CDA27F5BC7}"/>
    <cellStyle name="Note 12 3 2 5" xfId="19478" xr:uid="{00000000-0005-0000-0000-0000DC5E0000}"/>
    <cellStyle name="Note 12 3 2 5 2" xfId="43310" xr:uid="{264DBF1A-44B7-4D3C-B030-B153DDADEB11}"/>
    <cellStyle name="Note 12 3 2 6" xfId="27430" xr:uid="{A663A690-B3D1-4436-85FD-AE3033BD41FB}"/>
    <cellStyle name="Note 12 3 2_Exh G" xfId="3591" xr:uid="{00000000-0005-0000-0000-0000DD5E0000}"/>
    <cellStyle name="Note 12 3 3" xfId="4376" xr:uid="{00000000-0005-0000-0000-0000DE5E0000}"/>
    <cellStyle name="Note 12 3 3 2" xfId="7968" xr:uid="{00000000-0005-0000-0000-0000DF5E0000}"/>
    <cellStyle name="Note 12 3 3 2 2" xfId="15939" xr:uid="{00000000-0005-0000-0000-0000E05E0000}"/>
    <cellStyle name="Note 12 3 3 2 2 2" xfId="39781" xr:uid="{7B5A4BA9-8533-45AE-886C-27DF9F26292F}"/>
    <cellStyle name="Note 12 3 3 2 3" xfId="23885" xr:uid="{00000000-0005-0000-0000-0000E15E0000}"/>
    <cellStyle name="Note 12 3 3 2 3 2" xfId="47717" xr:uid="{B795084A-A153-426B-8666-0AFE86039706}"/>
    <cellStyle name="Note 12 3 3 2 4" xfId="31840" xr:uid="{ACE80E73-30AD-4495-A96E-B3C22243D67D}"/>
    <cellStyle name="Note 12 3 3 3" xfId="12401" xr:uid="{00000000-0005-0000-0000-0000E25E0000}"/>
    <cellStyle name="Note 12 3 3 3 2" xfId="36250" xr:uid="{50D833DD-E74A-436B-A456-93C80FEF65B6}"/>
    <cellStyle name="Note 12 3 3 4" xfId="20356" xr:uid="{00000000-0005-0000-0000-0000E35E0000}"/>
    <cellStyle name="Note 12 3 3 4 2" xfId="44188" xr:uid="{C989D7ED-B0B7-4D5F-AA4A-8D4B6898CBC9}"/>
    <cellStyle name="Note 12 3 3 5" xfId="28309" xr:uid="{C6EC0920-D0C2-488A-9048-1EA38DA6BD02}"/>
    <cellStyle name="Note 12 3 4" xfId="6196" xr:uid="{00000000-0005-0000-0000-0000E45E0000}"/>
    <cellStyle name="Note 12 3 4 2" xfId="14180" xr:uid="{00000000-0005-0000-0000-0000E55E0000}"/>
    <cellStyle name="Note 12 3 4 2 2" xfId="38023" xr:uid="{FF81D524-E364-4E60-8BA2-D63425F65FEF}"/>
    <cellStyle name="Note 12 3 4 3" xfId="22128" xr:uid="{00000000-0005-0000-0000-0000E65E0000}"/>
    <cellStyle name="Note 12 3 4 3 2" xfId="45960" xr:uid="{45036A85-0FF8-4FEE-9BD0-FB9EE41A26A2}"/>
    <cellStyle name="Note 12 3 4 4" xfId="30082" xr:uid="{B7D75C49-0E84-4A1D-ACA8-88F2A3D59057}"/>
    <cellStyle name="Note 12 3 5" xfId="9749" xr:uid="{00000000-0005-0000-0000-0000E75E0000}"/>
    <cellStyle name="Note 12 3 5 2" xfId="17707" xr:uid="{00000000-0005-0000-0000-0000E85E0000}"/>
    <cellStyle name="Note 12 3 5 2 2" xfId="41547" xr:uid="{C801CC78-BD07-4FB0-958F-B2458B8D833D}"/>
    <cellStyle name="Note 12 3 5 3" xfId="25651" xr:uid="{00000000-0005-0000-0000-0000E95E0000}"/>
    <cellStyle name="Note 12 3 5 3 2" xfId="49483" xr:uid="{28204D1A-FA4A-4AA4-8F61-9254B03232BA}"/>
    <cellStyle name="Note 12 3 5 4" xfId="33606" xr:uid="{DE9D8990-94F2-43CA-A625-72AF467205C8}"/>
    <cellStyle name="Note 12 3 6" xfId="10645" xr:uid="{00000000-0005-0000-0000-0000EA5E0000}"/>
    <cellStyle name="Note 12 3 6 2" xfId="34494" xr:uid="{C33E00F1-E8E6-441D-A06A-FDDF6C7AFB88}"/>
    <cellStyle name="Note 12 3 7" xfId="18600" xr:uid="{00000000-0005-0000-0000-0000EB5E0000}"/>
    <cellStyle name="Note 12 3 7 2" xfId="42432" xr:uid="{E90C367B-C907-4B94-AB22-2E4C99E90703}"/>
    <cellStyle name="Note 12 3 8" xfId="26552" xr:uid="{06EBD11A-3F04-403F-B0E1-78B5DEB1B61F}"/>
    <cellStyle name="Note 12 3_Exh G" xfId="3590" xr:uid="{00000000-0005-0000-0000-0000EC5E0000}"/>
    <cellStyle name="Note 12 4" xfId="1722" xr:uid="{00000000-0005-0000-0000-0000ED5E0000}"/>
    <cellStyle name="Note 12 4 2" xfId="5252" xr:uid="{00000000-0005-0000-0000-0000EE5E0000}"/>
    <cellStyle name="Note 12 4 2 2" xfId="8843" xr:uid="{00000000-0005-0000-0000-0000EF5E0000}"/>
    <cellStyle name="Note 12 4 2 2 2" xfId="16814" xr:uid="{00000000-0005-0000-0000-0000F05E0000}"/>
    <cellStyle name="Note 12 4 2 2 2 2" xfId="40656" xr:uid="{8EC1C01A-CF52-490B-92EB-33C0CF473043}"/>
    <cellStyle name="Note 12 4 2 2 3" xfId="24760" xr:uid="{00000000-0005-0000-0000-0000F15E0000}"/>
    <cellStyle name="Note 12 4 2 2 3 2" xfId="48592" xr:uid="{122E0169-04DC-4BE0-8FB8-1DA26DE91D47}"/>
    <cellStyle name="Note 12 4 2 2 4" xfId="32715" xr:uid="{1CDCE5BB-774B-4A4D-BD0E-D3541596F8F2}"/>
    <cellStyle name="Note 12 4 2 3" xfId="13276" xr:uid="{00000000-0005-0000-0000-0000F25E0000}"/>
    <cellStyle name="Note 12 4 2 3 2" xfId="37125" xr:uid="{56DA742B-FB4D-4A38-8364-D14353D16982}"/>
    <cellStyle name="Note 12 4 2 4" xfId="21231" xr:uid="{00000000-0005-0000-0000-0000F35E0000}"/>
    <cellStyle name="Note 12 4 2 4 2" xfId="45063" xr:uid="{270ACBDE-DBDD-47EF-8E47-A2087FB63F51}"/>
    <cellStyle name="Note 12 4 2 5" xfId="29184" xr:uid="{4B1D5856-093F-4F32-9698-45C5CE4CEF7B}"/>
    <cellStyle name="Note 12 4 3" xfId="7084" xr:uid="{00000000-0005-0000-0000-0000F45E0000}"/>
    <cellStyle name="Note 12 4 3 2" xfId="15056" xr:uid="{00000000-0005-0000-0000-0000F55E0000}"/>
    <cellStyle name="Note 12 4 3 2 2" xfId="38898" xr:uid="{B302ACA3-327E-44B4-B543-B65242694A5F}"/>
    <cellStyle name="Note 12 4 3 3" xfId="23003" xr:uid="{00000000-0005-0000-0000-0000F65E0000}"/>
    <cellStyle name="Note 12 4 3 3 2" xfId="46835" xr:uid="{84C143C8-27F5-4F70-9C56-B1565552B86A}"/>
    <cellStyle name="Note 12 4 3 4" xfId="30957" xr:uid="{2CCCA911-18EB-4A9A-885A-0FA0C08904AD}"/>
    <cellStyle name="Note 12 4 4" xfId="11520" xr:uid="{00000000-0005-0000-0000-0000F75E0000}"/>
    <cellStyle name="Note 12 4 4 2" xfId="35369" xr:uid="{456B0001-2A30-47C5-8045-1410D30B3117}"/>
    <cellStyle name="Note 12 4 5" xfId="19475" xr:uid="{00000000-0005-0000-0000-0000F85E0000}"/>
    <cellStyle name="Note 12 4 5 2" xfId="43307" xr:uid="{E56247C1-22B2-4AAA-A419-BBD1844DAA7A}"/>
    <cellStyle name="Note 12 4 6" xfId="27427" xr:uid="{0FC1C5EF-382D-45EA-B116-B1EC502D184B}"/>
    <cellStyle name="Note 12 4_Exh G" xfId="3592" xr:uid="{00000000-0005-0000-0000-0000F95E0000}"/>
    <cellStyle name="Note 12 5" xfId="4373" xr:uid="{00000000-0005-0000-0000-0000FA5E0000}"/>
    <cellStyle name="Note 12 5 2" xfId="7965" xr:uid="{00000000-0005-0000-0000-0000FB5E0000}"/>
    <cellStyle name="Note 12 5 2 2" xfId="15936" xr:uid="{00000000-0005-0000-0000-0000FC5E0000}"/>
    <cellStyle name="Note 12 5 2 2 2" xfId="39778" xr:uid="{D0746E4D-A962-4C39-9C3E-78EC671E08AF}"/>
    <cellStyle name="Note 12 5 2 3" xfId="23882" xr:uid="{00000000-0005-0000-0000-0000FD5E0000}"/>
    <cellStyle name="Note 12 5 2 3 2" xfId="47714" xr:uid="{E98E1133-605B-459A-86E5-86EA7E772101}"/>
    <cellStyle name="Note 12 5 2 4" xfId="31837" xr:uid="{14B5F8E4-5506-4DBC-BBDB-A98D0B556D4D}"/>
    <cellStyle name="Note 12 5 3" xfId="12398" xr:uid="{00000000-0005-0000-0000-0000FE5E0000}"/>
    <cellStyle name="Note 12 5 3 2" xfId="36247" xr:uid="{43BD6A63-4C96-419A-BBB8-4339F94F1844}"/>
    <cellStyle name="Note 12 5 4" xfId="20353" xr:uid="{00000000-0005-0000-0000-0000FF5E0000}"/>
    <cellStyle name="Note 12 5 4 2" xfId="44185" xr:uid="{4AE0AF07-3921-446F-B4DA-CA4097722AE8}"/>
    <cellStyle name="Note 12 5 5" xfId="28306" xr:uid="{1E51CEF1-4A75-4488-9B8E-06EF378584CB}"/>
    <cellStyle name="Note 12 6" xfId="6193" xr:uid="{00000000-0005-0000-0000-0000005F0000}"/>
    <cellStyle name="Note 12 6 2" xfId="14177" xr:uid="{00000000-0005-0000-0000-0000015F0000}"/>
    <cellStyle name="Note 12 6 2 2" xfId="38020" xr:uid="{DB51D4E9-2CC5-472F-9E4B-802B4618301C}"/>
    <cellStyle name="Note 12 6 3" xfId="22125" xr:uid="{00000000-0005-0000-0000-0000025F0000}"/>
    <cellStyle name="Note 12 6 3 2" xfId="45957" xr:uid="{88FCA3C5-D5DA-4A0F-A5B5-6B4C7FB3B425}"/>
    <cellStyle name="Note 12 6 4" xfId="30079" xr:uid="{66F3454E-9CF4-4E76-A1C4-845A5C44FA51}"/>
    <cellStyle name="Note 12 7" xfId="9746" xr:uid="{00000000-0005-0000-0000-0000035F0000}"/>
    <cellStyle name="Note 12 7 2" xfId="17704" xr:uid="{00000000-0005-0000-0000-0000045F0000}"/>
    <cellStyle name="Note 12 7 2 2" xfId="41544" xr:uid="{D1106AC5-3BAB-412C-9B5D-0F9946073817}"/>
    <cellStyle name="Note 12 7 3" xfId="25648" xr:uid="{00000000-0005-0000-0000-0000055F0000}"/>
    <cellStyle name="Note 12 7 3 2" xfId="49480" xr:uid="{C3ECCB9C-ADA2-4A83-BF03-A7330D08C12B}"/>
    <cellStyle name="Note 12 7 4" xfId="33603" xr:uid="{00DD684C-02A2-4BDF-81E3-D3A74054E81E}"/>
    <cellStyle name="Note 12 8" xfId="10642" xr:uid="{00000000-0005-0000-0000-0000065F0000}"/>
    <cellStyle name="Note 12 8 2" xfId="34491" xr:uid="{C6AB8FB3-4873-4B4F-8F56-532133CF28DF}"/>
    <cellStyle name="Note 12 9" xfId="18597" xr:uid="{00000000-0005-0000-0000-0000075F0000}"/>
    <cellStyle name="Note 12 9 2" xfId="42429" xr:uid="{1EFF910A-E803-45E1-8BF0-AB11C1078A1F}"/>
    <cellStyle name="Note 12_Exh G" xfId="3585" xr:uid="{00000000-0005-0000-0000-0000085F0000}"/>
    <cellStyle name="Note 13" xfId="698" xr:uid="{00000000-0005-0000-0000-0000095F0000}"/>
    <cellStyle name="Note 13 10" xfId="26553" xr:uid="{79FD5979-0253-49E1-A7D9-E7F7DE2CECBD}"/>
    <cellStyle name="Note 13 2" xfId="699" xr:uid="{00000000-0005-0000-0000-00000A5F0000}"/>
    <cellStyle name="Note 13 2 2" xfId="700" xr:uid="{00000000-0005-0000-0000-00000B5F0000}"/>
    <cellStyle name="Note 13 2 2 2" xfId="1728" xr:uid="{00000000-0005-0000-0000-00000C5F0000}"/>
    <cellStyle name="Note 13 2 2 2 2" xfId="5258" xr:uid="{00000000-0005-0000-0000-00000D5F0000}"/>
    <cellStyle name="Note 13 2 2 2 2 2" xfId="8849" xr:uid="{00000000-0005-0000-0000-00000E5F0000}"/>
    <cellStyle name="Note 13 2 2 2 2 2 2" xfId="16820" xr:uid="{00000000-0005-0000-0000-00000F5F0000}"/>
    <cellStyle name="Note 13 2 2 2 2 2 2 2" xfId="40662" xr:uid="{66713EA3-60EA-44C5-BA1D-59A7CFB8F11E}"/>
    <cellStyle name="Note 13 2 2 2 2 2 3" xfId="24766" xr:uid="{00000000-0005-0000-0000-0000105F0000}"/>
    <cellStyle name="Note 13 2 2 2 2 2 3 2" xfId="48598" xr:uid="{4078F387-9BCD-4242-9D16-0C336C4DC225}"/>
    <cellStyle name="Note 13 2 2 2 2 2 4" xfId="32721" xr:uid="{E1D23F08-A383-47BD-A280-81E74A491848}"/>
    <cellStyle name="Note 13 2 2 2 2 3" xfId="13282" xr:uid="{00000000-0005-0000-0000-0000115F0000}"/>
    <cellStyle name="Note 13 2 2 2 2 3 2" xfId="37131" xr:uid="{228E5BCE-E6F6-46E2-93E8-F2432D789648}"/>
    <cellStyle name="Note 13 2 2 2 2 4" xfId="21237" xr:uid="{00000000-0005-0000-0000-0000125F0000}"/>
    <cellStyle name="Note 13 2 2 2 2 4 2" xfId="45069" xr:uid="{654DF001-BF72-4605-A8DC-105C91CC4E22}"/>
    <cellStyle name="Note 13 2 2 2 2 5" xfId="29190" xr:uid="{CCDC569C-5736-49A8-A6B9-60CB5BFC201F}"/>
    <cellStyle name="Note 13 2 2 2 3" xfId="7090" xr:uid="{00000000-0005-0000-0000-0000135F0000}"/>
    <cellStyle name="Note 13 2 2 2 3 2" xfId="15062" xr:uid="{00000000-0005-0000-0000-0000145F0000}"/>
    <cellStyle name="Note 13 2 2 2 3 2 2" xfId="38904" xr:uid="{D2341A07-E8CA-4163-BCC9-0F97F7AFFB01}"/>
    <cellStyle name="Note 13 2 2 2 3 3" xfId="23009" xr:uid="{00000000-0005-0000-0000-0000155F0000}"/>
    <cellStyle name="Note 13 2 2 2 3 3 2" xfId="46841" xr:uid="{E585CF3E-28D7-4503-A7B5-A8196D64D390}"/>
    <cellStyle name="Note 13 2 2 2 3 4" xfId="30963" xr:uid="{D0936168-30A7-45F9-BC70-D46C30613FBA}"/>
    <cellStyle name="Note 13 2 2 2 4" xfId="11526" xr:uid="{00000000-0005-0000-0000-0000165F0000}"/>
    <cellStyle name="Note 13 2 2 2 4 2" xfId="35375" xr:uid="{44171DA5-EB22-430E-8FEF-A0B5DD9D8AE6}"/>
    <cellStyle name="Note 13 2 2 2 5" xfId="19481" xr:uid="{00000000-0005-0000-0000-0000175F0000}"/>
    <cellStyle name="Note 13 2 2 2 5 2" xfId="43313" xr:uid="{D97F4248-F350-4131-82B6-37D606189F74}"/>
    <cellStyle name="Note 13 2 2 2 6" xfId="27433" xr:uid="{1952B678-7DF0-442E-87B3-8C78E5272EDD}"/>
    <cellStyle name="Note 13 2 2 2_Exh G" xfId="3596" xr:uid="{00000000-0005-0000-0000-0000185F0000}"/>
    <cellStyle name="Note 13 2 2 3" xfId="4379" xr:uid="{00000000-0005-0000-0000-0000195F0000}"/>
    <cellStyle name="Note 13 2 2 3 2" xfId="7971" xr:uid="{00000000-0005-0000-0000-00001A5F0000}"/>
    <cellStyle name="Note 13 2 2 3 2 2" xfId="15942" xr:uid="{00000000-0005-0000-0000-00001B5F0000}"/>
    <cellStyle name="Note 13 2 2 3 2 2 2" xfId="39784" xr:uid="{4F172474-F5AE-4D99-B021-CA0BB039D3FF}"/>
    <cellStyle name="Note 13 2 2 3 2 3" xfId="23888" xr:uid="{00000000-0005-0000-0000-00001C5F0000}"/>
    <cellStyle name="Note 13 2 2 3 2 3 2" xfId="47720" xr:uid="{47A84708-C7A1-498F-B6C8-7671EA58C035}"/>
    <cellStyle name="Note 13 2 2 3 2 4" xfId="31843" xr:uid="{C30B433E-8E42-4191-9232-D1DB69764624}"/>
    <cellStyle name="Note 13 2 2 3 3" xfId="12404" xr:uid="{00000000-0005-0000-0000-00001D5F0000}"/>
    <cellStyle name="Note 13 2 2 3 3 2" xfId="36253" xr:uid="{20325F27-9BA4-4918-9C81-F1DB7353B197}"/>
    <cellStyle name="Note 13 2 2 3 4" xfId="20359" xr:uid="{00000000-0005-0000-0000-00001E5F0000}"/>
    <cellStyle name="Note 13 2 2 3 4 2" xfId="44191" xr:uid="{6CB431F2-D9EB-4599-904B-7CE74881A1B3}"/>
    <cellStyle name="Note 13 2 2 3 5" xfId="28312" xr:uid="{9EBEE8C0-FBE6-45CE-956B-6618E784F992}"/>
    <cellStyle name="Note 13 2 2 4" xfId="6199" xr:uid="{00000000-0005-0000-0000-00001F5F0000}"/>
    <cellStyle name="Note 13 2 2 4 2" xfId="14183" xr:uid="{00000000-0005-0000-0000-0000205F0000}"/>
    <cellStyle name="Note 13 2 2 4 2 2" xfId="38026" xr:uid="{160F5807-D0D2-43D1-83C6-D05D3E3791EC}"/>
    <cellStyle name="Note 13 2 2 4 3" xfId="22131" xr:uid="{00000000-0005-0000-0000-0000215F0000}"/>
    <cellStyle name="Note 13 2 2 4 3 2" xfId="45963" xr:uid="{611CAF25-5CA6-437E-A98C-41AE1A30877E}"/>
    <cellStyle name="Note 13 2 2 4 4" xfId="30085" xr:uid="{6FD460EC-405B-4FC4-9F3E-D9131B8F6DC4}"/>
    <cellStyle name="Note 13 2 2 5" xfId="9752" xr:uid="{00000000-0005-0000-0000-0000225F0000}"/>
    <cellStyle name="Note 13 2 2 5 2" xfId="17710" xr:uid="{00000000-0005-0000-0000-0000235F0000}"/>
    <cellStyle name="Note 13 2 2 5 2 2" xfId="41550" xr:uid="{ED866060-FCD5-444E-8D77-337FE6FAED3A}"/>
    <cellStyle name="Note 13 2 2 5 3" xfId="25654" xr:uid="{00000000-0005-0000-0000-0000245F0000}"/>
    <cellStyle name="Note 13 2 2 5 3 2" xfId="49486" xr:uid="{D6930FEA-A49E-4C50-AB54-5CB450FF23B1}"/>
    <cellStyle name="Note 13 2 2 5 4" xfId="33609" xr:uid="{E099F997-DAB5-453C-8C3F-BD8056231C8B}"/>
    <cellStyle name="Note 13 2 2 6" xfId="10648" xr:uid="{00000000-0005-0000-0000-0000255F0000}"/>
    <cellStyle name="Note 13 2 2 6 2" xfId="34497" xr:uid="{0A51224B-699F-4B91-9031-D4AFB98B4701}"/>
    <cellStyle name="Note 13 2 2 7" xfId="18603" xr:uid="{00000000-0005-0000-0000-0000265F0000}"/>
    <cellStyle name="Note 13 2 2 7 2" xfId="42435" xr:uid="{9C824B5E-9C91-4C6C-8E8B-8A556D5BB8F5}"/>
    <cellStyle name="Note 13 2 2 8" xfId="26555" xr:uid="{7176ECA1-52D0-44C2-BDE0-953E27C73ACA}"/>
    <cellStyle name="Note 13 2 2_Exh G" xfId="3595" xr:uid="{00000000-0005-0000-0000-0000275F0000}"/>
    <cellStyle name="Note 13 2 3" xfId="1727" xr:uid="{00000000-0005-0000-0000-0000285F0000}"/>
    <cellStyle name="Note 13 2 3 2" xfId="5257" xr:uid="{00000000-0005-0000-0000-0000295F0000}"/>
    <cellStyle name="Note 13 2 3 2 2" xfId="8848" xr:uid="{00000000-0005-0000-0000-00002A5F0000}"/>
    <cellStyle name="Note 13 2 3 2 2 2" xfId="16819" xr:uid="{00000000-0005-0000-0000-00002B5F0000}"/>
    <cellStyle name="Note 13 2 3 2 2 2 2" xfId="40661" xr:uid="{E2E43E3E-2643-408C-8C7F-AB3CA7746169}"/>
    <cellStyle name="Note 13 2 3 2 2 3" xfId="24765" xr:uid="{00000000-0005-0000-0000-00002C5F0000}"/>
    <cellStyle name="Note 13 2 3 2 2 3 2" xfId="48597" xr:uid="{C47AD8E7-017C-431B-AE23-9275C439891C}"/>
    <cellStyle name="Note 13 2 3 2 2 4" xfId="32720" xr:uid="{CB05B724-8679-4A98-A009-E1C671399E39}"/>
    <cellStyle name="Note 13 2 3 2 3" xfId="13281" xr:uid="{00000000-0005-0000-0000-00002D5F0000}"/>
    <cellStyle name="Note 13 2 3 2 3 2" xfId="37130" xr:uid="{AAFD52F1-F0FC-488E-9323-8A8F0A2C8D0F}"/>
    <cellStyle name="Note 13 2 3 2 4" xfId="21236" xr:uid="{00000000-0005-0000-0000-00002E5F0000}"/>
    <cellStyle name="Note 13 2 3 2 4 2" xfId="45068" xr:uid="{49130B28-4D3A-4267-8E2F-647CC9D3FCC1}"/>
    <cellStyle name="Note 13 2 3 2 5" xfId="29189" xr:uid="{9D2CED16-E43A-466A-AABB-1F675BA21964}"/>
    <cellStyle name="Note 13 2 3 3" xfId="7089" xr:uid="{00000000-0005-0000-0000-00002F5F0000}"/>
    <cellStyle name="Note 13 2 3 3 2" xfId="15061" xr:uid="{00000000-0005-0000-0000-0000305F0000}"/>
    <cellStyle name="Note 13 2 3 3 2 2" xfId="38903" xr:uid="{C31E4CB5-8658-4E78-B018-C5A33271DBE8}"/>
    <cellStyle name="Note 13 2 3 3 3" xfId="23008" xr:uid="{00000000-0005-0000-0000-0000315F0000}"/>
    <cellStyle name="Note 13 2 3 3 3 2" xfId="46840" xr:uid="{355DBCDC-2A45-41ED-8BF2-799A7294B162}"/>
    <cellStyle name="Note 13 2 3 3 4" xfId="30962" xr:uid="{AE7A82A1-CCCE-4434-966E-CAF0A3FB980B}"/>
    <cellStyle name="Note 13 2 3 4" xfId="11525" xr:uid="{00000000-0005-0000-0000-0000325F0000}"/>
    <cellStyle name="Note 13 2 3 4 2" xfId="35374" xr:uid="{509708AE-CC0F-4BD2-BF8A-767F088C04BB}"/>
    <cellStyle name="Note 13 2 3 5" xfId="19480" xr:uid="{00000000-0005-0000-0000-0000335F0000}"/>
    <cellStyle name="Note 13 2 3 5 2" xfId="43312" xr:uid="{FB3C0F41-88E8-4B7A-AFB4-293E6AB1EA6D}"/>
    <cellStyle name="Note 13 2 3 6" xfId="27432" xr:uid="{B62C39B3-D846-4FBA-AF2B-C9DDF8B19871}"/>
    <cellStyle name="Note 13 2 3_Exh G" xfId="3597" xr:uid="{00000000-0005-0000-0000-0000345F0000}"/>
    <cellStyle name="Note 13 2 4" xfId="4378" xr:uid="{00000000-0005-0000-0000-0000355F0000}"/>
    <cellStyle name="Note 13 2 4 2" xfId="7970" xr:uid="{00000000-0005-0000-0000-0000365F0000}"/>
    <cellStyle name="Note 13 2 4 2 2" xfId="15941" xr:uid="{00000000-0005-0000-0000-0000375F0000}"/>
    <cellStyle name="Note 13 2 4 2 2 2" xfId="39783" xr:uid="{039A3BE8-8F5B-48D9-B55B-A66884FF0ADF}"/>
    <cellStyle name="Note 13 2 4 2 3" xfId="23887" xr:uid="{00000000-0005-0000-0000-0000385F0000}"/>
    <cellStyle name="Note 13 2 4 2 3 2" xfId="47719" xr:uid="{C4F790B7-BBFB-4F8A-B539-03BCEB2983F9}"/>
    <cellStyle name="Note 13 2 4 2 4" xfId="31842" xr:uid="{A6BCD3CB-B3CC-44B9-AD38-7E269788E012}"/>
    <cellStyle name="Note 13 2 4 3" xfId="12403" xr:uid="{00000000-0005-0000-0000-0000395F0000}"/>
    <cellStyle name="Note 13 2 4 3 2" xfId="36252" xr:uid="{E3860DAA-7ECA-4567-908A-61B9F145CBF9}"/>
    <cellStyle name="Note 13 2 4 4" xfId="20358" xr:uid="{00000000-0005-0000-0000-00003A5F0000}"/>
    <cellStyle name="Note 13 2 4 4 2" xfId="44190" xr:uid="{06E9F0F5-70F2-424A-B1A1-3DF9E55323C3}"/>
    <cellStyle name="Note 13 2 4 5" xfId="28311" xr:uid="{9F802D7D-3BC4-4177-847E-3C9542EA0010}"/>
    <cellStyle name="Note 13 2 5" xfId="6198" xr:uid="{00000000-0005-0000-0000-00003B5F0000}"/>
    <cellStyle name="Note 13 2 5 2" xfId="14182" xr:uid="{00000000-0005-0000-0000-00003C5F0000}"/>
    <cellStyle name="Note 13 2 5 2 2" xfId="38025" xr:uid="{B6A28517-72B3-4548-A260-6D3C69A053E4}"/>
    <cellStyle name="Note 13 2 5 3" xfId="22130" xr:uid="{00000000-0005-0000-0000-00003D5F0000}"/>
    <cellStyle name="Note 13 2 5 3 2" xfId="45962" xr:uid="{4D4DA0D1-3930-4E18-8092-44D0FEFC1143}"/>
    <cellStyle name="Note 13 2 5 4" xfId="30084" xr:uid="{D9BD1F10-07A9-4C71-9F7C-AC59F5E33AB9}"/>
    <cellStyle name="Note 13 2 6" xfId="9751" xr:uid="{00000000-0005-0000-0000-00003E5F0000}"/>
    <cellStyle name="Note 13 2 6 2" xfId="17709" xr:uid="{00000000-0005-0000-0000-00003F5F0000}"/>
    <cellStyle name="Note 13 2 6 2 2" xfId="41549" xr:uid="{B2EE4DD1-89E4-40C9-99BB-5926B73A7C9E}"/>
    <cellStyle name="Note 13 2 6 3" xfId="25653" xr:uid="{00000000-0005-0000-0000-0000405F0000}"/>
    <cellStyle name="Note 13 2 6 3 2" xfId="49485" xr:uid="{A2519A22-D171-407C-807C-4DAE02BD1FDE}"/>
    <cellStyle name="Note 13 2 6 4" xfId="33608" xr:uid="{24D07F42-0104-47A9-AA14-1CD4B35B14DC}"/>
    <cellStyle name="Note 13 2 7" xfId="10647" xr:uid="{00000000-0005-0000-0000-0000415F0000}"/>
    <cellStyle name="Note 13 2 7 2" xfId="34496" xr:uid="{CCDACD96-989B-46BC-8868-D72DBD5ED398}"/>
    <cellStyle name="Note 13 2 8" xfId="18602" xr:uid="{00000000-0005-0000-0000-0000425F0000}"/>
    <cellStyle name="Note 13 2 8 2" xfId="42434" xr:uid="{11D80C82-2019-4585-AEC4-3FA693F17F90}"/>
    <cellStyle name="Note 13 2 9" xfId="26554" xr:uid="{07198167-BECF-4F7C-9C68-E79D214DA7BD}"/>
    <cellStyle name="Note 13 2_Exh G" xfId="3594" xr:uid="{00000000-0005-0000-0000-0000435F0000}"/>
    <cellStyle name="Note 13 3" xfId="701" xr:uid="{00000000-0005-0000-0000-0000445F0000}"/>
    <cellStyle name="Note 13 3 2" xfId="1729" xr:uid="{00000000-0005-0000-0000-0000455F0000}"/>
    <cellStyle name="Note 13 3 2 2" xfId="5259" xr:uid="{00000000-0005-0000-0000-0000465F0000}"/>
    <cellStyle name="Note 13 3 2 2 2" xfId="8850" xr:uid="{00000000-0005-0000-0000-0000475F0000}"/>
    <cellStyle name="Note 13 3 2 2 2 2" xfId="16821" xr:uid="{00000000-0005-0000-0000-0000485F0000}"/>
    <cellStyle name="Note 13 3 2 2 2 2 2" xfId="40663" xr:uid="{3A4959A1-08C6-429B-8ECC-393A745DC5CC}"/>
    <cellStyle name="Note 13 3 2 2 2 3" xfId="24767" xr:uid="{00000000-0005-0000-0000-0000495F0000}"/>
    <cellStyle name="Note 13 3 2 2 2 3 2" xfId="48599" xr:uid="{3931DC01-F6A2-44F2-8F34-1EED0FEBE121}"/>
    <cellStyle name="Note 13 3 2 2 2 4" xfId="32722" xr:uid="{B7328DB3-1800-4537-BD09-14613016697B}"/>
    <cellStyle name="Note 13 3 2 2 3" xfId="13283" xr:uid="{00000000-0005-0000-0000-00004A5F0000}"/>
    <cellStyle name="Note 13 3 2 2 3 2" xfId="37132" xr:uid="{F067FF56-5387-47F0-9310-808D7540BED4}"/>
    <cellStyle name="Note 13 3 2 2 4" xfId="21238" xr:uid="{00000000-0005-0000-0000-00004B5F0000}"/>
    <cellStyle name="Note 13 3 2 2 4 2" xfId="45070" xr:uid="{28660AD3-397E-4BBE-803D-12958B45AA2C}"/>
    <cellStyle name="Note 13 3 2 2 5" xfId="29191" xr:uid="{905D6918-BA91-4348-9CF1-C3373B9F25EF}"/>
    <cellStyle name="Note 13 3 2 3" xfId="7091" xr:uid="{00000000-0005-0000-0000-00004C5F0000}"/>
    <cellStyle name="Note 13 3 2 3 2" xfId="15063" xr:uid="{00000000-0005-0000-0000-00004D5F0000}"/>
    <cellStyle name="Note 13 3 2 3 2 2" xfId="38905" xr:uid="{C54920C4-39C4-4320-A048-B8F3E8924436}"/>
    <cellStyle name="Note 13 3 2 3 3" xfId="23010" xr:uid="{00000000-0005-0000-0000-00004E5F0000}"/>
    <cellStyle name="Note 13 3 2 3 3 2" xfId="46842" xr:uid="{21D81DCE-3877-4A32-B4A6-4A777E79D5AD}"/>
    <cellStyle name="Note 13 3 2 3 4" xfId="30964" xr:uid="{9267A9D6-D882-47A4-908F-4DD2475B7356}"/>
    <cellStyle name="Note 13 3 2 4" xfId="11527" xr:uid="{00000000-0005-0000-0000-00004F5F0000}"/>
    <cellStyle name="Note 13 3 2 4 2" xfId="35376" xr:uid="{857BF57F-D252-4D2E-ABD9-FCA59D497798}"/>
    <cellStyle name="Note 13 3 2 5" xfId="19482" xr:uid="{00000000-0005-0000-0000-0000505F0000}"/>
    <cellStyle name="Note 13 3 2 5 2" xfId="43314" xr:uid="{60ED4AD4-34F9-475B-A606-EDA15F53A049}"/>
    <cellStyle name="Note 13 3 2 6" xfId="27434" xr:uid="{05844245-2432-46C2-9BB9-F195F2B58664}"/>
    <cellStyle name="Note 13 3 2_Exh G" xfId="3599" xr:uid="{00000000-0005-0000-0000-0000515F0000}"/>
    <cellStyle name="Note 13 3 3" xfId="4380" xr:uid="{00000000-0005-0000-0000-0000525F0000}"/>
    <cellStyle name="Note 13 3 3 2" xfId="7972" xr:uid="{00000000-0005-0000-0000-0000535F0000}"/>
    <cellStyle name="Note 13 3 3 2 2" xfId="15943" xr:uid="{00000000-0005-0000-0000-0000545F0000}"/>
    <cellStyle name="Note 13 3 3 2 2 2" xfId="39785" xr:uid="{B56D0C39-DF9F-482C-9777-A14AB3EF4F78}"/>
    <cellStyle name="Note 13 3 3 2 3" xfId="23889" xr:uid="{00000000-0005-0000-0000-0000555F0000}"/>
    <cellStyle name="Note 13 3 3 2 3 2" xfId="47721" xr:uid="{7C8DD5C3-C823-4BE8-A625-1A2D4C3F487D}"/>
    <cellStyle name="Note 13 3 3 2 4" xfId="31844" xr:uid="{0FE1B94D-9423-4388-83FC-716B86CA14A3}"/>
    <cellStyle name="Note 13 3 3 3" xfId="12405" xr:uid="{00000000-0005-0000-0000-0000565F0000}"/>
    <cellStyle name="Note 13 3 3 3 2" xfId="36254" xr:uid="{FD4D8E1E-CE02-4CC3-9927-4F4EA973F16A}"/>
    <cellStyle name="Note 13 3 3 4" xfId="20360" xr:uid="{00000000-0005-0000-0000-0000575F0000}"/>
    <cellStyle name="Note 13 3 3 4 2" xfId="44192" xr:uid="{69F3DBEC-5E52-49C2-A871-668B260B3172}"/>
    <cellStyle name="Note 13 3 3 5" xfId="28313" xr:uid="{3E7FF69C-7070-43EF-8EA3-6731F34C3851}"/>
    <cellStyle name="Note 13 3 4" xfId="6200" xr:uid="{00000000-0005-0000-0000-0000585F0000}"/>
    <cellStyle name="Note 13 3 4 2" xfId="14184" xr:uid="{00000000-0005-0000-0000-0000595F0000}"/>
    <cellStyle name="Note 13 3 4 2 2" xfId="38027" xr:uid="{C839A9B6-A9FA-4025-9864-86DDED7E738F}"/>
    <cellStyle name="Note 13 3 4 3" xfId="22132" xr:uid="{00000000-0005-0000-0000-00005A5F0000}"/>
    <cellStyle name="Note 13 3 4 3 2" xfId="45964" xr:uid="{F9408599-7B60-4EA4-8813-C6DC393D5E2B}"/>
    <cellStyle name="Note 13 3 4 4" xfId="30086" xr:uid="{7F30711A-58E1-4AD1-BEE1-3778DC6640C5}"/>
    <cellStyle name="Note 13 3 5" xfId="9753" xr:uid="{00000000-0005-0000-0000-00005B5F0000}"/>
    <cellStyle name="Note 13 3 5 2" xfId="17711" xr:uid="{00000000-0005-0000-0000-00005C5F0000}"/>
    <cellStyle name="Note 13 3 5 2 2" xfId="41551" xr:uid="{0FCDB1DE-BAD5-49BF-9CFB-2EEEE9DA2647}"/>
    <cellStyle name="Note 13 3 5 3" xfId="25655" xr:uid="{00000000-0005-0000-0000-00005D5F0000}"/>
    <cellStyle name="Note 13 3 5 3 2" xfId="49487" xr:uid="{B9CD72C9-01D2-4894-BBA5-10196D1BB3B5}"/>
    <cellStyle name="Note 13 3 5 4" xfId="33610" xr:uid="{649DA29C-134A-4694-B42E-1C2DDFCDA548}"/>
    <cellStyle name="Note 13 3 6" xfId="10649" xr:uid="{00000000-0005-0000-0000-00005E5F0000}"/>
    <cellStyle name="Note 13 3 6 2" xfId="34498" xr:uid="{E04110B8-88F8-4790-BAEA-CAB2DAE50B0C}"/>
    <cellStyle name="Note 13 3 7" xfId="18604" xr:uid="{00000000-0005-0000-0000-00005F5F0000}"/>
    <cellStyle name="Note 13 3 7 2" xfId="42436" xr:uid="{480592E9-6DD2-4543-87C4-37C72E4184F9}"/>
    <cellStyle name="Note 13 3 8" xfId="26556" xr:uid="{71881DA7-CF08-40B9-A384-3F574B312444}"/>
    <cellStyle name="Note 13 3_Exh G" xfId="3598" xr:uid="{00000000-0005-0000-0000-0000605F0000}"/>
    <cellStyle name="Note 13 4" xfId="1726" xr:uid="{00000000-0005-0000-0000-0000615F0000}"/>
    <cellStyle name="Note 13 4 2" xfId="5256" xr:uid="{00000000-0005-0000-0000-0000625F0000}"/>
    <cellStyle name="Note 13 4 2 2" xfId="8847" xr:uid="{00000000-0005-0000-0000-0000635F0000}"/>
    <cellStyle name="Note 13 4 2 2 2" xfId="16818" xr:uid="{00000000-0005-0000-0000-0000645F0000}"/>
    <cellStyle name="Note 13 4 2 2 2 2" xfId="40660" xr:uid="{8A713D06-685D-487F-83AA-9EEC251787E7}"/>
    <cellStyle name="Note 13 4 2 2 3" xfId="24764" xr:uid="{00000000-0005-0000-0000-0000655F0000}"/>
    <cellStyle name="Note 13 4 2 2 3 2" xfId="48596" xr:uid="{7E0321DF-622C-4030-9288-CA439FA98E2C}"/>
    <cellStyle name="Note 13 4 2 2 4" xfId="32719" xr:uid="{56B8CF41-8C92-4509-9882-2D4D27EEBF3F}"/>
    <cellStyle name="Note 13 4 2 3" xfId="13280" xr:uid="{00000000-0005-0000-0000-0000665F0000}"/>
    <cellStyle name="Note 13 4 2 3 2" xfId="37129" xr:uid="{FCB30E4C-675A-4FF6-9DBD-889B2DDF6D69}"/>
    <cellStyle name="Note 13 4 2 4" xfId="21235" xr:uid="{00000000-0005-0000-0000-0000675F0000}"/>
    <cellStyle name="Note 13 4 2 4 2" xfId="45067" xr:uid="{CB3DB2D1-6C36-43B7-AFB0-F00EBDBAC8B0}"/>
    <cellStyle name="Note 13 4 2 5" xfId="29188" xr:uid="{9F65802A-A86F-4D75-AD91-605931810512}"/>
    <cellStyle name="Note 13 4 3" xfId="7088" xr:uid="{00000000-0005-0000-0000-0000685F0000}"/>
    <cellStyle name="Note 13 4 3 2" xfId="15060" xr:uid="{00000000-0005-0000-0000-0000695F0000}"/>
    <cellStyle name="Note 13 4 3 2 2" xfId="38902" xr:uid="{B9C60AF9-A555-400C-A574-60E5EC1D51C7}"/>
    <cellStyle name="Note 13 4 3 3" xfId="23007" xr:uid="{00000000-0005-0000-0000-00006A5F0000}"/>
    <cellStyle name="Note 13 4 3 3 2" xfId="46839" xr:uid="{BA830785-A7BC-4701-9AAF-4D47C0D212EC}"/>
    <cellStyle name="Note 13 4 3 4" xfId="30961" xr:uid="{4EF463DE-1B32-41F8-866B-6E0259BB2D03}"/>
    <cellStyle name="Note 13 4 4" xfId="11524" xr:uid="{00000000-0005-0000-0000-00006B5F0000}"/>
    <cellStyle name="Note 13 4 4 2" xfId="35373" xr:uid="{390F38BD-BF98-4082-961F-77FC87CB48B0}"/>
    <cellStyle name="Note 13 4 5" xfId="19479" xr:uid="{00000000-0005-0000-0000-00006C5F0000}"/>
    <cellStyle name="Note 13 4 5 2" xfId="43311" xr:uid="{88528CF3-F11D-4162-A056-BCD3FC16A0C9}"/>
    <cellStyle name="Note 13 4 6" xfId="27431" xr:uid="{CA82F43C-9308-4954-9EC5-BB053651A520}"/>
    <cellStyle name="Note 13 4_Exh G" xfId="3600" xr:uid="{00000000-0005-0000-0000-00006D5F0000}"/>
    <cellStyle name="Note 13 5" xfId="4377" xr:uid="{00000000-0005-0000-0000-00006E5F0000}"/>
    <cellStyle name="Note 13 5 2" xfId="7969" xr:uid="{00000000-0005-0000-0000-00006F5F0000}"/>
    <cellStyle name="Note 13 5 2 2" xfId="15940" xr:uid="{00000000-0005-0000-0000-0000705F0000}"/>
    <cellStyle name="Note 13 5 2 2 2" xfId="39782" xr:uid="{AD8E9FF8-3712-4F21-A667-1841169491D7}"/>
    <cellStyle name="Note 13 5 2 3" xfId="23886" xr:uid="{00000000-0005-0000-0000-0000715F0000}"/>
    <cellStyle name="Note 13 5 2 3 2" xfId="47718" xr:uid="{EE1EF38F-E55F-4D70-8FC4-B77EBDA0E7B8}"/>
    <cellStyle name="Note 13 5 2 4" xfId="31841" xr:uid="{FE5492B3-2C40-4E68-A18F-BABB67607079}"/>
    <cellStyle name="Note 13 5 3" xfId="12402" xr:uid="{00000000-0005-0000-0000-0000725F0000}"/>
    <cellStyle name="Note 13 5 3 2" xfId="36251" xr:uid="{6061E35B-1344-4707-83E7-18876AA06350}"/>
    <cellStyle name="Note 13 5 4" xfId="20357" xr:uid="{00000000-0005-0000-0000-0000735F0000}"/>
    <cellStyle name="Note 13 5 4 2" xfId="44189" xr:uid="{7812A965-1CE4-4763-BACB-7F80C223928F}"/>
    <cellStyle name="Note 13 5 5" xfId="28310" xr:uid="{BEC16F2A-C676-45D3-BB2A-8B6E715BBE80}"/>
    <cellStyle name="Note 13 6" xfId="6197" xr:uid="{00000000-0005-0000-0000-0000745F0000}"/>
    <cellStyle name="Note 13 6 2" xfId="14181" xr:uid="{00000000-0005-0000-0000-0000755F0000}"/>
    <cellStyle name="Note 13 6 2 2" xfId="38024" xr:uid="{E7E0B022-FE12-4D46-BA10-076018119599}"/>
    <cellStyle name="Note 13 6 3" xfId="22129" xr:uid="{00000000-0005-0000-0000-0000765F0000}"/>
    <cellStyle name="Note 13 6 3 2" xfId="45961" xr:uid="{6498AC32-41A3-432F-8484-5302D2DEAA08}"/>
    <cellStyle name="Note 13 6 4" xfId="30083" xr:uid="{7C8D194B-4AE9-49FE-8852-A6C35A610A86}"/>
    <cellStyle name="Note 13 7" xfId="9750" xr:uid="{00000000-0005-0000-0000-0000775F0000}"/>
    <cellStyle name="Note 13 7 2" xfId="17708" xr:uid="{00000000-0005-0000-0000-0000785F0000}"/>
    <cellStyle name="Note 13 7 2 2" xfId="41548" xr:uid="{D536261B-AB34-4176-9DD8-318257AB0556}"/>
    <cellStyle name="Note 13 7 3" xfId="25652" xr:uid="{00000000-0005-0000-0000-0000795F0000}"/>
    <cellStyle name="Note 13 7 3 2" xfId="49484" xr:uid="{0FE51794-BCC7-4320-B632-93BAD92DCFC2}"/>
    <cellStyle name="Note 13 7 4" xfId="33607" xr:uid="{DD0FE282-9C60-4D4F-BBD9-A59A2BF7F19D}"/>
    <cellStyle name="Note 13 8" xfId="10646" xr:uid="{00000000-0005-0000-0000-00007A5F0000}"/>
    <cellStyle name="Note 13 8 2" xfId="34495" xr:uid="{88128B7A-B8DE-41AF-ABCF-1757E659677B}"/>
    <cellStyle name="Note 13 9" xfId="18601" xr:uid="{00000000-0005-0000-0000-00007B5F0000}"/>
    <cellStyle name="Note 13 9 2" xfId="42433" xr:uid="{4631451E-75F5-4DE0-895B-043527B3B16A}"/>
    <cellStyle name="Note 13_Exh G" xfId="3593" xr:uid="{00000000-0005-0000-0000-00007C5F0000}"/>
    <cellStyle name="Note 14" xfId="702" xr:uid="{00000000-0005-0000-0000-00007D5F0000}"/>
    <cellStyle name="Note 14 10" xfId="26557" xr:uid="{B052CE58-BB1E-428C-95D0-79C6228D6AF5}"/>
    <cellStyle name="Note 14 2" xfId="703" xr:uid="{00000000-0005-0000-0000-00007E5F0000}"/>
    <cellStyle name="Note 14 2 2" xfId="704" xr:uid="{00000000-0005-0000-0000-00007F5F0000}"/>
    <cellStyle name="Note 14 2 2 2" xfId="1732" xr:uid="{00000000-0005-0000-0000-0000805F0000}"/>
    <cellStyle name="Note 14 2 2 2 2" xfId="5262" xr:uid="{00000000-0005-0000-0000-0000815F0000}"/>
    <cellStyle name="Note 14 2 2 2 2 2" xfId="8853" xr:uid="{00000000-0005-0000-0000-0000825F0000}"/>
    <cellStyle name="Note 14 2 2 2 2 2 2" xfId="16824" xr:uid="{00000000-0005-0000-0000-0000835F0000}"/>
    <cellStyle name="Note 14 2 2 2 2 2 2 2" xfId="40666" xr:uid="{E226E0BA-5E89-4BD7-BA0F-FBC51B860351}"/>
    <cellStyle name="Note 14 2 2 2 2 2 3" xfId="24770" xr:uid="{00000000-0005-0000-0000-0000845F0000}"/>
    <cellStyle name="Note 14 2 2 2 2 2 3 2" xfId="48602" xr:uid="{609BDD47-E52F-4E30-B19A-D09B61E2A5A6}"/>
    <cellStyle name="Note 14 2 2 2 2 2 4" xfId="32725" xr:uid="{FB2B6A2E-203A-4C74-B981-B3CB2AEDE4A6}"/>
    <cellStyle name="Note 14 2 2 2 2 3" xfId="13286" xr:uid="{00000000-0005-0000-0000-0000855F0000}"/>
    <cellStyle name="Note 14 2 2 2 2 3 2" xfId="37135" xr:uid="{3F2365AC-16F7-4033-8EEE-BCC62208B818}"/>
    <cellStyle name="Note 14 2 2 2 2 4" xfId="21241" xr:uid="{00000000-0005-0000-0000-0000865F0000}"/>
    <cellStyle name="Note 14 2 2 2 2 4 2" xfId="45073" xr:uid="{95826533-2678-4B83-8C30-63CDA236C56D}"/>
    <cellStyle name="Note 14 2 2 2 2 5" xfId="29194" xr:uid="{DA9CEDEB-B56C-494E-87DC-C498AF9D5BD8}"/>
    <cellStyle name="Note 14 2 2 2 3" xfId="7094" xr:uid="{00000000-0005-0000-0000-0000875F0000}"/>
    <cellStyle name="Note 14 2 2 2 3 2" xfId="15066" xr:uid="{00000000-0005-0000-0000-0000885F0000}"/>
    <cellStyle name="Note 14 2 2 2 3 2 2" xfId="38908" xr:uid="{B6490FB2-37F6-438F-8115-9619145EBD79}"/>
    <cellStyle name="Note 14 2 2 2 3 3" xfId="23013" xr:uid="{00000000-0005-0000-0000-0000895F0000}"/>
    <cellStyle name="Note 14 2 2 2 3 3 2" xfId="46845" xr:uid="{9C023685-1073-48E8-899D-8FE4AC609623}"/>
    <cellStyle name="Note 14 2 2 2 3 4" xfId="30967" xr:uid="{7C24AFA5-A130-460B-A41E-580013F18F92}"/>
    <cellStyle name="Note 14 2 2 2 4" xfId="11530" xr:uid="{00000000-0005-0000-0000-00008A5F0000}"/>
    <cellStyle name="Note 14 2 2 2 4 2" xfId="35379" xr:uid="{12EDDA51-C977-4271-A37B-A5ED8A0E81BA}"/>
    <cellStyle name="Note 14 2 2 2 5" xfId="19485" xr:uid="{00000000-0005-0000-0000-00008B5F0000}"/>
    <cellStyle name="Note 14 2 2 2 5 2" xfId="43317" xr:uid="{C6006446-72CD-4157-8812-1F403516688C}"/>
    <cellStyle name="Note 14 2 2 2 6" xfId="27437" xr:uid="{9495B279-067F-4943-B671-92266E24E4F7}"/>
    <cellStyle name="Note 14 2 2 2_Exh G" xfId="3604" xr:uid="{00000000-0005-0000-0000-00008C5F0000}"/>
    <cellStyle name="Note 14 2 2 3" xfId="4383" xr:uid="{00000000-0005-0000-0000-00008D5F0000}"/>
    <cellStyle name="Note 14 2 2 3 2" xfId="7975" xr:uid="{00000000-0005-0000-0000-00008E5F0000}"/>
    <cellStyle name="Note 14 2 2 3 2 2" xfId="15946" xr:uid="{00000000-0005-0000-0000-00008F5F0000}"/>
    <cellStyle name="Note 14 2 2 3 2 2 2" xfId="39788" xr:uid="{853C9227-EC8A-4748-9F01-698FB7B004B2}"/>
    <cellStyle name="Note 14 2 2 3 2 3" xfId="23892" xr:uid="{00000000-0005-0000-0000-0000905F0000}"/>
    <cellStyle name="Note 14 2 2 3 2 3 2" xfId="47724" xr:uid="{D04D0B6B-3AFC-4240-9FEB-D25232867766}"/>
    <cellStyle name="Note 14 2 2 3 2 4" xfId="31847" xr:uid="{A801A2DB-CBC6-40E5-8F14-EB80C7532D13}"/>
    <cellStyle name="Note 14 2 2 3 3" xfId="12408" xr:uid="{00000000-0005-0000-0000-0000915F0000}"/>
    <cellStyle name="Note 14 2 2 3 3 2" xfId="36257" xr:uid="{16821EBB-3792-4D51-9D39-8478B58D6703}"/>
    <cellStyle name="Note 14 2 2 3 4" xfId="20363" xr:uid="{00000000-0005-0000-0000-0000925F0000}"/>
    <cellStyle name="Note 14 2 2 3 4 2" xfId="44195" xr:uid="{AFA32456-9106-4E6C-BA50-5D0E0AA0C988}"/>
    <cellStyle name="Note 14 2 2 3 5" xfId="28316" xr:uid="{B3E3AD6E-5B75-4365-A6BA-2D479A569345}"/>
    <cellStyle name="Note 14 2 2 4" xfId="6203" xr:uid="{00000000-0005-0000-0000-0000935F0000}"/>
    <cellStyle name="Note 14 2 2 4 2" xfId="14187" xr:uid="{00000000-0005-0000-0000-0000945F0000}"/>
    <cellStyle name="Note 14 2 2 4 2 2" xfId="38030" xr:uid="{EBBA5A96-1A7C-42E7-8C36-097530833B71}"/>
    <cellStyle name="Note 14 2 2 4 3" xfId="22135" xr:uid="{00000000-0005-0000-0000-0000955F0000}"/>
    <cellStyle name="Note 14 2 2 4 3 2" xfId="45967" xr:uid="{603B5D8A-E65A-4B2F-9061-4D7B46174565}"/>
    <cellStyle name="Note 14 2 2 4 4" xfId="30089" xr:uid="{7905E6F4-7E20-46BF-BF2A-018E38A29E34}"/>
    <cellStyle name="Note 14 2 2 5" xfId="9756" xr:uid="{00000000-0005-0000-0000-0000965F0000}"/>
    <cellStyle name="Note 14 2 2 5 2" xfId="17714" xr:uid="{00000000-0005-0000-0000-0000975F0000}"/>
    <cellStyle name="Note 14 2 2 5 2 2" xfId="41554" xr:uid="{89FBADCC-9AAE-4E67-A1EF-A67512F3B037}"/>
    <cellStyle name="Note 14 2 2 5 3" xfId="25658" xr:uid="{00000000-0005-0000-0000-0000985F0000}"/>
    <cellStyle name="Note 14 2 2 5 3 2" xfId="49490" xr:uid="{DDF4E77E-0212-4F76-9D98-BD99AE44B66F}"/>
    <cellStyle name="Note 14 2 2 5 4" xfId="33613" xr:uid="{B4ECFB37-06FE-423C-864F-7BD27B5BF562}"/>
    <cellStyle name="Note 14 2 2 6" xfId="10652" xr:uid="{00000000-0005-0000-0000-0000995F0000}"/>
    <cellStyle name="Note 14 2 2 6 2" xfId="34501" xr:uid="{050B710D-8CD8-4A0E-AECC-6B3FBC901724}"/>
    <cellStyle name="Note 14 2 2 7" xfId="18607" xr:uid="{00000000-0005-0000-0000-00009A5F0000}"/>
    <cellStyle name="Note 14 2 2 7 2" xfId="42439" xr:uid="{215CF3B5-157B-4085-954D-9646E280FA28}"/>
    <cellStyle name="Note 14 2 2 8" xfId="26559" xr:uid="{6A1F04DF-7858-44D1-902B-C92E047A2BE6}"/>
    <cellStyle name="Note 14 2 2_Exh G" xfId="3603" xr:uid="{00000000-0005-0000-0000-00009B5F0000}"/>
    <cellStyle name="Note 14 2 3" xfId="1731" xr:uid="{00000000-0005-0000-0000-00009C5F0000}"/>
    <cellStyle name="Note 14 2 3 2" xfId="5261" xr:uid="{00000000-0005-0000-0000-00009D5F0000}"/>
    <cellStyle name="Note 14 2 3 2 2" xfId="8852" xr:uid="{00000000-0005-0000-0000-00009E5F0000}"/>
    <cellStyle name="Note 14 2 3 2 2 2" xfId="16823" xr:uid="{00000000-0005-0000-0000-00009F5F0000}"/>
    <cellStyle name="Note 14 2 3 2 2 2 2" xfId="40665" xr:uid="{0ED1170E-C306-4E4D-8547-49F60555E788}"/>
    <cellStyle name="Note 14 2 3 2 2 3" xfId="24769" xr:uid="{00000000-0005-0000-0000-0000A05F0000}"/>
    <cellStyle name="Note 14 2 3 2 2 3 2" xfId="48601" xr:uid="{C62CC582-5472-40AA-ACDB-081DC69F3F84}"/>
    <cellStyle name="Note 14 2 3 2 2 4" xfId="32724" xr:uid="{391890B1-DFD5-47C2-8158-7F44289CC25E}"/>
    <cellStyle name="Note 14 2 3 2 3" xfId="13285" xr:uid="{00000000-0005-0000-0000-0000A15F0000}"/>
    <cellStyle name="Note 14 2 3 2 3 2" xfId="37134" xr:uid="{03A99C87-53A5-4316-AEA3-C475E2D90ABB}"/>
    <cellStyle name="Note 14 2 3 2 4" xfId="21240" xr:uid="{00000000-0005-0000-0000-0000A25F0000}"/>
    <cellStyle name="Note 14 2 3 2 4 2" xfId="45072" xr:uid="{D1F2AAB3-400A-418A-ADF6-760BBEE1E6AE}"/>
    <cellStyle name="Note 14 2 3 2 5" xfId="29193" xr:uid="{5B5B4BC7-B7E9-4685-9164-C3A02FB1EC05}"/>
    <cellStyle name="Note 14 2 3 3" xfId="7093" xr:uid="{00000000-0005-0000-0000-0000A35F0000}"/>
    <cellStyle name="Note 14 2 3 3 2" xfId="15065" xr:uid="{00000000-0005-0000-0000-0000A45F0000}"/>
    <cellStyle name="Note 14 2 3 3 2 2" xfId="38907" xr:uid="{D98D83F8-1F06-48FC-8490-5B9A9DB6DD75}"/>
    <cellStyle name="Note 14 2 3 3 3" xfId="23012" xr:uid="{00000000-0005-0000-0000-0000A55F0000}"/>
    <cellStyle name="Note 14 2 3 3 3 2" xfId="46844" xr:uid="{9DC733D8-2465-4D4F-98F8-FB1612DD702D}"/>
    <cellStyle name="Note 14 2 3 3 4" xfId="30966" xr:uid="{88FA2654-19CC-4FAA-8BF0-879E180B6B45}"/>
    <cellStyle name="Note 14 2 3 4" xfId="11529" xr:uid="{00000000-0005-0000-0000-0000A65F0000}"/>
    <cellStyle name="Note 14 2 3 4 2" xfId="35378" xr:uid="{BDC8E395-7CB5-4336-A25D-5A1F45FDE4D7}"/>
    <cellStyle name="Note 14 2 3 5" xfId="19484" xr:uid="{00000000-0005-0000-0000-0000A75F0000}"/>
    <cellStyle name="Note 14 2 3 5 2" xfId="43316" xr:uid="{43DE9F9C-A864-46D9-B9D0-94DEA6F82EB4}"/>
    <cellStyle name="Note 14 2 3 6" xfId="27436" xr:uid="{BDB67320-02DC-4420-A7B7-E95CB2ACED12}"/>
    <cellStyle name="Note 14 2 3_Exh G" xfId="3605" xr:uid="{00000000-0005-0000-0000-0000A85F0000}"/>
    <cellStyle name="Note 14 2 4" xfId="4382" xr:uid="{00000000-0005-0000-0000-0000A95F0000}"/>
    <cellStyle name="Note 14 2 4 2" xfId="7974" xr:uid="{00000000-0005-0000-0000-0000AA5F0000}"/>
    <cellStyle name="Note 14 2 4 2 2" xfId="15945" xr:uid="{00000000-0005-0000-0000-0000AB5F0000}"/>
    <cellStyle name="Note 14 2 4 2 2 2" xfId="39787" xr:uid="{6CA21C0C-0CE6-4B58-A642-8B3347BE2616}"/>
    <cellStyle name="Note 14 2 4 2 3" xfId="23891" xr:uid="{00000000-0005-0000-0000-0000AC5F0000}"/>
    <cellStyle name="Note 14 2 4 2 3 2" xfId="47723" xr:uid="{8D903F09-30AE-447C-98C4-2E41C8D8EB73}"/>
    <cellStyle name="Note 14 2 4 2 4" xfId="31846" xr:uid="{DC96B6A0-8B7C-46C3-BDE3-77190DD5F163}"/>
    <cellStyle name="Note 14 2 4 3" xfId="12407" xr:uid="{00000000-0005-0000-0000-0000AD5F0000}"/>
    <cellStyle name="Note 14 2 4 3 2" xfId="36256" xr:uid="{BB0B4BEE-0B0E-4EC4-A679-61A3950A3AAB}"/>
    <cellStyle name="Note 14 2 4 4" xfId="20362" xr:uid="{00000000-0005-0000-0000-0000AE5F0000}"/>
    <cellStyle name="Note 14 2 4 4 2" xfId="44194" xr:uid="{36AA5D44-F9F0-48D3-A711-354B4A9C6133}"/>
    <cellStyle name="Note 14 2 4 5" xfId="28315" xr:uid="{3E13B3E7-2EEA-44FA-A932-161B7EE40DE0}"/>
    <cellStyle name="Note 14 2 5" xfId="6202" xr:uid="{00000000-0005-0000-0000-0000AF5F0000}"/>
    <cellStyle name="Note 14 2 5 2" xfId="14186" xr:uid="{00000000-0005-0000-0000-0000B05F0000}"/>
    <cellStyle name="Note 14 2 5 2 2" xfId="38029" xr:uid="{A1DF9B73-351F-4C64-BF60-340111B9695C}"/>
    <cellStyle name="Note 14 2 5 3" xfId="22134" xr:uid="{00000000-0005-0000-0000-0000B15F0000}"/>
    <cellStyle name="Note 14 2 5 3 2" xfId="45966" xr:uid="{A8193B0E-9AE3-4C75-97F1-050CECAA3245}"/>
    <cellStyle name="Note 14 2 5 4" xfId="30088" xr:uid="{25B6C249-4470-4EEB-9956-F6A6D031DA5C}"/>
    <cellStyle name="Note 14 2 6" xfId="9755" xr:uid="{00000000-0005-0000-0000-0000B25F0000}"/>
    <cellStyle name="Note 14 2 6 2" xfId="17713" xr:uid="{00000000-0005-0000-0000-0000B35F0000}"/>
    <cellStyle name="Note 14 2 6 2 2" xfId="41553" xr:uid="{FE9B8F43-4259-48F7-8B4A-18A643479F02}"/>
    <cellStyle name="Note 14 2 6 3" xfId="25657" xr:uid="{00000000-0005-0000-0000-0000B45F0000}"/>
    <cellStyle name="Note 14 2 6 3 2" xfId="49489" xr:uid="{27A4A91F-EE89-48AF-A946-367191D24F50}"/>
    <cellStyle name="Note 14 2 6 4" xfId="33612" xr:uid="{5AC8391B-8C92-4EEA-9002-C174C080CC1F}"/>
    <cellStyle name="Note 14 2 7" xfId="10651" xr:uid="{00000000-0005-0000-0000-0000B55F0000}"/>
    <cellStyle name="Note 14 2 7 2" xfId="34500" xr:uid="{95157F19-45C0-40A7-81A2-D610999DD09B}"/>
    <cellStyle name="Note 14 2 8" xfId="18606" xr:uid="{00000000-0005-0000-0000-0000B65F0000}"/>
    <cellStyle name="Note 14 2 8 2" xfId="42438" xr:uid="{1399D312-1E4D-430E-9DF1-4D02AD68A884}"/>
    <cellStyle name="Note 14 2 9" xfId="26558" xr:uid="{668328B2-B532-409E-8D4F-EBAE5AAC622A}"/>
    <cellStyle name="Note 14 2_Exh G" xfId="3602" xr:uid="{00000000-0005-0000-0000-0000B75F0000}"/>
    <cellStyle name="Note 14 3" xfId="705" xr:uid="{00000000-0005-0000-0000-0000B85F0000}"/>
    <cellStyle name="Note 14 3 2" xfId="1733" xr:uid="{00000000-0005-0000-0000-0000B95F0000}"/>
    <cellStyle name="Note 14 3 2 2" xfId="5263" xr:uid="{00000000-0005-0000-0000-0000BA5F0000}"/>
    <cellStyle name="Note 14 3 2 2 2" xfId="8854" xr:uid="{00000000-0005-0000-0000-0000BB5F0000}"/>
    <cellStyle name="Note 14 3 2 2 2 2" xfId="16825" xr:uid="{00000000-0005-0000-0000-0000BC5F0000}"/>
    <cellStyle name="Note 14 3 2 2 2 2 2" xfId="40667" xr:uid="{9B487F16-610C-47A0-A868-496E5C1F14CD}"/>
    <cellStyle name="Note 14 3 2 2 2 3" xfId="24771" xr:uid="{00000000-0005-0000-0000-0000BD5F0000}"/>
    <cellStyle name="Note 14 3 2 2 2 3 2" xfId="48603" xr:uid="{8CC52806-BA46-40F5-99A7-F8EA0FFF1ED1}"/>
    <cellStyle name="Note 14 3 2 2 2 4" xfId="32726" xr:uid="{B0474BD9-BD15-4D0A-AE58-92C1D9C66677}"/>
    <cellStyle name="Note 14 3 2 2 3" xfId="13287" xr:uid="{00000000-0005-0000-0000-0000BE5F0000}"/>
    <cellStyle name="Note 14 3 2 2 3 2" xfId="37136" xr:uid="{200C0902-DBB1-4266-80BC-9DC90023A70A}"/>
    <cellStyle name="Note 14 3 2 2 4" xfId="21242" xr:uid="{00000000-0005-0000-0000-0000BF5F0000}"/>
    <cellStyle name="Note 14 3 2 2 4 2" xfId="45074" xr:uid="{844C948C-6262-45A2-9CA3-3B7E599A7290}"/>
    <cellStyle name="Note 14 3 2 2 5" xfId="29195" xr:uid="{5B1331E3-9BD5-4B0B-BCC8-48880B0D0776}"/>
    <cellStyle name="Note 14 3 2 3" xfId="7095" xr:uid="{00000000-0005-0000-0000-0000C05F0000}"/>
    <cellStyle name="Note 14 3 2 3 2" xfId="15067" xr:uid="{00000000-0005-0000-0000-0000C15F0000}"/>
    <cellStyle name="Note 14 3 2 3 2 2" xfId="38909" xr:uid="{9AE97D53-5744-47A3-9DEA-3C64F2409385}"/>
    <cellStyle name="Note 14 3 2 3 3" xfId="23014" xr:uid="{00000000-0005-0000-0000-0000C25F0000}"/>
    <cellStyle name="Note 14 3 2 3 3 2" xfId="46846" xr:uid="{4B4D07C7-4A15-4F31-869A-3D660A756D56}"/>
    <cellStyle name="Note 14 3 2 3 4" xfId="30968" xr:uid="{8B882F66-C518-489D-8F1B-E7A0427BA90A}"/>
    <cellStyle name="Note 14 3 2 4" xfId="11531" xr:uid="{00000000-0005-0000-0000-0000C35F0000}"/>
    <cellStyle name="Note 14 3 2 4 2" xfId="35380" xr:uid="{CF129660-76AC-4267-8602-1998876175C9}"/>
    <cellStyle name="Note 14 3 2 5" xfId="19486" xr:uid="{00000000-0005-0000-0000-0000C45F0000}"/>
    <cellStyle name="Note 14 3 2 5 2" xfId="43318" xr:uid="{401AFB1A-C948-49B0-9AEF-9FA33D674AB9}"/>
    <cellStyle name="Note 14 3 2 6" xfId="27438" xr:uid="{BD1F9E65-64F9-4F3A-9EA9-FF06A7582776}"/>
    <cellStyle name="Note 14 3 2_Exh G" xfId="3607" xr:uid="{00000000-0005-0000-0000-0000C55F0000}"/>
    <cellStyle name="Note 14 3 3" xfId="4384" xr:uid="{00000000-0005-0000-0000-0000C65F0000}"/>
    <cellStyle name="Note 14 3 3 2" xfId="7976" xr:uid="{00000000-0005-0000-0000-0000C75F0000}"/>
    <cellStyle name="Note 14 3 3 2 2" xfId="15947" xr:uid="{00000000-0005-0000-0000-0000C85F0000}"/>
    <cellStyle name="Note 14 3 3 2 2 2" xfId="39789" xr:uid="{D8A3EE35-3E9B-497F-9A0D-9C88B23D933A}"/>
    <cellStyle name="Note 14 3 3 2 3" xfId="23893" xr:uid="{00000000-0005-0000-0000-0000C95F0000}"/>
    <cellStyle name="Note 14 3 3 2 3 2" xfId="47725" xr:uid="{F546A8A3-1506-491A-AB2D-959B341B8EF2}"/>
    <cellStyle name="Note 14 3 3 2 4" xfId="31848" xr:uid="{5BE3F484-2BBF-4DA8-ADC3-4B1960D6539D}"/>
    <cellStyle name="Note 14 3 3 3" xfId="12409" xr:uid="{00000000-0005-0000-0000-0000CA5F0000}"/>
    <cellStyle name="Note 14 3 3 3 2" xfId="36258" xr:uid="{7EF7E442-CDA3-4D19-8EDA-107CA8066DAB}"/>
    <cellStyle name="Note 14 3 3 4" xfId="20364" xr:uid="{00000000-0005-0000-0000-0000CB5F0000}"/>
    <cellStyle name="Note 14 3 3 4 2" xfId="44196" xr:uid="{9B0FFC1A-5A69-4751-AA87-36AAEECE9107}"/>
    <cellStyle name="Note 14 3 3 5" xfId="28317" xr:uid="{D0AE562C-0E2E-470D-9CCF-34BE1FAB8996}"/>
    <cellStyle name="Note 14 3 4" xfId="6204" xr:uid="{00000000-0005-0000-0000-0000CC5F0000}"/>
    <cellStyle name="Note 14 3 4 2" xfId="14188" xr:uid="{00000000-0005-0000-0000-0000CD5F0000}"/>
    <cellStyle name="Note 14 3 4 2 2" xfId="38031" xr:uid="{6DC469DB-9E32-494D-9002-901524ED809C}"/>
    <cellStyle name="Note 14 3 4 3" xfId="22136" xr:uid="{00000000-0005-0000-0000-0000CE5F0000}"/>
    <cellStyle name="Note 14 3 4 3 2" xfId="45968" xr:uid="{F874740F-2EEF-44A8-BE0B-5B5EE67D1281}"/>
    <cellStyle name="Note 14 3 4 4" xfId="30090" xr:uid="{EC657AEF-DB5A-414F-8EC0-78F2A8023109}"/>
    <cellStyle name="Note 14 3 5" xfId="9757" xr:uid="{00000000-0005-0000-0000-0000CF5F0000}"/>
    <cellStyle name="Note 14 3 5 2" xfId="17715" xr:uid="{00000000-0005-0000-0000-0000D05F0000}"/>
    <cellStyle name="Note 14 3 5 2 2" xfId="41555" xr:uid="{06DC52B3-C117-4815-A3A1-BB50891AE8EE}"/>
    <cellStyle name="Note 14 3 5 3" xfId="25659" xr:uid="{00000000-0005-0000-0000-0000D15F0000}"/>
    <cellStyle name="Note 14 3 5 3 2" xfId="49491" xr:uid="{9BBC2B1C-EB6B-4919-955C-A2A1FDCB48D1}"/>
    <cellStyle name="Note 14 3 5 4" xfId="33614" xr:uid="{2D94251C-B1A4-47F0-8FB6-9265B10D2F6D}"/>
    <cellStyle name="Note 14 3 6" xfId="10653" xr:uid="{00000000-0005-0000-0000-0000D25F0000}"/>
    <cellStyle name="Note 14 3 6 2" xfId="34502" xr:uid="{BECAC05A-0868-48E4-96B8-C37D3B2F3C18}"/>
    <cellStyle name="Note 14 3 7" xfId="18608" xr:uid="{00000000-0005-0000-0000-0000D35F0000}"/>
    <cellStyle name="Note 14 3 7 2" xfId="42440" xr:uid="{AC15E6A6-A6B9-4F10-A51B-596DDBEDAE05}"/>
    <cellStyle name="Note 14 3 8" xfId="26560" xr:uid="{D4C51CA2-1468-4A90-983E-F2EFA7B29A19}"/>
    <cellStyle name="Note 14 3_Exh G" xfId="3606" xr:uid="{00000000-0005-0000-0000-0000D45F0000}"/>
    <cellStyle name="Note 14 4" xfId="1730" xr:uid="{00000000-0005-0000-0000-0000D55F0000}"/>
    <cellStyle name="Note 14 4 2" xfId="5260" xr:uid="{00000000-0005-0000-0000-0000D65F0000}"/>
    <cellStyle name="Note 14 4 2 2" xfId="8851" xr:uid="{00000000-0005-0000-0000-0000D75F0000}"/>
    <cellStyle name="Note 14 4 2 2 2" xfId="16822" xr:uid="{00000000-0005-0000-0000-0000D85F0000}"/>
    <cellStyle name="Note 14 4 2 2 2 2" xfId="40664" xr:uid="{C9810A07-70AF-4875-A79B-7D868580618C}"/>
    <cellStyle name="Note 14 4 2 2 3" xfId="24768" xr:uid="{00000000-0005-0000-0000-0000D95F0000}"/>
    <cellStyle name="Note 14 4 2 2 3 2" xfId="48600" xr:uid="{CBEE9821-84AF-451A-8A82-B129ED918441}"/>
    <cellStyle name="Note 14 4 2 2 4" xfId="32723" xr:uid="{D3CD08F7-674A-4372-8D3D-847E33AB1BCB}"/>
    <cellStyle name="Note 14 4 2 3" xfId="13284" xr:uid="{00000000-0005-0000-0000-0000DA5F0000}"/>
    <cellStyle name="Note 14 4 2 3 2" xfId="37133" xr:uid="{D86A2044-E867-4939-8172-41B0323CD184}"/>
    <cellStyle name="Note 14 4 2 4" xfId="21239" xr:uid="{00000000-0005-0000-0000-0000DB5F0000}"/>
    <cellStyle name="Note 14 4 2 4 2" xfId="45071" xr:uid="{0DD330A9-5CE0-412D-A871-8291CE25FF4A}"/>
    <cellStyle name="Note 14 4 2 5" xfId="29192" xr:uid="{0DA8493D-42BA-4E81-9567-6C83CA7F4B43}"/>
    <cellStyle name="Note 14 4 3" xfId="7092" xr:uid="{00000000-0005-0000-0000-0000DC5F0000}"/>
    <cellStyle name="Note 14 4 3 2" xfId="15064" xr:uid="{00000000-0005-0000-0000-0000DD5F0000}"/>
    <cellStyle name="Note 14 4 3 2 2" xfId="38906" xr:uid="{C4F9B825-D5F9-4DF3-9902-5D9659F3B217}"/>
    <cellStyle name="Note 14 4 3 3" xfId="23011" xr:uid="{00000000-0005-0000-0000-0000DE5F0000}"/>
    <cellStyle name="Note 14 4 3 3 2" xfId="46843" xr:uid="{E1953024-5166-48E9-A4A9-3E4843B71FE4}"/>
    <cellStyle name="Note 14 4 3 4" xfId="30965" xr:uid="{57EFDB97-EA41-41E4-AF94-D7E780607258}"/>
    <cellStyle name="Note 14 4 4" xfId="11528" xr:uid="{00000000-0005-0000-0000-0000DF5F0000}"/>
    <cellStyle name="Note 14 4 4 2" xfId="35377" xr:uid="{DCF24089-C2A0-4C71-9217-A4D22CB408EC}"/>
    <cellStyle name="Note 14 4 5" xfId="19483" xr:uid="{00000000-0005-0000-0000-0000E05F0000}"/>
    <cellStyle name="Note 14 4 5 2" xfId="43315" xr:uid="{951BDD31-3E41-49EE-97CB-33ABE805C433}"/>
    <cellStyle name="Note 14 4 6" xfId="27435" xr:uid="{C5A06B93-83DA-4CCC-881C-EFB57759FF37}"/>
    <cellStyle name="Note 14 4_Exh G" xfId="3608" xr:uid="{00000000-0005-0000-0000-0000E15F0000}"/>
    <cellStyle name="Note 14 5" xfId="4381" xr:uid="{00000000-0005-0000-0000-0000E25F0000}"/>
    <cellStyle name="Note 14 5 2" xfId="7973" xr:uid="{00000000-0005-0000-0000-0000E35F0000}"/>
    <cellStyle name="Note 14 5 2 2" xfId="15944" xr:uid="{00000000-0005-0000-0000-0000E45F0000}"/>
    <cellStyle name="Note 14 5 2 2 2" xfId="39786" xr:uid="{9304BE15-F3C5-4596-A0E6-8BC883C50B7B}"/>
    <cellStyle name="Note 14 5 2 3" xfId="23890" xr:uid="{00000000-0005-0000-0000-0000E55F0000}"/>
    <cellStyle name="Note 14 5 2 3 2" xfId="47722" xr:uid="{1276EF0B-0D69-4AD9-BB6D-D2358B3FA31A}"/>
    <cellStyle name="Note 14 5 2 4" xfId="31845" xr:uid="{38679DD8-E9C9-4B54-A635-2A8B4CC79E97}"/>
    <cellStyle name="Note 14 5 3" xfId="12406" xr:uid="{00000000-0005-0000-0000-0000E65F0000}"/>
    <cellStyle name="Note 14 5 3 2" xfId="36255" xr:uid="{7D30798E-FF82-42DF-A90E-9E52D937C405}"/>
    <cellStyle name="Note 14 5 4" xfId="20361" xr:uid="{00000000-0005-0000-0000-0000E75F0000}"/>
    <cellStyle name="Note 14 5 4 2" xfId="44193" xr:uid="{42157748-B1E6-4BEC-8E22-679B60AECB4D}"/>
    <cellStyle name="Note 14 5 5" xfId="28314" xr:uid="{F1BF285B-0906-4A4F-B25C-1B32C4C9E83B}"/>
    <cellStyle name="Note 14 6" xfId="6201" xr:uid="{00000000-0005-0000-0000-0000E85F0000}"/>
    <cellStyle name="Note 14 6 2" xfId="14185" xr:uid="{00000000-0005-0000-0000-0000E95F0000}"/>
    <cellStyle name="Note 14 6 2 2" xfId="38028" xr:uid="{A6A4935F-ABFD-403E-98DC-264F9AD76882}"/>
    <cellStyle name="Note 14 6 3" xfId="22133" xr:uid="{00000000-0005-0000-0000-0000EA5F0000}"/>
    <cellStyle name="Note 14 6 3 2" xfId="45965" xr:uid="{F90ACD95-80DF-44E2-8803-AFE56544A8AA}"/>
    <cellStyle name="Note 14 6 4" xfId="30087" xr:uid="{F2913DCD-64EE-459F-A7CC-A3B7639D7C4E}"/>
    <cellStyle name="Note 14 7" xfId="9754" xr:uid="{00000000-0005-0000-0000-0000EB5F0000}"/>
    <cellStyle name="Note 14 7 2" xfId="17712" xr:uid="{00000000-0005-0000-0000-0000EC5F0000}"/>
    <cellStyle name="Note 14 7 2 2" xfId="41552" xr:uid="{7D313C73-D220-431B-A151-461A250B758E}"/>
    <cellStyle name="Note 14 7 3" xfId="25656" xr:uid="{00000000-0005-0000-0000-0000ED5F0000}"/>
    <cellStyle name="Note 14 7 3 2" xfId="49488" xr:uid="{E2DFA83B-B3F5-4009-B955-3456B5BA09C0}"/>
    <cellStyle name="Note 14 7 4" xfId="33611" xr:uid="{45F9B627-B4EF-455B-A4F8-6B8125AE87AD}"/>
    <cellStyle name="Note 14 8" xfId="10650" xr:uid="{00000000-0005-0000-0000-0000EE5F0000}"/>
    <cellStyle name="Note 14 8 2" xfId="34499" xr:uid="{10F5C7BA-F546-4A32-A498-54765286B52A}"/>
    <cellStyle name="Note 14 9" xfId="18605" xr:uid="{00000000-0005-0000-0000-0000EF5F0000}"/>
    <cellStyle name="Note 14 9 2" xfId="42437" xr:uid="{D14E6F1D-21A6-46F1-A4D1-6F02728F6F49}"/>
    <cellStyle name="Note 14_Exh G" xfId="3601" xr:uid="{00000000-0005-0000-0000-0000F05F0000}"/>
    <cellStyle name="Note 15" xfId="706" xr:uid="{00000000-0005-0000-0000-0000F15F0000}"/>
    <cellStyle name="Note 15 2" xfId="1734" xr:uid="{00000000-0005-0000-0000-0000F25F0000}"/>
    <cellStyle name="Note 15 2 2" xfId="5264" xr:uid="{00000000-0005-0000-0000-0000F35F0000}"/>
    <cellStyle name="Note 15 2 2 2" xfId="8855" xr:uid="{00000000-0005-0000-0000-0000F45F0000}"/>
    <cellStyle name="Note 15 2 2 2 2" xfId="16826" xr:uid="{00000000-0005-0000-0000-0000F55F0000}"/>
    <cellStyle name="Note 15 2 2 2 2 2" xfId="40668" xr:uid="{EF840560-DA6C-43BB-9B58-80BBC462B3BB}"/>
    <cellStyle name="Note 15 2 2 2 3" xfId="24772" xr:uid="{00000000-0005-0000-0000-0000F65F0000}"/>
    <cellStyle name="Note 15 2 2 2 3 2" xfId="48604" xr:uid="{8EBA5FD7-6E8C-47F5-BE9A-01B87208EF29}"/>
    <cellStyle name="Note 15 2 2 2 4" xfId="32727" xr:uid="{84E922D5-64FB-4A96-BC86-E55904913234}"/>
    <cellStyle name="Note 15 2 2 3" xfId="13288" xr:uid="{00000000-0005-0000-0000-0000F75F0000}"/>
    <cellStyle name="Note 15 2 2 3 2" xfId="37137" xr:uid="{7E60CCB0-4DB6-4760-959F-800E5DCC4C93}"/>
    <cellStyle name="Note 15 2 2 4" xfId="21243" xr:uid="{00000000-0005-0000-0000-0000F85F0000}"/>
    <cellStyle name="Note 15 2 2 4 2" xfId="45075" xr:uid="{62BEB7C6-2517-4357-A18F-374C4118BD8E}"/>
    <cellStyle name="Note 15 2 2 5" xfId="29196" xr:uid="{143FC3B7-F543-4A37-ACB2-40592B2A4385}"/>
    <cellStyle name="Note 15 2 3" xfId="7096" xr:uid="{00000000-0005-0000-0000-0000F95F0000}"/>
    <cellStyle name="Note 15 2 3 2" xfId="15068" xr:uid="{00000000-0005-0000-0000-0000FA5F0000}"/>
    <cellStyle name="Note 15 2 3 2 2" xfId="38910" xr:uid="{F0A7EEFA-CB8A-47DE-A562-8E6CD4E7FC29}"/>
    <cellStyle name="Note 15 2 3 3" xfId="23015" xr:uid="{00000000-0005-0000-0000-0000FB5F0000}"/>
    <cellStyle name="Note 15 2 3 3 2" xfId="46847" xr:uid="{CFCE58F0-0F04-45C3-9CE3-6210F20C70DD}"/>
    <cellStyle name="Note 15 2 3 4" xfId="30969" xr:uid="{EDDB7979-3A03-4899-923E-296595EF727C}"/>
    <cellStyle name="Note 15 2 4" xfId="11532" xr:uid="{00000000-0005-0000-0000-0000FC5F0000}"/>
    <cellStyle name="Note 15 2 4 2" xfId="35381" xr:uid="{D01A09B2-FA4C-4B07-94EA-458CBE0F361E}"/>
    <cellStyle name="Note 15 2 5" xfId="19487" xr:uid="{00000000-0005-0000-0000-0000FD5F0000}"/>
    <cellStyle name="Note 15 2 5 2" xfId="43319" xr:uid="{ED8D3E07-76A0-4D2D-9FAC-FD2E8B0C93FE}"/>
    <cellStyle name="Note 15 2 6" xfId="27439" xr:uid="{D34453EB-2EE7-4572-BF21-D123E8A4A005}"/>
    <cellStyle name="Note 15 2_Exh G" xfId="3610" xr:uid="{00000000-0005-0000-0000-0000FE5F0000}"/>
    <cellStyle name="Note 15 3" xfId="4385" xr:uid="{00000000-0005-0000-0000-0000FF5F0000}"/>
    <cellStyle name="Note 15 3 2" xfId="7977" xr:uid="{00000000-0005-0000-0000-000000600000}"/>
    <cellStyle name="Note 15 3 2 2" xfId="15948" xr:uid="{00000000-0005-0000-0000-000001600000}"/>
    <cellStyle name="Note 15 3 2 2 2" xfId="39790" xr:uid="{4226F273-503D-43B3-8478-83A0F5A8C210}"/>
    <cellStyle name="Note 15 3 2 3" xfId="23894" xr:uid="{00000000-0005-0000-0000-000002600000}"/>
    <cellStyle name="Note 15 3 2 3 2" xfId="47726" xr:uid="{F25B5E5A-D1A5-444D-B829-9070280ACC15}"/>
    <cellStyle name="Note 15 3 2 4" xfId="31849" xr:uid="{0D649996-A1C6-44F8-81EB-A7913D8B13A5}"/>
    <cellStyle name="Note 15 3 3" xfId="12410" xr:uid="{00000000-0005-0000-0000-000003600000}"/>
    <cellStyle name="Note 15 3 3 2" xfId="36259" xr:uid="{5B0611B0-CBE7-44F8-83FC-8C638BAFE0C1}"/>
    <cellStyle name="Note 15 3 4" xfId="20365" xr:uid="{00000000-0005-0000-0000-000004600000}"/>
    <cellStyle name="Note 15 3 4 2" xfId="44197" xr:uid="{A2CC86C9-FD52-4E1B-900C-E9C6669C90F6}"/>
    <cellStyle name="Note 15 3 5" xfId="28318" xr:uid="{3CF5E4B7-9521-4F3E-84B4-106510607029}"/>
    <cellStyle name="Note 15 4" xfId="6205" xr:uid="{00000000-0005-0000-0000-000005600000}"/>
    <cellStyle name="Note 15 4 2" xfId="14189" xr:uid="{00000000-0005-0000-0000-000006600000}"/>
    <cellStyle name="Note 15 4 2 2" xfId="38032" xr:uid="{811E3735-A53C-4FD8-BB4F-C051413F0147}"/>
    <cellStyle name="Note 15 4 3" xfId="22137" xr:uid="{00000000-0005-0000-0000-000007600000}"/>
    <cellStyle name="Note 15 4 3 2" xfId="45969" xr:uid="{ABDC52E2-09FD-4394-AFE2-774478FB80AD}"/>
    <cellStyle name="Note 15 4 4" xfId="30091" xr:uid="{2FDC9E74-E24E-4E46-B28D-91674470BBF2}"/>
    <cellStyle name="Note 15 5" xfId="9758" xr:uid="{00000000-0005-0000-0000-000008600000}"/>
    <cellStyle name="Note 15 5 2" xfId="17716" xr:uid="{00000000-0005-0000-0000-000009600000}"/>
    <cellStyle name="Note 15 5 2 2" xfId="41556" xr:uid="{F4E9ECF4-A7A7-446E-AE68-8A66D1A88836}"/>
    <cellStyle name="Note 15 5 3" xfId="25660" xr:uid="{00000000-0005-0000-0000-00000A600000}"/>
    <cellStyle name="Note 15 5 3 2" xfId="49492" xr:uid="{038B1CC3-4E8B-4621-83A7-0DEF8EC4F03A}"/>
    <cellStyle name="Note 15 5 4" xfId="33615" xr:uid="{94617908-F956-42B7-83CD-20B713DA1756}"/>
    <cellStyle name="Note 15 6" xfId="10654" xr:uid="{00000000-0005-0000-0000-00000B600000}"/>
    <cellStyle name="Note 15 6 2" xfId="34503" xr:uid="{F46ABDAA-9322-4EB9-9108-8E47A44193B0}"/>
    <cellStyle name="Note 15 7" xfId="18609" xr:uid="{00000000-0005-0000-0000-00000C600000}"/>
    <cellStyle name="Note 15 7 2" xfId="42441" xr:uid="{6A748463-4000-4D06-B9FA-FF4AD344DC07}"/>
    <cellStyle name="Note 15 8" xfId="26561" xr:uid="{57D0B7A7-0AAB-43F4-9875-A7C0E4470615}"/>
    <cellStyle name="Note 15_Exh G" xfId="3609" xr:uid="{00000000-0005-0000-0000-00000D600000}"/>
    <cellStyle name="Note 16" xfId="855" xr:uid="{00000000-0005-0000-0000-00000E600000}"/>
    <cellStyle name="Note 16 2" xfId="1794" xr:uid="{00000000-0005-0000-0000-00000F600000}"/>
    <cellStyle name="Note 16 2 2" xfId="5315" xr:uid="{00000000-0005-0000-0000-000010600000}"/>
    <cellStyle name="Note 16 2 2 2" xfId="8906" xr:uid="{00000000-0005-0000-0000-000011600000}"/>
    <cellStyle name="Note 16 2 2 2 2" xfId="16877" xr:uid="{00000000-0005-0000-0000-000012600000}"/>
    <cellStyle name="Note 16 2 2 2 2 2" xfId="40719" xr:uid="{2A029451-D936-4B4A-AE16-4A6D2FB2E2D2}"/>
    <cellStyle name="Note 16 2 2 2 3" xfId="24823" xr:uid="{00000000-0005-0000-0000-000013600000}"/>
    <cellStyle name="Note 16 2 2 2 3 2" xfId="48655" xr:uid="{F1083788-258E-4017-812B-DC54086AD62D}"/>
    <cellStyle name="Note 16 2 2 2 4" xfId="32778" xr:uid="{ACA34F70-08BB-4812-B35F-98047064CA51}"/>
    <cellStyle name="Note 16 2 2 3" xfId="13339" xr:uid="{00000000-0005-0000-0000-000014600000}"/>
    <cellStyle name="Note 16 2 2 3 2" xfId="37188" xr:uid="{A4037474-C935-4F63-884D-1F8B26691D16}"/>
    <cellStyle name="Note 16 2 2 4" xfId="21294" xr:uid="{00000000-0005-0000-0000-000015600000}"/>
    <cellStyle name="Note 16 2 2 4 2" xfId="45126" xr:uid="{C7C531AB-4EF2-4D0F-B23E-93650A3DCD7B}"/>
    <cellStyle name="Note 16 2 2 5" xfId="29247" xr:uid="{77C2494A-D717-4673-93AF-952DA61CA5D1}"/>
    <cellStyle name="Note 16 2 3" xfId="7147" xr:uid="{00000000-0005-0000-0000-000016600000}"/>
    <cellStyle name="Note 16 2 3 2" xfId="15119" xr:uid="{00000000-0005-0000-0000-000017600000}"/>
    <cellStyle name="Note 16 2 3 2 2" xfId="38961" xr:uid="{B442D2D7-2C82-426D-B3A5-3B72A93AF4A9}"/>
    <cellStyle name="Note 16 2 3 3" xfId="23066" xr:uid="{00000000-0005-0000-0000-000018600000}"/>
    <cellStyle name="Note 16 2 3 3 2" xfId="46898" xr:uid="{91FF1D40-16C2-4D89-AA26-867F7F69D1FE}"/>
    <cellStyle name="Note 16 2 3 4" xfId="31020" xr:uid="{2C0724D1-8811-4670-8CBC-8CF999C59A0B}"/>
    <cellStyle name="Note 16 2 4" xfId="11583" xr:uid="{00000000-0005-0000-0000-000019600000}"/>
    <cellStyle name="Note 16 2 4 2" xfId="35432" xr:uid="{D501C32D-439A-4190-8F01-94B94BF40736}"/>
    <cellStyle name="Note 16 2 5" xfId="19538" xr:uid="{00000000-0005-0000-0000-00001A600000}"/>
    <cellStyle name="Note 16 2 5 2" xfId="43370" xr:uid="{087808BD-2C3C-4DFA-9F74-6802B805E9E1}"/>
    <cellStyle name="Note 16 2 6" xfId="27490" xr:uid="{EEF7A12E-8FB0-49B8-B380-23EA5A3015CE}"/>
    <cellStyle name="Note 16 2_Exh G" xfId="3612" xr:uid="{00000000-0005-0000-0000-00001B600000}"/>
    <cellStyle name="Note 16 3" xfId="4436" xr:uid="{00000000-0005-0000-0000-00001C600000}"/>
    <cellStyle name="Note 16 3 2" xfId="8028" xr:uid="{00000000-0005-0000-0000-00001D600000}"/>
    <cellStyle name="Note 16 3 2 2" xfId="15999" xr:uid="{00000000-0005-0000-0000-00001E600000}"/>
    <cellStyle name="Note 16 3 2 2 2" xfId="39841" xr:uid="{3018449C-75E4-4B5E-B5DC-FA7BAEEE7396}"/>
    <cellStyle name="Note 16 3 2 3" xfId="23945" xr:uid="{00000000-0005-0000-0000-00001F600000}"/>
    <cellStyle name="Note 16 3 2 3 2" xfId="47777" xr:uid="{A2309941-5634-4DF1-9D11-E34F960676CC}"/>
    <cellStyle name="Note 16 3 2 4" xfId="31900" xr:uid="{DE3AEF9A-8A8D-4BDC-8AE7-6989A649663C}"/>
    <cellStyle name="Note 16 3 3" xfId="12461" xr:uid="{00000000-0005-0000-0000-000020600000}"/>
    <cellStyle name="Note 16 3 3 2" xfId="36310" xr:uid="{405D9453-F87E-484D-9522-9EF5F2DD1A46}"/>
    <cellStyle name="Note 16 3 4" xfId="20416" xr:uid="{00000000-0005-0000-0000-000021600000}"/>
    <cellStyle name="Note 16 3 4 2" xfId="44248" xr:uid="{F0C54FC6-518E-4397-B589-BCE5C35A8A9F}"/>
    <cellStyle name="Note 16 3 5" xfId="28369" xr:uid="{03169B73-2ED7-43E6-BB8A-D9A6F5152A5C}"/>
    <cellStyle name="Note 16 4" xfId="6266" xr:uid="{00000000-0005-0000-0000-000022600000}"/>
    <cellStyle name="Note 16 4 2" xfId="14241" xr:uid="{00000000-0005-0000-0000-000023600000}"/>
    <cellStyle name="Note 16 4 2 2" xfId="38083" xr:uid="{FD7E1635-B688-4A38-877C-E8C290E68CD0}"/>
    <cellStyle name="Note 16 4 3" xfId="22188" xr:uid="{00000000-0005-0000-0000-000024600000}"/>
    <cellStyle name="Note 16 4 3 2" xfId="46020" xr:uid="{757D90D6-95C5-4331-947A-D89FB244CF16}"/>
    <cellStyle name="Note 16 4 4" xfId="30142" xr:uid="{2E304A81-4380-4502-9906-5A4B6B725807}"/>
    <cellStyle name="Note 16 5" xfId="9809" xr:uid="{00000000-0005-0000-0000-000025600000}"/>
    <cellStyle name="Note 16 5 2" xfId="17767" xr:uid="{00000000-0005-0000-0000-000026600000}"/>
    <cellStyle name="Note 16 5 2 2" xfId="41607" xr:uid="{93BE2CF8-EF61-4B90-8E3F-732DCBAE670B}"/>
    <cellStyle name="Note 16 5 3" xfId="25711" xr:uid="{00000000-0005-0000-0000-000027600000}"/>
    <cellStyle name="Note 16 5 3 2" xfId="49543" xr:uid="{AB53332A-C5EA-40FB-8B00-47B793D47FA1}"/>
    <cellStyle name="Note 16 5 4" xfId="33666" xr:uid="{8A3DA8A4-19D0-4F52-8405-C4D098F5F7DD}"/>
    <cellStyle name="Note 16 6" xfId="10705" xr:uid="{00000000-0005-0000-0000-000028600000}"/>
    <cellStyle name="Note 16 6 2" xfId="34554" xr:uid="{EA65FACE-C56F-4E22-82A5-1FDBBED6D491}"/>
    <cellStyle name="Note 16 7" xfId="18660" xr:uid="{00000000-0005-0000-0000-000029600000}"/>
    <cellStyle name="Note 16 7 2" xfId="42492" xr:uid="{5FA8FCE4-4C09-4998-97C4-41F09DC37959}"/>
    <cellStyle name="Note 16 8" xfId="26612" xr:uid="{EFC68D4A-F5AB-4BCA-9A0A-DA435952BFB4}"/>
    <cellStyle name="Note 16_Exh G" xfId="3611" xr:uid="{00000000-0005-0000-0000-00002A600000}"/>
    <cellStyle name="Note 2" xfId="22" xr:uid="{00000000-0005-0000-0000-00002B600000}"/>
    <cellStyle name="Note 2 10" xfId="17927" xr:uid="{00000000-0005-0000-0000-00002C600000}"/>
    <cellStyle name="Note 2 10 2" xfId="41759" xr:uid="{D2E27C33-E28F-49ED-B90F-6EE750ABAECA}"/>
    <cellStyle name="Note 2 11" xfId="25879" xr:uid="{019155C6-B683-45E8-BD5E-4AFAC92FCB72}"/>
    <cellStyle name="Note 2 2" xfId="707" xr:uid="{00000000-0005-0000-0000-00002D600000}"/>
    <cellStyle name="Note 2 2 10" xfId="26562" xr:uid="{9FE8D027-2470-4674-91A1-656AEBE6B543}"/>
    <cellStyle name="Note 2 2 2" xfId="708" xr:uid="{00000000-0005-0000-0000-00002E600000}"/>
    <cellStyle name="Note 2 2 2 2" xfId="1736" xr:uid="{00000000-0005-0000-0000-00002F600000}"/>
    <cellStyle name="Note 2 2 2 2 2" xfId="5266" xr:uid="{00000000-0005-0000-0000-000030600000}"/>
    <cellStyle name="Note 2 2 2 2 2 2" xfId="8857" xr:uid="{00000000-0005-0000-0000-000031600000}"/>
    <cellStyle name="Note 2 2 2 2 2 2 2" xfId="16828" xr:uid="{00000000-0005-0000-0000-000032600000}"/>
    <cellStyle name="Note 2 2 2 2 2 2 2 2" xfId="40670" xr:uid="{1F5E8730-0917-4F5C-9F75-5FF6FB45C036}"/>
    <cellStyle name="Note 2 2 2 2 2 2 3" xfId="24774" xr:uid="{00000000-0005-0000-0000-000033600000}"/>
    <cellStyle name="Note 2 2 2 2 2 2 3 2" xfId="48606" xr:uid="{06B0D82B-5434-40CD-8D78-B0EAC8B5B922}"/>
    <cellStyle name="Note 2 2 2 2 2 2 4" xfId="32729" xr:uid="{52025851-0E0C-4F50-8A1F-ED3EE383A3F7}"/>
    <cellStyle name="Note 2 2 2 2 2 3" xfId="13290" xr:uid="{00000000-0005-0000-0000-000034600000}"/>
    <cellStyle name="Note 2 2 2 2 2 3 2" xfId="37139" xr:uid="{63FAFBF2-3D42-475E-A375-76883B94BEE8}"/>
    <cellStyle name="Note 2 2 2 2 2 4" xfId="21245" xr:uid="{00000000-0005-0000-0000-000035600000}"/>
    <cellStyle name="Note 2 2 2 2 2 4 2" xfId="45077" xr:uid="{DD384FAB-C7D0-4C0B-BFED-DDFA260DE7A5}"/>
    <cellStyle name="Note 2 2 2 2 2 5" xfId="29198" xr:uid="{8616044A-2E6B-4C44-AE04-56E9308C4F37}"/>
    <cellStyle name="Note 2 2 2 2 3" xfId="7098" xr:uid="{00000000-0005-0000-0000-000036600000}"/>
    <cellStyle name="Note 2 2 2 2 3 2" xfId="15070" xr:uid="{00000000-0005-0000-0000-000037600000}"/>
    <cellStyle name="Note 2 2 2 2 3 2 2" xfId="38912" xr:uid="{201D4626-9EB4-48F3-B69B-FFDAC9D89E16}"/>
    <cellStyle name="Note 2 2 2 2 3 3" xfId="23017" xr:uid="{00000000-0005-0000-0000-000038600000}"/>
    <cellStyle name="Note 2 2 2 2 3 3 2" xfId="46849" xr:uid="{DAA23DC1-2F23-4355-B7D3-DA65A28155A3}"/>
    <cellStyle name="Note 2 2 2 2 3 4" xfId="30971" xr:uid="{2D2F7E6D-2928-4C12-BEA5-511B6120A28C}"/>
    <cellStyle name="Note 2 2 2 2 4" xfId="11534" xr:uid="{00000000-0005-0000-0000-000039600000}"/>
    <cellStyle name="Note 2 2 2 2 4 2" xfId="35383" xr:uid="{ABF60B6D-CF59-4241-B7E6-FFF73F03D72F}"/>
    <cellStyle name="Note 2 2 2 2 5" xfId="19489" xr:uid="{00000000-0005-0000-0000-00003A600000}"/>
    <cellStyle name="Note 2 2 2 2 5 2" xfId="43321" xr:uid="{06751A39-8AA2-4A9D-87EA-8A4BC23C3BF3}"/>
    <cellStyle name="Note 2 2 2 2 6" xfId="27441" xr:uid="{769492C6-5531-47C1-9AD1-AE4ADFB53538}"/>
    <cellStyle name="Note 2 2 2 2_Exh G" xfId="3616" xr:uid="{00000000-0005-0000-0000-00003B600000}"/>
    <cellStyle name="Note 2 2 2 3" xfId="4387" xr:uid="{00000000-0005-0000-0000-00003C600000}"/>
    <cellStyle name="Note 2 2 2 3 2" xfId="7979" xr:uid="{00000000-0005-0000-0000-00003D600000}"/>
    <cellStyle name="Note 2 2 2 3 2 2" xfId="15950" xr:uid="{00000000-0005-0000-0000-00003E600000}"/>
    <cellStyle name="Note 2 2 2 3 2 2 2" xfId="39792" xr:uid="{56AF2E96-9D22-44D6-8E00-A175C53AB6D8}"/>
    <cellStyle name="Note 2 2 2 3 2 3" xfId="23896" xr:uid="{00000000-0005-0000-0000-00003F600000}"/>
    <cellStyle name="Note 2 2 2 3 2 3 2" xfId="47728" xr:uid="{96A1EE9E-AD16-44E6-9138-FE9C6C3D1ED2}"/>
    <cellStyle name="Note 2 2 2 3 2 4" xfId="31851" xr:uid="{96E402E6-DF70-439C-BEAB-45E7BFBE9473}"/>
    <cellStyle name="Note 2 2 2 3 3" xfId="12412" xr:uid="{00000000-0005-0000-0000-000040600000}"/>
    <cellStyle name="Note 2 2 2 3 3 2" xfId="36261" xr:uid="{5C0C60BE-0426-4B2F-AE5B-073AF82379AA}"/>
    <cellStyle name="Note 2 2 2 3 4" xfId="20367" xr:uid="{00000000-0005-0000-0000-000041600000}"/>
    <cellStyle name="Note 2 2 2 3 4 2" xfId="44199" xr:uid="{0C258848-5D2B-48CB-9A89-16D92FB0FC5F}"/>
    <cellStyle name="Note 2 2 2 3 5" xfId="28320" xr:uid="{E706B301-1E77-493D-88CF-496F7BEB8E6A}"/>
    <cellStyle name="Note 2 2 2 4" xfId="6207" xr:uid="{00000000-0005-0000-0000-000042600000}"/>
    <cellStyle name="Note 2 2 2 4 2" xfId="14191" xr:uid="{00000000-0005-0000-0000-000043600000}"/>
    <cellStyle name="Note 2 2 2 4 2 2" xfId="38034" xr:uid="{2F89649E-A2F2-4515-B2BC-E47D02EF1009}"/>
    <cellStyle name="Note 2 2 2 4 3" xfId="22139" xr:uid="{00000000-0005-0000-0000-000044600000}"/>
    <cellStyle name="Note 2 2 2 4 3 2" xfId="45971" xr:uid="{2021A996-3589-45B3-8ED4-C3E971D0C4A0}"/>
    <cellStyle name="Note 2 2 2 4 4" xfId="30093" xr:uid="{07EC7EEB-6524-4740-A551-C7860F116DB9}"/>
    <cellStyle name="Note 2 2 2 5" xfId="9760" xr:uid="{00000000-0005-0000-0000-000045600000}"/>
    <cellStyle name="Note 2 2 2 5 2" xfId="17718" xr:uid="{00000000-0005-0000-0000-000046600000}"/>
    <cellStyle name="Note 2 2 2 5 2 2" xfId="41558" xr:uid="{C2C832C2-A813-45B0-9331-E992D3752CC0}"/>
    <cellStyle name="Note 2 2 2 5 3" xfId="25662" xr:uid="{00000000-0005-0000-0000-000047600000}"/>
    <cellStyle name="Note 2 2 2 5 3 2" xfId="49494" xr:uid="{3ED099EC-942A-4C06-98C2-1CDE74DC3610}"/>
    <cellStyle name="Note 2 2 2 5 4" xfId="33617" xr:uid="{20786343-EA1A-4230-B55F-8EA79B7ACDAB}"/>
    <cellStyle name="Note 2 2 2 6" xfId="10656" xr:uid="{00000000-0005-0000-0000-000048600000}"/>
    <cellStyle name="Note 2 2 2 6 2" xfId="34505" xr:uid="{87C641B9-C760-4C89-A930-2FADA4F253B8}"/>
    <cellStyle name="Note 2 2 2 7" xfId="18611" xr:uid="{00000000-0005-0000-0000-000049600000}"/>
    <cellStyle name="Note 2 2 2 7 2" xfId="42443" xr:uid="{6C83D168-96F9-418D-9400-A46C53FAC1FD}"/>
    <cellStyle name="Note 2 2 2 8" xfId="26563" xr:uid="{7938A440-BB20-4D0E-9A1B-9668A3F4797B}"/>
    <cellStyle name="Note 2 2 2_Exh G" xfId="3615" xr:uid="{00000000-0005-0000-0000-00004A600000}"/>
    <cellStyle name="Note 2 2 3" xfId="1031" xr:uid="{00000000-0005-0000-0000-00004B600000}"/>
    <cellStyle name="Note 2 2 3 2" xfId="1931" xr:uid="{00000000-0005-0000-0000-00004C600000}"/>
    <cellStyle name="Note 2 2 3 2 2" xfId="5449" xr:uid="{00000000-0005-0000-0000-00004D600000}"/>
    <cellStyle name="Note 2 2 3 2 2 2" xfId="9040" xr:uid="{00000000-0005-0000-0000-00004E600000}"/>
    <cellStyle name="Note 2 2 3 2 2 2 2" xfId="17011" xr:uid="{00000000-0005-0000-0000-00004F600000}"/>
    <cellStyle name="Note 2 2 3 2 2 2 2 2" xfId="40853" xr:uid="{9C317B74-26BA-49E3-8872-2CA1975A5A86}"/>
    <cellStyle name="Note 2 2 3 2 2 2 3" xfId="24957" xr:uid="{00000000-0005-0000-0000-000050600000}"/>
    <cellStyle name="Note 2 2 3 2 2 2 3 2" xfId="48789" xr:uid="{77303974-2282-47AA-BD82-9174A0744E75}"/>
    <cellStyle name="Note 2 2 3 2 2 2 4" xfId="32912" xr:uid="{D4267D0F-D18F-4705-985F-799AF2D5189E}"/>
    <cellStyle name="Note 2 2 3 2 2 3" xfId="13473" xr:uid="{00000000-0005-0000-0000-000051600000}"/>
    <cellStyle name="Note 2 2 3 2 2 3 2" xfId="37322" xr:uid="{800EB515-B00D-406B-BEA8-E4531F7476F2}"/>
    <cellStyle name="Note 2 2 3 2 2 4" xfId="21428" xr:uid="{00000000-0005-0000-0000-000052600000}"/>
    <cellStyle name="Note 2 2 3 2 2 4 2" xfId="45260" xr:uid="{E63ECF4F-8F23-48CE-8D38-4A7BF765A2CD}"/>
    <cellStyle name="Note 2 2 3 2 2 5" xfId="29381" xr:uid="{3CD68210-2079-408E-B7E8-19A34CE04330}"/>
    <cellStyle name="Note 2 2 3 2 3" xfId="7281" xr:uid="{00000000-0005-0000-0000-000053600000}"/>
    <cellStyle name="Note 2 2 3 2 3 2" xfId="15253" xr:uid="{00000000-0005-0000-0000-000054600000}"/>
    <cellStyle name="Note 2 2 3 2 3 2 2" xfId="39095" xr:uid="{FFB2A592-F5F4-4688-97F6-B1D1AFA2F7CD}"/>
    <cellStyle name="Note 2 2 3 2 3 3" xfId="23200" xr:uid="{00000000-0005-0000-0000-000055600000}"/>
    <cellStyle name="Note 2 2 3 2 3 3 2" xfId="47032" xr:uid="{D7DC5D49-B494-444D-A36A-C7911715E742}"/>
    <cellStyle name="Note 2 2 3 2 3 4" xfId="31154" xr:uid="{AC8E5AF0-01DC-4DCA-ABA6-28A0E7E21DF9}"/>
    <cellStyle name="Note 2 2 3 2 4" xfId="11717" xr:uid="{00000000-0005-0000-0000-000056600000}"/>
    <cellStyle name="Note 2 2 3 2 4 2" xfId="35566" xr:uid="{A4B56DBE-117B-4890-AA95-3FA656CE7A6D}"/>
    <cellStyle name="Note 2 2 3 2 5" xfId="19672" xr:uid="{00000000-0005-0000-0000-000057600000}"/>
    <cellStyle name="Note 2 2 3 2 5 2" xfId="43504" xr:uid="{D0518BEF-DD4C-4C8E-8307-34BE5E72A576}"/>
    <cellStyle name="Note 2 2 3 2 6" xfId="27624" xr:uid="{962BC7AB-F779-4722-83DE-398502870F15}"/>
    <cellStyle name="Note 2 2 3 2_Exh G" xfId="3618" xr:uid="{00000000-0005-0000-0000-000058600000}"/>
    <cellStyle name="Note 2 2 3 3" xfId="4570" xr:uid="{00000000-0005-0000-0000-000059600000}"/>
    <cellStyle name="Note 2 2 3 3 2" xfId="8162" xr:uid="{00000000-0005-0000-0000-00005A600000}"/>
    <cellStyle name="Note 2 2 3 3 2 2" xfId="16133" xr:uid="{00000000-0005-0000-0000-00005B600000}"/>
    <cellStyle name="Note 2 2 3 3 2 2 2" xfId="39975" xr:uid="{02BF9073-BDA2-4AE2-8D26-A1C9B629259A}"/>
    <cellStyle name="Note 2 2 3 3 2 3" xfId="24079" xr:uid="{00000000-0005-0000-0000-00005C600000}"/>
    <cellStyle name="Note 2 2 3 3 2 3 2" xfId="47911" xr:uid="{A868F616-BBF3-4A68-BE91-561327488E9D}"/>
    <cellStyle name="Note 2 2 3 3 2 4" xfId="32034" xr:uid="{4ADDF099-E178-42C0-A830-30AA28516479}"/>
    <cellStyle name="Note 2 2 3 3 3" xfId="12595" xr:uid="{00000000-0005-0000-0000-00005D600000}"/>
    <cellStyle name="Note 2 2 3 3 3 2" xfId="36444" xr:uid="{57E08FDD-DF47-4217-9E43-258A2E737320}"/>
    <cellStyle name="Note 2 2 3 3 4" xfId="20550" xr:uid="{00000000-0005-0000-0000-00005E600000}"/>
    <cellStyle name="Note 2 2 3 3 4 2" xfId="44382" xr:uid="{579CB908-F413-480C-9AF4-51C0F026D0F5}"/>
    <cellStyle name="Note 2 2 3 3 5" xfId="28503" xr:uid="{8F0F403D-7B87-4D86-A34F-762ED99C0228}"/>
    <cellStyle name="Note 2 2 3 4" xfId="6401" xr:uid="{00000000-0005-0000-0000-00005F600000}"/>
    <cellStyle name="Note 2 2 3 4 2" xfId="14375" xr:uid="{00000000-0005-0000-0000-000060600000}"/>
    <cellStyle name="Note 2 2 3 4 2 2" xfId="38217" xr:uid="{7239E7EC-BDC8-46AA-B159-BB4A9B8FEA56}"/>
    <cellStyle name="Note 2 2 3 4 3" xfId="22322" xr:uid="{00000000-0005-0000-0000-000061600000}"/>
    <cellStyle name="Note 2 2 3 4 3 2" xfId="46154" xr:uid="{156CD4B3-3C1A-4932-8112-4F7220764E32}"/>
    <cellStyle name="Note 2 2 3 4 4" xfId="30276" xr:uid="{7960F6FD-5985-4A05-83C0-5A224FE12B2A}"/>
    <cellStyle name="Note 2 2 3 5" xfId="9943" xr:uid="{00000000-0005-0000-0000-000062600000}"/>
    <cellStyle name="Note 2 2 3 5 2" xfId="17901" xr:uid="{00000000-0005-0000-0000-000063600000}"/>
    <cellStyle name="Note 2 2 3 5 2 2" xfId="41741" xr:uid="{A76A3597-6064-4ED4-8586-3FB0B21310DF}"/>
    <cellStyle name="Note 2 2 3 5 3" xfId="25845" xr:uid="{00000000-0005-0000-0000-000064600000}"/>
    <cellStyle name="Note 2 2 3 5 3 2" xfId="49677" xr:uid="{480A420B-7A18-4ABC-A0B5-E5FD0AAC65EE}"/>
    <cellStyle name="Note 2 2 3 5 4" xfId="33800" xr:uid="{0E02DA34-3FE0-461E-B43C-73DC6FBE8AB2}"/>
    <cellStyle name="Note 2 2 3 6" xfId="10839" xr:uid="{00000000-0005-0000-0000-000065600000}"/>
    <cellStyle name="Note 2 2 3 6 2" xfId="34688" xr:uid="{EA868009-67C5-48F0-BFF8-0E0495A25897}"/>
    <cellStyle name="Note 2 2 3 7" xfId="18794" xr:uid="{00000000-0005-0000-0000-000066600000}"/>
    <cellStyle name="Note 2 2 3 7 2" xfId="42626" xr:uid="{D6236A06-3827-4CE1-9B80-4BD31137FB40}"/>
    <cellStyle name="Note 2 2 3 8" xfId="26746" xr:uid="{8C844EB9-E396-4037-B7F0-FCE71366E2D1}"/>
    <cellStyle name="Note 2 2 3_Exh G" xfId="3617" xr:uid="{00000000-0005-0000-0000-000067600000}"/>
    <cellStyle name="Note 2 2 4" xfId="1735" xr:uid="{00000000-0005-0000-0000-000068600000}"/>
    <cellStyle name="Note 2 2 4 2" xfId="5265" xr:uid="{00000000-0005-0000-0000-000069600000}"/>
    <cellStyle name="Note 2 2 4 2 2" xfId="8856" xr:uid="{00000000-0005-0000-0000-00006A600000}"/>
    <cellStyle name="Note 2 2 4 2 2 2" xfId="16827" xr:uid="{00000000-0005-0000-0000-00006B600000}"/>
    <cellStyle name="Note 2 2 4 2 2 2 2" xfId="40669" xr:uid="{E10F0C1E-AD6C-440D-81AD-59AF5C0EB2DF}"/>
    <cellStyle name="Note 2 2 4 2 2 3" xfId="24773" xr:uid="{00000000-0005-0000-0000-00006C600000}"/>
    <cellStyle name="Note 2 2 4 2 2 3 2" xfId="48605" xr:uid="{1425D402-BDFE-4CB9-B226-82DC06A85459}"/>
    <cellStyle name="Note 2 2 4 2 2 4" xfId="32728" xr:uid="{D306F0DF-9FE7-4896-A4A8-4E3B60B224DC}"/>
    <cellStyle name="Note 2 2 4 2 3" xfId="13289" xr:uid="{00000000-0005-0000-0000-00006D600000}"/>
    <cellStyle name="Note 2 2 4 2 3 2" xfId="37138" xr:uid="{628C9215-FD2C-46BE-902F-6A4D900381E6}"/>
    <cellStyle name="Note 2 2 4 2 4" xfId="21244" xr:uid="{00000000-0005-0000-0000-00006E600000}"/>
    <cellStyle name="Note 2 2 4 2 4 2" xfId="45076" xr:uid="{BF316C8C-82D7-4DF3-8CF6-68CB1DE7E75C}"/>
    <cellStyle name="Note 2 2 4 2 5" xfId="29197" xr:uid="{D45F84B5-43F5-4FCF-943B-A428C02F8C4A}"/>
    <cellStyle name="Note 2 2 4 3" xfId="7097" xr:uid="{00000000-0005-0000-0000-00006F600000}"/>
    <cellStyle name="Note 2 2 4 3 2" xfId="15069" xr:uid="{00000000-0005-0000-0000-000070600000}"/>
    <cellStyle name="Note 2 2 4 3 2 2" xfId="38911" xr:uid="{CF74682F-D4F7-4DFA-B181-87F897CEA2DB}"/>
    <cellStyle name="Note 2 2 4 3 3" xfId="23016" xr:uid="{00000000-0005-0000-0000-000071600000}"/>
    <cellStyle name="Note 2 2 4 3 3 2" xfId="46848" xr:uid="{355B4A1E-96DF-49F3-9A0D-5A80978BAA96}"/>
    <cellStyle name="Note 2 2 4 3 4" xfId="30970" xr:uid="{B9726FE4-31C4-4193-A30E-A661D04937A8}"/>
    <cellStyle name="Note 2 2 4 4" xfId="11533" xr:uid="{00000000-0005-0000-0000-000072600000}"/>
    <cellStyle name="Note 2 2 4 4 2" xfId="35382" xr:uid="{FE74E811-6458-445E-A9DF-D067AD483E44}"/>
    <cellStyle name="Note 2 2 4 5" xfId="19488" xr:uid="{00000000-0005-0000-0000-000073600000}"/>
    <cellStyle name="Note 2 2 4 5 2" xfId="43320" xr:uid="{222CB29D-0454-42B3-87E2-290B303931B0}"/>
    <cellStyle name="Note 2 2 4 6" xfId="27440" xr:uid="{BF28DB1F-C04E-4385-BAEF-D021408F86C2}"/>
    <cellStyle name="Note 2 2 4_Exh G" xfId="3619" xr:uid="{00000000-0005-0000-0000-000074600000}"/>
    <cellStyle name="Note 2 2 5" xfId="4386" xr:uid="{00000000-0005-0000-0000-000075600000}"/>
    <cellStyle name="Note 2 2 5 2" xfId="7978" xr:uid="{00000000-0005-0000-0000-000076600000}"/>
    <cellStyle name="Note 2 2 5 2 2" xfId="15949" xr:uid="{00000000-0005-0000-0000-000077600000}"/>
    <cellStyle name="Note 2 2 5 2 2 2" xfId="39791" xr:uid="{F562EEAB-00D7-4240-A5E4-7052302C4E5B}"/>
    <cellStyle name="Note 2 2 5 2 3" xfId="23895" xr:uid="{00000000-0005-0000-0000-000078600000}"/>
    <cellStyle name="Note 2 2 5 2 3 2" xfId="47727" xr:uid="{663DBF4B-BB37-4AD3-9C94-869D0A7B2C2A}"/>
    <cellStyle name="Note 2 2 5 2 4" xfId="31850" xr:uid="{637811EC-9BC2-47F3-B25B-565AA11AC9D7}"/>
    <cellStyle name="Note 2 2 5 3" xfId="12411" xr:uid="{00000000-0005-0000-0000-000079600000}"/>
    <cellStyle name="Note 2 2 5 3 2" xfId="36260" xr:uid="{0CA91C2A-263F-41AE-BA10-7C6865D69BB5}"/>
    <cellStyle name="Note 2 2 5 4" xfId="20366" xr:uid="{00000000-0005-0000-0000-00007A600000}"/>
    <cellStyle name="Note 2 2 5 4 2" xfId="44198" xr:uid="{6D659593-36AE-4B38-98FD-E9F81B0C1B15}"/>
    <cellStyle name="Note 2 2 5 5" xfId="28319" xr:uid="{1AAC5A3C-F537-446F-8F15-E544516A02BF}"/>
    <cellStyle name="Note 2 2 6" xfId="6206" xr:uid="{00000000-0005-0000-0000-00007B600000}"/>
    <cellStyle name="Note 2 2 6 2" xfId="14190" xr:uid="{00000000-0005-0000-0000-00007C600000}"/>
    <cellStyle name="Note 2 2 6 2 2" xfId="38033" xr:uid="{9750ADD5-B138-44CD-99A1-2A88B2E0C708}"/>
    <cellStyle name="Note 2 2 6 3" xfId="22138" xr:uid="{00000000-0005-0000-0000-00007D600000}"/>
    <cellStyle name="Note 2 2 6 3 2" xfId="45970" xr:uid="{68AC655F-D7E9-4B4E-8BFD-FDB3309E9FB8}"/>
    <cellStyle name="Note 2 2 6 4" xfId="30092" xr:uid="{F680E7D7-A92C-43F8-9B98-ED2A38AB942E}"/>
    <cellStyle name="Note 2 2 7" xfId="9759" xr:uid="{00000000-0005-0000-0000-00007E600000}"/>
    <cellStyle name="Note 2 2 7 2" xfId="17717" xr:uid="{00000000-0005-0000-0000-00007F600000}"/>
    <cellStyle name="Note 2 2 7 2 2" xfId="41557" xr:uid="{00C97F6F-2412-493A-8A85-1866E6C43C6D}"/>
    <cellStyle name="Note 2 2 7 3" xfId="25661" xr:uid="{00000000-0005-0000-0000-000080600000}"/>
    <cellStyle name="Note 2 2 7 3 2" xfId="49493" xr:uid="{C6B17086-A823-4F6E-90B2-5C5711D4FFD7}"/>
    <cellStyle name="Note 2 2 7 4" xfId="33616" xr:uid="{7CAF9B98-8441-4505-AE05-2013C4D555E9}"/>
    <cellStyle name="Note 2 2 8" xfId="10655" xr:uid="{00000000-0005-0000-0000-000081600000}"/>
    <cellStyle name="Note 2 2 8 2" xfId="34504" xr:uid="{1F3EB095-C44A-4CE6-A1C8-9856EC7A2A39}"/>
    <cellStyle name="Note 2 2 9" xfId="18610" xr:uid="{00000000-0005-0000-0000-000082600000}"/>
    <cellStyle name="Note 2 2 9 2" xfId="42442" xr:uid="{C9BA40A1-CEDD-463E-8719-66A6F87552B8}"/>
    <cellStyle name="Note 2 2_Exh G" xfId="3614" xr:uid="{00000000-0005-0000-0000-000083600000}"/>
    <cellStyle name="Note 2 3" xfId="709" xr:uid="{00000000-0005-0000-0000-000084600000}"/>
    <cellStyle name="Note 2 3 2" xfId="1737" xr:uid="{00000000-0005-0000-0000-000085600000}"/>
    <cellStyle name="Note 2 3 2 2" xfId="5267" xr:uid="{00000000-0005-0000-0000-000086600000}"/>
    <cellStyle name="Note 2 3 2 2 2" xfId="8858" xr:uid="{00000000-0005-0000-0000-000087600000}"/>
    <cellStyle name="Note 2 3 2 2 2 2" xfId="16829" xr:uid="{00000000-0005-0000-0000-000088600000}"/>
    <cellStyle name="Note 2 3 2 2 2 2 2" xfId="40671" xr:uid="{758D98DE-76FE-4527-AB8E-024D41ECB0BF}"/>
    <cellStyle name="Note 2 3 2 2 2 3" xfId="24775" xr:uid="{00000000-0005-0000-0000-000089600000}"/>
    <cellStyle name="Note 2 3 2 2 2 3 2" xfId="48607" xr:uid="{B003490C-9250-4B9B-842E-6EFA8856EB77}"/>
    <cellStyle name="Note 2 3 2 2 2 4" xfId="32730" xr:uid="{8A1D4957-EB70-43CA-B794-2EF915049809}"/>
    <cellStyle name="Note 2 3 2 2 3" xfId="13291" xr:uid="{00000000-0005-0000-0000-00008A600000}"/>
    <cellStyle name="Note 2 3 2 2 3 2" xfId="37140" xr:uid="{05710656-1120-4241-B327-A7A4D17203D1}"/>
    <cellStyle name="Note 2 3 2 2 4" xfId="21246" xr:uid="{00000000-0005-0000-0000-00008B600000}"/>
    <cellStyle name="Note 2 3 2 2 4 2" xfId="45078" xr:uid="{B104E43D-227D-40E8-AC36-47838084F0D6}"/>
    <cellStyle name="Note 2 3 2 2 5" xfId="29199" xr:uid="{3AEE6C1F-7A83-43F7-B872-5204DAE4DCF6}"/>
    <cellStyle name="Note 2 3 2 3" xfId="7099" xr:uid="{00000000-0005-0000-0000-00008C600000}"/>
    <cellStyle name="Note 2 3 2 3 2" xfId="15071" xr:uid="{00000000-0005-0000-0000-00008D600000}"/>
    <cellStyle name="Note 2 3 2 3 2 2" xfId="38913" xr:uid="{1AC614E6-EE8C-492B-B2A2-312F3ECFB6FC}"/>
    <cellStyle name="Note 2 3 2 3 3" xfId="23018" xr:uid="{00000000-0005-0000-0000-00008E600000}"/>
    <cellStyle name="Note 2 3 2 3 3 2" xfId="46850" xr:uid="{4F1D0414-E44A-4D2D-9336-8EA1DF30D010}"/>
    <cellStyle name="Note 2 3 2 3 4" xfId="30972" xr:uid="{1F5B6AB8-35CD-413C-94FC-97163B283A65}"/>
    <cellStyle name="Note 2 3 2 4" xfId="11535" xr:uid="{00000000-0005-0000-0000-00008F600000}"/>
    <cellStyle name="Note 2 3 2 4 2" xfId="35384" xr:uid="{53F5157D-FBA0-447E-8D71-5F8FA4A4C391}"/>
    <cellStyle name="Note 2 3 2 5" xfId="19490" xr:uid="{00000000-0005-0000-0000-000090600000}"/>
    <cellStyle name="Note 2 3 2 5 2" xfId="43322" xr:uid="{687DE308-3659-4B46-A315-03242A908D85}"/>
    <cellStyle name="Note 2 3 2 6" xfId="27442" xr:uid="{C1AF00A9-DD80-4C81-9FEF-50D397DA87DC}"/>
    <cellStyle name="Note 2 3 2_Exh G" xfId="3621" xr:uid="{00000000-0005-0000-0000-000091600000}"/>
    <cellStyle name="Note 2 3 3" xfId="4388" xr:uid="{00000000-0005-0000-0000-000092600000}"/>
    <cellStyle name="Note 2 3 3 2" xfId="7980" xr:uid="{00000000-0005-0000-0000-000093600000}"/>
    <cellStyle name="Note 2 3 3 2 2" xfId="15951" xr:uid="{00000000-0005-0000-0000-000094600000}"/>
    <cellStyle name="Note 2 3 3 2 2 2" xfId="39793" xr:uid="{C54E1709-B616-405E-BB0F-C772864817AD}"/>
    <cellStyle name="Note 2 3 3 2 3" xfId="23897" xr:uid="{00000000-0005-0000-0000-000095600000}"/>
    <cellStyle name="Note 2 3 3 2 3 2" xfId="47729" xr:uid="{F090B598-8926-4687-9174-04A40182DF13}"/>
    <cellStyle name="Note 2 3 3 2 4" xfId="31852" xr:uid="{735A1FD0-83D6-418B-A865-200E48C61602}"/>
    <cellStyle name="Note 2 3 3 3" xfId="12413" xr:uid="{00000000-0005-0000-0000-000096600000}"/>
    <cellStyle name="Note 2 3 3 3 2" xfId="36262" xr:uid="{019F1450-87E6-4C0C-99C4-A40743360242}"/>
    <cellStyle name="Note 2 3 3 4" xfId="20368" xr:uid="{00000000-0005-0000-0000-000097600000}"/>
    <cellStyle name="Note 2 3 3 4 2" xfId="44200" xr:uid="{75FD43E8-A1DF-435B-A102-8CF8A8594C8E}"/>
    <cellStyle name="Note 2 3 3 5" xfId="28321" xr:uid="{30BAC5F0-CF9D-4BA1-8B51-2D4315D9CAD7}"/>
    <cellStyle name="Note 2 3 4" xfId="6208" xr:uid="{00000000-0005-0000-0000-000098600000}"/>
    <cellStyle name="Note 2 3 4 2" xfId="14192" xr:uid="{00000000-0005-0000-0000-000099600000}"/>
    <cellStyle name="Note 2 3 4 2 2" xfId="38035" xr:uid="{9D0E9777-203D-4A91-ACE9-098FA1D5D3D6}"/>
    <cellStyle name="Note 2 3 4 3" xfId="22140" xr:uid="{00000000-0005-0000-0000-00009A600000}"/>
    <cellStyle name="Note 2 3 4 3 2" xfId="45972" xr:uid="{70C0B4F5-D4BC-4154-9228-9251737A3213}"/>
    <cellStyle name="Note 2 3 4 4" xfId="30094" xr:uid="{1EA61F18-B323-45E8-BAF8-974E97CE8BF5}"/>
    <cellStyle name="Note 2 3 5" xfId="9761" xr:uid="{00000000-0005-0000-0000-00009B600000}"/>
    <cellStyle name="Note 2 3 5 2" xfId="17719" xr:uid="{00000000-0005-0000-0000-00009C600000}"/>
    <cellStyle name="Note 2 3 5 2 2" xfId="41559" xr:uid="{93F71FA6-E0FE-43F2-9A4C-9F589CD2204D}"/>
    <cellStyle name="Note 2 3 5 3" xfId="25663" xr:uid="{00000000-0005-0000-0000-00009D600000}"/>
    <cellStyle name="Note 2 3 5 3 2" xfId="49495" xr:uid="{4549A1DD-60F4-4B08-9220-0891CF47177E}"/>
    <cellStyle name="Note 2 3 5 4" xfId="33618" xr:uid="{506E719A-F08E-432A-BC86-8CB0B44A6FB5}"/>
    <cellStyle name="Note 2 3 6" xfId="10657" xr:uid="{00000000-0005-0000-0000-00009E600000}"/>
    <cellStyle name="Note 2 3 6 2" xfId="34506" xr:uid="{B46D4B68-74ED-4F6C-8885-A6015D8274F4}"/>
    <cellStyle name="Note 2 3 7" xfId="18612" xr:uid="{00000000-0005-0000-0000-00009F600000}"/>
    <cellStyle name="Note 2 3 7 2" xfId="42444" xr:uid="{7FBA970E-2011-4AF7-9CC0-45B5D365050D}"/>
    <cellStyle name="Note 2 3 8" xfId="26564" xr:uid="{4C900347-96A2-49F7-A240-D4A12579B9E3}"/>
    <cellStyle name="Note 2 3_Exh G" xfId="3620" xr:uid="{00000000-0005-0000-0000-0000A0600000}"/>
    <cellStyle name="Note 2 4" xfId="1030" xr:uid="{00000000-0005-0000-0000-0000A1600000}"/>
    <cellStyle name="Note 2 4 2" xfId="1930" xr:uid="{00000000-0005-0000-0000-0000A2600000}"/>
    <cellStyle name="Note 2 4 2 2" xfId="5448" xr:uid="{00000000-0005-0000-0000-0000A3600000}"/>
    <cellStyle name="Note 2 4 2 2 2" xfId="9039" xr:uid="{00000000-0005-0000-0000-0000A4600000}"/>
    <cellStyle name="Note 2 4 2 2 2 2" xfId="17010" xr:uid="{00000000-0005-0000-0000-0000A5600000}"/>
    <cellStyle name="Note 2 4 2 2 2 2 2" xfId="40852" xr:uid="{B9FA836A-0A6F-4F7C-B5DC-23313D0D358F}"/>
    <cellStyle name="Note 2 4 2 2 2 3" xfId="24956" xr:uid="{00000000-0005-0000-0000-0000A6600000}"/>
    <cellStyle name="Note 2 4 2 2 2 3 2" xfId="48788" xr:uid="{762EC840-284E-4909-AFEB-E22D1D0C8AB2}"/>
    <cellStyle name="Note 2 4 2 2 2 4" xfId="32911" xr:uid="{6BF32523-703A-446D-A5D2-C2ACC9D132FC}"/>
    <cellStyle name="Note 2 4 2 2 3" xfId="13472" xr:uid="{00000000-0005-0000-0000-0000A7600000}"/>
    <cellStyle name="Note 2 4 2 2 3 2" xfId="37321" xr:uid="{FB13E903-524C-4E84-A359-2A4BCDAF8F76}"/>
    <cellStyle name="Note 2 4 2 2 4" xfId="21427" xr:uid="{00000000-0005-0000-0000-0000A8600000}"/>
    <cellStyle name="Note 2 4 2 2 4 2" xfId="45259" xr:uid="{33E3B532-61C2-4D9D-B4BE-2DACE3850DFA}"/>
    <cellStyle name="Note 2 4 2 2 5" xfId="29380" xr:uid="{46EC32B9-0653-4216-9462-22FF71FD0F8A}"/>
    <cellStyle name="Note 2 4 2 3" xfId="7280" xr:uid="{00000000-0005-0000-0000-0000A9600000}"/>
    <cellStyle name="Note 2 4 2 3 2" xfId="15252" xr:uid="{00000000-0005-0000-0000-0000AA600000}"/>
    <cellStyle name="Note 2 4 2 3 2 2" xfId="39094" xr:uid="{F57BF588-FD1E-422E-B578-0543B5609DD9}"/>
    <cellStyle name="Note 2 4 2 3 3" xfId="23199" xr:uid="{00000000-0005-0000-0000-0000AB600000}"/>
    <cellStyle name="Note 2 4 2 3 3 2" xfId="47031" xr:uid="{23CE7681-EBF1-4C36-ABAD-F77439633253}"/>
    <cellStyle name="Note 2 4 2 3 4" xfId="31153" xr:uid="{184FFA67-651D-4629-89A5-470A17F07F22}"/>
    <cellStyle name="Note 2 4 2 4" xfId="11716" xr:uid="{00000000-0005-0000-0000-0000AC600000}"/>
    <cellStyle name="Note 2 4 2 4 2" xfId="35565" xr:uid="{9364008E-7BBF-43C9-86F4-651946646989}"/>
    <cellStyle name="Note 2 4 2 5" xfId="19671" xr:uid="{00000000-0005-0000-0000-0000AD600000}"/>
    <cellStyle name="Note 2 4 2 5 2" xfId="43503" xr:uid="{5C5DE347-3163-489D-96BB-ACF5B172FCD3}"/>
    <cellStyle name="Note 2 4 2 6" xfId="27623" xr:uid="{90BF3E5F-F7AA-40BF-8E0F-3E863724E6DB}"/>
    <cellStyle name="Note 2 4 2_Exh G" xfId="3623" xr:uid="{00000000-0005-0000-0000-0000AE600000}"/>
    <cellStyle name="Note 2 4 3" xfId="4569" xr:uid="{00000000-0005-0000-0000-0000AF600000}"/>
    <cellStyle name="Note 2 4 3 2" xfId="8161" xr:uid="{00000000-0005-0000-0000-0000B0600000}"/>
    <cellStyle name="Note 2 4 3 2 2" xfId="16132" xr:uid="{00000000-0005-0000-0000-0000B1600000}"/>
    <cellStyle name="Note 2 4 3 2 2 2" xfId="39974" xr:uid="{9F041699-A85D-491D-89D0-E1C2E17A66C6}"/>
    <cellStyle name="Note 2 4 3 2 3" xfId="24078" xr:uid="{00000000-0005-0000-0000-0000B2600000}"/>
    <cellStyle name="Note 2 4 3 2 3 2" xfId="47910" xr:uid="{E0094B55-088A-4B71-BE20-68DC9821A357}"/>
    <cellStyle name="Note 2 4 3 2 4" xfId="32033" xr:uid="{CD272C3E-EB32-4A03-A3B2-C4ACD0E53957}"/>
    <cellStyle name="Note 2 4 3 3" xfId="12594" xr:uid="{00000000-0005-0000-0000-0000B3600000}"/>
    <cellStyle name="Note 2 4 3 3 2" xfId="36443" xr:uid="{4FADA7BA-C9A2-4993-9340-ACEA622670FC}"/>
    <cellStyle name="Note 2 4 3 4" xfId="20549" xr:uid="{00000000-0005-0000-0000-0000B4600000}"/>
    <cellStyle name="Note 2 4 3 4 2" xfId="44381" xr:uid="{1F64ACF6-8332-4DB0-BD36-4AAA9A37BBE7}"/>
    <cellStyle name="Note 2 4 3 5" xfId="28502" xr:uid="{0CCC95F6-218B-44B0-B347-2D1846DAC5B7}"/>
    <cellStyle name="Note 2 4 4" xfId="6400" xr:uid="{00000000-0005-0000-0000-0000B5600000}"/>
    <cellStyle name="Note 2 4 4 2" xfId="14374" xr:uid="{00000000-0005-0000-0000-0000B6600000}"/>
    <cellStyle name="Note 2 4 4 2 2" xfId="38216" xr:uid="{A15A4B49-F10F-4186-9B42-42032FBE9B5C}"/>
    <cellStyle name="Note 2 4 4 3" xfId="22321" xr:uid="{00000000-0005-0000-0000-0000B7600000}"/>
    <cellStyle name="Note 2 4 4 3 2" xfId="46153" xr:uid="{8C6BE264-CD1C-492E-940B-A7552A1733C5}"/>
    <cellStyle name="Note 2 4 4 4" xfId="30275" xr:uid="{DB236D93-B24E-4187-A87E-187AD1F82C71}"/>
    <cellStyle name="Note 2 4 5" xfId="9942" xr:uid="{00000000-0005-0000-0000-0000B8600000}"/>
    <cellStyle name="Note 2 4 5 2" xfId="17900" xr:uid="{00000000-0005-0000-0000-0000B9600000}"/>
    <cellStyle name="Note 2 4 5 2 2" xfId="41740" xr:uid="{776FB937-6FD0-4E3B-BBA4-50C1E76A920C}"/>
    <cellStyle name="Note 2 4 5 3" xfId="25844" xr:uid="{00000000-0005-0000-0000-0000BA600000}"/>
    <cellStyle name="Note 2 4 5 3 2" xfId="49676" xr:uid="{1DE5D490-8B26-449F-8015-0881D802E1D3}"/>
    <cellStyle name="Note 2 4 5 4" xfId="33799" xr:uid="{DCD6D44B-3CF1-4985-B834-05E61B603FF9}"/>
    <cellStyle name="Note 2 4 6" xfId="10838" xr:uid="{00000000-0005-0000-0000-0000BB600000}"/>
    <cellStyle name="Note 2 4 6 2" xfId="34687" xr:uid="{DD27FE5E-B25F-46A7-A6D8-9CA0D3449958}"/>
    <cellStyle name="Note 2 4 7" xfId="18793" xr:uid="{00000000-0005-0000-0000-0000BC600000}"/>
    <cellStyle name="Note 2 4 7 2" xfId="42625" xr:uid="{CB73509B-876A-42E2-ABEE-FABA0C1B9A4E}"/>
    <cellStyle name="Note 2 4 8" xfId="26745" xr:uid="{12140918-2027-4D87-BAE3-8A188F9EE475}"/>
    <cellStyle name="Note 2 4_Exh G" xfId="3622" xr:uid="{00000000-0005-0000-0000-0000BD600000}"/>
    <cellStyle name="Note 2 5" xfId="1052" xr:uid="{00000000-0005-0000-0000-0000BE600000}"/>
    <cellStyle name="Note 2 5 2" xfId="4582" xr:uid="{00000000-0005-0000-0000-0000BF600000}"/>
    <cellStyle name="Note 2 5 2 2" xfId="8173" xr:uid="{00000000-0005-0000-0000-0000C0600000}"/>
    <cellStyle name="Note 2 5 2 2 2" xfId="16144" xr:uid="{00000000-0005-0000-0000-0000C1600000}"/>
    <cellStyle name="Note 2 5 2 2 2 2" xfId="39986" xr:uid="{92C73336-08B3-4AAA-B2C4-7A17B26E5AC5}"/>
    <cellStyle name="Note 2 5 2 2 3" xfId="24090" xr:uid="{00000000-0005-0000-0000-0000C2600000}"/>
    <cellStyle name="Note 2 5 2 2 3 2" xfId="47922" xr:uid="{E7F32B19-E04F-4F46-BD7B-949B43CEBBC7}"/>
    <cellStyle name="Note 2 5 2 2 4" xfId="32045" xr:uid="{332689BC-D33A-4484-8663-37E63ECBB34D}"/>
    <cellStyle name="Note 2 5 2 3" xfId="12606" xr:uid="{00000000-0005-0000-0000-0000C3600000}"/>
    <cellStyle name="Note 2 5 2 3 2" xfId="36455" xr:uid="{E81C92CD-A020-40F5-8DF6-1A7A44FB04DE}"/>
    <cellStyle name="Note 2 5 2 4" xfId="20561" xr:uid="{00000000-0005-0000-0000-0000C4600000}"/>
    <cellStyle name="Note 2 5 2 4 2" xfId="44393" xr:uid="{62E8565E-79DE-4912-AAF3-46634C2BF456}"/>
    <cellStyle name="Note 2 5 2 5" xfId="28514" xr:uid="{F1D276FD-3715-466B-802E-D21BC9BBDDB6}"/>
    <cellStyle name="Note 2 5 3" xfId="6414" xr:uid="{00000000-0005-0000-0000-0000C5600000}"/>
    <cellStyle name="Note 2 5 3 2" xfId="14386" xr:uid="{00000000-0005-0000-0000-0000C6600000}"/>
    <cellStyle name="Note 2 5 3 2 2" xfId="38228" xr:uid="{566B7C1F-7B44-4B5A-A787-A9CA280BE855}"/>
    <cellStyle name="Note 2 5 3 3" xfId="22333" xr:uid="{00000000-0005-0000-0000-0000C7600000}"/>
    <cellStyle name="Note 2 5 3 3 2" xfId="46165" xr:uid="{CF6E2EC0-2A9A-42F0-9A83-72A7D664FF53}"/>
    <cellStyle name="Note 2 5 3 4" xfId="30287" xr:uid="{DDA6E084-E4A9-4A39-9675-ED2C100B3593}"/>
    <cellStyle name="Note 2 5 4" xfId="10850" xr:uid="{00000000-0005-0000-0000-0000C8600000}"/>
    <cellStyle name="Note 2 5 4 2" xfId="34699" xr:uid="{381B26CE-2E11-49CE-981B-429062E4295B}"/>
    <cellStyle name="Note 2 5 5" xfId="18805" xr:uid="{00000000-0005-0000-0000-0000C9600000}"/>
    <cellStyle name="Note 2 5 5 2" xfId="42637" xr:uid="{2246211A-B0AB-4A86-8F2F-106C2DDAB282}"/>
    <cellStyle name="Note 2 5 6" xfId="26757" xr:uid="{E0965C00-F509-49EA-95D9-62B206C9F8B9}"/>
    <cellStyle name="Note 2 5_Exh G" xfId="3624" xr:uid="{00000000-0005-0000-0000-0000CA600000}"/>
    <cellStyle name="Note 2 6" xfId="3703" xr:uid="{00000000-0005-0000-0000-0000CB600000}"/>
    <cellStyle name="Note 2 6 2" xfId="7295" xr:uid="{00000000-0005-0000-0000-0000CC600000}"/>
    <cellStyle name="Note 2 6 2 2" xfId="15266" xr:uid="{00000000-0005-0000-0000-0000CD600000}"/>
    <cellStyle name="Note 2 6 2 2 2" xfId="39108" xr:uid="{6260201A-71AC-4A16-AD18-4A6E5232F491}"/>
    <cellStyle name="Note 2 6 2 3" xfId="23212" xr:uid="{00000000-0005-0000-0000-0000CE600000}"/>
    <cellStyle name="Note 2 6 2 3 2" xfId="47044" xr:uid="{1D8EBBA2-B63E-416B-85E2-B275861A8489}"/>
    <cellStyle name="Note 2 6 2 4" xfId="31167" xr:uid="{EAD8B25A-4167-4A18-B4EF-44886BA0736D}"/>
    <cellStyle name="Note 2 6 3" xfId="11728" xr:uid="{00000000-0005-0000-0000-0000CF600000}"/>
    <cellStyle name="Note 2 6 3 2" xfId="35577" xr:uid="{835B17CA-E249-4016-8B38-A6E6106A610A}"/>
    <cellStyle name="Note 2 6 4" xfId="19683" xr:uid="{00000000-0005-0000-0000-0000D0600000}"/>
    <cellStyle name="Note 2 6 4 2" xfId="43515" xr:uid="{CEDFDBF0-5750-4B06-81D5-1CC9C9BEEDA0}"/>
    <cellStyle name="Note 2 6 5" xfId="27636" xr:uid="{7109C6C4-5E7C-449B-88EE-E67FC9401D1C}"/>
    <cellStyle name="Note 2 7" xfId="5523" xr:uid="{00000000-0005-0000-0000-0000D1600000}"/>
    <cellStyle name="Note 2 7 2" xfId="13507" xr:uid="{00000000-0005-0000-0000-0000D2600000}"/>
    <cellStyle name="Note 2 7 2 2" xfId="37350" xr:uid="{AE948561-D99C-4ECC-802F-B83DD91A889E}"/>
    <cellStyle name="Note 2 7 3" xfId="21455" xr:uid="{00000000-0005-0000-0000-0000D3600000}"/>
    <cellStyle name="Note 2 7 3 2" xfId="45287" xr:uid="{BA8B24AF-A4B5-43E8-83F8-B45ECD1A2259}"/>
    <cellStyle name="Note 2 7 4" xfId="29409" xr:uid="{C89D0E76-5EFF-4D13-BA68-EACB247F96A3}"/>
    <cellStyle name="Note 2 8" xfId="9076" xr:uid="{00000000-0005-0000-0000-0000D4600000}"/>
    <cellStyle name="Note 2 8 2" xfId="17034" xr:uid="{00000000-0005-0000-0000-0000D5600000}"/>
    <cellStyle name="Note 2 8 2 2" xfId="40874" xr:uid="{26F75691-C3B2-4644-9F21-F388D34500F9}"/>
    <cellStyle name="Note 2 8 3" xfId="24978" xr:uid="{00000000-0005-0000-0000-0000D6600000}"/>
    <cellStyle name="Note 2 8 3 2" xfId="48810" xr:uid="{6B43F970-20A5-4E41-8151-2A986B9E78AE}"/>
    <cellStyle name="Note 2 8 4" xfId="32933" xr:uid="{1670D14C-57C2-4D0A-9EFF-C99D54AA5A0C}"/>
    <cellStyle name="Note 2 9" xfId="9972" xr:uid="{00000000-0005-0000-0000-0000D7600000}"/>
    <cellStyle name="Note 2 9 2" xfId="33821" xr:uid="{BDF6EECF-76B0-4F2C-9E1C-D0D3DB41C1FF}"/>
    <cellStyle name="Note 2_Exh G" xfId="3613" xr:uid="{00000000-0005-0000-0000-0000D8600000}"/>
    <cellStyle name="Note 3" xfId="710" xr:uid="{00000000-0005-0000-0000-0000D9600000}"/>
    <cellStyle name="Note 3 10" xfId="18613" xr:uid="{00000000-0005-0000-0000-0000DA600000}"/>
    <cellStyle name="Note 3 10 2" xfId="42445" xr:uid="{FA5A2E12-E70D-42A1-9472-4A16DC68AE5B}"/>
    <cellStyle name="Note 3 11" xfId="26565" xr:uid="{84F1E09E-B4F2-4521-B36A-40A204538429}"/>
    <cellStyle name="Note 3 2" xfId="711" xr:uid="{00000000-0005-0000-0000-0000DB600000}"/>
    <cellStyle name="Note 3 2 10" xfId="26566" xr:uid="{7F3D37B3-1BF0-4A95-B9C8-6EBFA03EC579}"/>
    <cellStyle name="Note 3 2 2" xfId="712" xr:uid="{00000000-0005-0000-0000-0000DC600000}"/>
    <cellStyle name="Note 3 2 2 2" xfId="1740" xr:uid="{00000000-0005-0000-0000-0000DD600000}"/>
    <cellStyle name="Note 3 2 2 2 2" xfId="5270" xr:uid="{00000000-0005-0000-0000-0000DE600000}"/>
    <cellStyle name="Note 3 2 2 2 2 2" xfId="8861" xr:uid="{00000000-0005-0000-0000-0000DF600000}"/>
    <cellStyle name="Note 3 2 2 2 2 2 2" xfId="16832" xr:uid="{00000000-0005-0000-0000-0000E0600000}"/>
    <cellStyle name="Note 3 2 2 2 2 2 2 2" xfId="40674" xr:uid="{F17CE054-D912-4DE1-BCF2-D9BB918980D1}"/>
    <cellStyle name="Note 3 2 2 2 2 2 3" xfId="24778" xr:uid="{00000000-0005-0000-0000-0000E1600000}"/>
    <cellStyle name="Note 3 2 2 2 2 2 3 2" xfId="48610" xr:uid="{E2A184FF-274D-426E-9DB8-FB28A159EBCD}"/>
    <cellStyle name="Note 3 2 2 2 2 2 4" xfId="32733" xr:uid="{98ECE241-ED4A-43A0-A73B-67F0C65D6D80}"/>
    <cellStyle name="Note 3 2 2 2 2 3" xfId="13294" xr:uid="{00000000-0005-0000-0000-0000E2600000}"/>
    <cellStyle name="Note 3 2 2 2 2 3 2" xfId="37143" xr:uid="{1212B26B-8D6B-4F04-8E07-231B7D9A6624}"/>
    <cellStyle name="Note 3 2 2 2 2 4" xfId="21249" xr:uid="{00000000-0005-0000-0000-0000E3600000}"/>
    <cellStyle name="Note 3 2 2 2 2 4 2" xfId="45081" xr:uid="{78F50A0B-8E1B-4AE2-B2C2-C76971DEBC0A}"/>
    <cellStyle name="Note 3 2 2 2 2 5" xfId="29202" xr:uid="{087E3B77-2417-4AA3-AF93-08D233B13ADD}"/>
    <cellStyle name="Note 3 2 2 2 3" xfId="7102" xr:uid="{00000000-0005-0000-0000-0000E4600000}"/>
    <cellStyle name="Note 3 2 2 2 3 2" xfId="15074" xr:uid="{00000000-0005-0000-0000-0000E5600000}"/>
    <cellStyle name="Note 3 2 2 2 3 2 2" xfId="38916" xr:uid="{793F2669-29C3-4754-995D-BE5FF5836ADA}"/>
    <cellStyle name="Note 3 2 2 2 3 3" xfId="23021" xr:uid="{00000000-0005-0000-0000-0000E6600000}"/>
    <cellStyle name="Note 3 2 2 2 3 3 2" xfId="46853" xr:uid="{00899BB2-11D5-402D-A505-8BF2A15C1A71}"/>
    <cellStyle name="Note 3 2 2 2 3 4" xfId="30975" xr:uid="{B38C209C-25DD-4516-BD6C-439ADDC4CA03}"/>
    <cellStyle name="Note 3 2 2 2 4" xfId="11538" xr:uid="{00000000-0005-0000-0000-0000E7600000}"/>
    <cellStyle name="Note 3 2 2 2 4 2" xfId="35387" xr:uid="{89D4BB00-2A34-4AFF-9011-C3BA6A3BDD27}"/>
    <cellStyle name="Note 3 2 2 2 5" xfId="19493" xr:uid="{00000000-0005-0000-0000-0000E8600000}"/>
    <cellStyle name="Note 3 2 2 2 5 2" xfId="43325" xr:uid="{842F4E5C-FFC7-4B62-9E40-A1B9E6B0893C}"/>
    <cellStyle name="Note 3 2 2 2 6" xfId="27445" xr:uid="{7BB6EEF3-AC05-41BB-AB96-B88F5FC9219D}"/>
    <cellStyle name="Note 3 2 2 2_Exh G" xfId="3628" xr:uid="{00000000-0005-0000-0000-0000E9600000}"/>
    <cellStyle name="Note 3 2 2 3" xfId="4391" xr:uid="{00000000-0005-0000-0000-0000EA600000}"/>
    <cellStyle name="Note 3 2 2 3 2" xfId="7983" xr:uid="{00000000-0005-0000-0000-0000EB600000}"/>
    <cellStyle name="Note 3 2 2 3 2 2" xfId="15954" xr:uid="{00000000-0005-0000-0000-0000EC600000}"/>
    <cellStyle name="Note 3 2 2 3 2 2 2" xfId="39796" xr:uid="{037ED795-1DE4-4621-84B2-15517419754B}"/>
    <cellStyle name="Note 3 2 2 3 2 3" xfId="23900" xr:uid="{00000000-0005-0000-0000-0000ED600000}"/>
    <cellStyle name="Note 3 2 2 3 2 3 2" xfId="47732" xr:uid="{12F893FD-2B7D-460D-ABF5-66915C51A477}"/>
    <cellStyle name="Note 3 2 2 3 2 4" xfId="31855" xr:uid="{D2C55BCC-8086-414D-8CBD-EE6587849FB9}"/>
    <cellStyle name="Note 3 2 2 3 3" xfId="12416" xr:uid="{00000000-0005-0000-0000-0000EE600000}"/>
    <cellStyle name="Note 3 2 2 3 3 2" xfId="36265" xr:uid="{B2852AA8-9163-421D-AB34-BCDF4B6150EC}"/>
    <cellStyle name="Note 3 2 2 3 4" xfId="20371" xr:uid="{00000000-0005-0000-0000-0000EF600000}"/>
    <cellStyle name="Note 3 2 2 3 4 2" xfId="44203" xr:uid="{95F06B7F-4DC1-4A6D-9685-E6AA991F938C}"/>
    <cellStyle name="Note 3 2 2 3 5" xfId="28324" xr:uid="{7460C8BA-D4A3-4903-94DA-45047A8C57E1}"/>
    <cellStyle name="Note 3 2 2 4" xfId="6211" xr:uid="{00000000-0005-0000-0000-0000F0600000}"/>
    <cellStyle name="Note 3 2 2 4 2" xfId="14195" xr:uid="{00000000-0005-0000-0000-0000F1600000}"/>
    <cellStyle name="Note 3 2 2 4 2 2" xfId="38038" xr:uid="{5046FE0A-DC6B-4F8D-B6F2-AF9FEE414555}"/>
    <cellStyle name="Note 3 2 2 4 3" xfId="22143" xr:uid="{00000000-0005-0000-0000-0000F2600000}"/>
    <cellStyle name="Note 3 2 2 4 3 2" xfId="45975" xr:uid="{F9E3A306-AEB8-42DD-B04F-CC9ACBDACA13}"/>
    <cellStyle name="Note 3 2 2 4 4" xfId="30097" xr:uid="{7C0C78A4-D77A-4626-A874-7FCF710EA20A}"/>
    <cellStyle name="Note 3 2 2 5" xfId="9764" xr:uid="{00000000-0005-0000-0000-0000F3600000}"/>
    <cellStyle name="Note 3 2 2 5 2" xfId="17722" xr:uid="{00000000-0005-0000-0000-0000F4600000}"/>
    <cellStyle name="Note 3 2 2 5 2 2" xfId="41562" xr:uid="{0B19A9A2-78F0-4A66-BE54-14B716A80CAD}"/>
    <cellStyle name="Note 3 2 2 5 3" xfId="25666" xr:uid="{00000000-0005-0000-0000-0000F5600000}"/>
    <cellStyle name="Note 3 2 2 5 3 2" xfId="49498" xr:uid="{6E71992B-5A26-4E6B-ABB0-31BB95428DD1}"/>
    <cellStyle name="Note 3 2 2 5 4" xfId="33621" xr:uid="{3E7EFFCC-F208-494F-953A-E924FDF52A1A}"/>
    <cellStyle name="Note 3 2 2 6" xfId="10660" xr:uid="{00000000-0005-0000-0000-0000F6600000}"/>
    <cellStyle name="Note 3 2 2 6 2" xfId="34509" xr:uid="{FE4E53E3-528E-4C42-84E7-F8AF0DCFB224}"/>
    <cellStyle name="Note 3 2 2 7" xfId="18615" xr:uid="{00000000-0005-0000-0000-0000F7600000}"/>
    <cellStyle name="Note 3 2 2 7 2" xfId="42447" xr:uid="{7B68393E-56A5-44D9-BFF4-A8D200141FE2}"/>
    <cellStyle name="Note 3 2 2 8" xfId="26567" xr:uid="{AD3CF7A8-DA0D-4577-A778-D4AFC58BA842}"/>
    <cellStyle name="Note 3 2 2_Exh G" xfId="3627" xr:uid="{00000000-0005-0000-0000-0000F8600000}"/>
    <cellStyle name="Note 3 2 3" xfId="1033" xr:uid="{00000000-0005-0000-0000-0000F9600000}"/>
    <cellStyle name="Note 3 2 3 2" xfId="1933" xr:uid="{00000000-0005-0000-0000-0000FA600000}"/>
    <cellStyle name="Note 3 2 3 2 2" xfId="5451" xr:uid="{00000000-0005-0000-0000-0000FB600000}"/>
    <cellStyle name="Note 3 2 3 2 2 2" xfId="9042" xr:uid="{00000000-0005-0000-0000-0000FC600000}"/>
    <cellStyle name="Note 3 2 3 2 2 2 2" xfId="17013" xr:uid="{00000000-0005-0000-0000-0000FD600000}"/>
    <cellStyle name="Note 3 2 3 2 2 2 2 2" xfId="40855" xr:uid="{461168BD-C5E9-46F6-9D61-DAA94E19D432}"/>
    <cellStyle name="Note 3 2 3 2 2 2 3" xfId="24959" xr:uid="{00000000-0005-0000-0000-0000FE600000}"/>
    <cellStyle name="Note 3 2 3 2 2 2 3 2" xfId="48791" xr:uid="{AF08642D-DF0D-4068-AE49-F96284A05159}"/>
    <cellStyle name="Note 3 2 3 2 2 2 4" xfId="32914" xr:uid="{E4A67213-C6F3-4AA2-9A31-7A858BA86811}"/>
    <cellStyle name="Note 3 2 3 2 2 3" xfId="13475" xr:uid="{00000000-0005-0000-0000-0000FF600000}"/>
    <cellStyle name="Note 3 2 3 2 2 3 2" xfId="37324" xr:uid="{072E400E-DA30-41F5-9416-44C0D57E9A08}"/>
    <cellStyle name="Note 3 2 3 2 2 4" xfId="21430" xr:uid="{00000000-0005-0000-0000-000000610000}"/>
    <cellStyle name="Note 3 2 3 2 2 4 2" xfId="45262" xr:uid="{66FF6328-32FE-42ED-9C22-A50D3384AB9E}"/>
    <cellStyle name="Note 3 2 3 2 2 5" xfId="29383" xr:uid="{BDFC4DA3-F79C-4A63-8F49-92D31905DE58}"/>
    <cellStyle name="Note 3 2 3 2 3" xfId="7283" xr:uid="{00000000-0005-0000-0000-000001610000}"/>
    <cellStyle name="Note 3 2 3 2 3 2" xfId="15255" xr:uid="{00000000-0005-0000-0000-000002610000}"/>
    <cellStyle name="Note 3 2 3 2 3 2 2" xfId="39097" xr:uid="{F3C8B025-9129-4179-83E3-015F7F19F4BC}"/>
    <cellStyle name="Note 3 2 3 2 3 3" xfId="23202" xr:uid="{00000000-0005-0000-0000-000003610000}"/>
    <cellStyle name="Note 3 2 3 2 3 3 2" xfId="47034" xr:uid="{F3B9D8E6-EA3F-4B29-99B2-E07FC0384777}"/>
    <cellStyle name="Note 3 2 3 2 3 4" xfId="31156" xr:uid="{9565897D-4E74-4CAB-9FEE-F158CCBC8DC0}"/>
    <cellStyle name="Note 3 2 3 2 4" xfId="11719" xr:uid="{00000000-0005-0000-0000-000004610000}"/>
    <cellStyle name="Note 3 2 3 2 4 2" xfId="35568" xr:uid="{24025EF3-7BA9-4AD7-BA62-49716B91679F}"/>
    <cellStyle name="Note 3 2 3 2 5" xfId="19674" xr:uid="{00000000-0005-0000-0000-000005610000}"/>
    <cellStyle name="Note 3 2 3 2 5 2" xfId="43506" xr:uid="{48A17469-442A-40C9-9F01-19F4DEC8DD5F}"/>
    <cellStyle name="Note 3 2 3 2 6" xfId="27626" xr:uid="{6D3D160D-89E7-49C1-B896-6864DB6CE2FF}"/>
    <cellStyle name="Note 3 2 3 2_Exh G" xfId="3630" xr:uid="{00000000-0005-0000-0000-000006610000}"/>
    <cellStyle name="Note 3 2 3 3" xfId="4572" xr:uid="{00000000-0005-0000-0000-000007610000}"/>
    <cellStyle name="Note 3 2 3 3 2" xfId="8164" xr:uid="{00000000-0005-0000-0000-000008610000}"/>
    <cellStyle name="Note 3 2 3 3 2 2" xfId="16135" xr:uid="{00000000-0005-0000-0000-000009610000}"/>
    <cellStyle name="Note 3 2 3 3 2 2 2" xfId="39977" xr:uid="{E511DD9B-46FE-45CF-A3D2-472741B616A9}"/>
    <cellStyle name="Note 3 2 3 3 2 3" xfId="24081" xr:uid="{00000000-0005-0000-0000-00000A610000}"/>
    <cellStyle name="Note 3 2 3 3 2 3 2" xfId="47913" xr:uid="{9867FAA5-CEA2-4343-82F5-94859E14ADB0}"/>
    <cellStyle name="Note 3 2 3 3 2 4" xfId="32036" xr:uid="{B708B7B0-0A94-4C71-85A0-185E59291610}"/>
    <cellStyle name="Note 3 2 3 3 3" xfId="12597" xr:uid="{00000000-0005-0000-0000-00000B610000}"/>
    <cellStyle name="Note 3 2 3 3 3 2" xfId="36446" xr:uid="{55961D60-3EBB-4F32-A46D-7BEE2F8B0630}"/>
    <cellStyle name="Note 3 2 3 3 4" xfId="20552" xr:uid="{00000000-0005-0000-0000-00000C610000}"/>
    <cellStyle name="Note 3 2 3 3 4 2" xfId="44384" xr:uid="{8E00D923-450F-45D9-B080-8F1DF801560C}"/>
    <cellStyle name="Note 3 2 3 3 5" xfId="28505" xr:uid="{EE947940-7821-486D-ABBF-D0E3374BD180}"/>
    <cellStyle name="Note 3 2 3 4" xfId="6403" xr:uid="{00000000-0005-0000-0000-00000D610000}"/>
    <cellStyle name="Note 3 2 3 4 2" xfId="14377" xr:uid="{00000000-0005-0000-0000-00000E610000}"/>
    <cellStyle name="Note 3 2 3 4 2 2" xfId="38219" xr:uid="{8F4286E8-6108-4043-A6E1-7FA5F1F8E830}"/>
    <cellStyle name="Note 3 2 3 4 3" xfId="22324" xr:uid="{00000000-0005-0000-0000-00000F610000}"/>
    <cellStyle name="Note 3 2 3 4 3 2" xfId="46156" xr:uid="{A25C73B1-C6FC-49A2-8AB6-B4319A829C25}"/>
    <cellStyle name="Note 3 2 3 4 4" xfId="30278" xr:uid="{F677FEEA-63C4-4D8F-A26C-02E830313A4B}"/>
    <cellStyle name="Note 3 2 3 5" xfId="9945" xr:uid="{00000000-0005-0000-0000-000010610000}"/>
    <cellStyle name="Note 3 2 3 5 2" xfId="17903" xr:uid="{00000000-0005-0000-0000-000011610000}"/>
    <cellStyle name="Note 3 2 3 5 2 2" xfId="41743" xr:uid="{DC5014D9-D224-47C0-8966-1563CBF63619}"/>
    <cellStyle name="Note 3 2 3 5 3" xfId="25847" xr:uid="{00000000-0005-0000-0000-000012610000}"/>
    <cellStyle name="Note 3 2 3 5 3 2" xfId="49679" xr:uid="{63940F1E-C7A5-4BF1-8039-2C14A1393228}"/>
    <cellStyle name="Note 3 2 3 5 4" xfId="33802" xr:uid="{F47BBA52-644A-4567-B1A2-EDCF06A5CDD7}"/>
    <cellStyle name="Note 3 2 3 6" xfId="10841" xr:uid="{00000000-0005-0000-0000-000013610000}"/>
    <cellStyle name="Note 3 2 3 6 2" xfId="34690" xr:uid="{55595CC3-445C-465E-8CAE-E6006E3944BC}"/>
    <cellStyle name="Note 3 2 3 7" xfId="18796" xr:uid="{00000000-0005-0000-0000-000014610000}"/>
    <cellStyle name="Note 3 2 3 7 2" xfId="42628" xr:uid="{08517AB4-791D-40B7-A908-495DCDFFF6A8}"/>
    <cellStyle name="Note 3 2 3 8" xfId="26748" xr:uid="{5040E5C6-648D-4AE2-A2FF-33FAA8434472}"/>
    <cellStyle name="Note 3 2 3_Exh G" xfId="3629" xr:uid="{00000000-0005-0000-0000-000015610000}"/>
    <cellStyle name="Note 3 2 4" xfId="1739" xr:uid="{00000000-0005-0000-0000-000016610000}"/>
    <cellStyle name="Note 3 2 4 2" xfId="5269" xr:uid="{00000000-0005-0000-0000-000017610000}"/>
    <cellStyle name="Note 3 2 4 2 2" xfId="8860" xr:uid="{00000000-0005-0000-0000-000018610000}"/>
    <cellStyle name="Note 3 2 4 2 2 2" xfId="16831" xr:uid="{00000000-0005-0000-0000-000019610000}"/>
    <cellStyle name="Note 3 2 4 2 2 2 2" xfId="40673" xr:uid="{30997989-4838-493E-ABB4-5C81F61E80D0}"/>
    <cellStyle name="Note 3 2 4 2 2 3" xfId="24777" xr:uid="{00000000-0005-0000-0000-00001A610000}"/>
    <cellStyle name="Note 3 2 4 2 2 3 2" xfId="48609" xr:uid="{F1027CCE-C9BA-4CC0-AB51-4511EF800A5F}"/>
    <cellStyle name="Note 3 2 4 2 2 4" xfId="32732" xr:uid="{AD2942F7-6BBB-42B2-A9AB-A9AE1629D664}"/>
    <cellStyle name="Note 3 2 4 2 3" xfId="13293" xr:uid="{00000000-0005-0000-0000-00001B610000}"/>
    <cellStyle name="Note 3 2 4 2 3 2" xfId="37142" xr:uid="{431298A4-C0C0-43AD-A298-653C9CB10C65}"/>
    <cellStyle name="Note 3 2 4 2 4" xfId="21248" xr:uid="{00000000-0005-0000-0000-00001C610000}"/>
    <cellStyle name="Note 3 2 4 2 4 2" xfId="45080" xr:uid="{A2493C34-3260-48AB-8210-3C83035CF1D4}"/>
    <cellStyle name="Note 3 2 4 2 5" xfId="29201" xr:uid="{FC9552AF-91DF-42EB-9771-1FCA3ACDA939}"/>
    <cellStyle name="Note 3 2 4 3" xfId="7101" xr:uid="{00000000-0005-0000-0000-00001D610000}"/>
    <cellStyle name="Note 3 2 4 3 2" xfId="15073" xr:uid="{00000000-0005-0000-0000-00001E610000}"/>
    <cellStyle name="Note 3 2 4 3 2 2" xfId="38915" xr:uid="{4F01DC0B-37A5-4003-A22A-753C43D07524}"/>
    <cellStyle name="Note 3 2 4 3 3" xfId="23020" xr:uid="{00000000-0005-0000-0000-00001F610000}"/>
    <cellStyle name="Note 3 2 4 3 3 2" xfId="46852" xr:uid="{AFB919D3-A867-43D8-8B4B-8F6D3DD739CE}"/>
    <cellStyle name="Note 3 2 4 3 4" xfId="30974" xr:uid="{B5B4E587-7315-4B6B-80F8-7BBEFCC6E508}"/>
    <cellStyle name="Note 3 2 4 4" xfId="11537" xr:uid="{00000000-0005-0000-0000-000020610000}"/>
    <cellStyle name="Note 3 2 4 4 2" xfId="35386" xr:uid="{50F65C4B-4DAB-41B0-BDED-668C05AEA02D}"/>
    <cellStyle name="Note 3 2 4 5" xfId="19492" xr:uid="{00000000-0005-0000-0000-000021610000}"/>
    <cellStyle name="Note 3 2 4 5 2" xfId="43324" xr:uid="{036794DC-56E2-4581-BA4F-27C627ECE91C}"/>
    <cellStyle name="Note 3 2 4 6" xfId="27444" xr:uid="{59BBAF8D-B9B4-44D2-B065-8D507018E488}"/>
    <cellStyle name="Note 3 2 4_Exh G" xfId="3631" xr:uid="{00000000-0005-0000-0000-000022610000}"/>
    <cellStyle name="Note 3 2 5" xfId="4390" xr:uid="{00000000-0005-0000-0000-000023610000}"/>
    <cellStyle name="Note 3 2 5 2" xfId="7982" xr:uid="{00000000-0005-0000-0000-000024610000}"/>
    <cellStyle name="Note 3 2 5 2 2" xfId="15953" xr:uid="{00000000-0005-0000-0000-000025610000}"/>
    <cellStyle name="Note 3 2 5 2 2 2" xfId="39795" xr:uid="{5EE7B064-EA11-46CD-9885-5FFE4A89C04E}"/>
    <cellStyle name="Note 3 2 5 2 3" xfId="23899" xr:uid="{00000000-0005-0000-0000-000026610000}"/>
    <cellStyle name="Note 3 2 5 2 3 2" xfId="47731" xr:uid="{6B89D417-7ABE-4C9C-A1B1-7C5AD9219FA8}"/>
    <cellStyle name="Note 3 2 5 2 4" xfId="31854" xr:uid="{5933D7AD-4A20-48F8-AE40-CD59F4A197B2}"/>
    <cellStyle name="Note 3 2 5 3" xfId="12415" xr:uid="{00000000-0005-0000-0000-000027610000}"/>
    <cellStyle name="Note 3 2 5 3 2" xfId="36264" xr:uid="{0C776FCE-5723-46FF-8F64-A28AF0736F5E}"/>
    <cellStyle name="Note 3 2 5 4" xfId="20370" xr:uid="{00000000-0005-0000-0000-000028610000}"/>
    <cellStyle name="Note 3 2 5 4 2" xfId="44202" xr:uid="{2D7D7EFD-DC4D-4D75-BEB5-D22F6B3CAEC3}"/>
    <cellStyle name="Note 3 2 5 5" xfId="28323" xr:uid="{A7EF257F-6B7B-426D-91EE-A180EEAD9FA0}"/>
    <cellStyle name="Note 3 2 6" xfId="6210" xr:uid="{00000000-0005-0000-0000-000029610000}"/>
    <cellStyle name="Note 3 2 6 2" xfId="14194" xr:uid="{00000000-0005-0000-0000-00002A610000}"/>
    <cellStyle name="Note 3 2 6 2 2" xfId="38037" xr:uid="{B00778F9-CCE8-4A04-A952-A13E2240F198}"/>
    <cellStyle name="Note 3 2 6 3" xfId="22142" xr:uid="{00000000-0005-0000-0000-00002B610000}"/>
    <cellStyle name="Note 3 2 6 3 2" xfId="45974" xr:uid="{5C887453-FF2F-4A43-AC7E-8959EFF4482A}"/>
    <cellStyle name="Note 3 2 6 4" xfId="30096" xr:uid="{4B3BC7C9-E8DA-492D-ABDA-3D6366B7FB89}"/>
    <cellStyle name="Note 3 2 7" xfId="9763" xr:uid="{00000000-0005-0000-0000-00002C610000}"/>
    <cellStyle name="Note 3 2 7 2" xfId="17721" xr:uid="{00000000-0005-0000-0000-00002D610000}"/>
    <cellStyle name="Note 3 2 7 2 2" xfId="41561" xr:uid="{4AFE8ECB-75A4-4DA1-9236-F7741121EA49}"/>
    <cellStyle name="Note 3 2 7 3" xfId="25665" xr:uid="{00000000-0005-0000-0000-00002E610000}"/>
    <cellStyle name="Note 3 2 7 3 2" xfId="49497" xr:uid="{CD5A4773-FE9F-4500-A892-083C650E0916}"/>
    <cellStyle name="Note 3 2 7 4" xfId="33620" xr:uid="{E995FA6C-1587-4953-9448-B0C0E107314E}"/>
    <cellStyle name="Note 3 2 8" xfId="10659" xr:uid="{00000000-0005-0000-0000-00002F610000}"/>
    <cellStyle name="Note 3 2 8 2" xfId="34508" xr:uid="{42823E75-50F5-4E58-9093-1BE7ADB34D86}"/>
    <cellStyle name="Note 3 2 9" xfId="18614" xr:uid="{00000000-0005-0000-0000-000030610000}"/>
    <cellStyle name="Note 3 2 9 2" xfId="42446" xr:uid="{07937E32-2919-4189-BFD1-9A8200F1C7CD}"/>
    <cellStyle name="Note 3 2_Exh G" xfId="3626" xr:uid="{00000000-0005-0000-0000-000031610000}"/>
    <cellStyle name="Note 3 3" xfId="713" xr:uid="{00000000-0005-0000-0000-000032610000}"/>
    <cellStyle name="Note 3 3 2" xfId="1741" xr:uid="{00000000-0005-0000-0000-000033610000}"/>
    <cellStyle name="Note 3 3 2 2" xfId="5271" xr:uid="{00000000-0005-0000-0000-000034610000}"/>
    <cellStyle name="Note 3 3 2 2 2" xfId="8862" xr:uid="{00000000-0005-0000-0000-000035610000}"/>
    <cellStyle name="Note 3 3 2 2 2 2" xfId="16833" xr:uid="{00000000-0005-0000-0000-000036610000}"/>
    <cellStyle name="Note 3 3 2 2 2 2 2" xfId="40675" xr:uid="{3D4EC562-8F58-4C88-B890-41A74A9B5253}"/>
    <cellStyle name="Note 3 3 2 2 2 3" xfId="24779" xr:uid="{00000000-0005-0000-0000-000037610000}"/>
    <cellStyle name="Note 3 3 2 2 2 3 2" xfId="48611" xr:uid="{5EC36D32-C060-40F2-B90E-4CF635EA440A}"/>
    <cellStyle name="Note 3 3 2 2 2 4" xfId="32734" xr:uid="{45361EB8-603E-4BF9-AACD-E004534C2A95}"/>
    <cellStyle name="Note 3 3 2 2 3" xfId="13295" xr:uid="{00000000-0005-0000-0000-000038610000}"/>
    <cellStyle name="Note 3 3 2 2 3 2" xfId="37144" xr:uid="{43334850-09A4-4721-A4B7-D8AF84164156}"/>
    <cellStyle name="Note 3 3 2 2 4" xfId="21250" xr:uid="{00000000-0005-0000-0000-000039610000}"/>
    <cellStyle name="Note 3 3 2 2 4 2" xfId="45082" xr:uid="{410CF50F-B7CC-4431-9AA0-76703E8546E0}"/>
    <cellStyle name="Note 3 3 2 2 5" xfId="29203" xr:uid="{DCCF3F41-8887-4FA2-A2C2-F09EC86CD547}"/>
    <cellStyle name="Note 3 3 2 3" xfId="7103" xr:uid="{00000000-0005-0000-0000-00003A610000}"/>
    <cellStyle name="Note 3 3 2 3 2" xfId="15075" xr:uid="{00000000-0005-0000-0000-00003B610000}"/>
    <cellStyle name="Note 3 3 2 3 2 2" xfId="38917" xr:uid="{1C0AF8C2-D551-4B49-9CB6-C0EE317C5339}"/>
    <cellStyle name="Note 3 3 2 3 3" xfId="23022" xr:uid="{00000000-0005-0000-0000-00003C610000}"/>
    <cellStyle name="Note 3 3 2 3 3 2" xfId="46854" xr:uid="{3B6B859E-4C0D-4BB7-92BB-BCDFDB3DDD61}"/>
    <cellStyle name="Note 3 3 2 3 4" xfId="30976" xr:uid="{2D25DD51-32AB-4040-978C-FABB22378B49}"/>
    <cellStyle name="Note 3 3 2 4" xfId="11539" xr:uid="{00000000-0005-0000-0000-00003D610000}"/>
    <cellStyle name="Note 3 3 2 4 2" xfId="35388" xr:uid="{3F6385C2-FC6F-482E-8A33-9596625C9CDD}"/>
    <cellStyle name="Note 3 3 2 5" xfId="19494" xr:uid="{00000000-0005-0000-0000-00003E610000}"/>
    <cellStyle name="Note 3 3 2 5 2" xfId="43326" xr:uid="{B5F1C266-10DF-48D6-AA6C-3E5074C20486}"/>
    <cellStyle name="Note 3 3 2 6" xfId="27446" xr:uid="{032BDB11-B4F2-4915-8B75-128FB913C06A}"/>
    <cellStyle name="Note 3 3 2_Exh G" xfId="3633" xr:uid="{00000000-0005-0000-0000-00003F610000}"/>
    <cellStyle name="Note 3 3 3" xfId="4392" xr:uid="{00000000-0005-0000-0000-000040610000}"/>
    <cellStyle name="Note 3 3 3 2" xfId="7984" xr:uid="{00000000-0005-0000-0000-000041610000}"/>
    <cellStyle name="Note 3 3 3 2 2" xfId="15955" xr:uid="{00000000-0005-0000-0000-000042610000}"/>
    <cellStyle name="Note 3 3 3 2 2 2" xfId="39797" xr:uid="{360BC41A-7400-4044-A4D1-5092FCCCE01D}"/>
    <cellStyle name="Note 3 3 3 2 3" xfId="23901" xr:uid="{00000000-0005-0000-0000-000043610000}"/>
    <cellStyle name="Note 3 3 3 2 3 2" xfId="47733" xr:uid="{820731CD-AE79-4BEC-B0B8-C1B739AAB180}"/>
    <cellStyle name="Note 3 3 3 2 4" xfId="31856" xr:uid="{1F39B73B-BD46-4BCD-BE42-CE270CC8D781}"/>
    <cellStyle name="Note 3 3 3 3" xfId="12417" xr:uid="{00000000-0005-0000-0000-000044610000}"/>
    <cellStyle name="Note 3 3 3 3 2" xfId="36266" xr:uid="{287CDA20-53BC-4721-B9B3-E5B717B79C3C}"/>
    <cellStyle name="Note 3 3 3 4" xfId="20372" xr:uid="{00000000-0005-0000-0000-000045610000}"/>
    <cellStyle name="Note 3 3 3 4 2" xfId="44204" xr:uid="{25CF6AAA-5CD3-4519-85CC-3D345333CA87}"/>
    <cellStyle name="Note 3 3 3 5" xfId="28325" xr:uid="{5826EBDB-556E-4E4C-BFF1-40B42840F862}"/>
    <cellStyle name="Note 3 3 4" xfId="6212" xr:uid="{00000000-0005-0000-0000-000046610000}"/>
    <cellStyle name="Note 3 3 4 2" xfId="14196" xr:uid="{00000000-0005-0000-0000-000047610000}"/>
    <cellStyle name="Note 3 3 4 2 2" xfId="38039" xr:uid="{8AD30DC4-ED02-4E73-8A35-DA67F015BB3F}"/>
    <cellStyle name="Note 3 3 4 3" xfId="22144" xr:uid="{00000000-0005-0000-0000-000048610000}"/>
    <cellStyle name="Note 3 3 4 3 2" xfId="45976" xr:uid="{24D595EB-E499-47B0-A712-F8A5A1D80068}"/>
    <cellStyle name="Note 3 3 4 4" xfId="30098" xr:uid="{87E6B75B-6827-46E6-8D82-F7FDE5166402}"/>
    <cellStyle name="Note 3 3 5" xfId="9765" xr:uid="{00000000-0005-0000-0000-000049610000}"/>
    <cellStyle name="Note 3 3 5 2" xfId="17723" xr:uid="{00000000-0005-0000-0000-00004A610000}"/>
    <cellStyle name="Note 3 3 5 2 2" xfId="41563" xr:uid="{39F10505-7C4D-4AC1-9796-462B67C344A8}"/>
    <cellStyle name="Note 3 3 5 3" xfId="25667" xr:uid="{00000000-0005-0000-0000-00004B610000}"/>
    <cellStyle name="Note 3 3 5 3 2" xfId="49499" xr:uid="{9126D5F1-AE7B-4384-A645-20E8D7C84E80}"/>
    <cellStyle name="Note 3 3 5 4" xfId="33622" xr:uid="{9D74E631-911B-45AC-A39B-DBFF17AC3C9A}"/>
    <cellStyle name="Note 3 3 6" xfId="10661" xr:uid="{00000000-0005-0000-0000-00004C610000}"/>
    <cellStyle name="Note 3 3 6 2" xfId="34510" xr:uid="{D432CF03-600E-4C96-9AAC-158E2D7A1A20}"/>
    <cellStyle name="Note 3 3 7" xfId="18616" xr:uid="{00000000-0005-0000-0000-00004D610000}"/>
    <cellStyle name="Note 3 3 7 2" xfId="42448" xr:uid="{778C0D98-1BFE-44A3-8EAC-2624B3E05066}"/>
    <cellStyle name="Note 3 3 8" xfId="26568" xr:uid="{2BEE991B-791F-4376-B7BD-79900E285D3C}"/>
    <cellStyle name="Note 3 3_Exh G" xfId="3632" xr:uid="{00000000-0005-0000-0000-00004E610000}"/>
    <cellStyle name="Note 3 4" xfId="1032" xr:uid="{00000000-0005-0000-0000-00004F610000}"/>
    <cellStyle name="Note 3 4 2" xfId="1932" xr:uid="{00000000-0005-0000-0000-000050610000}"/>
    <cellStyle name="Note 3 4 2 2" xfId="5450" xr:uid="{00000000-0005-0000-0000-000051610000}"/>
    <cellStyle name="Note 3 4 2 2 2" xfId="9041" xr:uid="{00000000-0005-0000-0000-000052610000}"/>
    <cellStyle name="Note 3 4 2 2 2 2" xfId="17012" xr:uid="{00000000-0005-0000-0000-000053610000}"/>
    <cellStyle name="Note 3 4 2 2 2 2 2" xfId="40854" xr:uid="{E998324A-0935-4C79-AC08-FD0850B8B0FD}"/>
    <cellStyle name="Note 3 4 2 2 2 3" xfId="24958" xr:uid="{00000000-0005-0000-0000-000054610000}"/>
    <cellStyle name="Note 3 4 2 2 2 3 2" xfId="48790" xr:uid="{EBA96485-CEB0-4806-AD4C-690D2275441A}"/>
    <cellStyle name="Note 3 4 2 2 2 4" xfId="32913" xr:uid="{F5741EE3-F4D6-45BE-845B-185699576D1E}"/>
    <cellStyle name="Note 3 4 2 2 3" xfId="13474" xr:uid="{00000000-0005-0000-0000-000055610000}"/>
    <cellStyle name="Note 3 4 2 2 3 2" xfId="37323" xr:uid="{A38DF0F0-4603-4B49-848F-52B33B297144}"/>
    <cellStyle name="Note 3 4 2 2 4" xfId="21429" xr:uid="{00000000-0005-0000-0000-000056610000}"/>
    <cellStyle name="Note 3 4 2 2 4 2" xfId="45261" xr:uid="{E0F3E358-7C89-4422-9958-D4C8CA38F6E6}"/>
    <cellStyle name="Note 3 4 2 2 5" xfId="29382" xr:uid="{B62FEA4A-EDE6-4E8D-95BB-93861FCBC147}"/>
    <cellStyle name="Note 3 4 2 3" xfId="7282" xr:uid="{00000000-0005-0000-0000-000057610000}"/>
    <cellStyle name="Note 3 4 2 3 2" xfId="15254" xr:uid="{00000000-0005-0000-0000-000058610000}"/>
    <cellStyle name="Note 3 4 2 3 2 2" xfId="39096" xr:uid="{5B197E4E-C963-437D-84B1-BE810ABD4421}"/>
    <cellStyle name="Note 3 4 2 3 3" xfId="23201" xr:uid="{00000000-0005-0000-0000-000059610000}"/>
    <cellStyle name="Note 3 4 2 3 3 2" xfId="47033" xr:uid="{8801ECFE-1941-40E1-B59E-D91D7CD6E26B}"/>
    <cellStyle name="Note 3 4 2 3 4" xfId="31155" xr:uid="{555B2196-D28B-4E21-A33C-B8E6EFF2E3AA}"/>
    <cellStyle name="Note 3 4 2 4" xfId="11718" xr:uid="{00000000-0005-0000-0000-00005A610000}"/>
    <cellStyle name="Note 3 4 2 4 2" xfId="35567" xr:uid="{F124FED4-CBF2-40B3-A471-A66346602EA4}"/>
    <cellStyle name="Note 3 4 2 5" xfId="19673" xr:uid="{00000000-0005-0000-0000-00005B610000}"/>
    <cellStyle name="Note 3 4 2 5 2" xfId="43505" xr:uid="{6B4AF556-A528-4F90-9F8C-483A96D4F110}"/>
    <cellStyle name="Note 3 4 2 6" xfId="27625" xr:uid="{914693AE-7C9F-4B4F-9D1E-D8AE35C4DAC1}"/>
    <cellStyle name="Note 3 4 2_Exh G" xfId="3635" xr:uid="{00000000-0005-0000-0000-00005C610000}"/>
    <cellStyle name="Note 3 4 3" xfId="4571" xr:uid="{00000000-0005-0000-0000-00005D610000}"/>
    <cellStyle name="Note 3 4 3 2" xfId="8163" xr:uid="{00000000-0005-0000-0000-00005E610000}"/>
    <cellStyle name="Note 3 4 3 2 2" xfId="16134" xr:uid="{00000000-0005-0000-0000-00005F610000}"/>
    <cellStyle name="Note 3 4 3 2 2 2" xfId="39976" xr:uid="{A7741515-17CF-43A8-934C-9672883F1CB5}"/>
    <cellStyle name="Note 3 4 3 2 3" xfId="24080" xr:uid="{00000000-0005-0000-0000-000060610000}"/>
    <cellStyle name="Note 3 4 3 2 3 2" xfId="47912" xr:uid="{66C7D503-61A3-4FAC-9567-F7C17293085A}"/>
    <cellStyle name="Note 3 4 3 2 4" xfId="32035" xr:uid="{F7EE02FF-C984-4ADB-AC94-AAC63E1AAD02}"/>
    <cellStyle name="Note 3 4 3 3" xfId="12596" xr:uid="{00000000-0005-0000-0000-000061610000}"/>
    <cellStyle name="Note 3 4 3 3 2" xfId="36445" xr:uid="{FDB8E15D-2E86-4653-92E4-B89489EC88E0}"/>
    <cellStyle name="Note 3 4 3 4" xfId="20551" xr:uid="{00000000-0005-0000-0000-000062610000}"/>
    <cellStyle name="Note 3 4 3 4 2" xfId="44383" xr:uid="{4B951D95-46D1-4861-8784-684F85A64575}"/>
    <cellStyle name="Note 3 4 3 5" xfId="28504" xr:uid="{F6E9B008-54C4-4483-B83F-CE9262829539}"/>
    <cellStyle name="Note 3 4 4" xfId="6402" xr:uid="{00000000-0005-0000-0000-000063610000}"/>
    <cellStyle name="Note 3 4 4 2" xfId="14376" xr:uid="{00000000-0005-0000-0000-000064610000}"/>
    <cellStyle name="Note 3 4 4 2 2" xfId="38218" xr:uid="{04D2193B-6360-4052-BD79-F9FA7CB2A117}"/>
    <cellStyle name="Note 3 4 4 3" xfId="22323" xr:uid="{00000000-0005-0000-0000-000065610000}"/>
    <cellStyle name="Note 3 4 4 3 2" xfId="46155" xr:uid="{9CF71EB1-070D-4C3B-95D4-5DB6A20B1E85}"/>
    <cellStyle name="Note 3 4 4 4" xfId="30277" xr:uid="{BA11CEA0-5397-4137-B309-02D3EBBC00D6}"/>
    <cellStyle name="Note 3 4 5" xfId="9944" xr:uid="{00000000-0005-0000-0000-000066610000}"/>
    <cellStyle name="Note 3 4 5 2" xfId="17902" xr:uid="{00000000-0005-0000-0000-000067610000}"/>
    <cellStyle name="Note 3 4 5 2 2" xfId="41742" xr:uid="{DA172E84-C7F5-405E-9FB4-4BBB88791E0A}"/>
    <cellStyle name="Note 3 4 5 3" xfId="25846" xr:uid="{00000000-0005-0000-0000-000068610000}"/>
    <cellStyle name="Note 3 4 5 3 2" xfId="49678" xr:uid="{1B21245F-19FE-467E-B332-EBCB7E9413F7}"/>
    <cellStyle name="Note 3 4 5 4" xfId="33801" xr:uid="{5CF0B842-E019-48A5-AC8D-60BFA2E44220}"/>
    <cellStyle name="Note 3 4 6" xfId="10840" xr:uid="{00000000-0005-0000-0000-000069610000}"/>
    <cellStyle name="Note 3 4 6 2" xfId="34689" xr:uid="{746FBD09-863C-4178-A65D-27595F432013}"/>
    <cellStyle name="Note 3 4 7" xfId="18795" xr:uid="{00000000-0005-0000-0000-00006A610000}"/>
    <cellStyle name="Note 3 4 7 2" xfId="42627" xr:uid="{F13E9778-F0C5-4211-96E1-9767B6ED5466}"/>
    <cellStyle name="Note 3 4 8" xfId="26747" xr:uid="{D2478A99-180C-4A7B-9FA0-C82B5F96EFE7}"/>
    <cellStyle name="Note 3 4_Exh G" xfId="3634" xr:uid="{00000000-0005-0000-0000-00006B610000}"/>
    <cellStyle name="Note 3 5" xfId="1738" xr:uid="{00000000-0005-0000-0000-00006C610000}"/>
    <cellStyle name="Note 3 5 2" xfId="5268" xr:uid="{00000000-0005-0000-0000-00006D610000}"/>
    <cellStyle name="Note 3 5 2 2" xfId="8859" xr:uid="{00000000-0005-0000-0000-00006E610000}"/>
    <cellStyle name="Note 3 5 2 2 2" xfId="16830" xr:uid="{00000000-0005-0000-0000-00006F610000}"/>
    <cellStyle name="Note 3 5 2 2 2 2" xfId="40672" xr:uid="{14BADD2C-461C-46CA-AF15-B628B902F7D0}"/>
    <cellStyle name="Note 3 5 2 2 3" xfId="24776" xr:uid="{00000000-0005-0000-0000-000070610000}"/>
    <cellStyle name="Note 3 5 2 2 3 2" xfId="48608" xr:uid="{F4ED67C3-1CB3-4F5C-BF39-C2FCE8A36200}"/>
    <cellStyle name="Note 3 5 2 2 4" xfId="32731" xr:uid="{D445FD66-2BE8-4F39-9AC1-DA392AC6D2B5}"/>
    <cellStyle name="Note 3 5 2 3" xfId="13292" xr:uid="{00000000-0005-0000-0000-000071610000}"/>
    <cellStyle name="Note 3 5 2 3 2" xfId="37141" xr:uid="{AE3A92E5-62AC-4F0E-AA88-4E0F59ABF3C9}"/>
    <cellStyle name="Note 3 5 2 4" xfId="21247" xr:uid="{00000000-0005-0000-0000-000072610000}"/>
    <cellStyle name="Note 3 5 2 4 2" xfId="45079" xr:uid="{297C9924-C003-4BE6-A002-327CAE0EDC99}"/>
    <cellStyle name="Note 3 5 2 5" xfId="29200" xr:uid="{2D88ABD5-1D04-4C88-A235-F02F862FFA9E}"/>
    <cellStyle name="Note 3 5 3" xfId="7100" xr:uid="{00000000-0005-0000-0000-000073610000}"/>
    <cellStyle name="Note 3 5 3 2" xfId="15072" xr:uid="{00000000-0005-0000-0000-000074610000}"/>
    <cellStyle name="Note 3 5 3 2 2" xfId="38914" xr:uid="{07AA3B43-8466-492B-9B9A-39AFA8A1687D}"/>
    <cellStyle name="Note 3 5 3 3" xfId="23019" xr:uid="{00000000-0005-0000-0000-000075610000}"/>
    <cellStyle name="Note 3 5 3 3 2" xfId="46851" xr:uid="{AD9BC99D-56D9-4F70-BB3F-190AE9BA3F06}"/>
    <cellStyle name="Note 3 5 3 4" xfId="30973" xr:uid="{6B67647B-5C31-45D6-A58D-C83B3237EF12}"/>
    <cellStyle name="Note 3 5 4" xfId="11536" xr:uid="{00000000-0005-0000-0000-000076610000}"/>
    <cellStyle name="Note 3 5 4 2" xfId="35385" xr:uid="{2E9CFF69-3BC9-48E1-BC30-DC029A116AAB}"/>
    <cellStyle name="Note 3 5 5" xfId="19491" xr:uid="{00000000-0005-0000-0000-000077610000}"/>
    <cellStyle name="Note 3 5 5 2" xfId="43323" xr:uid="{3E3F657E-F04A-43B5-BF59-C3E2563A5CAB}"/>
    <cellStyle name="Note 3 5 6" xfId="27443" xr:uid="{22685268-C87F-4F27-8197-3AC3DEE832D4}"/>
    <cellStyle name="Note 3 5_Exh G" xfId="3636" xr:uid="{00000000-0005-0000-0000-000078610000}"/>
    <cellStyle name="Note 3 6" xfId="4389" xr:uid="{00000000-0005-0000-0000-000079610000}"/>
    <cellStyle name="Note 3 6 2" xfId="7981" xr:uid="{00000000-0005-0000-0000-00007A610000}"/>
    <cellStyle name="Note 3 6 2 2" xfId="15952" xr:uid="{00000000-0005-0000-0000-00007B610000}"/>
    <cellStyle name="Note 3 6 2 2 2" xfId="39794" xr:uid="{C1C7BE83-6093-4C35-A525-F4A3261DAB01}"/>
    <cellStyle name="Note 3 6 2 3" xfId="23898" xr:uid="{00000000-0005-0000-0000-00007C610000}"/>
    <cellStyle name="Note 3 6 2 3 2" xfId="47730" xr:uid="{BB243D5E-9655-4512-B853-8DE8B08C4549}"/>
    <cellStyle name="Note 3 6 2 4" xfId="31853" xr:uid="{6AB8578E-468B-4E92-A302-233B9077DE7B}"/>
    <cellStyle name="Note 3 6 3" xfId="12414" xr:uid="{00000000-0005-0000-0000-00007D610000}"/>
    <cellStyle name="Note 3 6 3 2" xfId="36263" xr:uid="{3DBA577D-AA71-4F81-9B07-2DB13991B68E}"/>
    <cellStyle name="Note 3 6 4" xfId="20369" xr:uid="{00000000-0005-0000-0000-00007E610000}"/>
    <cellStyle name="Note 3 6 4 2" xfId="44201" xr:uid="{75DD7661-7D1B-43D4-9BB1-4F5754795FD3}"/>
    <cellStyle name="Note 3 6 5" xfId="28322" xr:uid="{A4A01372-5851-4C13-B65F-97D82DD75FCD}"/>
    <cellStyle name="Note 3 7" xfId="6209" xr:uid="{00000000-0005-0000-0000-00007F610000}"/>
    <cellStyle name="Note 3 7 2" xfId="14193" xr:uid="{00000000-0005-0000-0000-000080610000}"/>
    <cellStyle name="Note 3 7 2 2" xfId="38036" xr:uid="{6D36E7A4-2F00-403F-8BD4-792F9A6A917D}"/>
    <cellStyle name="Note 3 7 3" xfId="22141" xr:uid="{00000000-0005-0000-0000-000081610000}"/>
    <cellStyle name="Note 3 7 3 2" xfId="45973" xr:uid="{CCD0A004-C5A5-45F9-B6DA-F950D9703035}"/>
    <cellStyle name="Note 3 7 4" xfId="30095" xr:uid="{BF9CF525-0B6C-41D0-B5DB-C5EC4A592F2B}"/>
    <cellStyle name="Note 3 8" xfId="9762" xr:uid="{00000000-0005-0000-0000-000082610000}"/>
    <cellStyle name="Note 3 8 2" xfId="17720" xr:uid="{00000000-0005-0000-0000-000083610000}"/>
    <cellStyle name="Note 3 8 2 2" xfId="41560" xr:uid="{9D5952C5-282C-4EE3-A875-EC373295A783}"/>
    <cellStyle name="Note 3 8 3" xfId="25664" xr:uid="{00000000-0005-0000-0000-000084610000}"/>
    <cellStyle name="Note 3 8 3 2" xfId="49496" xr:uid="{766E9775-2FA5-4721-B806-457BE6536DF3}"/>
    <cellStyle name="Note 3 8 4" xfId="33619" xr:uid="{BD35423C-9EBD-4F7E-A555-758236DA82C8}"/>
    <cellStyle name="Note 3 9" xfId="10658" xr:uid="{00000000-0005-0000-0000-000085610000}"/>
    <cellStyle name="Note 3 9 2" xfId="34507" xr:uid="{D4B06940-31DF-4CC5-99E4-FEDFEFB1E3D1}"/>
    <cellStyle name="Note 3_Exh G" xfId="3625" xr:uid="{00000000-0005-0000-0000-000086610000}"/>
    <cellStyle name="Note 4" xfId="714" xr:uid="{00000000-0005-0000-0000-000087610000}"/>
    <cellStyle name="Note 4 10" xfId="18617" xr:uid="{00000000-0005-0000-0000-000088610000}"/>
    <cellStyle name="Note 4 10 2" xfId="42449" xr:uid="{34CE7AA6-1085-40FA-8783-DD3E11E8EF20}"/>
    <cellStyle name="Note 4 11" xfId="26569" xr:uid="{7A489559-C85F-4B11-B769-B9BD4A4CCE23}"/>
    <cellStyle name="Note 4 2" xfId="715" xr:uid="{00000000-0005-0000-0000-000089610000}"/>
    <cellStyle name="Note 4 2 10" xfId="26570" xr:uid="{86C54F27-367D-41D0-AC67-F81A145F9D9D}"/>
    <cellStyle name="Note 4 2 2" xfId="716" xr:uid="{00000000-0005-0000-0000-00008A610000}"/>
    <cellStyle name="Note 4 2 2 2" xfId="1744" xr:uid="{00000000-0005-0000-0000-00008B610000}"/>
    <cellStyle name="Note 4 2 2 2 2" xfId="5274" xr:uid="{00000000-0005-0000-0000-00008C610000}"/>
    <cellStyle name="Note 4 2 2 2 2 2" xfId="8865" xr:uid="{00000000-0005-0000-0000-00008D610000}"/>
    <cellStyle name="Note 4 2 2 2 2 2 2" xfId="16836" xr:uid="{00000000-0005-0000-0000-00008E610000}"/>
    <cellStyle name="Note 4 2 2 2 2 2 2 2" xfId="40678" xr:uid="{9D347AF4-D494-426F-B7E8-2DF293E5706F}"/>
    <cellStyle name="Note 4 2 2 2 2 2 3" xfId="24782" xr:uid="{00000000-0005-0000-0000-00008F610000}"/>
    <cellStyle name="Note 4 2 2 2 2 2 3 2" xfId="48614" xr:uid="{06D67D3D-AE27-4E39-9691-E69086B56FE6}"/>
    <cellStyle name="Note 4 2 2 2 2 2 4" xfId="32737" xr:uid="{DAF12688-749F-4FAD-9518-D577BCEE2993}"/>
    <cellStyle name="Note 4 2 2 2 2 3" xfId="13298" xr:uid="{00000000-0005-0000-0000-000090610000}"/>
    <cellStyle name="Note 4 2 2 2 2 3 2" xfId="37147" xr:uid="{EC2496A0-6D2C-4E99-A5F3-2807C773A8F0}"/>
    <cellStyle name="Note 4 2 2 2 2 4" xfId="21253" xr:uid="{00000000-0005-0000-0000-000091610000}"/>
    <cellStyle name="Note 4 2 2 2 2 4 2" xfId="45085" xr:uid="{8257B93F-D2EE-4D5D-A08D-7DEAE601826B}"/>
    <cellStyle name="Note 4 2 2 2 2 5" xfId="29206" xr:uid="{CA0D0BDE-1E4C-4E22-9669-BE7640D23E86}"/>
    <cellStyle name="Note 4 2 2 2 3" xfId="7106" xr:uid="{00000000-0005-0000-0000-000092610000}"/>
    <cellStyle name="Note 4 2 2 2 3 2" xfId="15078" xr:uid="{00000000-0005-0000-0000-000093610000}"/>
    <cellStyle name="Note 4 2 2 2 3 2 2" xfId="38920" xr:uid="{E47DAA2E-418A-4742-B32C-C30548CE04D8}"/>
    <cellStyle name="Note 4 2 2 2 3 3" xfId="23025" xr:uid="{00000000-0005-0000-0000-000094610000}"/>
    <cellStyle name="Note 4 2 2 2 3 3 2" xfId="46857" xr:uid="{00F48420-3030-4C45-B3F4-81E7D06E6B11}"/>
    <cellStyle name="Note 4 2 2 2 3 4" xfId="30979" xr:uid="{6B9E348E-A663-4053-8C5C-A48880595074}"/>
    <cellStyle name="Note 4 2 2 2 4" xfId="11542" xr:uid="{00000000-0005-0000-0000-000095610000}"/>
    <cellStyle name="Note 4 2 2 2 4 2" xfId="35391" xr:uid="{8344CFB2-7EE7-444E-B2FE-EF42385D308C}"/>
    <cellStyle name="Note 4 2 2 2 5" xfId="19497" xr:uid="{00000000-0005-0000-0000-000096610000}"/>
    <cellStyle name="Note 4 2 2 2 5 2" xfId="43329" xr:uid="{ACD855E5-C869-468C-BEC1-28697EEB4A7F}"/>
    <cellStyle name="Note 4 2 2 2 6" xfId="27449" xr:uid="{DF60F928-864F-4C51-B25D-5E3B69E227F2}"/>
    <cellStyle name="Note 4 2 2 2_Exh G" xfId="3640" xr:uid="{00000000-0005-0000-0000-000097610000}"/>
    <cellStyle name="Note 4 2 2 3" xfId="4395" xr:uid="{00000000-0005-0000-0000-000098610000}"/>
    <cellStyle name="Note 4 2 2 3 2" xfId="7987" xr:uid="{00000000-0005-0000-0000-000099610000}"/>
    <cellStyle name="Note 4 2 2 3 2 2" xfId="15958" xr:uid="{00000000-0005-0000-0000-00009A610000}"/>
    <cellStyle name="Note 4 2 2 3 2 2 2" xfId="39800" xr:uid="{CD262D43-45BB-4047-B11D-0FFCB079D8F5}"/>
    <cellStyle name="Note 4 2 2 3 2 3" xfId="23904" xr:uid="{00000000-0005-0000-0000-00009B610000}"/>
    <cellStyle name="Note 4 2 2 3 2 3 2" xfId="47736" xr:uid="{2635D312-EA24-4F6F-A1C0-EE0DF793AE13}"/>
    <cellStyle name="Note 4 2 2 3 2 4" xfId="31859" xr:uid="{4E5FF219-4DF1-4B4F-8F2B-FEAE1743AFDC}"/>
    <cellStyle name="Note 4 2 2 3 3" xfId="12420" xr:uid="{00000000-0005-0000-0000-00009C610000}"/>
    <cellStyle name="Note 4 2 2 3 3 2" xfId="36269" xr:uid="{B6ED9608-BCB0-4194-8403-F3C54AB0F58C}"/>
    <cellStyle name="Note 4 2 2 3 4" xfId="20375" xr:uid="{00000000-0005-0000-0000-00009D610000}"/>
    <cellStyle name="Note 4 2 2 3 4 2" xfId="44207" xr:uid="{4B028F36-360C-4815-BD15-50DC3999821B}"/>
    <cellStyle name="Note 4 2 2 3 5" xfId="28328" xr:uid="{B581D3A9-F677-4C18-A6EB-2D136787B938}"/>
    <cellStyle name="Note 4 2 2 4" xfId="6215" xr:uid="{00000000-0005-0000-0000-00009E610000}"/>
    <cellStyle name="Note 4 2 2 4 2" xfId="14199" xr:uid="{00000000-0005-0000-0000-00009F610000}"/>
    <cellStyle name="Note 4 2 2 4 2 2" xfId="38042" xr:uid="{A26DBBDD-99E7-4AC5-A00B-6B90223DA0E3}"/>
    <cellStyle name="Note 4 2 2 4 3" xfId="22147" xr:uid="{00000000-0005-0000-0000-0000A0610000}"/>
    <cellStyle name="Note 4 2 2 4 3 2" xfId="45979" xr:uid="{574FC560-4F3F-46E8-97AA-33B7706F838E}"/>
    <cellStyle name="Note 4 2 2 4 4" xfId="30101" xr:uid="{0C164E33-CC66-4E1F-8BA8-A31BA412F28F}"/>
    <cellStyle name="Note 4 2 2 5" xfId="9768" xr:uid="{00000000-0005-0000-0000-0000A1610000}"/>
    <cellStyle name="Note 4 2 2 5 2" xfId="17726" xr:uid="{00000000-0005-0000-0000-0000A2610000}"/>
    <cellStyle name="Note 4 2 2 5 2 2" xfId="41566" xr:uid="{5566480E-34E9-484D-8B57-B43F7A5FFD4B}"/>
    <cellStyle name="Note 4 2 2 5 3" xfId="25670" xr:uid="{00000000-0005-0000-0000-0000A3610000}"/>
    <cellStyle name="Note 4 2 2 5 3 2" xfId="49502" xr:uid="{0294CC00-6205-4C4B-BAC7-9A2D1A45BED2}"/>
    <cellStyle name="Note 4 2 2 5 4" xfId="33625" xr:uid="{3DA0AF59-134C-49B8-BA5B-40ADD9FCEEFE}"/>
    <cellStyle name="Note 4 2 2 6" xfId="10664" xr:uid="{00000000-0005-0000-0000-0000A4610000}"/>
    <cellStyle name="Note 4 2 2 6 2" xfId="34513" xr:uid="{D1DBF110-02A8-4481-9756-4CB69C9FCAFE}"/>
    <cellStyle name="Note 4 2 2 7" xfId="18619" xr:uid="{00000000-0005-0000-0000-0000A5610000}"/>
    <cellStyle name="Note 4 2 2 7 2" xfId="42451" xr:uid="{6C7D00FA-FAD8-4135-B0EE-DE79F3E60531}"/>
    <cellStyle name="Note 4 2 2 8" xfId="26571" xr:uid="{1A76F685-025A-436A-91A6-ABCEC8C6E98D}"/>
    <cellStyle name="Note 4 2 2_Exh G" xfId="3639" xr:uid="{00000000-0005-0000-0000-0000A6610000}"/>
    <cellStyle name="Note 4 2 3" xfId="1035" xr:uid="{00000000-0005-0000-0000-0000A7610000}"/>
    <cellStyle name="Note 4 2 3 2" xfId="1935" xr:uid="{00000000-0005-0000-0000-0000A8610000}"/>
    <cellStyle name="Note 4 2 3 2 2" xfId="5453" xr:uid="{00000000-0005-0000-0000-0000A9610000}"/>
    <cellStyle name="Note 4 2 3 2 2 2" xfId="9044" xr:uid="{00000000-0005-0000-0000-0000AA610000}"/>
    <cellStyle name="Note 4 2 3 2 2 2 2" xfId="17015" xr:uid="{00000000-0005-0000-0000-0000AB610000}"/>
    <cellStyle name="Note 4 2 3 2 2 2 2 2" xfId="40857" xr:uid="{BD489DD2-43AC-4034-BFC1-D86620371774}"/>
    <cellStyle name="Note 4 2 3 2 2 2 3" xfId="24961" xr:uid="{00000000-0005-0000-0000-0000AC610000}"/>
    <cellStyle name="Note 4 2 3 2 2 2 3 2" xfId="48793" xr:uid="{4426528B-3F10-4374-8A09-11ABA6EB15A2}"/>
    <cellStyle name="Note 4 2 3 2 2 2 4" xfId="32916" xr:uid="{ECF1420E-A88D-4455-B0A8-AF20E79D5DE2}"/>
    <cellStyle name="Note 4 2 3 2 2 3" xfId="13477" xr:uid="{00000000-0005-0000-0000-0000AD610000}"/>
    <cellStyle name="Note 4 2 3 2 2 3 2" xfId="37326" xr:uid="{ECB406DD-0BE4-4C70-B6B6-5A6724CA0570}"/>
    <cellStyle name="Note 4 2 3 2 2 4" xfId="21432" xr:uid="{00000000-0005-0000-0000-0000AE610000}"/>
    <cellStyle name="Note 4 2 3 2 2 4 2" xfId="45264" xr:uid="{37E18582-9E1C-4ED2-8F56-EE1F88105DDA}"/>
    <cellStyle name="Note 4 2 3 2 2 5" xfId="29385" xr:uid="{26D01EE6-B61B-4303-BBD6-C6DE8A28ED86}"/>
    <cellStyle name="Note 4 2 3 2 3" xfId="7285" xr:uid="{00000000-0005-0000-0000-0000AF610000}"/>
    <cellStyle name="Note 4 2 3 2 3 2" xfId="15257" xr:uid="{00000000-0005-0000-0000-0000B0610000}"/>
    <cellStyle name="Note 4 2 3 2 3 2 2" xfId="39099" xr:uid="{A378248E-3D77-4ABD-B725-90E7AD1243F5}"/>
    <cellStyle name="Note 4 2 3 2 3 3" xfId="23204" xr:uid="{00000000-0005-0000-0000-0000B1610000}"/>
    <cellStyle name="Note 4 2 3 2 3 3 2" xfId="47036" xr:uid="{E639FF65-5407-47FC-9F19-6877B4912620}"/>
    <cellStyle name="Note 4 2 3 2 3 4" xfId="31158" xr:uid="{DBDB1A4E-EF9E-4971-8C00-FA0A268995B2}"/>
    <cellStyle name="Note 4 2 3 2 4" xfId="11721" xr:uid="{00000000-0005-0000-0000-0000B2610000}"/>
    <cellStyle name="Note 4 2 3 2 4 2" xfId="35570" xr:uid="{03A94A54-E2A1-4141-B299-7430082AF9D2}"/>
    <cellStyle name="Note 4 2 3 2 5" xfId="19676" xr:uid="{00000000-0005-0000-0000-0000B3610000}"/>
    <cellStyle name="Note 4 2 3 2 5 2" xfId="43508" xr:uid="{416BE71D-D28D-4CC3-8A2C-441BE1A793D9}"/>
    <cellStyle name="Note 4 2 3 2 6" xfId="27628" xr:uid="{8D753628-599F-4A0B-8B78-190D1D37F278}"/>
    <cellStyle name="Note 4 2 3 2_Exh G" xfId="3642" xr:uid="{00000000-0005-0000-0000-0000B4610000}"/>
    <cellStyle name="Note 4 2 3 3" xfId="4574" xr:uid="{00000000-0005-0000-0000-0000B5610000}"/>
    <cellStyle name="Note 4 2 3 3 2" xfId="8166" xr:uid="{00000000-0005-0000-0000-0000B6610000}"/>
    <cellStyle name="Note 4 2 3 3 2 2" xfId="16137" xr:uid="{00000000-0005-0000-0000-0000B7610000}"/>
    <cellStyle name="Note 4 2 3 3 2 2 2" xfId="39979" xr:uid="{E6609E2A-7901-4A0E-8C9F-239D80DD7D2A}"/>
    <cellStyle name="Note 4 2 3 3 2 3" xfId="24083" xr:uid="{00000000-0005-0000-0000-0000B8610000}"/>
    <cellStyle name="Note 4 2 3 3 2 3 2" xfId="47915" xr:uid="{F7C35BF1-B469-44AC-B539-06FA31A38DFF}"/>
    <cellStyle name="Note 4 2 3 3 2 4" xfId="32038" xr:uid="{7C948FDF-27C1-478E-9E13-35834C5F5C9C}"/>
    <cellStyle name="Note 4 2 3 3 3" xfId="12599" xr:uid="{00000000-0005-0000-0000-0000B9610000}"/>
    <cellStyle name="Note 4 2 3 3 3 2" xfId="36448" xr:uid="{E5202D3D-E9E4-42A1-9819-DCC25A0F2D76}"/>
    <cellStyle name="Note 4 2 3 3 4" xfId="20554" xr:uid="{00000000-0005-0000-0000-0000BA610000}"/>
    <cellStyle name="Note 4 2 3 3 4 2" xfId="44386" xr:uid="{B60EAFA9-F267-494E-BCD2-658892269974}"/>
    <cellStyle name="Note 4 2 3 3 5" xfId="28507" xr:uid="{9CA13B00-0FE9-4042-8E9E-2CE587823098}"/>
    <cellStyle name="Note 4 2 3 4" xfId="6405" xr:uid="{00000000-0005-0000-0000-0000BB610000}"/>
    <cellStyle name="Note 4 2 3 4 2" xfId="14379" xr:uid="{00000000-0005-0000-0000-0000BC610000}"/>
    <cellStyle name="Note 4 2 3 4 2 2" xfId="38221" xr:uid="{31765C46-5B1B-4917-AB24-D5CB841CE4A6}"/>
    <cellStyle name="Note 4 2 3 4 3" xfId="22326" xr:uid="{00000000-0005-0000-0000-0000BD610000}"/>
    <cellStyle name="Note 4 2 3 4 3 2" xfId="46158" xr:uid="{F80BF41F-4937-4B51-B811-FCA8045BF783}"/>
    <cellStyle name="Note 4 2 3 4 4" xfId="30280" xr:uid="{4FC9959B-8988-4CBE-9940-30FA6606348F}"/>
    <cellStyle name="Note 4 2 3 5" xfId="9947" xr:uid="{00000000-0005-0000-0000-0000BE610000}"/>
    <cellStyle name="Note 4 2 3 5 2" xfId="17905" xr:uid="{00000000-0005-0000-0000-0000BF610000}"/>
    <cellStyle name="Note 4 2 3 5 2 2" xfId="41745" xr:uid="{38398075-B2A1-45D4-AF7E-4993E0E9213E}"/>
    <cellStyle name="Note 4 2 3 5 3" xfId="25849" xr:uid="{00000000-0005-0000-0000-0000C0610000}"/>
    <cellStyle name="Note 4 2 3 5 3 2" xfId="49681" xr:uid="{34562F18-B844-480C-B848-AE2A69449213}"/>
    <cellStyle name="Note 4 2 3 5 4" xfId="33804" xr:uid="{F04198FC-29DC-49DA-959E-F24BD41B3DEB}"/>
    <cellStyle name="Note 4 2 3 6" xfId="10843" xr:uid="{00000000-0005-0000-0000-0000C1610000}"/>
    <cellStyle name="Note 4 2 3 6 2" xfId="34692" xr:uid="{9E05959E-9387-4DD2-A953-4ECAA032AE9C}"/>
    <cellStyle name="Note 4 2 3 7" xfId="18798" xr:uid="{00000000-0005-0000-0000-0000C2610000}"/>
    <cellStyle name="Note 4 2 3 7 2" xfId="42630" xr:uid="{38F2EF42-4597-4C90-A89B-A7F3C10D746D}"/>
    <cellStyle name="Note 4 2 3 8" xfId="26750" xr:uid="{13362789-DB1B-48FF-82AF-D2B03913A5C8}"/>
    <cellStyle name="Note 4 2 3_Exh G" xfId="3641" xr:uid="{00000000-0005-0000-0000-0000C3610000}"/>
    <cellStyle name="Note 4 2 4" xfId="1743" xr:uid="{00000000-0005-0000-0000-0000C4610000}"/>
    <cellStyle name="Note 4 2 4 2" xfId="5273" xr:uid="{00000000-0005-0000-0000-0000C5610000}"/>
    <cellStyle name="Note 4 2 4 2 2" xfId="8864" xr:uid="{00000000-0005-0000-0000-0000C6610000}"/>
    <cellStyle name="Note 4 2 4 2 2 2" xfId="16835" xr:uid="{00000000-0005-0000-0000-0000C7610000}"/>
    <cellStyle name="Note 4 2 4 2 2 2 2" xfId="40677" xr:uid="{0F505371-B43C-4C13-8C5F-AA5032E7247E}"/>
    <cellStyle name="Note 4 2 4 2 2 3" xfId="24781" xr:uid="{00000000-0005-0000-0000-0000C8610000}"/>
    <cellStyle name="Note 4 2 4 2 2 3 2" xfId="48613" xr:uid="{73A2D9AE-3116-4E6B-B63A-B55BB411EA17}"/>
    <cellStyle name="Note 4 2 4 2 2 4" xfId="32736" xr:uid="{229CB9F5-9F9B-4B8F-B997-D1034AD0B4C6}"/>
    <cellStyle name="Note 4 2 4 2 3" xfId="13297" xr:uid="{00000000-0005-0000-0000-0000C9610000}"/>
    <cellStyle name="Note 4 2 4 2 3 2" xfId="37146" xr:uid="{DB9C0077-1A63-465F-B88A-AD0A80E4A738}"/>
    <cellStyle name="Note 4 2 4 2 4" xfId="21252" xr:uid="{00000000-0005-0000-0000-0000CA610000}"/>
    <cellStyle name="Note 4 2 4 2 4 2" xfId="45084" xr:uid="{80487562-23EA-4DA1-8B7C-05E4C6FA249C}"/>
    <cellStyle name="Note 4 2 4 2 5" xfId="29205" xr:uid="{BC2F8F69-DDF7-4AC3-9E98-51CBA8B892B6}"/>
    <cellStyle name="Note 4 2 4 3" xfId="7105" xr:uid="{00000000-0005-0000-0000-0000CB610000}"/>
    <cellStyle name="Note 4 2 4 3 2" xfId="15077" xr:uid="{00000000-0005-0000-0000-0000CC610000}"/>
    <cellStyle name="Note 4 2 4 3 2 2" xfId="38919" xr:uid="{FB7ECB4E-F8F1-4804-B9F9-41772A0F4453}"/>
    <cellStyle name="Note 4 2 4 3 3" xfId="23024" xr:uid="{00000000-0005-0000-0000-0000CD610000}"/>
    <cellStyle name="Note 4 2 4 3 3 2" xfId="46856" xr:uid="{C6591DF3-B074-4E85-BA6A-974C4C49BED9}"/>
    <cellStyle name="Note 4 2 4 3 4" xfId="30978" xr:uid="{3F0AD540-8A98-4629-B98D-CB72F52C4CA4}"/>
    <cellStyle name="Note 4 2 4 4" xfId="11541" xr:uid="{00000000-0005-0000-0000-0000CE610000}"/>
    <cellStyle name="Note 4 2 4 4 2" xfId="35390" xr:uid="{0AA2E9E9-D884-478B-8864-BB8B77AFAACB}"/>
    <cellStyle name="Note 4 2 4 5" xfId="19496" xr:uid="{00000000-0005-0000-0000-0000CF610000}"/>
    <cellStyle name="Note 4 2 4 5 2" xfId="43328" xr:uid="{B9B1D505-F754-4361-8420-1D3C92594176}"/>
    <cellStyle name="Note 4 2 4 6" xfId="27448" xr:uid="{85B54443-0A99-4AEB-8DED-9EF9DC6D1661}"/>
    <cellStyle name="Note 4 2 4_Exh G" xfId="3643" xr:uid="{00000000-0005-0000-0000-0000D0610000}"/>
    <cellStyle name="Note 4 2 5" xfId="4394" xr:uid="{00000000-0005-0000-0000-0000D1610000}"/>
    <cellStyle name="Note 4 2 5 2" xfId="7986" xr:uid="{00000000-0005-0000-0000-0000D2610000}"/>
    <cellStyle name="Note 4 2 5 2 2" xfId="15957" xr:uid="{00000000-0005-0000-0000-0000D3610000}"/>
    <cellStyle name="Note 4 2 5 2 2 2" xfId="39799" xr:uid="{7BFF0614-1962-486E-9BE8-C691B59F26E0}"/>
    <cellStyle name="Note 4 2 5 2 3" xfId="23903" xr:uid="{00000000-0005-0000-0000-0000D4610000}"/>
    <cellStyle name="Note 4 2 5 2 3 2" xfId="47735" xr:uid="{8553BEDD-EDB4-4DD9-8423-631509EEC1EB}"/>
    <cellStyle name="Note 4 2 5 2 4" xfId="31858" xr:uid="{E67F73FD-C3B3-4252-AB3F-D2AA5F69886D}"/>
    <cellStyle name="Note 4 2 5 3" xfId="12419" xr:uid="{00000000-0005-0000-0000-0000D5610000}"/>
    <cellStyle name="Note 4 2 5 3 2" xfId="36268" xr:uid="{854746FB-F4DD-4E88-9A22-F3275D23F41F}"/>
    <cellStyle name="Note 4 2 5 4" xfId="20374" xr:uid="{00000000-0005-0000-0000-0000D6610000}"/>
    <cellStyle name="Note 4 2 5 4 2" xfId="44206" xr:uid="{5F3E5C15-61D1-4D55-89D7-95CF7AE58796}"/>
    <cellStyle name="Note 4 2 5 5" xfId="28327" xr:uid="{B450D644-CB6D-4ADC-AFE9-44C0B65416C5}"/>
    <cellStyle name="Note 4 2 6" xfId="6214" xr:uid="{00000000-0005-0000-0000-0000D7610000}"/>
    <cellStyle name="Note 4 2 6 2" xfId="14198" xr:uid="{00000000-0005-0000-0000-0000D8610000}"/>
    <cellStyle name="Note 4 2 6 2 2" xfId="38041" xr:uid="{8854F774-75FD-4588-8943-20739E72AD00}"/>
    <cellStyle name="Note 4 2 6 3" xfId="22146" xr:uid="{00000000-0005-0000-0000-0000D9610000}"/>
    <cellStyle name="Note 4 2 6 3 2" xfId="45978" xr:uid="{172C793A-B6E2-4EE7-BE6C-B9C9914451D9}"/>
    <cellStyle name="Note 4 2 6 4" xfId="30100" xr:uid="{E9126106-D77B-4202-9FF2-325D51AA6389}"/>
    <cellStyle name="Note 4 2 7" xfId="9767" xr:uid="{00000000-0005-0000-0000-0000DA610000}"/>
    <cellStyle name="Note 4 2 7 2" xfId="17725" xr:uid="{00000000-0005-0000-0000-0000DB610000}"/>
    <cellStyle name="Note 4 2 7 2 2" xfId="41565" xr:uid="{6AD4BCC5-6ADA-41A6-BC6D-681D1B671928}"/>
    <cellStyle name="Note 4 2 7 3" xfId="25669" xr:uid="{00000000-0005-0000-0000-0000DC610000}"/>
    <cellStyle name="Note 4 2 7 3 2" xfId="49501" xr:uid="{60D08E7D-7495-4FE1-A1B1-EF21252F1553}"/>
    <cellStyle name="Note 4 2 7 4" xfId="33624" xr:uid="{3D4A9442-BC94-4DBD-AFEC-CC2A91228B60}"/>
    <cellStyle name="Note 4 2 8" xfId="10663" xr:uid="{00000000-0005-0000-0000-0000DD610000}"/>
    <cellStyle name="Note 4 2 8 2" xfId="34512" xr:uid="{23CFB9AF-693B-4150-BBF0-E871E8E1308D}"/>
    <cellStyle name="Note 4 2 9" xfId="18618" xr:uid="{00000000-0005-0000-0000-0000DE610000}"/>
    <cellStyle name="Note 4 2 9 2" xfId="42450" xr:uid="{E544B7F6-E2D6-478D-96C3-D83460A68E0D}"/>
    <cellStyle name="Note 4 2_Exh G" xfId="3638" xr:uid="{00000000-0005-0000-0000-0000DF610000}"/>
    <cellStyle name="Note 4 3" xfId="717" xr:uid="{00000000-0005-0000-0000-0000E0610000}"/>
    <cellStyle name="Note 4 3 2" xfId="1745" xr:uid="{00000000-0005-0000-0000-0000E1610000}"/>
    <cellStyle name="Note 4 3 2 2" xfId="5275" xr:uid="{00000000-0005-0000-0000-0000E2610000}"/>
    <cellStyle name="Note 4 3 2 2 2" xfId="8866" xr:uid="{00000000-0005-0000-0000-0000E3610000}"/>
    <cellStyle name="Note 4 3 2 2 2 2" xfId="16837" xr:uid="{00000000-0005-0000-0000-0000E4610000}"/>
    <cellStyle name="Note 4 3 2 2 2 2 2" xfId="40679" xr:uid="{C62EAAE2-8EE5-4E01-A158-E51E0167250F}"/>
    <cellStyle name="Note 4 3 2 2 2 3" xfId="24783" xr:uid="{00000000-0005-0000-0000-0000E5610000}"/>
    <cellStyle name="Note 4 3 2 2 2 3 2" xfId="48615" xr:uid="{493E08CD-C547-4185-8AE3-5094A9FAF212}"/>
    <cellStyle name="Note 4 3 2 2 2 4" xfId="32738" xr:uid="{75E7D590-191A-4DC3-884D-C6147ECC1F17}"/>
    <cellStyle name="Note 4 3 2 2 3" xfId="13299" xr:uid="{00000000-0005-0000-0000-0000E6610000}"/>
    <cellStyle name="Note 4 3 2 2 3 2" xfId="37148" xr:uid="{B88FC9DA-0165-4791-BE59-D97D8833256A}"/>
    <cellStyle name="Note 4 3 2 2 4" xfId="21254" xr:uid="{00000000-0005-0000-0000-0000E7610000}"/>
    <cellStyle name="Note 4 3 2 2 4 2" xfId="45086" xr:uid="{7A369BF7-CD2F-45D5-9460-54112EFB1AD1}"/>
    <cellStyle name="Note 4 3 2 2 5" xfId="29207" xr:uid="{D24856EF-D609-4B50-870C-58340D958AD5}"/>
    <cellStyle name="Note 4 3 2 3" xfId="7107" xr:uid="{00000000-0005-0000-0000-0000E8610000}"/>
    <cellStyle name="Note 4 3 2 3 2" xfId="15079" xr:uid="{00000000-0005-0000-0000-0000E9610000}"/>
    <cellStyle name="Note 4 3 2 3 2 2" xfId="38921" xr:uid="{BBD2E413-26ED-468B-A705-53EA8340B57B}"/>
    <cellStyle name="Note 4 3 2 3 3" xfId="23026" xr:uid="{00000000-0005-0000-0000-0000EA610000}"/>
    <cellStyle name="Note 4 3 2 3 3 2" xfId="46858" xr:uid="{CB9C8201-CA03-4F69-81C3-D30739273ACC}"/>
    <cellStyle name="Note 4 3 2 3 4" xfId="30980" xr:uid="{3E558C9E-6436-45C8-BECE-68FE507E4283}"/>
    <cellStyle name="Note 4 3 2 4" xfId="11543" xr:uid="{00000000-0005-0000-0000-0000EB610000}"/>
    <cellStyle name="Note 4 3 2 4 2" xfId="35392" xr:uid="{9CBDDEFE-5777-43C5-8735-B030F1E67930}"/>
    <cellStyle name="Note 4 3 2 5" xfId="19498" xr:uid="{00000000-0005-0000-0000-0000EC610000}"/>
    <cellStyle name="Note 4 3 2 5 2" xfId="43330" xr:uid="{493333CD-6A4F-4526-806E-B6D16A2D2F56}"/>
    <cellStyle name="Note 4 3 2 6" xfId="27450" xr:uid="{4572109C-DEEB-4B86-B3B2-9787813EE2E8}"/>
    <cellStyle name="Note 4 3 2_Exh G" xfId="3645" xr:uid="{00000000-0005-0000-0000-0000ED610000}"/>
    <cellStyle name="Note 4 3 3" xfId="4396" xr:uid="{00000000-0005-0000-0000-0000EE610000}"/>
    <cellStyle name="Note 4 3 3 2" xfId="7988" xr:uid="{00000000-0005-0000-0000-0000EF610000}"/>
    <cellStyle name="Note 4 3 3 2 2" xfId="15959" xr:uid="{00000000-0005-0000-0000-0000F0610000}"/>
    <cellStyle name="Note 4 3 3 2 2 2" xfId="39801" xr:uid="{270923FF-BDF9-4439-A428-38A83E6B89B7}"/>
    <cellStyle name="Note 4 3 3 2 3" xfId="23905" xr:uid="{00000000-0005-0000-0000-0000F1610000}"/>
    <cellStyle name="Note 4 3 3 2 3 2" xfId="47737" xr:uid="{B1ACED73-FA67-41E3-AFD7-028857DB7C09}"/>
    <cellStyle name="Note 4 3 3 2 4" xfId="31860" xr:uid="{E610C7A6-ABF5-49C7-AEA2-3093BF702552}"/>
    <cellStyle name="Note 4 3 3 3" xfId="12421" xr:uid="{00000000-0005-0000-0000-0000F2610000}"/>
    <cellStyle name="Note 4 3 3 3 2" xfId="36270" xr:uid="{392A8318-D969-4BB8-9786-83C05019220B}"/>
    <cellStyle name="Note 4 3 3 4" xfId="20376" xr:uid="{00000000-0005-0000-0000-0000F3610000}"/>
    <cellStyle name="Note 4 3 3 4 2" xfId="44208" xr:uid="{627702EE-4270-4CB4-ACF3-07E78F443036}"/>
    <cellStyle name="Note 4 3 3 5" xfId="28329" xr:uid="{AAEBFBAD-921E-41ED-AED8-6BE4A4A76C7E}"/>
    <cellStyle name="Note 4 3 4" xfId="6216" xr:uid="{00000000-0005-0000-0000-0000F4610000}"/>
    <cellStyle name="Note 4 3 4 2" xfId="14200" xr:uid="{00000000-0005-0000-0000-0000F5610000}"/>
    <cellStyle name="Note 4 3 4 2 2" xfId="38043" xr:uid="{9AD90EE1-BA5F-47F9-851A-394E86FD4C0C}"/>
    <cellStyle name="Note 4 3 4 3" xfId="22148" xr:uid="{00000000-0005-0000-0000-0000F6610000}"/>
    <cellStyle name="Note 4 3 4 3 2" xfId="45980" xr:uid="{5AFAB07A-92BF-42BD-9107-CC5BA6636936}"/>
    <cellStyle name="Note 4 3 4 4" xfId="30102" xr:uid="{66628CA8-A71F-4483-AEF4-AEEB38EE47CA}"/>
    <cellStyle name="Note 4 3 5" xfId="9769" xr:uid="{00000000-0005-0000-0000-0000F7610000}"/>
    <cellStyle name="Note 4 3 5 2" xfId="17727" xr:uid="{00000000-0005-0000-0000-0000F8610000}"/>
    <cellStyle name="Note 4 3 5 2 2" xfId="41567" xr:uid="{C6500652-CD89-41B7-BD8C-6C67AFA4DFB5}"/>
    <cellStyle name="Note 4 3 5 3" xfId="25671" xr:uid="{00000000-0005-0000-0000-0000F9610000}"/>
    <cellStyle name="Note 4 3 5 3 2" xfId="49503" xr:uid="{013D7E00-A11C-48E0-9804-49BB88A6A465}"/>
    <cellStyle name="Note 4 3 5 4" xfId="33626" xr:uid="{A4D1124A-0DED-40B1-8C31-B29C9991D2DC}"/>
    <cellStyle name="Note 4 3 6" xfId="10665" xr:uid="{00000000-0005-0000-0000-0000FA610000}"/>
    <cellStyle name="Note 4 3 6 2" xfId="34514" xr:uid="{3AC7D8F3-9E6B-410E-9109-398A0DA3BE88}"/>
    <cellStyle name="Note 4 3 7" xfId="18620" xr:uid="{00000000-0005-0000-0000-0000FB610000}"/>
    <cellStyle name="Note 4 3 7 2" xfId="42452" xr:uid="{51AE0EFC-E6A6-40B1-9489-6B755D6137EF}"/>
    <cellStyle name="Note 4 3 8" xfId="26572" xr:uid="{A2005CF9-8E5C-4F29-89DE-06C58D4F7E62}"/>
    <cellStyle name="Note 4 3_Exh G" xfId="3644" xr:uid="{00000000-0005-0000-0000-0000FC610000}"/>
    <cellStyle name="Note 4 4" xfId="1034" xr:uid="{00000000-0005-0000-0000-0000FD610000}"/>
    <cellStyle name="Note 4 4 2" xfId="1934" xr:uid="{00000000-0005-0000-0000-0000FE610000}"/>
    <cellStyle name="Note 4 4 2 2" xfId="5452" xr:uid="{00000000-0005-0000-0000-0000FF610000}"/>
    <cellStyle name="Note 4 4 2 2 2" xfId="9043" xr:uid="{00000000-0005-0000-0000-000000620000}"/>
    <cellStyle name="Note 4 4 2 2 2 2" xfId="17014" xr:uid="{00000000-0005-0000-0000-000001620000}"/>
    <cellStyle name="Note 4 4 2 2 2 2 2" xfId="40856" xr:uid="{648FCDC1-4F46-4B19-B144-EE3408693342}"/>
    <cellStyle name="Note 4 4 2 2 2 3" xfId="24960" xr:uid="{00000000-0005-0000-0000-000002620000}"/>
    <cellStyle name="Note 4 4 2 2 2 3 2" xfId="48792" xr:uid="{8A03AE4A-E31B-4B32-B41E-7D698B2D4D32}"/>
    <cellStyle name="Note 4 4 2 2 2 4" xfId="32915" xr:uid="{A3E26942-0D05-42E8-A09E-035062DD3CCB}"/>
    <cellStyle name="Note 4 4 2 2 3" xfId="13476" xr:uid="{00000000-0005-0000-0000-000003620000}"/>
    <cellStyle name="Note 4 4 2 2 3 2" xfId="37325" xr:uid="{807EACC8-6D9A-4B2F-99D9-476C78B78CE5}"/>
    <cellStyle name="Note 4 4 2 2 4" xfId="21431" xr:uid="{00000000-0005-0000-0000-000004620000}"/>
    <cellStyle name="Note 4 4 2 2 4 2" xfId="45263" xr:uid="{31A3F56B-A28E-4FE3-A264-69BF5F0D6A27}"/>
    <cellStyle name="Note 4 4 2 2 5" xfId="29384" xr:uid="{650E0911-10C2-4939-B00C-D705372BEFAB}"/>
    <cellStyle name="Note 4 4 2 3" xfId="7284" xr:uid="{00000000-0005-0000-0000-000005620000}"/>
    <cellStyle name="Note 4 4 2 3 2" xfId="15256" xr:uid="{00000000-0005-0000-0000-000006620000}"/>
    <cellStyle name="Note 4 4 2 3 2 2" xfId="39098" xr:uid="{5070E025-EE10-4475-95AD-5242F63436A7}"/>
    <cellStyle name="Note 4 4 2 3 3" xfId="23203" xr:uid="{00000000-0005-0000-0000-000007620000}"/>
    <cellStyle name="Note 4 4 2 3 3 2" xfId="47035" xr:uid="{019CCF0F-3106-42FD-87F7-D2318955FAE2}"/>
    <cellStyle name="Note 4 4 2 3 4" xfId="31157" xr:uid="{1C069E39-BEED-4675-AF66-F5E9FC731D70}"/>
    <cellStyle name="Note 4 4 2 4" xfId="11720" xr:uid="{00000000-0005-0000-0000-000008620000}"/>
    <cellStyle name="Note 4 4 2 4 2" xfId="35569" xr:uid="{0EB4AD76-8F46-45D3-8B55-894D532A5990}"/>
    <cellStyle name="Note 4 4 2 5" xfId="19675" xr:uid="{00000000-0005-0000-0000-000009620000}"/>
    <cellStyle name="Note 4 4 2 5 2" xfId="43507" xr:uid="{8CF3A3DC-DA82-4C26-88D4-F625F8EBBA06}"/>
    <cellStyle name="Note 4 4 2 6" xfId="27627" xr:uid="{772B2EB3-2FD8-4917-A187-E141FF21A6F6}"/>
    <cellStyle name="Note 4 4 2_Exh G" xfId="3647" xr:uid="{00000000-0005-0000-0000-00000A620000}"/>
    <cellStyle name="Note 4 4 3" xfId="4573" xr:uid="{00000000-0005-0000-0000-00000B620000}"/>
    <cellStyle name="Note 4 4 3 2" xfId="8165" xr:uid="{00000000-0005-0000-0000-00000C620000}"/>
    <cellStyle name="Note 4 4 3 2 2" xfId="16136" xr:uid="{00000000-0005-0000-0000-00000D620000}"/>
    <cellStyle name="Note 4 4 3 2 2 2" xfId="39978" xr:uid="{B30BB5CC-35F7-4099-A073-5312C5A4B71E}"/>
    <cellStyle name="Note 4 4 3 2 3" xfId="24082" xr:uid="{00000000-0005-0000-0000-00000E620000}"/>
    <cellStyle name="Note 4 4 3 2 3 2" xfId="47914" xr:uid="{A6CD35B6-88D0-404D-8FA7-AB7FF6658C48}"/>
    <cellStyle name="Note 4 4 3 2 4" xfId="32037" xr:uid="{C6AFBFB9-64AC-40A9-9E2F-30020A27CDA8}"/>
    <cellStyle name="Note 4 4 3 3" xfId="12598" xr:uid="{00000000-0005-0000-0000-00000F620000}"/>
    <cellStyle name="Note 4 4 3 3 2" xfId="36447" xr:uid="{11E2AFF1-D0A4-4622-A56F-4F1CFE8A9E00}"/>
    <cellStyle name="Note 4 4 3 4" xfId="20553" xr:uid="{00000000-0005-0000-0000-000010620000}"/>
    <cellStyle name="Note 4 4 3 4 2" xfId="44385" xr:uid="{9A3BCD1F-D7AF-4AD8-964B-D94D9A8835A2}"/>
    <cellStyle name="Note 4 4 3 5" xfId="28506" xr:uid="{EB1FCFC8-7F75-427B-BD7B-EA9CC88D8F56}"/>
    <cellStyle name="Note 4 4 4" xfId="6404" xr:uid="{00000000-0005-0000-0000-000011620000}"/>
    <cellStyle name="Note 4 4 4 2" xfId="14378" xr:uid="{00000000-0005-0000-0000-000012620000}"/>
    <cellStyle name="Note 4 4 4 2 2" xfId="38220" xr:uid="{68D7AA58-160C-4C09-9BE6-99613FE8592E}"/>
    <cellStyle name="Note 4 4 4 3" xfId="22325" xr:uid="{00000000-0005-0000-0000-000013620000}"/>
    <cellStyle name="Note 4 4 4 3 2" xfId="46157" xr:uid="{5896C163-E58C-4A1B-BB02-646DBE026E31}"/>
    <cellStyle name="Note 4 4 4 4" xfId="30279" xr:uid="{198D5B08-23C1-413A-A15A-7378D61E648D}"/>
    <cellStyle name="Note 4 4 5" xfId="9946" xr:uid="{00000000-0005-0000-0000-000014620000}"/>
    <cellStyle name="Note 4 4 5 2" xfId="17904" xr:uid="{00000000-0005-0000-0000-000015620000}"/>
    <cellStyle name="Note 4 4 5 2 2" xfId="41744" xr:uid="{D61E4845-6346-447A-8751-5BC10414F293}"/>
    <cellStyle name="Note 4 4 5 3" xfId="25848" xr:uid="{00000000-0005-0000-0000-000016620000}"/>
    <cellStyle name="Note 4 4 5 3 2" xfId="49680" xr:uid="{480E6BEB-6A2F-424C-AEFC-2A07B15165C1}"/>
    <cellStyle name="Note 4 4 5 4" xfId="33803" xr:uid="{46EE0BF3-9F9C-41E6-8EAF-3A30F4CD27EF}"/>
    <cellStyle name="Note 4 4 6" xfId="10842" xr:uid="{00000000-0005-0000-0000-000017620000}"/>
    <cellStyle name="Note 4 4 6 2" xfId="34691" xr:uid="{106B1567-238A-4FE5-8FDE-B1C8C997F16C}"/>
    <cellStyle name="Note 4 4 7" xfId="18797" xr:uid="{00000000-0005-0000-0000-000018620000}"/>
    <cellStyle name="Note 4 4 7 2" xfId="42629" xr:uid="{D0FB6205-EE8B-45DC-AF95-727BE53DF79B}"/>
    <cellStyle name="Note 4 4 8" xfId="26749" xr:uid="{8429217B-1840-4C0F-B388-32E9723FAE74}"/>
    <cellStyle name="Note 4 4_Exh G" xfId="3646" xr:uid="{00000000-0005-0000-0000-000019620000}"/>
    <cellStyle name="Note 4 5" xfId="1742" xr:uid="{00000000-0005-0000-0000-00001A620000}"/>
    <cellStyle name="Note 4 5 2" xfId="5272" xr:uid="{00000000-0005-0000-0000-00001B620000}"/>
    <cellStyle name="Note 4 5 2 2" xfId="8863" xr:uid="{00000000-0005-0000-0000-00001C620000}"/>
    <cellStyle name="Note 4 5 2 2 2" xfId="16834" xr:uid="{00000000-0005-0000-0000-00001D620000}"/>
    <cellStyle name="Note 4 5 2 2 2 2" xfId="40676" xr:uid="{A5903344-A159-4C43-B63F-77CADDFE20A1}"/>
    <cellStyle name="Note 4 5 2 2 3" xfId="24780" xr:uid="{00000000-0005-0000-0000-00001E620000}"/>
    <cellStyle name="Note 4 5 2 2 3 2" xfId="48612" xr:uid="{F7ED64BC-56C1-47BD-820A-638EB69462A4}"/>
    <cellStyle name="Note 4 5 2 2 4" xfId="32735" xr:uid="{4304ADF5-1063-4E4B-9ADF-1706AF4F5758}"/>
    <cellStyle name="Note 4 5 2 3" xfId="13296" xr:uid="{00000000-0005-0000-0000-00001F620000}"/>
    <cellStyle name="Note 4 5 2 3 2" xfId="37145" xr:uid="{428B53B6-4591-4AEE-88CA-5CF8F294B9F8}"/>
    <cellStyle name="Note 4 5 2 4" xfId="21251" xr:uid="{00000000-0005-0000-0000-000020620000}"/>
    <cellStyle name="Note 4 5 2 4 2" xfId="45083" xr:uid="{F1F6B9D7-77DE-426A-8586-8670763E7746}"/>
    <cellStyle name="Note 4 5 2 5" xfId="29204" xr:uid="{A0859E2B-74CE-48D4-B753-37D5829591E6}"/>
    <cellStyle name="Note 4 5 3" xfId="7104" xr:uid="{00000000-0005-0000-0000-000021620000}"/>
    <cellStyle name="Note 4 5 3 2" xfId="15076" xr:uid="{00000000-0005-0000-0000-000022620000}"/>
    <cellStyle name="Note 4 5 3 2 2" xfId="38918" xr:uid="{8A551C51-93D2-488B-BCE2-72207A90481C}"/>
    <cellStyle name="Note 4 5 3 3" xfId="23023" xr:uid="{00000000-0005-0000-0000-000023620000}"/>
    <cellStyle name="Note 4 5 3 3 2" xfId="46855" xr:uid="{0238699C-21C2-4F79-A8D1-E838F9E20918}"/>
    <cellStyle name="Note 4 5 3 4" xfId="30977" xr:uid="{9D4011FE-1F32-46A2-B4BF-680D59E13436}"/>
    <cellStyle name="Note 4 5 4" xfId="11540" xr:uid="{00000000-0005-0000-0000-000024620000}"/>
    <cellStyle name="Note 4 5 4 2" xfId="35389" xr:uid="{68C3B892-CB3E-4EC6-8A25-45C4780C538D}"/>
    <cellStyle name="Note 4 5 5" xfId="19495" xr:uid="{00000000-0005-0000-0000-000025620000}"/>
    <cellStyle name="Note 4 5 5 2" xfId="43327" xr:uid="{1E098C70-BDB8-4605-9C8D-2C487F96AB03}"/>
    <cellStyle name="Note 4 5 6" xfId="27447" xr:uid="{7AD6B68C-CB98-473D-8B6E-24D6A9233656}"/>
    <cellStyle name="Note 4 5_Exh G" xfId="3648" xr:uid="{00000000-0005-0000-0000-000026620000}"/>
    <cellStyle name="Note 4 6" xfId="4393" xr:uid="{00000000-0005-0000-0000-000027620000}"/>
    <cellStyle name="Note 4 6 2" xfId="7985" xr:uid="{00000000-0005-0000-0000-000028620000}"/>
    <cellStyle name="Note 4 6 2 2" xfId="15956" xr:uid="{00000000-0005-0000-0000-000029620000}"/>
    <cellStyle name="Note 4 6 2 2 2" xfId="39798" xr:uid="{D9D026EC-805F-44CC-A186-5C85847518AE}"/>
    <cellStyle name="Note 4 6 2 3" xfId="23902" xr:uid="{00000000-0005-0000-0000-00002A620000}"/>
    <cellStyle name="Note 4 6 2 3 2" xfId="47734" xr:uid="{005D40EA-C6C0-461A-A87C-0D9549167F4D}"/>
    <cellStyle name="Note 4 6 2 4" xfId="31857" xr:uid="{1A93C193-EF24-4B6A-87CE-44D695DA0ED5}"/>
    <cellStyle name="Note 4 6 3" xfId="12418" xr:uid="{00000000-0005-0000-0000-00002B620000}"/>
    <cellStyle name="Note 4 6 3 2" xfId="36267" xr:uid="{1BC9A818-F353-4444-90AF-A3958885BFA9}"/>
    <cellStyle name="Note 4 6 4" xfId="20373" xr:uid="{00000000-0005-0000-0000-00002C620000}"/>
    <cellStyle name="Note 4 6 4 2" xfId="44205" xr:uid="{5BF15AFB-90E4-4C16-B19C-61FDD763A593}"/>
    <cellStyle name="Note 4 6 5" xfId="28326" xr:uid="{B74B0876-CA1C-466C-AE77-15E899998659}"/>
    <cellStyle name="Note 4 7" xfId="6213" xr:uid="{00000000-0005-0000-0000-00002D620000}"/>
    <cellStyle name="Note 4 7 2" xfId="14197" xr:uid="{00000000-0005-0000-0000-00002E620000}"/>
    <cellStyle name="Note 4 7 2 2" xfId="38040" xr:uid="{AE03D1B5-6736-4781-A02B-6C64C2810FCA}"/>
    <cellStyle name="Note 4 7 3" xfId="22145" xr:uid="{00000000-0005-0000-0000-00002F620000}"/>
    <cellStyle name="Note 4 7 3 2" xfId="45977" xr:uid="{C47900C6-E0EB-4379-9F25-208AE96F3BF1}"/>
    <cellStyle name="Note 4 7 4" xfId="30099" xr:uid="{3BE5A555-149C-4ABE-AF2C-0EC0C100D543}"/>
    <cellStyle name="Note 4 8" xfId="9766" xr:uid="{00000000-0005-0000-0000-000030620000}"/>
    <cellStyle name="Note 4 8 2" xfId="17724" xr:uid="{00000000-0005-0000-0000-000031620000}"/>
    <cellStyle name="Note 4 8 2 2" xfId="41564" xr:uid="{FE55F237-976F-4733-9AC5-D2191C111471}"/>
    <cellStyle name="Note 4 8 3" xfId="25668" xr:uid="{00000000-0005-0000-0000-000032620000}"/>
    <cellStyle name="Note 4 8 3 2" xfId="49500" xr:uid="{9ECD85EF-8A2E-4D6E-B4A6-A1FEB907D9B0}"/>
    <cellStyle name="Note 4 8 4" xfId="33623" xr:uid="{B4530F98-872C-40EA-AD66-1ABDC54644D3}"/>
    <cellStyle name="Note 4 9" xfId="10662" xr:uid="{00000000-0005-0000-0000-000033620000}"/>
    <cellStyle name="Note 4 9 2" xfId="34511" xr:uid="{85F6A9E4-3587-4438-8E7B-D060BE8EB3F9}"/>
    <cellStyle name="Note 4_Exh G" xfId="3637" xr:uid="{00000000-0005-0000-0000-000034620000}"/>
    <cellStyle name="Note 5" xfId="718" xr:uid="{00000000-0005-0000-0000-000035620000}"/>
    <cellStyle name="Note 5 10" xfId="18621" xr:uid="{00000000-0005-0000-0000-000036620000}"/>
    <cellStyle name="Note 5 10 2" xfId="42453" xr:uid="{BE33A779-548D-47A6-AC6C-E9FD43EF781B}"/>
    <cellStyle name="Note 5 11" xfId="26573" xr:uid="{042D98DF-5020-4440-91EA-9BF3A60B70B7}"/>
    <cellStyle name="Note 5 2" xfId="719" xr:uid="{00000000-0005-0000-0000-000037620000}"/>
    <cellStyle name="Note 5 2 2" xfId="720" xr:uid="{00000000-0005-0000-0000-000038620000}"/>
    <cellStyle name="Note 5 2 2 2" xfId="1748" xr:uid="{00000000-0005-0000-0000-000039620000}"/>
    <cellStyle name="Note 5 2 2 2 2" xfId="5278" xr:uid="{00000000-0005-0000-0000-00003A620000}"/>
    <cellStyle name="Note 5 2 2 2 2 2" xfId="8869" xr:uid="{00000000-0005-0000-0000-00003B620000}"/>
    <cellStyle name="Note 5 2 2 2 2 2 2" xfId="16840" xr:uid="{00000000-0005-0000-0000-00003C620000}"/>
    <cellStyle name="Note 5 2 2 2 2 2 2 2" xfId="40682" xr:uid="{92BC5263-9078-4F9D-8031-04E4ABDC4969}"/>
    <cellStyle name="Note 5 2 2 2 2 2 3" xfId="24786" xr:uid="{00000000-0005-0000-0000-00003D620000}"/>
    <cellStyle name="Note 5 2 2 2 2 2 3 2" xfId="48618" xr:uid="{FBF6E09E-1641-4FB4-B7BD-988D2DE3A170}"/>
    <cellStyle name="Note 5 2 2 2 2 2 4" xfId="32741" xr:uid="{8C909025-EA1D-4EDA-87AB-84AE0CDA2720}"/>
    <cellStyle name="Note 5 2 2 2 2 3" xfId="13302" xr:uid="{00000000-0005-0000-0000-00003E620000}"/>
    <cellStyle name="Note 5 2 2 2 2 3 2" xfId="37151" xr:uid="{C15C1BCE-0AC4-4679-A7CE-04EDE5224DA7}"/>
    <cellStyle name="Note 5 2 2 2 2 4" xfId="21257" xr:uid="{00000000-0005-0000-0000-00003F620000}"/>
    <cellStyle name="Note 5 2 2 2 2 4 2" xfId="45089" xr:uid="{914522A0-BEA8-49F6-BE81-FD53900DD185}"/>
    <cellStyle name="Note 5 2 2 2 2 5" xfId="29210" xr:uid="{873EB6BC-0A07-4AEF-B31C-FD51CA02E5DD}"/>
    <cellStyle name="Note 5 2 2 2 3" xfId="7110" xr:uid="{00000000-0005-0000-0000-000040620000}"/>
    <cellStyle name="Note 5 2 2 2 3 2" xfId="15082" xr:uid="{00000000-0005-0000-0000-000041620000}"/>
    <cellStyle name="Note 5 2 2 2 3 2 2" xfId="38924" xr:uid="{E585A137-8750-4033-B17E-9C031ED6661A}"/>
    <cellStyle name="Note 5 2 2 2 3 3" xfId="23029" xr:uid="{00000000-0005-0000-0000-000042620000}"/>
    <cellStyle name="Note 5 2 2 2 3 3 2" xfId="46861" xr:uid="{D5E957B9-19A3-43B0-98E2-EA45BB225114}"/>
    <cellStyle name="Note 5 2 2 2 3 4" xfId="30983" xr:uid="{12660465-1F99-4A7D-9709-A26617A09474}"/>
    <cellStyle name="Note 5 2 2 2 4" xfId="11546" xr:uid="{00000000-0005-0000-0000-000043620000}"/>
    <cellStyle name="Note 5 2 2 2 4 2" xfId="35395" xr:uid="{9568A220-5A2D-4E45-982C-3E9E8FFECE1E}"/>
    <cellStyle name="Note 5 2 2 2 5" xfId="19501" xr:uid="{00000000-0005-0000-0000-000044620000}"/>
    <cellStyle name="Note 5 2 2 2 5 2" xfId="43333" xr:uid="{5A5F37B4-EF38-4020-8DF4-5B2D84402913}"/>
    <cellStyle name="Note 5 2 2 2 6" xfId="27453" xr:uid="{7DD0FEA3-8DA8-40E0-AAED-3B2A5B526A08}"/>
    <cellStyle name="Note 5 2 2 2_Exh G" xfId="3652" xr:uid="{00000000-0005-0000-0000-000045620000}"/>
    <cellStyle name="Note 5 2 2 3" xfId="4399" xr:uid="{00000000-0005-0000-0000-000046620000}"/>
    <cellStyle name="Note 5 2 2 3 2" xfId="7991" xr:uid="{00000000-0005-0000-0000-000047620000}"/>
    <cellStyle name="Note 5 2 2 3 2 2" xfId="15962" xr:uid="{00000000-0005-0000-0000-000048620000}"/>
    <cellStyle name="Note 5 2 2 3 2 2 2" xfId="39804" xr:uid="{74CCDCEA-6D82-46BA-A9C5-833F5DE848C3}"/>
    <cellStyle name="Note 5 2 2 3 2 3" xfId="23908" xr:uid="{00000000-0005-0000-0000-000049620000}"/>
    <cellStyle name="Note 5 2 2 3 2 3 2" xfId="47740" xr:uid="{52F069E1-17BF-4E41-8F44-A72E2C168DBA}"/>
    <cellStyle name="Note 5 2 2 3 2 4" xfId="31863" xr:uid="{492E904E-04CC-4D87-9DBC-BBB565035A52}"/>
    <cellStyle name="Note 5 2 2 3 3" xfId="12424" xr:uid="{00000000-0005-0000-0000-00004A620000}"/>
    <cellStyle name="Note 5 2 2 3 3 2" xfId="36273" xr:uid="{A0CB728F-DAD5-4EEB-A71B-BC2029DA3E23}"/>
    <cellStyle name="Note 5 2 2 3 4" xfId="20379" xr:uid="{00000000-0005-0000-0000-00004B620000}"/>
    <cellStyle name="Note 5 2 2 3 4 2" xfId="44211" xr:uid="{6FBEDE4C-4C4D-4D48-8593-ABECB6BA15DD}"/>
    <cellStyle name="Note 5 2 2 3 5" xfId="28332" xr:uid="{31A35B2C-491F-4E3E-AADE-219C361DF393}"/>
    <cellStyle name="Note 5 2 2 4" xfId="6219" xr:uid="{00000000-0005-0000-0000-00004C620000}"/>
    <cellStyle name="Note 5 2 2 4 2" xfId="14203" xr:uid="{00000000-0005-0000-0000-00004D620000}"/>
    <cellStyle name="Note 5 2 2 4 2 2" xfId="38046" xr:uid="{7A2AB55F-1334-4593-B3DE-DC626435A42B}"/>
    <cellStyle name="Note 5 2 2 4 3" xfId="22151" xr:uid="{00000000-0005-0000-0000-00004E620000}"/>
    <cellStyle name="Note 5 2 2 4 3 2" xfId="45983" xr:uid="{C21BE198-7A27-4DC1-B5D3-22121F6B7D07}"/>
    <cellStyle name="Note 5 2 2 4 4" xfId="30105" xr:uid="{C0D943AD-B198-426E-9CCB-DA0257EDD86B}"/>
    <cellStyle name="Note 5 2 2 5" xfId="9772" xr:uid="{00000000-0005-0000-0000-00004F620000}"/>
    <cellStyle name="Note 5 2 2 5 2" xfId="17730" xr:uid="{00000000-0005-0000-0000-000050620000}"/>
    <cellStyle name="Note 5 2 2 5 2 2" xfId="41570" xr:uid="{A1DF3CE2-13BF-49CD-B1A9-B5B5D1BA62EF}"/>
    <cellStyle name="Note 5 2 2 5 3" xfId="25674" xr:uid="{00000000-0005-0000-0000-000051620000}"/>
    <cellStyle name="Note 5 2 2 5 3 2" xfId="49506" xr:uid="{DA49C371-9898-4B7D-8551-FB34A229A1B8}"/>
    <cellStyle name="Note 5 2 2 5 4" xfId="33629" xr:uid="{1954351C-94B0-4CB7-983F-8653A394F849}"/>
    <cellStyle name="Note 5 2 2 6" xfId="10668" xr:uid="{00000000-0005-0000-0000-000052620000}"/>
    <cellStyle name="Note 5 2 2 6 2" xfId="34517" xr:uid="{39F7E231-36E0-49E4-85E7-FA10AF917BBA}"/>
    <cellStyle name="Note 5 2 2 7" xfId="18623" xr:uid="{00000000-0005-0000-0000-000053620000}"/>
    <cellStyle name="Note 5 2 2 7 2" xfId="42455" xr:uid="{6C34C514-8788-4694-9B33-68CD63FE3051}"/>
    <cellStyle name="Note 5 2 2 8" xfId="26575" xr:uid="{014F7DAB-CCDF-4358-8495-5C2D321101A8}"/>
    <cellStyle name="Note 5 2 2_Exh G" xfId="3651" xr:uid="{00000000-0005-0000-0000-000054620000}"/>
    <cellStyle name="Note 5 2 3" xfId="1747" xr:uid="{00000000-0005-0000-0000-000055620000}"/>
    <cellStyle name="Note 5 2 3 2" xfId="5277" xr:uid="{00000000-0005-0000-0000-000056620000}"/>
    <cellStyle name="Note 5 2 3 2 2" xfId="8868" xr:uid="{00000000-0005-0000-0000-000057620000}"/>
    <cellStyle name="Note 5 2 3 2 2 2" xfId="16839" xr:uid="{00000000-0005-0000-0000-000058620000}"/>
    <cellStyle name="Note 5 2 3 2 2 2 2" xfId="40681" xr:uid="{CF9B6C08-CC44-4FD9-B739-89EBC0E839F1}"/>
    <cellStyle name="Note 5 2 3 2 2 3" xfId="24785" xr:uid="{00000000-0005-0000-0000-000059620000}"/>
    <cellStyle name="Note 5 2 3 2 2 3 2" xfId="48617" xr:uid="{58C28CEE-E844-40A3-9D86-8FC96C76B061}"/>
    <cellStyle name="Note 5 2 3 2 2 4" xfId="32740" xr:uid="{C488B482-02D1-4C67-A651-88A9D89D3809}"/>
    <cellStyle name="Note 5 2 3 2 3" xfId="13301" xr:uid="{00000000-0005-0000-0000-00005A620000}"/>
    <cellStyle name="Note 5 2 3 2 3 2" xfId="37150" xr:uid="{9ACD246A-51E3-40D4-BB16-EA0D7B1E3FFD}"/>
    <cellStyle name="Note 5 2 3 2 4" xfId="21256" xr:uid="{00000000-0005-0000-0000-00005B620000}"/>
    <cellStyle name="Note 5 2 3 2 4 2" xfId="45088" xr:uid="{A51D8201-3F1E-4002-91DA-2DA2AC6D8987}"/>
    <cellStyle name="Note 5 2 3 2 5" xfId="29209" xr:uid="{EDFE32B8-0D9D-4360-A3EA-86A3D7C44D02}"/>
    <cellStyle name="Note 5 2 3 3" xfId="7109" xr:uid="{00000000-0005-0000-0000-00005C620000}"/>
    <cellStyle name="Note 5 2 3 3 2" xfId="15081" xr:uid="{00000000-0005-0000-0000-00005D620000}"/>
    <cellStyle name="Note 5 2 3 3 2 2" xfId="38923" xr:uid="{0EC0C711-00CB-42C8-A4D5-D67AFAE39CF0}"/>
    <cellStyle name="Note 5 2 3 3 3" xfId="23028" xr:uid="{00000000-0005-0000-0000-00005E620000}"/>
    <cellStyle name="Note 5 2 3 3 3 2" xfId="46860" xr:uid="{D43C75E3-A5DD-4148-A294-4BFBFE9FCB5F}"/>
    <cellStyle name="Note 5 2 3 3 4" xfId="30982" xr:uid="{6F686380-D4E6-4AF3-9F8B-F51942F19179}"/>
    <cellStyle name="Note 5 2 3 4" xfId="11545" xr:uid="{00000000-0005-0000-0000-00005F620000}"/>
    <cellStyle name="Note 5 2 3 4 2" xfId="35394" xr:uid="{0CD3F45A-1F3C-4610-9926-8BAC9EA802D9}"/>
    <cellStyle name="Note 5 2 3 5" xfId="19500" xr:uid="{00000000-0005-0000-0000-000060620000}"/>
    <cellStyle name="Note 5 2 3 5 2" xfId="43332" xr:uid="{5465DD96-AE0E-48AD-9CED-419352FF6F51}"/>
    <cellStyle name="Note 5 2 3 6" xfId="27452" xr:uid="{9413FEF3-4711-41B0-A16A-B49DF6E128E1}"/>
    <cellStyle name="Note 5 2 3_Exh G" xfId="3653" xr:uid="{00000000-0005-0000-0000-000061620000}"/>
    <cellStyle name="Note 5 2 4" xfId="4398" xr:uid="{00000000-0005-0000-0000-000062620000}"/>
    <cellStyle name="Note 5 2 4 2" xfId="7990" xr:uid="{00000000-0005-0000-0000-000063620000}"/>
    <cellStyle name="Note 5 2 4 2 2" xfId="15961" xr:uid="{00000000-0005-0000-0000-000064620000}"/>
    <cellStyle name="Note 5 2 4 2 2 2" xfId="39803" xr:uid="{0B0AEEFE-55F4-4DD1-8261-A01C15191506}"/>
    <cellStyle name="Note 5 2 4 2 3" xfId="23907" xr:uid="{00000000-0005-0000-0000-000065620000}"/>
    <cellStyle name="Note 5 2 4 2 3 2" xfId="47739" xr:uid="{10D3926E-BAB2-4574-9D8C-5D9858DDB8A1}"/>
    <cellStyle name="Note 5 2 4 2 4" xfId="31862" xr:uid="{43323006-CF80-4DA2-9CAE-5E9C2148C3DC}"/>
    <cellStyle name="Note 5 2 4 3" xfId="12423" xr:uid="{00000000-0005-0000-0000-000066620000}"/>
    <cellStyle name="Note 5 2 4 3 2" xfId="36272" xr:uid="{75186C79-3EF4-4B01-B5C0-D2D3333B5E6E}"/>
    <cellStyle name="Note 5 2 4 4" xfId="20378" xr:uid="{00000000-0005-0000-0000-000067620000}"/>
    <cellStyle name="Note 5 2 4 4 2" xfId="44210" xr:uid="{88116EB5-C9A3-451D-A85B-D598AB30A9A7}"/>
    <cellStyle name="Note 5 2 4 5" xfId="28331" xr:uid="{8DD78997-480A-4722-820B-A69B4E06D398}"/>
    <cellStyle name="Note 5 2 5" xfId="6218" xr:uid="{00000000-0005-0000-0000-000068620000}"/>
    <cellStyle name="Note 5 2 5 2" xfId="14202" xr:uid="{00000000-0005-0000-0000-000069620000}"/>
    <cellStyle name="Note 5 2 5 2 2" xfId="38045" xr:uid="{4B84AA86-606C-4DDD-A84F-C960F9988214}"/>
    <cellStyle name="Note 5 2 5 3" xfId="22150" xr:uid="{00000000-0005-0000-0000-00006A620000}"/>
    <cellStyle name="Note 5 2 5 3 2" xfId="45982" xr:uid="{D7165F0E-02F3-4E60-9254-903A79A594D7}"/>
    <cellStyle name="Note 5 2 5 4" xfId="30104" xr:uid="{95596CBB-3E48-4095-AEA8-D3649BB4E775}"/>
    <cellStyle name="Note 5 2 6" xfId="9771" xr:uid="{00000000-0005-0000-0000-00006B620000}"/>
    <cellStyle name="Note 5 2 6 2" xfId="17729" xr:uid="{00000000-0005-0000-0000-00006C620000}"/>
    <cellStyle name="Note 5 2 6 2 2" xfId="41569" xr:uid="{F428AB1E-734B-4363-8BBC-38BE85DB22A1}"/>
    <cellStyle name="Note 5 2 6 3" xfId="25673" xr:uid="{00000000-0005-0000-0000-00006D620000}"/>
    <cellStyle name="Note 5 2 6 3 2" xfId="49505" xr:uid="{385E12D3-990C-42BF-9D3A-543D10BB8EC4}"/>
    <cellStyle name="Note 5 2 6 4" xfId="33628" xr:uid="{78890097-D71D-44EA-AC24-18AFB89FDF47}"/>
    <cellStyle name="Note 5 2 7" xfId="10667" xr:uid="{00000000-0005-0000-0000-00006E620000}"/>
    <cellStyle name="Note 5 2 7 2" xfId="34516" xr:uid="{13D8689F-A274-4F01-9139-A2AEC6374107}"/>
    <cellStyle name="Note 5 2 8" xfId="18622" xr:uid="{00000000-0005-0000-0000-00006F620000}"/>
    <cellStyle name="Note 5 2 8 2" xfId="42454" xr:uid="{CEBA806B-BAB7-4F38-AE25-FA3C97FDF814}"/>
    <cellStyle name="Note 5 2 9" xfId="26574" xr:uid="{53C88645-56C7-4471-95AB-BC1A4895AC08}"/>
    <cellStyle name="Note 5 2_Exh G" xfId="3650" xr:uid="{00000000-0005-0000-0000-000070620000}"/>
    <cellStyle name="Note 5 3" xfId="721" xr:uid="{00000000-0005-0000-0000-000071620000}"/>
    <cellStyle name="Note 5 3 2" xfId="1749" xr:uid="{00000000-0005-0000-0000-000072620000}"/>
    <cellStyle name="Note 5 3 2 2" xfId="5279" xr:uid="{00000000-0005-0000-0000-000073620000}"/>
    <cellStyle name="Note 5 3 2 2 2" xfId="8870" xr:uid="{00000000-0005-0000-0000-000074620000}"/>
    <cellStyle name="Note 5 3 2 2 2 2" xfId="16841" xr:uid="{00000000-0005-0000-0000-000075620000}"/>
    <cellStyle name="Note 5 3 2 2 2 2 2" xfId="40683" xr:uid="{33D9FA0B-A760-4819-8DF0-1B1F4D8C706D}"/>
    <cellStyle name="Note 5 3 2 2 2 3" xfId="24787" xr:uid="{00000000-0005-0000-0000-000076620000}"/>
    <cellStyle name="Note 5 3 2 2 2 3 2" xfId="48619" xr:uid="{3320F36C-1274-46DE-B22F-20F3C332E4AC}"/>
    <cellStyle name="Note 5 3 2 2 2 4" xfId="32742" xr:uid="{24A09F1A-96E5-4DBB-9CD5-C5819D66D7AF}"/>
    <cellStyle name="Note 5 3 2 2 3" xfId="13303" xr:uid="{00000000-0005-0000-0000-000077620000}"/>
    <cellStyle name="Note 5 3 2 2 3 2" xfId="37152" xr:uid="{E1C9AC7A-E13B-4E58-B954-E46641988670}"/>
    <cellStyle name="Note 5 3 2 2 4" xfId="21258" xr:uid="{00000000-0005-0000-0000-000078620000}"/>
    <cellStyle name="Note 5 3 2 2 4 2" xfId="45090" xr:uid="{14D664B9-20B1-4CD1-A947-1B57E9D424D0}"/>
    <cellStyle name="Note 5 3 2 2 5" xfId="29211" xr:uid="{E83EC0A6-876D-44BD-A5F5-37157D331389}"/>
    <cellStyle name="Note 5 3 2 3" xfId="7111" xr:uid="{00000000-0005-0000-0000-000079620000}"/>
    <cellStyle name="Note 5 3 2 3 2" xfId="15083" xr:uid="{00000000-0005-0000-0000-00007A620000}"/>
    <cellStyle name="Note 5 3 2 3 2 2" xfId="38925" xr:uid="{E484721E-974A-4068-8AA3-837126093AA8}"/>
    <cellStyle name="Note 5 3 2 3 3" xfId="23030" xr:uid="{00000000-0005-0000-0000-00007B620000}"/>
    <cellStyle name="Note 5 3 2 3 3 2" xfId="46862" xr:uid="{3A3AA3C9-0E43-4299-AE1F-4459372B9066}"/>
    <cellStyle name="Note 5 3 2 3 4" xfId="30984" xr:uid="{5E2E961F-1145-431B-83DD-82C0EB9595DC}"/>
    <cellStyle name="Note 5 3 2 4" xfId="11547" xr:uid="{00000000-0005-0000-0000-00007C620000}"/>
    <cellStyle name="Note 5 3 2 4 2" xfId="35396" xr:uid="{A8A0C09C-5B5F-4852-9BC1-9BF10878A11A}"/>
    <cellStyle name="Note 5 3 2 5" xfId="19502" xr:uid="{00000000-0005-0000-0000-00007D620000}"/>
    <cellStyle name="Note 5 3 2 5 2" xfId="43334" xr:uid="{16D73EE5-0A66-4D69-AE46-AB61C18AD1B2}"/>
    <cellStyle name="Note 5 3 2 6" xfId="27454" xr:uid="{1997B150-F875-48E7-9BAC-ACF260BF17DA}"/>
    <cellStyle name="Note 5 3 2_Exh G" xfId="3655" xr:uid="{00000000-0005-0000-0000-00007E620000}"/>
    <cellStyle name="Note 5 3 3" xfId="4400" xr:uid="{00000000-0005-0000-0000-00007F620000}"/>
    <cellStyle name="Note 5 3 3 2" xfId="7992" xr:uid="{00000000-0005-0000-0000-000080620000}"/>
    <cellStyle name="Note 5 3 3 2 2" xfId="15963" xr:uid="{00000000-0005-0000-0000-000081620000}"/>
    <cellStyle name="Note 5 3 3 2 2 2" xfId="39805" xr:uid="{AE60A50E-CD40-42AA-8B57-D9FCBE2539CD}"/>
    <cellStyle name="Note 5 3 3 2 3" xfId="23909" xr:uid="{00000000-0005-0000-0000-000082620000}"/>
    <cellStyle name="Note 5 3 3 2 3 2" xfId="47741" xr:uid="{56A867C5-83D4-4FF8-B9DA-8CC391EBBEE1}"/>
    <cellStyle name="Note 5 3 3 2 4" xfId="31864" xr:uid="{DC39FF4C-3B0D-44F1-AF63-F940255E7B21}"/>
    <cellStyle name="Note 5 3 3 3" xfId="12425" xr:uid="{00000000-0005-0000-0000-000083620000}"/>
    <cellStyle name="Note 5 3 3 3 2" xfId="36274" xr:uid="{5911BE76-133F-4BF7-A976-7ED193CAC784}"/>
    <cellStyle name="Note 5 3 3 4" xfId="20380" xr:uid="{00000000-0005-0000-0000-000084620000}"/>
    <cellStyle name="Note 5 3 3 4 2" xfId="44212" xr:uid="{CB9508A8-4AD0-46B5-AF4B-46E94F280935}"/>
    <cellStyle name="Note 5 3 3 5" xfId="28333" xr:uid="{3FC916BC-FAC2-4D6F-A815-0E31484319B1}"/>
    <cellStyle name="Note 5 3 4" xfId="6220" xr:uid="{00000000-0005-0000-0000-000085620000}"/>
    <cellStyle name="Note 5 3 4 2" xfId="14204" xr:uid="{00000000-0005-0000-0000-000086620000}"/>
    <cellStyle name="Note 5 3 4 2 2" xfId="38047" xr:uid="{3E4E1BAC-8889-47EB-88A5-2CD9529376E2}"/>
    <cellStyle name="Note 5 3 4 3" xfId="22152" xr:uid="{00000000-0005-0000-0000-000087620000}"/>
    <cellStyle name="Note 5 3 4 3 2" xfId="45984" xr:uid="{0C711136-92D2-4199-988A-73D609795711}"/>
    <cellStyle name="Note 5 3 4 4" xfId="30106" xr:uid="{B16579D5-E43A-4489-BD17-1CA41B2D7CEE}"/>
    <cellStyle name="Note 5 3 5" xfId="9773" xr:uid="{00000000-0005-0000-0000-000088620000}"/>
    <cellStyle name="Note 5 3 5 2" xfId="17731" xr:uid="{00000000-0005-0000-0000-000089620000}"/>
    <cellStyle name="Note 5 3 5 2 2" xfId="41571" xr:uid="{7FFA45A2-7638-493B-869E-FD94820CA070}"/>
    <cellStyle name="Note 5 3 5 3" xfId="25675" xr:uid="{00000000-0005-0000-0000-00008A620000}"/>
    <cellStyle name="Note 5 3 5 3 2" xfId="49507" xr:uid="{C9D91921-DC15-415F-9FCB-43073C82A894}"/>
    <cellStyle name="Note 5 3 5 4" xfId="33630" xr:uid="{8B920CE7-2E8C-48EA-997B-31D95B2B184F}"/>
    <cellStyle name="Note 5 3 6" xfId="10669" xr:uid="{00000000-0005-0000-0000-00008B620000}"/>
    <cellStyle name="Note 5 3 6 2" xfId="34518" xr:uid="{82E109DF-53AC-4CFB-937C-958B15E4CAAC}"/>
    <cellStyle name="Note 5 3 7" xfId="18624" xr:uid="{00000000-0005-0000-0000-00008C620000}"/>
    <cellStyle name="Note 5 3 7 2" xfId="42456" xr:uid="{E6F82C1B-7EE7-4E08-AB76-3DFD69349097}"/>
    <cellStyle name="Note 5 3 8" xfId="26576" xr:uid="{1386F825-9A36-47AE-BF00-5AD6D290E755}"/>
    <cellStyle name="Note 5 3_Exh G" xfId="3654" xr:uid="{00000000-0005-0000-0000-00008D620000}"/>
    <cellStyle name="Note 5 4" xfId="1036" xr:uid="{00000000-0005-0000-0000-00008E620000}"/>
    <cellStyle name="Note 5 4 2" xfId="6406" xr:uid="{00000000-0005-0000-0000-00008F620000}"/>
    <cellStyle name="Note 5 5" xfId="1746" xr:uid="{00000000-0005-0000-0000-000090620000}"/>
    <cellStyle name="Note 5 5 2" xfId="5276" xr:uid="{00000000-0005-0000-0000-000091620000}"/>
    <cellStyle name="Note 5 5 2 2" xfId="8867" xr:uid="{00000000-0005-0000-0000-000092620000}"/>
    <cellStyle name="Note 5 5 2 2 2" xfId="16838" xr:uid="{00000000-0005-0000-0000-000093620000}"/>
    <cellStyle name="Note 5 5 2 2 2 2" xfId="40680" xr:uid="{848629E3-A0EA-4EAD-B15F-9CC955944E79}"/>
    <cellStyle name="Note 5 5 2 2 3" xfId="24784" xr:uid="{00000000-0005-0000-0000-000094620000}"/>
    <cellStyle name="Note 5 5 2 2 3 2" xfId="48616" xr:uid="{3190C865-2265-43E4-93D3-35E2972F3A82}"/>
    <cellStyle name="Note 5 5 2 2 4" xfId="32739" xr:uid="{F93C6EB8-C609-4370-ABF6-81311896C30F}"/>
    <cellStyle name="Note 5 5 2 3" xfId="13300" xr:uid="{00000000-0005-0000-0000-000095620000}"/>
    <cellStyle name="Note 5 5 2 3 2" xfId="37149" xr:uid="{E6077A32-4C14-4F12-9594-83218E40E946}"/>
    <cellStyle name="Note 5 5 2 4" xfId="21255" xr:uid="{00000000-0005-0000-0000-000096620000}"/>
    <cellStyle name="Note 5 5 2 4 2" xfId="45087" xr:uid="{6840797A-BCFD-4A8C-A04A-6D58C520BAEF}"/>
    <cellStyle name="Note 5 5 2 5" xfId="29208" xr:uid="{FE6E87CC-14B2-4243-A36A-012E094D0FEB}"/>
    <cellStyle name="Note 5 5 3" xfId="7108" xr:uid="{00000000-0005-0000-0000-000097620000}"/>
    <cellStyle name="Note 5 5 3 2" xfId="15080" xr:uid="{00000000-0005-0000-0000-000098620000}"/>
    <cellStyle name="Note 5 5 3 2 2" xfId="38922" xr:uid="{E16287BD-3C60-4CD8-9793-A962E0BF449E}"/>
    <cellStyle name="Note 5 5 3 3" xfId="23027" xr:uid="{00000000-0005-0000-0000-000099620000}"/>
    <cellStyle name="Note 5 5 3 3 2" xfId="46859" xr:uid="{41814C19-7B2A-4448-9E0A-E3072D9D2ACD}"/>
    <cellStyle name="Note 5 5 3 4" xfId="30981" xr:uid="{526889DD-55EE-498B-8658-049B0DBC01D6}"/>
    <cellStyle name="Note 5 5 4" xfId="11544" xr:uid="{00000000-0005-0000-0000-00009A620000}"/>
    <cellStyle name="Note 5 5 4 2" xfId="35393" xr:uid="{FF2E04B9-99A8-4F7B-BF59-D22291D440D5}"/>
    <cellStyle name="Note 5 5 5" xfId="19499" xr:uid="{00000000-0005-0000-0000-00009B620000}"/>
    <cellStyle name="Note 5 5 5 2" xfId="43331" xr:uid="{EAC2AFA7-5739-42B0-980E-24E9FC9D4C2F}"/>
    <cellStyle name="Note 5 5 6" xfId="27451" xr:uid="{8216AD42-4F28-4182-ABB4-A07D743CF9B5}"/>
    <cellStyle name="Note 5 5_Exh G" xfId="3656" xr:uid="{00000000-0005-0000-0000-00009C620000}"/>
    <cellStyle name="Note 5 6" xfId="4397" xr:uid="{00000000-0005-0000-0000-00009D620000}"/>
    <cellStyle name="Note 5 6 2" xfId="7989" xr:uid="{00000000-0005-0000-0000-00009E620000}"/>
    <cellStyle name="Note 5 6 2 2" xfId="15960" xr:uid="{00000000-0005-0000-0000-00009F620000}"/>
    <cellStyle name="Note 5 6 2 2 2" xfId="39802" xr:uid="{1F159D4A-0D50-422F-80A6-D497968BF1DA}"/>
    <cellStyle name="Note 5 6 2 3" xfId="23906" xr:uid="{00000000-0005-0000-0000-0000A0620000}"/>
    <cellStyle name="Note 5 6 2 3 2" xfId="47738" xr:uid="{A0FFEACF-C8CE-4336-82AA-A0F7B1A3276A}"/>
    <cellStyle name="Note 5 6 2 4" xfId="31861" xr:uid="{3376C3C5-59C0-4549-822E-4C4FAD125AA9}"/>
    <cellStyle name="Note 5 6 3" xfId="12422" xr:uid="{00000000-0005-0000-0000-0000A1620000}"/>
    <cellStyle name="Note 5 6 3 2" xfId="36271" xr:uid="{0E962C4C-80F2-4543-9CDE-62F25212DDEA}"/>
    <cellStyle name="Note 5 6 4" xfId="20377" xr:uid="{00000000-0005-0000-0000-0000A2620000}"/>
    <cellStyle name="Note 5 6 4 2" xfId="44209" xr:uid="{AB30D8EB-CEA7-4AD4-AFB6-9CF64E82CC13}"/>
    <cellStyle name="Note 5 6 5" xfId="28330" xr:uid="{C79F3265-6FA6-4E7C-862C-FA7D8281817A}"/>
    <cellStyle name="Note 5 7" xfId="6217" xr:uid="{00000000-0005-0000-0000-0000A3620000}"/>
    <cellStyle name="Note 5 7 2" xfId="14201" xr:uid="{00000000-0005-0000-0000-0000A4620000}"/>
    <cellStyle name="Note 5 7 2 2" xfId="38044" xr:uid="{E44823B5-D2DE-4C10-9AB5-2E9164FB4634}"/>
    <cellStyle name="Note 5 7 3" xfId="22149" xr:uid="{00000000-0005-0000-0000-0000A5620000}"/>
    <cellStyle name="Note 5 7 3 2" xfId="45981" xr:uid="{577730FE-06DB-47E6-A1AE-4F0B835D7313}"/>
    <cellStyle name="Note 5 7 4" xfId="30103" xr:uid="{6E54CD0B-8488-4D27-8D99-665F35BB2194}"/>
    <cellStyle name="Note 5 8" xfId="9770" xr:uid="{00000000-0005-0000-0000-0000A6620000}"/>
    <cellStyle name="Note 5 8 2" xfId="17728" xr:uid="{00000000-0005-0000-0000-0000A7620000}"/>
    <cellStyle name="Note 5 8 2 2" xfId="41568" xr:uid="{7122009E-5636-4E27-85DC-8D14BF426100}"/>
    <cellStyle name="Note 5 8 3" xfId="25672" xr:uid="{00000000-0005-0000-0000-0000A8620000}"/>
    <cellStyle name="Note 5 8 3 2" xfId="49504" xr:uid="{B915848C-31C6-4E32-ADAE-EC165CAD8AC5}"/>
    <cellStyle name="Note 5 8 4" xfId="33627" xr:uid="{681BCA31-DD14-40DC-99AC-D562AA920479}"/>
    <cellStyle name="Note 5 9" xfId="10666" xr:uid="{00000000-0005-0000-0000-0000A9620000}"/>
    <cellStyle name="Note 5 9 2" xfId="34515" xr:uid="{3D168DBD-CD69-4582-B09B-153F4C6347EF}"/>
    <cellStyle name="Note 5_Exh G" xfId="3649" xr:uid="{00000000-0005-0000-0000-0000AA620000}"/>
    <cellStyle name="Note 6" xfId="722" xr:uid="{00000000-0005-0000-0000-0000AB620000}"/>
    <cellStyle name="Note 6 10" xfId="18625" xr:uid="{00000000-0005-0000-0000-0000AC620000}"/>
    <cellStyle name="Note 6 10 2" xfId="42457" xr:uid="{0AE95582-F33E-44E3-B702-4FF3339A130F}"/>
    <cellStyle name="Note 6 11" xfId="26577" xr:uid="{0951A3DA-ADDA-4600-A8A5-CABB9B599DE6}"/>
    <cellStyle name="Note 6 2" xfId="723" xr:uid="{00000000-0005-0000-0000-0000AD620000}"/>
    <cellStyle name="Note 6 2 2" xfId="724" xr:uid="{00000000-0005-0000-0000-0000AE620000}"/>
    <cellStyle name="Note 6 2 2 2" xfId="1752" xr:uid="{00000000-0005-0000-0000-0000AF620000}"/>
    <cellStyle name="Note 6 2 2 2 2" xfId="5282" xr:uid="{00000000-0005-0000-0000-0000B0620000}"/>
    <cellStyle name="Note 6 2 2 2 2 2" xfId="8873" xr:uid="{00000000-0005-0000-0000-0000B1620000}"/>
    <cellStyle name="Note 6 2 2 2 2 2 2" xfId="16844" xr:uid="{00000000-0005-0000-0000-0000B2620000}"/>
    <cellStyle name="Note 6 2 2 2 2 2 2 2" xfId="40686" xr:uid="{21021AAC-EB7C-4BF5-BCB6-3FFB2F2A5F40}"/>
    <cellStyle name="Note 6 2 2 2 2 2 3" xfId="24790" xr:uid="{00000000-0005-0000-0000-0000B3620000}"/>
    <cellStyle name="Note 6 2 2 2 2 2 3 2" xfId="48622" xr:uid="{8A5854D4-3F39-44A0-B79B-EAF65929CD0C}"/>
    <cellStyle name="Note 6 2 2 2 2 2 4" xfId="32745" xr:uid="{154EA236-DE76-4DBF-A690-8A48D5A1DBFF}"/>
    <cellStyle name="Note 6 2 2 2 2 3" xfId="13306" xr:uid="{00000000-0005-0000-0000-0000B4620000}"/>
    <cellStyle name="Note 6 2 2 2 2 3 2" xfId="37155" xr:uid="{9BF52C20-7B51-4B10-9B1E-1609974D63C4}"/>
    <cellStyle name="Note 6 2 2 2 2 4" xfId="21261" xr:uid="{00000000-0005-0000-0000-0000B5620000}"/>
    <cellStyle name="Note 6 2 2 2 2 4 2" xfId="45093" xr:uid="{F347E791-F0F8-4DD3-B6B9-B3AE91BBF8FC}"/>
    <cellStyle name="Note 6 2 2 2 2 5" xfId="29214" xr:uid="{EE892CE9-4782-4D1E-BB7E-46ED82A70A20}"/>
    <cellStyle name="Note 6 2 2 2 3" xfId="7114" xr:uid="{00000000-0005-0000-0000-0000B6620000}"/>
    <cellStyle name="Note 6 2 2 2 3 2" xfId="15086" xr:uid="{00000000-0005-0000-0000-0000B7620000}"/>
    <cellStyle name="Note 6 2 2 2 3 2 2" xfId="38928" xr:uid="{689E679F-5AE9-4A2E-BD1E-1217FD9FDFFE}"/>
    <cellStyle name="Note 6 2 2 2 3 3" xfId="23033" xr:uid="{00000000-0005-0000-0000-0000B8620000}"/>
    <cellStyle name="Note 6 2 2 2 3 3 2" xfId="46865" xr:uid="{87819170-4BD1-468F-BD10-C6F70C6DD9D0}"/>
    <cellStyle name="Note 6 2 2 2 3 4" xfId="30987" xr:uid="{06108D18-CA17-4464-80DD-E7108E2C464B}"/>
    <cellStyle name="Note 6 2 2 2 4" xfId="11550" xr:uid="{00000000-0005-0000-0000-0000B9620000}"/>
    <cellStyle name="Note 6 2 2 2 4 2" xfId="35399" xr:uid="{6BE17C8C-16EA-491B-9FDD-AE39AC33D41A}"/>
    <cellStyle name="Note 6 2 2 2 5" xfId="19505" xr:uid="{00000000-0005-0000-0000-0000BA620000}"/>
    <cellStyle name="Note 6 2 2 2 5 2" xfId="43337" xr:uid="{E70DDAD4-8A52-4285-B0A4-D30792DF4172}"/>
    <cellStyle name="Note 6 2 2 2 6" xfId="27457" xr:uid="{7776812E-0474-4A26-8ADA-D0AB619508FC}"/>
    <cellStyle name="Note 6 2 2 2_Exh G" xfId="3660" xr:uid="{00000000-0005-0000-0000-0000BB620000}"/>
    <cellStyle name="Note 6 2 2 3" xfId="4403" xr:uid="{00000000-0005-0000-0000-0000BC620000}"/>
    <cellStyle name="Note 6 2 2 3 2" xfId="7995" xr:uid="{00000000-0005-0000-0000-0000BD620000}"/>
    <cellStyle name="Note 6 2 2 3 2 2" xfId="15966" xr:uid="{00000000-0005-0000-0000-0000BE620000}"/>
    <cellStyle name="Note 6 2 2 3 2 2 2" xfId="39808" xr:uid="{0A2F646F-55ED-4F78-B132-9D91B80111F8}"/>
    <cellStyle name="Note 6 2 2 3 2 3" xfId="23912" xr:uid="{00000000-0005-0000-0000-0000BF620000}"/>
    <cellStyle name="Note 6 2 2 3 2 3 2" xfId="47744" xr:uid="{402AEEB5-163A-48C6-8975-B42CEA8DE43E}"/>
    <cellStyle name="Note 6 2 2 3 2 4" xfId="31867" xr:uid="{23445F78-1CAC-43B5-8794-FF0B400BC5F0}"/>
    <cellStyle name="Note 6 2 2 3 3" xfId="12428" xr:uid="{00000000-0005-0000-0000-0000C0620000}"/>
    <cellStyle name="Note 6 2 2 3 3 2" xfId="36277" xr:uid="{7B17F578-02E6-41AA-B3F2-B23BF85E215D}"/>
    <cellStyle name="Note 6 2 2 3 4" xfId="20383" xr:uid="{00000000-0005-0000-0000-0000C1620000}"/>
    <cellStyle name="Note 6 2 2 3 4 2" xfId="44215" xr:uid="{C4C06647-3F61-4BE3-A434-8BC11F56D1B3}"/>
    <cellStyle name="Note 6 2 2 3 5" xfId="28336" xr:uid="{E1192972-6D5F-42AE-BF98-17091344DCD0}"/>
    <cellStyle name="Note 6 2 2 4" xfId="6223" xr:uid="{00000000-0005-0000-0000-0000C2620000}"/>
    <cellStyle name="Note 6 2 2 4 2" xfId="14207" xr:uid="{00000000-0005-0000-0000-0000C3620000}"/>
    <cellStyle name="Note 6 2 2 4 2 2" xfId="38050" xr:uid="{321EE57A-A988-467E-9AB5-38BE50B599BB}"/>
    <cellStyle name="Note 6 2 2 4 3" xfId="22155" xr:uid="{00000000-0005-0000-0000-0000C4620000}"/>
    <cellStyle name="Note 6 2 2 4 3 2" xfId="45987" xr:uid="{0FE61AC8-2815-470B-A2FC-2EEEE28B9218}"/>
    <cellStyle name="Note 6 2 2 4 4" xfId="30109" xr:uid="{8B3FBB67-E40D-4817-9897-07D2C79E4970}"/>
    <cellStyle name="Note 6 2 2 5" xfId="9776" xr:uid="{00000000-0005-0000-0000-0000C5620000}"/>
    <cellStyle name="Note 6 2 2 5 2" xfId="17734" xr:uid="{00000000-0005-0000-0000-0000C6620000}"/>
    <cellStyle name="Note 6 2 2 5 2 2" xfId="41574" xr:uid="{D8076D5A-9FBB-4510-BBCE-281052D1E7FF}"/>
    <cellStyle name="Note 6 2 2 5 3" xfId="25678" xr:uid="{00000000-0005-0000-0000-0000C7620000}"/>
    <cellStyle name="Note 6 2 2 5 3 2" xfId="49510" xr:uid="{9746C7A9-7AD6-409E-9689-132071D7A56D}"/>
    <cellStyle name="Note 6 2 2 5 4" xfId="33633" xr:uid="{7EF736C7-BC3B-43BD-A567-FEB8E4D25BCD}"/>
    <cellStyle name="Note 6 2 2 6" xfId="10672" xr:uid="{00000000-0005-0000-0000-0000C8620000}"/>
    <cellStyle name="Note 6 2 2 6 2" xfId="34521" xr:uid="{9208433B-E761-4429-9F80-54B99B98830D}"/>
    <cellStyle name="Note 6 2 2 7" xfId="18627" xr:uid="{00000000-0005-0000-0000-0000C9620000}"/>
    <cellStyle name="Note 6 2 2 7 2" xfId="42459" xr:uid="{497F2705-B558-4BFE-96B2-7A9B47FC5AF2}"/>
    <cellStyle name="Note 6 2 2 8" xfId="26579" xr:uid="{6FC37E23-2CF6-473F-B057-35B3F84865DB}"/>
    <cellStyle name="Note 6 2 2_Exh G" xfId="3659" xr:uid="{00000000-0005-0000-0000-0000CA620000}"/>
    <cellStyle name="Note 6 2 3" xfId="1751" xr:uid="{00000000-0005-0000-0000-0000CB620000}"/>
    <cellStyle name="Note 6 2 3 2" xfId="5281" xr:uid="{00000000-0005-0000-0000-0000CC620000}"/>
    <cellStyle name="Note 6 2 3 2 2" xfId="8872" xr:uid="{00000000-0005-0000-0000-0000CD620000}"/>
    <cellStyle name="Note 6 2 3 2 2 2" xfId="16843" xr:uid="{00000000-0005-0000-0000-0000CE620000}"/>
    <cellStyle name="Note 6 2 3 2 2 2 2" xfId="40685" xr:uid="{8C976302-0B44-45A7-8DC0-0B2AA8C17E5B}"/>
    <cellStyle name="Note 6 2 3 2 2 3" xfId="24789" xr:uid="{00000000-0005-0000-0000-0000CF620000}"/>
    <cellStyle name="Note 6 2 3 2 2 3 2" xfId="48621" xr:uid="{857F871B-836A-4A71-91EC-14C8FDF4EE5F}"/>
    <cellStyle name="Note 6 2 3 2 2 4" xfId="32744" xr:uid="{3CD87FFA-290C-4888-BAD6-827D6980146E}"/>
    <cellStyle name="Note 6 2 3 2 3" xfId="13305" xr:uid="{00000000-0005-0000-0000-0000D0620000}"/>
    <cellStyle name="Note 6 2 3 2 3 2" xfId="37154" xr:uid="{75CA02D4-EFD4-4993-8439-0CA87B6DCA4A}"/>
    <cellStyle name="Note 6 2 3 2 4" xfId="21260" xr:uid="{00000000-0005-0000-0000-0000D1620000}"/>
    <cellStyle name="Note 6 2 3 2 4 2" xfId="45092" xr:uid="{53F08657-A08C-4F1D-B8B4-3331B299ED10}"/>
    <cellStyle name="Note 6 2 3 2 5" xfId="29213" xr:uid="{77692D84-28D8-4BCB-A09D-6EA42B8197A5}"/>
    <cellStyle name="Note 6 2 3 3" xfId="7113" xr:uid="{00000000-0005-0000-0000-0000D2620000}"/>
    <cellStyle name="Note 6 2 3 3 2" xfId="15085" xr:uid="{00000000-0005-0000-0000-0000D3620000}"/>
    <cellStyle name="Note 6 2 3 3 2 2" xfId="38927" xr:uid="{0C943A0F-2ACD-41D9-B180-FFC50C728049}"/>
    <cellStyle name="Note 6 2 3 3 3" xfId="23032" xr:uid="{00000000-0005-0000-0000-0000D4620000}"/>
    <cellStyle name="Note 6 2 3 3 3 2" xfId="46864" xr:uid="{C8E8F94E-64B1-4C3A-9575-8109E8BA09DD}"/>
    <cellStyle name="Note 6 2 3 3 4" xfId="30986" xr:uid="{B00B7CD3-BC93-46A7-99BE-8CF7AB00A195}"/>
    <cellStyle name="Note 6 2 3 4" xfId="11549" xr:uid="{00000000-0005-0000-0000-0000D5620000}"/>
    <cellStyle name="Note 6 2 3 4 2" xfId="35398" xr:uid="{01255B01-63B2-4FF2-AEA7-D413D0D5C348}"/>
    <cellStyle name="Note 6 2 3 5" xfId="19504" xr:uid="{00000000-0005-0000-0000-0000D6620000}"/>
    <cellStyle name="Note 6 2 3 5 2" xfId="43336" xr:uid="{2F710A43-188A-4186-B18F-BDCD60AB2376}"/>
    <cellStyle name="Note 6 2 3 6" xfId="27456" xr:uid="{9910E074-0877-464D-A2C3-A914B39CADE6}"/>
    <cellStyle name="Note 6 2 3_Exh G" xfId="3661" xr:uid="{00000000-0005-0000-0000-0000D7620000}"/>
    <cellStyle name="Note 6 2 4" xfId="4402" xr:uid="{00000000-0005-0000-0000-0000D8620000}"/>
    <cellStyle name="Note 6 2 4 2" xfId="7994" xr:uid="{00000000-0005-0000-0000-0000D9620000}"/>
    <cellStyle name="Note 6 2 4 2 2" xfId="15965" xr:uid="{00000000-0005-0000-0000-0000DA620000}"/>
    <cellStyle name="Note 6 2 4 2 2 2" xfId="39807" xr:uid="{878F76AF-6030-45CA-BDA1-0DB160544B95}"/>
    <cellStyle name="Note 6 2 4 2 3" xfId="23911" xr:uid="{00000000-0005-0000-0000-0000DB620000}"/>
    <cellStyle name="Note 6 2 4 2 3 2" xfId="47743" xr:uid="{DB06EAA7-F71E-41F3-A17E-4F48D6405708}"/>
    <cellStyle name="Note 6 2 4 2 4" xfId="31866" xr:uid="{4FB3B94A-0896-428F-9A9B-460AECBF5F5F}"/>
    <cellStyle name="Note 6 2 4 3" xfId="12427" xr:uid="{00000000-0005-0000-0000-0000DC620000}"/>
    <cellStyle name="Note 6 2 4 3 2" xfId="36276" xr:uid="{696BD8F9-06F5-4166-B166-82B27164EE1A}"/>
    <cellStyle name="Note 6 2 4 4" xfId="20382" xr:uid="{00000000-0005-0000-0000-0000DD620000}"/>
    <cellStyle name="Note 6 2 4 4 2" xfId="44214" xr:uid="{FEA5F447-095C-45B3-9BEF-041C9F660210}"/>
    <cellStyle name="Note 6 2 4 5" xfId="28335" xr:uid="{AA8352F3-4DF2-4EE9-BF2F-AE7542392ADB}"/>
    <cellStyle name="Note 6 2 5" xfId="6222" xr:uid="{00000000-0005-0000-0000-0000DE620000}"/>
    <cellStyle name="Note 6 2 5 2" xfId="14206" xr:uid="{00000000-0005-0000-0000-0000DF620000}"/>
    <cellStyle name="Note 6 2 5 2 2" xfId="38049" xr:uid="{FB128B45-F315-48CC-A9F3-304BFBC9910A}"/>
    <cellStyle name="Note 6 2 5 3" xfId="22154" xr:uid="{00000000-0005-0000-0000-0000E0620000}"/>
    <cellStyle name="Note 6 2 5 3 2" xfId="45986" xr:uid="{D12F487C-6E58-4E70-B1FB-3F9330A634F5}"/>
    <cellStyle name="Note 6 2 5 4" xfId="30108" xr:uid="{9080EF13-3FA2-4EFD-BBCE-E6DCA1A496A3}"/>
    <cellStyle name="Note 6 2 6" xfId="9775" xr:uid="{00000000-0005-0000-0000-0000E1620000}"/>
    <cellStyle name="Note 6 2 6 2" xfId="17733" xr:uid="{00000000-0005-0000-0000-0000E2620000}"/>
    <cellStyle name="Note 6 2 6 2 2" xfId="41573" xr:uid="{22D465DE-86FA-47BC-AB02-F43449E952B6}"/>
    <cellStyle name="Note 6 2 6 3" xfId="25677" xr:uid="{00000000-0005-0000-0000-0000E3620000}"/>
    <cellStyle name="Note 6 2 6 3 2" xfId="49509" xr:uid="{2CAD1488-15FC-474D-BEEB-FD1DF91EDE15}"/>
    <cellStyle name="Note 6 2 6 4" xfId="33632" xr:uid="{EF584F50-1D08-4956-86E9-6E50E8738D89}"/>
    <cellStyle name="Note 6 2 7" xfId="10671" xr:uid="{00000000-0005-0000-0000-0000E4620000}"/>
    <cellStyle name="Note 6 2 7 2" xfId="34520" xr:uid="{D1BCDB71-AF3D-4C6E-89D2-90411CFF2D5C}"/>
    <cellStyle name="Note 6 2 8" xfId="18626" xr:uid="{00000000-0005-0000-0000-0000E5620000}"/>
    <cellStyle name="Note 6 2 8 2" xfId="42458" xr:uid="{CC97A2E8-9084-45EC-B2ED-2C7CF98FA58D}"/>
    <cellStyle name="Note 6 2 9" xfId="26578" xr:uid="{9394434B-15EB-4C2E-B60B-2BCBC51DACB0}"/>
    <cellStyle name="Note 6 2_Exh G" xfId="3658" xr:uid="{00000000-0005-0000-0000-0000E6620000}"/>
    <cellStyle name="Note 6 3" xfId="725" xr:uid="{00000000-0005-0000-0000-0000E7620000}"/>
    <cellStyle name="Note 6 3 2" xfId="1753" xr:uid="{00000000-0005-0000-0000-0000E8620000}"/>
    <cellStyle name="Note 6 3 2 2" xfId="5283" xr:uid="{00000000-0005-0000-0000-0000E9620000}"/>
    <cellStyle name="Note 6 3 2 2 2" xfId="8874" xr:uid="{00000000-0005-0000-0000-0000EA620000}"/>
    <cellStyle name="Note 6 3 2 2 2 2" xfId="16845" xr:uid="{00000000-0005-0000-0000-0000EB620000}"/>
    <cellStyle name="Note 6 3 2 2 2 2 2" xfId="40687" xr:uid="{6913E42D-E5EE-438D-8266-C0D038C757D5}"/>
    <cellStyle name="Note 6 3 2 2 2 3" xfId="24791" xr:uid="{00000000-0005-0000-0000-0000EC620000}"/>
    <cellStyle name="Note 6 3 2 2 2 3 2" xfId="48623" xr:uid="{937689BB-4F4E-44FC-A58E-14A7794E21B2}"/>
    <cellStyle name="Note 6 3 2 2 2 4" xfId="32746" xr:uid="{5D393776-8010-4DDB-AD43-C4A7AD072CB8}"/>
    <cellStyle name="Note 6 3 2 2 3" xfId="13307" xr:uid="{00000000-0005-0000-0000-0000ED620000}"/>
    <cellStyle name="Note 6 3 2 2 3 2" xfId="37156" xr:uid="{FF01AF63-7319-41B5-9E61-6499D2C1275D}"/>
    <cellStyle name="Note 6 3 2 2 4" xfId="21262" xr:uid="{00000000-0005-0000-0000-0000EE620000}"/>
    <cellStyle name="Note 6 3 2 2 4 2" xfId="45094" xr:uid="{9EA328EB-5D80-4BDC-8278-883E09A03EC6}"/>
    <cellStyle name="Note 6 3 2 2 5" xfId="29215" xr:uid="{E7E31E76-2FB5-4F79-97D1-0ADCB6EED92A}"/>
    <cellStyle name="Note 6 3 2 3" xfId="7115" xr:uid="{00000000-0005-0000-0000-0000EF620000}"/>
    <cellStyle name="Note 6 3 2 3 2" xfId="15087" xr:uid="{00000000-0005-0000-0000-0000F0620000}"/>
    <cellStyle name="Note 6 3 2 3 2 2" xfId="38929" xr:uid="{45DAA393-5621-4419-9478-8431BED71AED}"/>
    <cellStyle name="Note 6 3 2 3 3" xfId="23034" xr:uid="{00000000-0005-0000-0000-0000F1620000}"/>
    <cellStyle name="Note 6 3 2 3 3 2" xfId="46866" xr:uid="{3F61B6FC-D8EB-4E19-998B-EFFF89723EF2}"/>
    <cellStyle name="Note 6 3 2 3 4" xfId="30988" xr:uid="{78591AA0-A737-4B90-A838-58D2F38C7FD3}"/>
    <cellStyle name="Note 6 3 2 4" xfId="11551" xr:uid="{00000000-0005-0000-0000-0000F2620000}"/>
    <cellStyle name="Note 6 3 2 4 2" xfId="35400" xr:uid="{C11EC697-D313-4017-8A25-5BB04531B25E}"/>
    <cellStyle name="Note 6 3 2 5" xfId="19506" xr:uid="{00000000-0005-0000-0000-0000F3620000}"/>
    <cellStyle name="Note 6 3 2 5 2" xfId="43338" xr:uid="{3AD66ED3-A7DF-4333-8E61-7E0C8FB28B47}"/>
    <cellStyle name="Note 6 3 2 6" xfId="27458" xr:uid="{AAA8C5E8-B73E-42DF-82D8-5CB031DE25D2}"/>
    <cellStyle name="Note 6 3 2_Exh G" xfId="3663" xr:uid="{00000000-0005-0000-0000-0000F4620000}"/>
    <cellStyle name="Note 6 3 3" xfId="4404" xr:uid="{00000000-0005-0000-0000-0000F5620000}"/>
    <cellStyle name="Note 6 3 3 2" xfId="7996" xr:uid="{00000000-0005-0000-0000-0000F6620000}"/>
    <cellStyle name="Note 6 3 3 2 2" xfId="15967" xr:uid="{00000000-0005-0000-0000-0000F7620000}"/>
    <cellStyle name="Note 6 3 3 2 2 2" xfId="39809" xr:uid="{F832649F-959E-4024-9701-57C84D23689E}"/>
    <cellStyle name="Note 6 3 3 2 3" xfId="23913" xr:uid="{00000000-0005-0000-0000-0000F8620000}"/>
    <cellStyle name="Note 6 3 3 2 3 2" xfId="47745" xr:uid="{6CBA3952-EABD-4587-A356-A2B81D607539}"/>
    <cellStyle name="Note 6 3 3 2 4" xfId="31868" xr:uid="{75A64901-3552-49C4-8815-2BAD60E1C93C}"/>
    <cellStyle name="Note 6 3 3 3" xfId="12429" xr:uid="{00000000-0005-0000-0000-0000F9620000}"/>
    <cellStyle name="Note 6 3 3 3 2" xfId="36278" xr:uid="{5688FF61-DEC6-40AB-B27F-9F32627BC97A}"/>
    <cellStyle name="Note 6 3 3 4" xfId="20384" xr:uid="{00000000-0005-0000-0000-0000FA620000}"/>
    <cellStyle name="Note 6 3 3 4 2" xfId="44216" xr:uid="{CD9E506E-5F44-46AC-82EA-52244DF6D7A3}"/>
    <cellStyle name="Note 6 3 3 5" xfId="28337" xr:uid="{CA50140B-442A-4B81-9B7F-322FB552F3CC}"/>
    <cellStyle name="Note 6 3 4" xfId="6224" xr:uid="{00000000-0005-0000-0000-0000FB620000}"/>
    <cellStyle name="Note 6 3 4 2" xfId="14208" xr:uid="{00000000-0005-0000-0000-0000FC620000}"/>
    <cellStyle name="Note 6 3 4 2 2" xfId="38051" xr:uid="{CD788941-55B4-42FA-95C2-7A6EA41308E4}"/>
    <cellStyle name="Note 6 3 4 3" xfId="22156" xr:uid="{00000000-0005-0000-0000-0000FD620000}"/>
    <cellStyle name="Note 6 3 4 3 2" xfId="45988" xr:uid="{AEC3755C-B88E-4052-80A0-682055ABB60C}"/>
    <cellStyle name="Note 6 3 4 4" xfId="30110" xr:uid="{1B3E0E61-335F-495C-8405-6119257D708F}"/>
    <cellStyle name="Note 6 3 5" xfId="9777" xr:uid="{00000000-0005-0000-0000-0000FE620000}"/>
    <cellStyle name="Note 6 3 5 2" xfId="17735" xr:uid="{00000000-0005-0000-0000-0000FF620000}"/>
    <cellStyle name="Note 6 3 5 2 2" xfId="41575" xr:uid="{25303036-6D61-4851-9111-89A3240AA149}"/>
    <cellStyle name="Note 6 3 5 3" xfId="25679" xr:uid="{00000000-0005-0000-0000-000000630000}"/>
    <cellStyle name="Note 6 3 5 3 2" xfId="49511" xr:uid="{D8FEC3F3-E7AA-4E54-B371-57F9D6177C78}"/>
    <cellStyle name="Note 6 3 5 4" xfId="33634" xr:uid="{11B2F3D1-63C2-48EC-80D1-EC2577CFB2B3}"/>
    <cellStyle name="Note 6 3 6" xfId="10673" xr:uid="{00000000-0005-0000-0000-000001630000}"/>
    <cellStyle name="Note 6 3 6 2" xfId="34522" xr:uid="{0AEBFA71-3CD9-4888-BFAD-53209F135FFE}"/>
    <cellStyle name="Note 6 3 7" xfId="18628" xr:uid="{00000000-0005-0000-0000-000002630000}"/>
    <cellStyle name="Note 6 3 7 2" xfId="42460" xr:uid="{D7475FF9-A152-4FA6-B550-A221661980AD}"/>
    <cellStyle name="Note 6 3 8" xfId="26580" xr:uid="{F7BF1D32-57FB-47C2-B7CC-052B2806A6E0}"/>
    <cellStyle name="Note 6 3_Exh G" xfId="3662" xr:uid="{00000000-0005-0000-0000-000003630000}"/>
    <cellStyle name="Note 6 4" xfId="1037" xr:uid="{00000000-0005-0000-0000-000004630000}"/>
    <cellStyle name="Note 6 4 2" xfId="1936" xr:uid="{00000000-0005-0000-0000-000005630000}"/>
    <cellStyle name="Note 6 4 2 2" xfId="5454" xr:uid="{00000000-0005-0000-0000-000006630000}"/>
    <cellStyle name="Note 6 4 2 2 2" xfId="9045" xr:uid="{00000000-0005-0000-0000-000007630000}"/>
    <cellStyle name="Note 6 4 2 2 2 2" xfId="17016" xr:uid="{00000000-0005-0000-0000-000008630000}"/>
    <cellStyle name="Note 6 4 2 2 2 2 2" xfId="40858" xr:uid="{A8D0F90A-D101-4BEB-BD82-93D3D69BA670}"/>
    <cellStyle name="Note 6 4 2 2 2 3" xfId="24962" xr:uid="{00000000-0005-0000-0000-000009630000}"/>
    <cellStyle name="Note 6 4 2 2 2 3 2" xfId="48794" xr:uid="{D70DFE5E-C1C7-4966-B755-FEF60F554C32}"/>
    <cellStyle name="Note 6 4 2 2 2 4" xfId="32917" xr:uid="{1B84FA1E-AA4F-41A6-8102-F3672EFC268F}"/>
    <cellStyle name="Note 6 4 2 2 3" xfId="13478" xr:uid="{00000000-0005-0000-0000-00000A630000}"/>
    <cellStyle name="Note 6 4 2 2 3 2" xfId="37327" xr:uid="{736DD08C-726B-42FC-A792-90B89527503A}"/>
    <cellStyle name="Note 6 4 2 2 4" xfId="21433" xr:uid="{00000000-0005-0000-0000-00000B630000}"/>
    <cellStyle name="Note 6 4 2 2 4 2" xfId="45265" xr:uid="{01AE5B3F-1A59-4BF3-8B4C-0398A6ED3175}"/>
    <cellStyle name="Note 6 4 2 2 5" xfId="29386" xr:uid="{CCD4C8C1-D98F-4EF5-8230-40D6F0E8199E}"/>
    <cellStyle name="Note 6 4 2 3" xfId="7286" xr:uid="{00000000-0005-0000-0000-00000C630000}"/>
    <cellStyle name="Note 6 4 2 3 2" xfId="15258" xr:uid="{00000000-0005-0000-0000-00000D630000}"/>
    <cellStyle name="Note 6 4 2 3 2 2" xfId="39100" xr:uid="{C59DF62C-51B4-4111-B684-EAA42265575B}"/>
    <cellStyle name="Note 6 4 2 3 3" xfId="23205" xr:uid="{00000000-0005-0000-0000-00000E630000}"/>
    <cellStyle name="Note 6 4 2 3 3 2" xfId="47037" xr:uid="{2975B587-BAF1-4BDF-839C-6444E183C833}"/>
    <cellStyle name="Note 6 4 2 3 4" xfId="31159" xr:uid="{D177DF9A-11CC-4F4F-80ED-12FD5BD0FE0A}"/>
    <cellStyle name="Note 6 4 2 4" xfId="11722" xr:uid="{00000000-0005-0000-0000-00000F630000}"/>
    <cellStyle name="Note 6 4 2 4 2" xfId="35571" xr:uid="{4A358289-86E4-4689-95E0-8E5C03797BE2}"/>
    <cellStyle name="Note 6 4 2 5" xfId="19677" xr:uid="{00000000-0005-0000-0000-000010630000}"/>
    <cellStyle name="Note 6 4 2 5 2" xfId="43509" xr:uid="{7DC24652-9318-407D-AD9B-D73167052ADE}"/>
    <cellStyle name="Note 6 4 2 6" xfId="27629" xr:uid="{E37D4B43-92C6-4655-9773-D0ACF1EE9C77}"/>
    <cellStyle name="Note 6 4 2_Exh G" xfId="3665" xr:uid="{00000000-0005-0000-0000-000011630000}"/>
    <cellStyle name="Note 6 4 3" xfId="4575" xr:uid="{00000000-0005-0000-0000-000012630000}"/>
    <cellStyle name="Note 6 4 3 2" xfId="8167" xr:uid="{00000000-0005-0000-0000-000013630000}"/>
    <cellStyle name="Note 6 4 3 2 2" xfId="16138" xr:uid="{00000000-0005-0000-0000-000014630000}"/>
    <cellStyle name="Note 6 4 3 2 2 2" xfId="39980" xr:uid="{13395481-AF97-4D9C-A7C1-2EE84AC49D85}"/>
    <cellStyle name="Note 6 4 3 2 3" xfId="24084" xr:uid="{00000000-0005-0000-0000-000015630000}"/>
    <cellStyle name="Note 6 4 3 2 3 2" xfId="47916" xr:uid="{8005C952-7E8F-4AFE-9465-9FFD99CF6784}"/>
    <cellStyle name="Note 6 4 3 2 4" xfId="32039" xr:uid="{EC786CAB-55BF-41FA-98D4-B860F16E1370}"/>
    <cellStyle name="Note 6 4 3 3" xfId="12600" xr:uid="{00000000-0005-0000-0000-000016630000}"/>
    <cellStyle name="Note 6 4 3 3 2" xfId="36449" xr:uid="{1E7A1F1A-79D9-4522-8927-23DB0461E70A}"/>
    <cellStyle name="Note 6 4 3 4" xfId="20555" xr:uid="{00000000-0005-0000-0000-000017630000}"/>
    <cellStyle name="Note 6 4 3 4 2" xfId="44387" xr:uid="{A43E6B62-E27C-43DD-86C3-7CC132A8A8D8}"/>
    <cellStyle name="Note 6 4 3 5" xfId="28508" xr:uid="{A06A6B39-B68F-48D1-8F55-CF1FF2992E8F}"/>
    <cellStyle name="Note 6 4 4" xfId="6407" xr:uid="{00000000-0005-0000-0000-000018630000}"/>
    <cellStyle name="Note 6 4 4 2" xfId="14380" xr:uid="{00000000-0005-0000-0000-000019630000}"/>
    <cellStyle name="Note 6 4 4 2 2" xfId="38222" xr:uid="{B3270BA5-F579-4F2C-967A-36FC48E8BC78}"/>
    <cellStyle name="Note 6 4 4 3" xfId="22327" xr:uid="{00000000-0005-0000-0000-00001A630000}"/>
    <cellStyle name="Note 6 4 4 3 2" xfId="46159" xr:uid="{F20D3B6E-61A4-4CCC-9D51-7738E6F03DAB}"/>
    <cellStyle name="Note 6 4 4 4" xfId="30281" xr:uid="{75FAF15E-3CA1-4290-B245-E466A3293363}"/>
    <cellStyle name="Note 6 4 5" xfId="9948" xr:uid="{00000000-0005-0000-0000-00001B630000}"/>
    <cellStyle name="Note 6 4 5 2" xfId="17906" xr:uid="{00000000-0005-0000-0000-00001C630000}"/>
    <cellStyle name="Note 6 4 5 2 2" xfId="41746" xr:uid="{FD0923B0-6673-4AFE-B3D3-9D37E31FBFCA}"/>
    <cellStyle name="Note 6 4 5 3" xfId="25850" xr:uid="{00000000-0005-0000-0000-00001D630000}"/>
    <cellStyle name="Note 6 4 5 3 2" xfId="49682" xr:uid="{8990D589-111B-4E98-BBEA-E26C90E62E67}"/>
    <cellStyle name="Note 6 4 5 4" xfId="33805" xr:uid="{D01DFB28-DD7B-4C32-B64D-FF12882D8BD1}"/>
    <cellStyle name="Note 6 4 6" xfId="10844" xr:uid="{00000000-0005-0000-0000-00001E630000}"/>
    <cellStyle name="Note 6 4 6 2" xfId="34693" xr:uid="{8DA5BAC2-AE1E-4968-8017-8F0FE083C128}"/>
    <cellStyle name="Note 6 4 7" xfId="18799" xr:uid="{00000000-0005-0000-0000-00001F630000}"/>
    <cellStyle name="Note 6 4 7 2" xfId="42631" xr:uid="{95C15FD6-7F01-484E-A211-5E11FE350B82}"/>
    <cellStyle name="Note 6 4 8" xfId="26751" xr:uid="{F06DC647-41BF-4892-ABA2-7934F224370F}"/>
    <cellStyle name="Note 6 4_Exh G" xfId="3664" xr:uid="{00000000-0005-0000-0000-000020630000}"/>
    <cellStyle name="Note 6 5" xfId="1750" xr:uid="{00000000-0005-0000-0000-000021630000}"/>
    <cellStyle name="Note 6 5 2" xfId="5280" xr:uid="{00000000-0005-0000-0000-000022630000}"/>
    <cellStyle name="Note 6 5 2 2" xfId="8871" xr:uid="{00000000-0005-0000-0000-000023630000}"/>
    <cellStyle name="Note 6 5 2 2 2" xfId="16842" xr:uid="{00000000-0005-0000-0000-000024630000}"/>
    <cellStyle name="Note 6 5 2 2 2 2" xfId="40684" xr:uid="{A48B0D6F-8402-4E52-89CA-D126EE256B82}"/>
    <cellStyle name="Note 6 5 2 2 3" xfId="24788" xr:uid="{00000000-0005-0000-0000-000025630000}"/>
    <cellStyle name="Note 6 5 2 2 3 2" xfId="48620" xr:uid="{ABABB5AF-9176-48AE-B299-F0F51685A161}"/>
    <cellStyle name="Note 6 5 2 2 4" xfId="32743" xr:uid="{28C09D12-0331-4248-9A11-C9B21632D65E}"/>
    <cellStyle name="Note 6 5 2 3" xfId="13304" xr:uid="{00000000-0005-0000-0000-000026630000}"/>
    <cellStyle name="Note 6 5 2 3 2" xfId="37153" xr:uid="{14C8F0AA-5CAA-424D-B78E-F4F775F03CE4}"/>
    <cellStyle name="Note 6 5 2 4" xfId="21259" xr:uid="{00000000-0005-0000-0000-000027630000}"/>
    <cellStyle name="Note 6 5 2 4 2" xfId="45091" xr:uid="{A77AB754-2711-4124-AE20-80273AA0F372}"/>
    <cellStyle name="Note 6 5 2 5" xfId="29212" xr:uid="{A1CA344F-816D-459E-81D4-7F44F22160B8}"/>
    <cellStyle name="Note 6 5 3" xfId="7112" xr:uid="{00000000-0005-0000-0000-000028630000}"/>
    <cellStyle name="Note 6 5 3 2" xfId="15084" xr:uid="{00000000-0005-0000-0000-000029630000}"/>
    <cellStyle name="Note 6 5 3 2 2" xfId="38926" xr:uid="{EB353DD3-00DC-4654-9076-EF3518C38C33}"/>
    <cellStyle name="Note 6 5 3 3" xfId="23031" xr:uid="{00000000-0005-0000-0000-00002A630000}"/>
    <cellStyle name="Note 6 5 3 3 2" xfId="46863" xr:uid="{3E2ED0D7-FB58-4A7F-BFC9-AA0816E7BA40}"/>
    <cellStyle name="Note 6 5 3 4" xfId="30985" xr:uid="{45C35445-9D84-4499-8ED0-D3CA13D61417}"/>
    <cellStyle name="Note 6 5 4" xfId="11548" xr:uid="{00000000-0005-0000-0000-00002B630000}"/>
    <cellStyle name="Note 6 5 4 2" xfId="35397" xr:uid="{4A57FCAB-2D37-4BED-8B4A-FC3FB0BC7F28}"/>
    <cellStyle name="Note 6 5 5" xfId="19503" xr:uid="{00000000-0005-0000-0000-00002C630000}"/>
    <cellStyle name="Note 6 5 5 2" xfId="43335" xr:uid="{A37BCA2D-1D26-4411-9C93-40A90211139A}"/>
    <cellStyle name="Note 6 5 6" xfId="27455" xr:uid="{F631EB3F-6FDB-456E-84AE-224577F33C66}"/>
    <cellStyle name="Note 6 5_Exh G" xfId="3666" xr:uid="{00000000-0005-0000-0000-00002D630000}"/>
    <cellStyle name="Note 6 6" xfId="4401" xr:uid="{00000000-0005-0000-0000-00002E630000}"/>
    <cellStyle name="Note 6 6 2" xfId="7993" xr:uid="{00000000-0005-0000-0000-00002F630000}"/>
    <cellStyle name="Note 6 6 2 2" xfId="15964" xr:uid="{00000000-0005-0000-0000-000030630000}"/>
    <cellStyle name="Note 6 6 2 2 2" xfId="39806" xr:uid="{4C711336-FD84-4F43-AAB3-BC088F9C5AD3}"/>
    <cellStyle name="Note 6 6 2 3" xfId="23910" xr:uid="{00000000-0005-0000-0000-000031630000}"/>
    <cellStyle name="Note 6 6 2 3 2" xfId="47742" xr:uid="{9EACFD37-1877-4500-BFF3-C129C552D14F}"/>
    <cellStyle name="Note 6 6 2 4" xfId="31865" xr:uid="{54AAE579-295F-4C5B-83F1-466BA46D6EFE}"/>
    <cellStyle name="Note 6 6 3" xfId="12426" xr:uid="{00000000-0005-0000-0000-000032630000}"/>
    <cellStyle name="Note 6 6 3 2" xfId="36275" xr:uid="{227FB8B1-32A7-4A0B-9E89-E42D9199BE3F}"/>
    <cellStyle name="Note 6 6 4" xfId="20381" xr:uid="{00000000-0005-0000-0000-000033630000}"/>
    <cellStyle name="Note 6 6 4 2" xfId="44213" xr:uid="{756F0496-45AF-48F3-A909-55B6465408BA}"/>
    <cellStyle name="Note 6 6 5" xfId="28334" xr:uid="{5734E952-6F92-4368-9737-464F2374440C}"/>
    <cellStyle name="Note 6 7" xfId="6221" xr:uid="{00000000-0005-0000-0000-000034630000}"/>
    <cellStyle name="Note 6 7 2" xfId="14205" xr:uid="{00000000-0005-0000-0000-000035630000}"/>
    <cellStyle name="Note 6 7 2 2" xfId="38048" xr:uid="{DB2B1185-8C1B-4453-A560-4EAAA263B80D}"/>
    <cellStyle name="Note 6 7 3" xfId="22153" xr:uid="{00000000-0005-0000-0000-000036630000}"/>
    <cellStyle name="Note 6 7 3 2" xfId="45985" xr:uid="{39E2BF80-1CA4-4131-840E-21FF79AB64EA}"/>
    <cellStyle name="Note 6 7 4" xfId="30107" xr:uid="{00360398-DA9E-4A1F-A94E-27E9152E0A1F}"/>
    <cellStyle name="Note 6 8" xfId="9774" xr:uid="{00000000-0005-0000-0000-000037630000}"/>
    <cellStyle name="Note 6 8 2" xfId="17732" xr:uid="{00000000-0005-0000-0000-000038630000}"/>
    <cellStyle name="Note 6 8 2 2" xfId="41572" xr:uid="{80D0573E-8EB8-4EA5-9A1A-C872C8CBDACF}"/>
    <cellStyle name="Note 6 8 3" xfId="25676" xr:uid="{00000000-0005-0000-0000-000039630000}"/>
    <cellStyle name="Note 6 8 3 2" xfId="49508" xr:uid="{99DB2541-5F35-4717-AEC6-4329D3EE3F83}"/>
    <cellStyle name="Note 6 8 4" xfId="33631" xr:uid="{EF35199E-B284-4DB3-8548-77E8E7365C1B}"/>
    <cellStyle name="Note 6 9" xfId="10670" xr:uid="{00000000-0005-0000-0000-00003A630000}"/>
    <cellStyle name="Note 6 9 2" xfId="34519" xr:uid="{A32B5139-EAA9-43C2-B1A9-0BB0C0CB537D}"/>
    <cellStyle name="Note 6_Exh G" xfId="3657" xr:uid="{00000000-0005-0000-0000-00003B630000}"/>
    <cellStyle name="Note 7" xfId="726" xr:uid="{00000000-0005-0000-0000-00003C630000}"/>
    <cellStyle name="Note 7 10" xfId="18629" xr:uid="{00000000-0005-0000-0000-00003D630000}"/>
    <cellStyle name="Note 7 10 2" xfId="42461" xr:uid="{37C19CA8-FA63-4D83-A7F1-8519BB2948EF}"/>
    <cellStyle name="Note 7 11" xfId="26581" xr:uid="{58EECAC3-9365-445D-9BAE-2D41EC247AD6}"/>
    <cellStyle name="Note 7 2" xfId="727" xr:uid="{00000000-0005-0000-0000-00003E630000}"/>
    <cellStyle name="Note 7 2 2" xfId="728" xr:uid="{00000000-0005-0000-0000-00003F630000}"/>
    <cellStyle name="Note 7 2 2 2" xfId="1756" xr:uid="{00000000-0005-0000-0000-000040630000}"/>
    <cellStyle name="Note 7 2 2 2 2" xfId="5286" xr:uid="{00000000-0005-0000-0000-000041630000}"/>
    <cellStyle name="Note 7 2 2 2 2 2" xfId="8877" xr:uid="{00000000-0005-0000-0000-000042630000}"/>
    <cellStyle name="Note 7 2 2 2 2 2 2" xfId="16848" xr:uid="{00000000-0005-0000-0000-000043630000}"/>
    <cellStyle name="Note 7 2 2 2 2 2 2 2" xfId="40690" xr:uid="{765F0807-D078-4E39-8627-94FE011E8B7F}"/>
    <cellStyle name="Note 7 2 2 2 2 2 3" xfId="24794" xr:uid="{00000000-0005-0000-0000-000044630000}"/>
    <cellStyle name="Note 7 2 2 2 2 2 3 2" xfId="48626" xr:uid="{B7028E86-6A96-4498-860D-4898D62B7EBF}"/>
    <cellStyle name="Note 7 2 2 2 2 2 4" xfId="32749" xr:uid="{A07B7C47-DD4B-4A67-B67A-1D0F1C8088F6}"/>
    <cellStyle name="Note 7 2 2 2 2 3" xfId="13310" xr:uid="{00000000-0005-0000-0000-000045630000}"/>
    <cellStyle name="Note 7 2 2 2 2 3 2" xfId="37159" xr:uid="{DD74694B-D551-4D1A-BE48-BCA274034C30}"/>
    <cellStyle name="Note 7 2 2 2 2 4" xfId="21265" xr:uid="{00000000-0005-0000-0000-000046630000}"/>
    <cellStyle name="Note 7 2 2 2 2 4 2" xfId="45097" xr:uid="{EB97868B-7C1D-4DE1-8539-859C92C3FDCC}"/>
    <cellStyle name="Note 7 2 2 2 2 5" xfId="29218" xr:uid="{92464023-F81D-46F6-807A-DF6CE992F00D}"/>
    <cellStyle name="Note 7 2 2 2 3" xfId="7118" xr:uid="{00000000-0005-0000-0000-000047630000}"/>
    <cellStyle name="Note 7 2 2 2 3 2" xfId="15090" xr:uid="{00000000-0005-0000-0000-000048630000}"/>
    <cellStyle name="Note 7 2 2 2 3 2 2" xfId="38932" xr:uid="{F01DDC00-6D2A-4AA5-B38C-A70E61FB26BE}"/>
    <cellStyle name="Note 7 2 2 2 3 3" xfId="23037" xr:uid="{00000000-0005-0000-0000-000049630000}"/>
    <cellStyle name="Note 7 2 2 2 3 3 2" xfId="46869" xr:uid="{73CCA1C0-83CF-430C-AE0D-2592761876B3}"/>
    <cellStyle name="Note 7 2 2 2 3 4" xfId="30991" xr:uid="{2610BB79-D206-4588-A7F8-412F40E0A458}"/>
    <cellStyle name="Note 7 2 2 2 4" xfId="11554" xr:uid="{00000000-0005-0000-0000-00004A630000}"/>
    <cellStyle name="Note 7 2 2 2 4 2" xfId="35403" xr:uid="{6BAD975C-91FB-4CD5-9600-D54F14388C80}"/>
    <cellStyle name="Note 7 2 2 2 5" xfId="19509" xr:uid="{00000000-0005-0000-0000-00004B630000}"/>
    <cellStyle name="Note 7 2 2 2 5 2" xfId="43341" xr:uid="{AFB972D3-0E8F-43FF-BB1F-43DF91808CF9}"/>
    <cellStyle name="Note 7 2 2 2 6" xfId="27461" xr:uid="{FCC2FE9E-D76D-45F7-8950-CE3D64E05FBB}"/>
    <cellStyle name="Note 7 2 2 2_Exh G" xfId="3670" xr:uid="{00000000-0005-0000-0000-00004C630000}"/>
    <cellStyle name="Note 7 2 2 3" xfId="4407" xr:uid="{00000000-0005-0000-0000-00004D630000}"/>
    <cellStyle name="Note 7 2 2 3 2" xfId="7999" xr:uid="{00000000-0005-0000-0000-00004E630000}"/>
    <cellStyle name="Note 7 2 2 3 2 2" xfId="15970" xr:uid="{00000000-0005-0000-0000-00004F630000}"/>
    <cellStyle name="Note 7 2 2 3 2 2 2" xfId="39812" xr:uid="{CA15BBF0-F8B3-41CB-9510-83838AAF53C7}"/>
    <cellStyle name="Note 7 2 2 3 2 3" xfId="23916" xr:uid="{00000000-0005-0000-0000-000050630000}"/>
    <cellStyle name="Note 7 2 2 3 2 3 2" xfId="47748" xr:uid="{49DBBEA4-01AE-412A-BE1C-ED054EC8AF5D}"/>
    <cellStyle name="Note 7 2 2 3 2 4" xfId="31871" xr:uid="{061348FB-82E8-402A-8855-41259213FD23}"/>
    <cellStyle name="Note 7 2 2 3 3" xfId="12432" xr:uid="{00000000-0005-0000-0000-000051630000}"/>
    <cellStyle name="Note 7 2 2 3 3 2" xfId="36281" xr:uid="{97EE7B30-F1D3-49A7-8E31-B2E984BC993B}"/>
    <cellStyle name="Note 7 2 2 3 4" xfId="20387" xr:uid="{00000000-0005-0000-0000-000052630000}"/>
    <cellStyle name="Note 7 2 2 3 4 2" xfId="44219" xr:uid="{AC815131-9236-436C-B69D-C14888E81B97}"/>
    <cellStyle name="Note 7 2 2 3 5" xfId="28340" xr:uid="{C2799515-4EC9-44E9-83CB-25872772673A}"/>
    <cellStyle name="Note 7 2 2 4" xfId="6227" xr:uid="{00000000-0005-0000-0000-000053630000}"/>
    <cellStyle name="Note 7 2 2 4 2" xfId="14211" xr:uid="{00000000-0005-0000-0000-000054630000}"/>
    <cellStyle name="Note 7 2 2 4 2 2" xfId="38054" xr:uid="{FEC7D2B9-CBF1-41CA-83E6-3AB1AC85F0CA}"/>
    <cellStyle name="Note 7 2 2 4 3" xfId="22159" xr:uid="{00000000-0005-0000-0000-000055630000}"/>
    <cellStyle name="Note 7 2 2 4 3 2" xfId="45991" xr:uid="{3A5D0FE5-23DA-4713-BC0A-B687EE858A2A}"/>
    <cellStyle name="Note 7 2 2 4 4" xfId="30113" xr:uid="{873440D6-3AE6-4123-AAD8-72C1F252F9B3}"/>
    <cellStyle name="Note 7 2 2 5" xfId="9780" xr:uid="{00000000-0005-0000-0000-000056630000}"/>
    <cellStyle name="Note 7 2 2 5 2" xfId="17738" xr:uid="{00000000-0005-0000-0000-000057630000}"/>
    <cellStyle name="Note 7 2 2 5 2 2" xfId="41578" xr:uid="{4313F135-7296-4FA5-8956-2C2B9279655B}"/>
    <cellStyle name="Note 7 2 2 5 3" xfId="25682" xr:uid="{00000000-0005-0000-0000-000058630000}"/>
    <cellStyle name="Note 7 2 2 5 3 2" xfId="49514" xr:uid="{B126BF9D-6895-47BE-9298-8F166B33AC47}"/>
    <cellStyle name="Note 7 2 2 5 4" xfId="33637" xr:uid="{3CFED1FC-61CF-4201-B8FC-7035CF5AFBB8}"/>
    <cellStyle name="Note 7 2 2 6" xfId="10676" xr:uid="{00000000-0005-0000-0000-000059630000}"/>
    <cellStyle name="Note 7 2 2 6 2" xfId="34525" xr:uid="{F9B95CEE-A797-4C4A-892A-89BE6CDA63DA}"/>
    <cellStyle name="Note 7 2 2 7" xfId="18631" xr:uid="{00000000-0005-0000-0000-00005A630000}"/>
    <cellStyle name="Note 7 2 2 7 2" xfId="42463" xr:uid="{08F348B3-954D-456E-A15F-BB8B41A138B0}"/>
    <cellStyle name="Note 7 2 2 8" xfId="26583" xr:uid="{DEC4EA2E-5294-48B5-9DC7-556B5A5D3844}"/>
    <cellStyle name="Note 7 2 2_Exh G" xfId="3669" xr:uid="{00000000-0005-0000-0000-00005B630000}"/>
    <cellStyle name="Note 7 2 3" xfId="1755" xr:uid="{00000000-0005-0000-0000-00005C630000}"/>
    <cellStyle name="Note 7 2 3 2" xfId="5285" xr:uid="{00000000-0005-0000-0000-00005D630000}"/>
    <cellStyle name="Note 7 2 3 2 2" xfId="8876" xr:uid="{00000000-0005-0000-0000-00005E630000}"/>
    <cellStyle name="Note 7 2 3 2 2 2" xfId="16847" xr:uid="{00000000-0005-0000-0000-00005F630000}"/>
    <cellStyle name="Note 7 2 3 2 2 2 2" xfId="40689" xr:uid="{592B8260-3831-4E11-A30F-32706335D5C0}"/>
    <cellStyle name="Note 7 2 3 2 2 3" xfId="24793" xr:uid="{00000000-0005-0000-0000-000060630000}"/>
    <cellStyle name="Note 7 2 3 2 2 3 2" xfId="48625" xr:uid="{F58B9BC5-634F-4A92-987F-4D02035B5E4A}"/>
    <cellStyle name="Note 7 2 3 2 2 4" xfId="32748" xr:uid="{332C6730-A12F-42E0-8012-EAEEE6603618}"/>
    <cellStyle name="Note 7 2 3 2 3" xfId="13309" xr:uid="{00000000-0005-0000-0000-000061630000}"/>
    <cellStyle name="Note 7 2 3 2 3 2" xfId="37158" xr:uid="{1AAB50E8-4F60-43E7-942D-3DC187CD0576}"/>
    <cellStyle name="Note 7 2 3 2 4" xfId="21264" xr:uid="{00000000-0005-0000-0000-000062630000}"/>
    <cellStyle name="Note 7 2 3 2 4 2" xfId="45096" xr:uid="{360985C1-613E-4FE2-AF6C-1EF609E61D66}"/>
    <cellStyle name="Note 7 2 3 2 5" xfId="29217" xr:uid="{7DB66ACC-700A-4426-A7A2-B083DD1D0346}"/>
    <cellStyle name="Note 7 2 3 3" xfId="7117" xr:uid="{00000000-0005-0000-0000-000063630000}"/>
    <cellStyle name="Note 7 2 3 3 2" xfId="15089" xr:uid="{00000000-0005-0000-0000-000064630000}"/>
    <cellStyle name="Note 7 2 3 3 2 2" xfId="38931" xr:uid="{7C0A05AB-5637-4075-A65D-60214868D5C0}"/>
    <cellStyle name="Note 7 2 3 3 3" xfId="23036" xr:uid="{00000000-0005-0000-0000-000065630000}"/>
    <cellStyle name="Note 7 2 3 3 3 2" xfId="46868" xr:uid="{CB079F5E-8225-4844-8E52-5ABF4CEFB9C5}"/>
    <cellStyle name="Note 7 2 3 3 4" xfId="30990" xr:uid="{61ABD42B-A9D2-48D9-BF8A-6C9A8F8A41DF}"/>
    <cellStyle name="Note 7 2 3 4" xfId="11553" xr:uid="{00000000-0005-0000-0000-000066630000}"/>
    <cellStyle name="Note 7 2 3 4 2" xfId="35402" xr:uid="{2DE4D065-9EC0-48D5-A314-8C33EDA23ECD}"/>
    <cellStyle name="Note 7 2 3 5" xfId="19508" xr:uid="{00000000-0005-0000-0000-000067630000}"/>
    <cellStyle name="Note 7 2 3 5 2" xfId="43340" xr:uid="{0D55A4C8-8E0D-4999-B524-E05431B570D0}"/>
    <cellStyle name="Note 7 2 3 6" xfId="27460" xr:uid="{CB2D4B63-AC96-447B-A2C7-0E166C26502C}"/>
    <cellStyle name="Note 7 2 3_Exh G" xfId="3671" xr:uid="{00000000-0005-0000-0000-000068630000}"/>
    <cellStyle name="Note 7 2 4" xfId="4406" xr:uid="{00000000-0005-0000-0000-000069630000}"/>
    <cellStyle name="Note 7 2 4 2" xfId="7998" xr:uid="{00000000-0005-0000-0000-00006A630000}"/>
    <cellStyle name="Note 7 2 4 2 2" xfId="15969" xr:uid="{00000000-0005-0000-0000-00006B630000}"/>
    <cellStyle name="Note 7 2 4 2 2 2" xfId="39811" xr:uid="{ADC97A64-D66A-43F3-BECB-BF87F74F5FCD}"/>
    <cellStyle name="Note 7 2 4 2 3" xfId="23915" xr:uid="{00000000-0005-0000-0000-00006C630000}"/>
    <cellStyle name="Note 7 2 4 2 3 2" xfId="47747" xr:uid="{4DDD1366-794F-4AAD-B4B3-074325C8CE07}"/>
    <cellStyle name="Note 7 2 4 2 4" xfId="31870" xr:uid="{974E908F-7298-4733-BB26-1AAC712FC7C6}"/>
    <cellStyle name="Note 7 2 4 3" xfId="12431" xr:uid="{00000000-0005-0000-0000-00006D630000}"/>
    <cellStyle name="Note 7 2 4 3 2" xfId="36280" xr:uid="{2B932B72-B66A-461B-A177-D2233A3ECA7C}"/>
    <cellStyle name="Note 7 2 4 4" xfId="20386" xr:uid="{00000000-0005-0000-0000-00006E630000}"/>
    <cellStyle name="Note 7 2 4 4 2" xfId="44218" xr:uid="{AE8E4935-4C4A-42AA-A12F-8BFE5E6D90B2}"/>
    <cellStyle name="Note 7 2 4 5" xfId="28339" xr:uid="{8F39E04A-9CE4-4BF0-B88C-BC28B6F2C82C}"/>
    <cellStyle name="Note 7 2 5" xfId="6226" xr:uid="{00000000-0005-0000-0000-00006F630000}"/>
    <cellStyle name="Note 7 2 5 2" xfId="14210" xr:uid="{00000000-0005-0000-0000-000070630000}"/>
    <cellStyle name="Note 7 2 5 2 2" xfId="38053" xr:uid="{3D16AFAA-D331-416F-9382-8CE45BE64863}"/>
    <cellStyle name="Note 7 2 5 3" xfId="22158" xr:uid="{00000000-0005-0000-0000-000071630000}"/>
    <cellStyle name="Note 7 2 5 3 2" xfId="45990" xr:uid="{02C321A9-2373-41D7-9572-6DA35088EBC8}"/>
    <cellStyle name="Note 7 2 5 4" xfId="30112" xr:uid="{F0F64EE7-A89A-4EE6-ABF9-E74FBB8B00CD}"/>
    <cellStyle name="Note 7 2 6" xfId="9779" xr:uid="{00000000-0005-0000-0000-000072630000}"/>
    <cellStyle name="Note 7 2 6 2" xfId="17737" xr:uid="{00000000-0005-0000-0000-000073630000}"/>
    <cellStyle name="Note 7 2 6 2 2" xfId="41577" xr:uid="{D6A07E71-BCBD-4CF5-B74F-DAD1E3B97E41}"/>
    <cellStyle name="Note 7 2 6 3" xfId="25681" xr:uid="{00000000-0005-0000-0000-000074630000}"/>
    <cellStyle name="Note 7 2 6 3 2" xfId="49513" xr:uid="{202BECFF-857A-40EC-9318-2BDA9FD8E3F3}"/>
    <cellStyle name="Note 7 2 6 4" xfId="33636" xr:uid="{A1391F5C-D3DD-4DDA-B1B7-FD689F20E9E2}"/>
    <cellStyle name="Note 7 2 7" xfId="10675" xr:uid="{00000000-0005-0000-0000-000075630000}"/>
    <cellStyle name="Note 7 2 7 2" xfId="34524" xr:uid="{39FE35A0-6255-492A-8A2B-D196747E36C3}"/>
    <cellStyle name="Note 7 2 8" xfId="18630" xr:uid="{00000000-0005-0000-0000-000076630000}"/>
    <cellStyle name="Note 7 2 8 2" xfId="42462" xr:uid="{FEC1E762-B1A3-4D6A-B9AD-6DDD60672BE3}"/>
    <cellStyle name="Note 7 2 9" xfId="26582" xr:uid="{AB2C0C38-3306-4964-9BF3-8494D17F4A3B}"/>
    <cellStyle name="Note 7 2_Exh G" xfId="3668" xr:uid="{00000000-0005-0000-0000-000077630000}"/>
    <cellStyle name="Note 7 3" xfId="729" xr:uid="{00000000-0005-0000-0000-000078630000}"/>
    <cellStyle name="Note 7 3 2" xfId="1757" xr:uid="{00000000-0005-0000-0000-000079630000}"/>
    <cellStyle name="Note 7 3 2 2" xfId="5287" xr:uid="{00000000-0005-0000-0000-00007A630000}"/>
    <cellStyle name="Note 7 3 2 2 2" xfId="8878" xr:uid="{00000000-0005-0000-0000-00007B630000}"/>
    <cellStyle name="Note 7 3 2 2 2 2" xfId="16849" xr:uid="{00000000-0005-0000-0000-00007C630000}"/>
    <cellStyle name="Note 7 3 2 2 2 2 2" xfId="40691" xr:uid="{F5582F72-1876-4C57-B53E-B7D8FD183B05}"/>
    <cellStyle name="Note 7 3 2 2 2 3" xfId="24795" xr:uid="{00000000-0005-0000-0000-00007D630000}"/>
    <cellStyle name="Note 7 3 2 2 2 3 2" xfId="48627" xr:uid="{6628D03F-6554-42C9-A876-CF6710B17F64}"/>
    <cellStyle name="Note 7 3 2 2 2 4" xfId="32750" xr:uid="{76A14E6B-2733-4132-9D53-85ABF4877D34}"/>
    <cellStyle name="Note 7 3 2 2 3" xfId="13311" xr:uid="{00000000-0005-0000-0000-00007E630000}"/>
    <cellStyle name="Note 7 3 2 2 3 2" xfId="37160" xr:uid="{CC4BA355-BA1B-4543-9FB6-77EBE407B33B}"/>
    <cellStyle name="Note 7 3 2 2 4" xfId="21266" xr:uid="{00000000-0005-0000-0000-00007F630000}"/>
    <cellStyle name="Note 7 3 2 2 4 2" xfId="45098" xr:uid="{BCC86D99-31E9-4A08-880A-F9A2E6F61430}"/>
    <cellStyle name="Note 7 3 2 2 5" xfId="29219" xr:uid="{2AC9386F-C904-4E9E-A3AA-55089DA1AF11}"/>
    <cellStyle name="Note 7 3 2 3" xfId="7119" xr:uid="{00000000-0005-0000-0000-000080630000}"/>
    <cellStyle name="Note 7 3 2 3 2" xfId="15091" xr:uid="{00000000-0005-0000-0000-000081630000}"/>
    <cellStyle name="Note 7 3 2 3 2 2" xfId="38933" xr:uid="{E2FF6A83-44D8-4181-A415-D39D2A0CB011}"/>
    <cellStyle name="Note 7 3 2 3 3" xfId="23038" xr:uid="{00000000-0005-0000-0000-000082630000}"/>
    <cellStyle name="Note 7 3 2 3 3 2" xfId="46870" xr:uid="{CDED8B1F-91A6-4848-B50B-990DFDB92137}"/>
    <cellStyle name="Note 7 3 2 3 4" xfId="30992" xr:uid="{006C555D-A970-4C58-BF74-352F3F95A241}"/>
    <cellStyle name="Note 7 3 2 4" xfId="11555" xr:uid="{00000000-0005-0000-0000-000083630000}"/>
    <cellStyle name="Note 7 3 2 4 2" xfId="35404" xr:uid="{F517FF5F-12BF-4FE3-BC18-A44A35CF6E68}"/>
    <cellStyle name="Note 7 3 2 5" xfId="19510" xr:uid="{00000000-0005-0000-0000-000084630000}"/>
    <cellStyle name="Note 7 3 2 5 2" xfId="43342" xr:uid="{C03B754D-D1DA-4EB4-B320-E289B8E3C745}"/>
    <cellStyle name="Note 7 3 2 6" xfId="27462" xr:uid="{3CCC7F24-3B61-4C08-A4CF-8F1F4425FE56}"/>
    <cellStyle name="Note 7 3 2_Exh G" xfId="3673" xr:uid="{00000000-0005-0000-0000-000085630000}"/>
    <cellStyle name="Note 7 3 3" xfId="4408" xr:uid="{00000000-0005-0000-0000-000086630000}"/>
    <cellStyle name="Note 7 3 3 2" xfId="8000" xr:uid="{00000000-0005-0000-0000-000087630000}"/>
    <cellStyle name="Note 7 3 3 2 2" xfId="15971" xr:uid="{00000000-0005-0000-0000-000088630000}"/>
    <cellStyle name="Note 7 3 3 2 2 2" xfId="39813" xr:uid="{B8020F76-848B-4FE2-9398-24B83C2E74F3}"/>
    <cellStyle name="Note 7 3 3 2 3" xfId="23917" xr:uid="{00000000-0005-0000-0000-000089630000}"/>
    <cellStyle name="Note 7 3 3 2 3 2" xfId="47749" xr:uid="{EB3DFB58-56FC-4755-9612-76933599936F}"/>
    <cellStyle name="Note 7 3 3 2 4" xfId="31872" xr:uid="{C9C80FA5-ECA2-41C4-A351-8618134F2372}"/>
    <cellStyle name="Note 7 3 3 3" xfId="12433" xr:uid="{00000000-0005-0000-0000-00008A630000}"/>
    <cellStyle name="Note 7 3 3 3 2" xfId="36282" xr:uid="{A14AAA62-2003-4549-90D2-8FDE0A305504}"/>
    <cellStyle name="Note 7 3 3 4" xfId="20388" xr:uid="{00000000-0005-0000-0000-00008B630000}"/>
    <cellStyle name="Note 7 3 3 4 2" xfId="44220" xr:uid="{C0214B57-347D-46A3-9A7D-1068ADEC626A}"/>
    <cellStyle name="Note 7 3 3 5" xfId="28341" xr:uid="{2D5CA383-7D78-4F2D-B700-B926E09A5566}"/>
    <cellStyle name="Note 7 3 4" xfId="6228" xr:uid="{00000000-0005-0000-0000-00008C630000}"/>
    <cellStyle name="Note 7 3 4 2" xfId="14212" xr:uid="{00000000-0005-0000-0000-00008D630000}"/>
    <cellStyle name="Note 7 3 4 2 2" xfId="38055" xr:uid="{71437BC4-6699-416B-9173-969B11E4D706}"/>
    <cellStyle name="Note 7 3 4 3" xfId="22160" xr:uid="{00000000-0005-0000-0000-00008E630000}"/>
    <cellStyle name="Note 7 3 4 3 2" xfId="45992" xr:uid="{49B2FE65-2D3F-488B-81BD-D7729D2D7C31}"/>
    <cellStyle name="Note 7 3 4 4" xfId="30114" xr:uid="{298B3010-763E-40EA-90D9-C9F19A616D34}"/>
    <cellStyle name="Note 7 3 5" xfId="9781" xr:uid="{00000000-0005-0000-0000-00008F630000}"/>
    <cellStyle name="Note 7 3 5 2" xfId="17739" xr:uid="{00000000-0005-0000-0000-000090630000}"/>
    <cellStyle name="Note 7 3 5 2 2" xfId="41579" xr:uid="{D11640CC-F07F-4ACD-B2A5-4DB0C80E4BF9}"/>
    <cellStyle name="Note 7 3 5 3" xfId="25683" xr:uid="{00000000-0005-0000-0000-000091630000}"/>
    <cellStyle name="Note 7 3 5 3 2" xfId="49515" xr:uid="{FAFD66A5-04E8-4C98-90F7-DDA074E0A7C6}"/>
    <cellStyle name="Note 7 3 5 4" xfId="33638" xr:uid="{FD1D3E1C-7671-4CC3-9AFA-FAB1F5043F93}"/>
    <cellStyle name="Note 7 3 6" xfId="10677" xr:uid="{00000000-0005-0000-0000-000092630000}"/>
    <cellStyle name="Note 7 3 6 2" xfId="34526" xr:uid="{B2C4B0CD-C38E-41D9-9C43-8C716033C847}"/>
    <cellStyle name="Note 7 3 7" xfId="18632" xr:uid="{00000000-0005-0000-0000-000093630000}"/>
    <cellStyle name="Note 7 3 7 2" xfId="42464" xr:uid="{3B0B6630-B3A4-4990-8FC9-C5C42AD08FDD}"/>
    <cellStyle name="Note 7 3 8" xfId="26584" xr:uid="{BB357ED6-BD3D-4C26-B60B-3F7DA351A6BA}"/>
    <cellStyle name="Note 7 3_Exh G" xfId="3672" xr:uid="{00000000-0005-0000-0000-000094630000}"/>
    <cellStyle name="Note 7 4" xfId="1038" xr:uid="{00000000-0005-0000-0000-000095630000}"/>
    <cellStyle name="Note 7 4 2" xfId="1937" xr:uid="{00000000-0005-0000-0000-000096630000}"/>
    <cellStyle name="Note 7 4 2 2" xfId="5455" xr:uid="{00000000-0005-0000-0000-000097630000}"/>
    <cellStyle name="Note 7 4 2 2 2" xfId="9046" xr:uid="{00000000-0005-0000-0000-000098630000}"/>
    <cellStyle name="Note 7 4 2 2 2 2" xfId="17017" xr:uid="{00000000-0005-0000-0000-000099630000}"/>
    <cellStyle name="Note 7 4 2 2 2 2 2" xfId="40859" xr:uid="{4B0BE7AC-9D0A-4785-BF6F-E1BC41F9E8A9}"/>
    <cellStyle name="Note 7 4 2 2 2 3" xfId="24963" xr:uid="{00000000-0005-0000-0000-00009A630000}"/>
    <cellStyle name="Note 7 4 2 2 2 3 2" xfId="48795" xr:uid="{8DA24AA4-1C2F-4EDC-897E-3DEB05FF6B64}"/>
    <cellStyle name="Note 7 4 2 2 2 4" xfId="32918" xr:uid="{608FBA51-A4A7-428D-B9A1-9CA8DE02D06D}"/>
    <cellStyle name="Note 7 4 2 2 3" xfId="13479" xr:uid="{00000000-0005-0000-0000-00009B630000}"/>
    <cellStyle name="Note 7 4 2 2 3 2" xfId="37328" xr:uid="{168EAF6F-FC69-49EA-ACEF-39479AC2AE56}"/>
    <cellStyle name="Note 7 4 2 2 4" xfId="21434" xr:uid="{00000000-0005-0000-0000-00009C630000}"/>
    <cellStyle name="Note 7 4 2 2 4 2" xfId="45266" xr:uid="{D12C7362-A983-4B77-8A2C-A9BC69DDD0A7}"/>
    <cellStyle name="Note 7 4 2 2 5" xfId="29387" xr:uid="{99DF0504-06D1-4047-A635-9658ED312417}"/>
    <cellStyle name="Note 7 4 2 3" xfId="7287" xr:uid="{00000000-0005-0000-0000-00009D630000}"/>
    <cellStyle name="Note 7 4 2 3 2" xfId="15259" xr:uid="{00000000-0005-0000-0000-00009E630000}"/>
    <cellStyle name="Note 7 4 2 3 2 2" xfId="39101" xr:uid="{4980E09C-7EFF-4CD4-B1F6-8A4E742C0DBA}"/>
    <cellStyle name="Note 7 4 2 3 3" xfId="23206" xr:uid="{00000000-0005-0000-0000-00009F630000}"/>
    <cellStyle name="Note 7 4 2 3 3 2" xfId="47038" xr:uid="{3C79AF4E-B1A1-4A7C-986A-2B5796BEE99C}"/>
    <cellStyle name="Note 7 4 2 3 4" xfId="31160" xr:uid="{9F77BD7F-0962-43DD-9E4A-E2DA20AEF22A}"/>
    <cellStyle name="Note 7 4 2 4" xfId="11723" xr:uid="{00000000-0005-0000-0000-0000A0630000}"/>
    <cellStyle name="Note 7 4 2 4 2" xfId="35572" xr:uid="{4F9DA239-E362-44B1-A639-760046ADAF18}"/>
    <cellStyle name="Note 7 4 2 5" xfId="19678" xr:uid="{00000000-0005-0000-0000-0000A1630000}"/>
    <cellStyle name="Note 7 4 2 5 2" xfId="43510" xr:uid="{80911EB7-F9D0-46D4-B34D-BCC2309A9794}"/>
    <cellStyle name="Note 7 4 2 6" xfId="27630" xr:uid="{420C4039-66F1-4845-A731-13AB1A19ACCD}"/>
    <cellStyle name="Note 7 4 2_Exh G" xfId="3675" xr:uid="{00000000-0005-0000-0000-0000A2630000}"/>
    <cellStyle name="Note 7 4 3" xfId="4576" xr:uid="{00000000-0005-0000-0000-0000A3630000}"/>
    <cellStyle name="Note 7 4 3 2" xfId="8168" xr:uid="{00000000-0005-0000-0000-0000A4630000}"/>
    <cellStyle name="Note 7 4 3 2 2" xfId="16139" xr:uid="{00000000-0005-0000-0000-0000A5630000}"/>
    <cellStyle name="Note 7 4 3 2 2 2" xfId="39981" xr:uid="{18FF64FB-9BEC-4FDF-A472-20850110097F}"/>
    <cellStyle name="Note 7 4 3 2 3" xfId="24085" xr:uid="{00000000-0005-0000-0000-0000A6630000}"/>
    <cellStyle name="Note 7 4 3 2 3 2" xfId="47917" xr:uid="{95621C49-B5E6-4278-9CB5-916F8DEE3E38}"/>
    <cellStyle name="Note 7 4 3 2 4" xfId="32040" xr:uid="{2AD4486C-067C-466A-A99B-D002C942D894}"/>
    <cellStyle name="Note 7 4 3 3" xfId="12601" xr:uid="{00000000-0005-0000-0000-0000A7630000}"/>
    <cellStyle name="Note 7 4 3 3 2" xfId="36450" xr:uid="{31F82225-1DC3-4AB7-9A83-070ADF0EBD60}"/>
    <cellStyle name="Note 7 4 3 4" xfId="20556" xr:uid="{00000000-0005-0000-0000-0000A8630000}"/>
    <cellStyle name="Note 7 4 3 4 2" xfId="44388" xr:uid="{E0AF8BC0-263D-4A37-8DAE-4EF603611932}"/>
    <cellStyle name="Note 7 4 3 5" xfId="28509" xr:uid="{06D9D1E2-B4CB-4C94-8E1F-1ED6E01EDBBA}"/>
    <cellStyle name="Note 7 4 4" xfId="6408" xr:uid="{00000000-0005-0000-0000-0000A9630000}"/>
    <cellStyle name="Note 7 4 4 2" xfId="14381" xr:uid="{00000000-0005-0000-0000-0000AA630000}"/>
    <cellStyle name="Note 7 4 4 2 2" xfId="38223" xr:uid="{7A703873-2FE0-4D60-AC0A-073B3A542800}"/>
    <cellStyle name="Note 7 4 4 3" xfId="22328" xr:uid="{00000000-0005-0000-0000-0000AB630000}"/>
    <cellStyle name="Note 7 4 4 3 2" xfId="46160" xr:uid="{C77A2D8E-04F3-4FAA-B142-764B897A15FF}"/>
    <cellStyle name="Note 7 4 4 4" xfId="30282" xr:uid="{FC004B60-6B7D-4226-B1E3-01CB6744E394}"/>
    <cellStyle name="Note 7 4 5" xfId="9949" xr:uid="{00000000-0005-0000-0000-0000AC630000}"/>
    <cellStyle name="Note 7 4 5 2" xfId="17907" xr:uid="{00000000-0005-0000-0000-0000AD630000}"/>
    <cellStyle name="Note 7 4 5 2 2" xfId="41747" xr:uid="{6A8D784A-6EF3-4BDB-B9CE-EB40C3172DF2}"/>
    <cellStyle name="Note 7 4 5 3" xfId="25851" xr:uid="{00000000-0005-0000-0000-0000AE630000}"/>
    <cellStyle name="Note 7 4 5 3 2" xfId="49683" xr:uid="{3A3F658F-C951-4CF1-967B-33D1614785FF}"/>
    <cellStyle name="Note 7 4 5 4" xfId="33806" xr:uid="{66CD39A2-EB1E-4B12-BA31-C498D09D3716}"/>
    <cellStyle name="Note 7 4 6" xfId="10845" xr:uid="{00000000-0005-0000-0000-0000AF630000}"/>
    <cellStyle name="Note 7 4 6 2" xfId="34694" xr:uid="{1AD5B30D-5FD9-4E72-8693-21EAB680EC8F}"/>
    <cellStyle name="Note 7 4 7" xfId="18800" xr:uid="{00000000-0005-0000-0000-0000B0630000}"/>
    <cellStyle name="Note 7 4 7 2" xfId="42632" xr:uid="{0F8F70C0-8DE1-46A8-9DBF-0B1060526DEB}"/>
    <cellStyle name="Note 7 4 8" xfId="26752" xr:uid="{BDDDD839-050C-4714-97A5-3E49C1CFF0E6}"/>
    <cellStyle name="Note 7 4_Exh G" xfId="3674" xr:uid="{00000000-0005-0000-0000-0000B1630000}"/>
    <cellStyle name="Note 7 5" xfId="1754" xr:uid="{00000000-0005-0000-0000-0000B2630000}"/>
    <cellStyle name="Note 7 5 2" xfId="5284" xr:uid="{00000000-0005-0000-0000-0000B3630000}"/>
    <cellStyle name="Note 7 5 2 2" xfId="8875" xr:uid="{00000000-0005-0000-0000-0000B4630000}"/>
    <cellStyle name="Note 7 5 2 2 2" xfId="16846" xr:uid="{00000000-0005-0000-0000-0000B5630000}"/>
    <cellStyle name="Note 7 5 2 2 2 2" xfId="40688" xr:uid="{42A8F110-DFB7-455A-A931-3FB690619B3B}"/>
    <cellStyle name="Note 7 5 2 2 3" xfId="24792" xr:uid="{00000000-0005-0000-0000-0000B6630000}"/>
    <cellStyle name="Note 7 5 2 2 3 2" xfId="48624" xr:uid="{A8C8C401-2BDE-4990-AD62-A92852C8DD16}"/>
    <cellStyle name="Note 7 5 2 2 4" xfId="32747" xr:uid="{3DBFB330-47AD-4326-91B2-57418C52F4F4}"/>
    <cellStyle name="Note 7 5 2 3" xfId="13308" xr:uid="{00000000-0005-0000-0000-0000B7630000}"/>
    <cellStyle name="Note 7 5 2 3 2" xfId="37157" xr:uid="{1D87D7D6-467C-4445-899E-791B8D3C5D6A}"/>
    <cellStyle name="Note 7 5 2 4" xfId="21263" xr:uid="{00000000-0005-0000-0000-0000B8630000}"/>
    <cellStyle name="Note 7 5 2 4 2" xfId="45095" xr:uid="{0DA2B26D-AC10-4B89-9CFE-5654E7FF4E01}"/>
    <cellStyle name="Note 7 5 2 5" xfId="29216" xr:uid="{D5A9E371-E7F2-4508-8073-16A6CE3B2B68}"/>
    <cellStyle name="Note 7 5 3" xfId="7116" xr:uid="{00000000-0005-0000-0000-0000B9630000}"/>
    <cellStyle name="Note 7 5 3 2" xfId="15088" xr:uid="{00000000-0005-0000-0000-0000BA630000}"/>
    <cellStyle name="Note 7 5 3 2 2" xfId="38930" xr:uid="{5AFBACAE-2F8A-427E-AC4C-9C6FD1AAE912}"/>
    <cellStyle name="Note 7 5 3 3" xfId="23035" xr:uid="{00000000-0005-0000-0000-0000BB630000}"/>
    <cellStyle name="Note 7 5 3 3 2" xfId="46867" xr:uid="{14EE3D0D-BCEA-4CFB-8A6D-CB2A1E6A94C9}"/>
    <cellStyle name="Note 7 5 3 4" xfId="30989" xr:uid="{13475C61-7F58-4289-9485-227B8F80B13E}"/>
    <cellStyle name="Note 7 5 4" xfId="11552" xr:uid="{00000000-0005-0000-0000-0000BC630000}"/>
    <cellStyle name="Note 7 5 4 2" xfId="35401" xr:uid="{1B5F9427-DC01-4FCB-A422-3B7786C9B0DA}"/>
    <cellStyle name="Note 7 5 5" xfId="19507" xr:uid="{00000000-0005-0000-0000-0000BD630000}"/>
    <cellStyle name="Note 7 5 5 2" xfId="43339" xr:uid="{341FF9A0-ADAA-4DE0-8950-DF3E3C167616}"/>
    <cellStyle name="Note 7 5 6" xfId="27459" xr:uid="{614FD2FA-E697-47E6-8027-21B0F2E60B99}"/>
    <cellStyle name="Note 7 5_Exh G" xfId="3676" xr:uid="{00000000-0005-0000-0000-0000BE630000}"/>
    <cellStyle name="Note 7 6" xfId="4405" xr:uid="{00000000-0005-0000-0000-0000BF630000}"/>
    <cellStyle name="Note 7 6 2" xfId="7997" xr:uid="{00000000-0005-0000-0000-0000C0630000}"/>
    <cellStyle name="Note 7 6 2 2" xfId="15968" xr:uid="{00000000-0005-0000-0000-0000C1630000}"/>
    <cellStyle name="Note 7 6 2 2 2" xfId="39810" xr:uid="{00792BE2-951F-4A58-8806-9D79DAE5C7E5}"/>
    <cellStyle name="Note 7 6 2 3" xfId="23914" xr:uid="{00000000-0005-0000-0000-0000C2630000}"/>
    <cellStyle name="Note 7 6 2 3 2" xfId="47746" xr:uid="{5D9B35AC-397A-43CF-9C2A-FCF77045FD00}"/>
    <cellStyle name="Note 7 6 2 4" xfId="31869" xr:uid="{74657897-4602-49DB-85D0-114D14FFE61C}"/>
    <cellStyle name="Note 7 6 3" xfId="12430" xr:uid="{00000000-0005-0000-0000-0000C3630000}"/>
    <cellStyle name="Note 7 6 3 2" xfId="36279" xr:uid="{3B49A196-35C7-470B-885B-893516EDEC7F}"/>
    <cellStyle name="Note 7 6 4" xfId="20385" xr:uid="{00000000-0005-0000-0000-0000C4630000}"/>
    <cellStyle name="Note 7 6 4 2" xfId="44217" xr:uid="{5B02F138-53ED-422F-AC53-9329408B0114}"/>
    <cellStyle name="Note 7 6 5" xfId="28338" xr:uid="{5D6CA9C2-928F-479A-B06D-633098E8CE74}"/>
    <cellStyle name="Note 7 7" xfId="6225" xr:uid="{00000000-0005-0000-0000-0000C5630000}"/>
    <cellStyle name="Note 7 7 2" xfId="14209" xr:uid="{00000000-0005-0000-0000-0000C6630000}"/>
    <cellStyle name="Note 7 7 2 2" xfId="38052" xr:uid="{437A33A1-49BA-4734-8321-B62DAEC4CB8D}"/>
    <cellStyle name="Note 7 7 3" xfId="22157" xr:uid="{00000000-0005-0000-0000-0000C7630000}"/>
    <cellStyle name="Note 7 7 3 2" xfId="45989" xr:uid="{F1D2DA14-135A-4996-8E68-EAD8E2B85EC3}"/>
    <cellStyle name="Note 7 7 4" xfId="30111" xr:uid="{7847B059-393C-45A3-A855-DD9104666356}"/>
    <cellStyle name="Note 7 8" xfId="9778" xr:uid="{00000000-0005-0000-0000-0000C8630000}"/>
    <cellStyle name="Note 7 8 2" xfId="17736" xr:uid="{00000000-0005-0000-0000-0000C9630000}"/>
    <cellStyle name="Note 7 8 2 2" xfId="41576" xr:uid="{098C2545-1FC1-4A99-944B-19B412718459}"/>
    <cellStyle name="Note 7 8 3" xfId="25680" xr:uid="{00000000-0005-0000-0000-0000CA630000}"/>
    <cellStyle name="Note 7 8 3 2" xfId="49512" xr:uid="{B49DC4D8-72CD-48BF-AC53-97CC1F65ECD9}"/>
    <cellStyle name="Note 7 8 4" xfId="33635" xr:uid="{08ABB11F-7591-417E-A402-201DCDE9B94A}"/>
    <cellStyle name="Note 7 9" xfId="10674" xr:uid="{00000000-0005-0000-0000-0000CB630000}"/>
    <cellStyle name="Note 7 9 2" xfId="34523" xr:uid="{F6F02DAD-AF6B-46AF-ABF8-1A567B0D80EF}"/>
    <cellStyle name="Note 7_Exh G" xfId="3667" xr:uid="{00000000-0005-0000-0000-0000CC630000}"/>
    <cellStyle name="Note 8" xfId="730" xr:uid="{00000000-0005-0000-0000-0000CD630000}"/>
    <cellStyle name="Note 8 10" xfId="18633" xr:uid="{00000000-0005-0000-0000-0000CE630000}"/>
    <cellStyle name="Note 8 10 2" xfId="42465" xr:uid="{1F8CD182-1153-4491-BABA-A3CB444D249B}"/>
    <cellStyle name="Note 8 11" xfId="26585" xr:uid="{43B3572E-25A3-4512-A114-9EA12C273871}"/>
    <cellStyle name="Note 8 2" xfId="731" xr:uid="{00000000-0005-0000-0000-0000CF630000}"/>
    <cellStyle name="Note 8 2 2" xfId="732" xr:uid="{00000000-0005-0000-0000-0000D0630000}"/>
    <cellStyle name="Note 8 2 2 2" xfId="1760" xr:uid="{00000000-0005-0000-0000-0000D1630000}"/>
    <cellStyle name="Note 8 2 2 2 2" xfId="5290" xr:uid="{00000000-0005-0000-0000-0000D2630000}"/>
    <cellStyle name="Note 8 2 2 2 2 2" xfId="8881" xr:uid="{00000000-0005-0000-0000-0000D3630000}"/>
    <cellStyle name="Note 8 2 2 2 2 2 2" xfId="16852" xr:uid="{00000000-0005-0000-0000-0000D4630000}"/>
    <cellStyle name="Note 8 2 2 2 2 2 2 2" xfId="40694" xr:uid="{72506A00-2AD9-4F36-B157-9820679FDA60}"/>
    <cellStyle name="Note 8 2 2 2 2 2 3" xfId="24798" xr:uid="{00000000-0005-0000-0000-0000D5630000}"/>
    <cellStyle name="Note 8 2 2 2 2 2 3 2" xfId="48630" xr:uid="{DA1E8156-790B-4E45-949C-C408762F3A8D}"/>
    <cellStyle name="Note 8 2 2 2 2 2 4" xfId="32753" xr:uid="{34827A84-617A-42DF-B4DE-DE2F603B89FD}"/>
    <cellStyle name="Note 8 2 2 2 2 3" xfId="13314" xr:uid="{00000000-0005-0000-0000-0000D6630000}"/>
    <cellStyle name="Note 8 2 2 2 2 3 2" xfId="37163" xr:uid="{D0AA8119-838C-4246-B341-3528A98B7279}"/>
    <cellStyle name="Note 8 2 2 2 2 4" xfId="21269" xr:uid="{00000000-0005-0000-0000-0000D7630000}"/>
    <cellStyle name="Note 8 2 2 2 2 4 2" xfId="45101" xr:uid="{F283AE83-4C95-4AF6-88C9-687509AC669C}"/>
    <cellStyle name="Note 8 2 2 2 2 5" xfId="29222" xr:uid="{4FFAE6CF-946D-4B9F-837C-BAA32E99B7DE}"/>
    <cellStyle name="Note 8 2 2 2 3" xfId="7122" xr:uid="{00000000-0005-0000-0000-0000D8630000}"/>
    <cellStyle name="Note 8 2 2 2 3 2" xfId="15094" xr:uid="{00000000-0005-0000-0000-0000D9630000}"/>
    <cellStyle name="Note 8 2 2 2 3 2 2" xfId="38936" xr:uid="{7583724E-2A20-4F91-B17C-8E971317F51D}"/>
    <cellStyle name="Note 8 2 2 2 3 3" xfId="23041" xr:uid="{00000000-0005-0000-0000-0000DA630000}"/>
    <cellStyle name="Note 8 2 2 2 3 3 2" xfId="46873" xr:uid="{CE291EC7-968E-42A9-9AEA-D3E4B9D4A9AB}"/>
    <cellStyle name="Note 8 2 2 2 3 4" xfId="30995" xr:uid="{451F52AC-9B92-4505-99CF-6CD9A6842AA5}"/>
    <cellStyle name="Note 8 2 2 2 4" xfId="11558" xr:uid="{00000000-0005-0000-0000-0000DB630000}"/>
    <cellStyle name="Note 8 2 2 2 4 2" xfId="35407" xr:uid="{E9C5A6F0-2F6B-414F-9B53-ABAD1D808E06}"/>
    <cellStyle name="Note 8 2 2 2 5" xfId="19513" xr:uid="{00000000-0005-0000-0000-0000DC630000}"/>
    <cellStyle name="Note 8 2 2 2 5 2" xfId="43345" xr:uid="{F4825AD0-D064-4841-8542-E9ABAF7C9D00}"/>
    <cellStyle name="Note 8 2 2 2 6" xfId="27465" xr:uid="{76A5F2F8-0362-4BE5-98AD-8BAB21D7B176}"/>
    <cellStyle name="Note 8 2 2 2_Exh G" xfId="3680" xr:uid="{00000000-0005-0000-0000-0000DD630000}"/>
    <cellStyle name="Note 8 2 2 3" xfId="4411" xr:uid="{00000000-0005-0000-0000-0000DE630000}"/>
    <cellStyle name="Note 8 2 2 3 2" xfId="8003" xr:uid="{00000000-0005-0000-0000-0000DF630000}"/>
    <cellStyle name="Note 8 2 2 3 2 2" xfId="15974" xr:uid="{00000000-0005-0000-0000-0000E0630000}"/>
    <cellStyle name="Note 8 2 2 3 2 2 2" xfId="39816" xr:uid="{6CDEF469-4CE9-4E08-9682-6DA5A3D73DC2}"/>
    <cellStyle name="Note 8 2 2 3 2 3" xfId="23920" xr:uid="{00000000-0005-0000-0000-0000E1630000}"/>
    <cellStyle name="Note 8 2 2 3 2 3 2" xfId="47752" xr:uid="{F2C328ED-AD78-4787-8524-D98535236C01}"/>
    <cellStyle name="Note 8 2 2 3 2 4" xfId="31875" xr:uid="{3C5502C2-FCDF-47A3-B3EE-C46C33CA918F}"/>
    <cellStyle name="Note 8 2 2 3 3" xfId="12436" xr:uid="{00000000-0005-0000-0000-0000E2630000}"/>
    <cellStyle name="Note 8 2 2 3 3 2" xfId="36285" xr:uid="{B3CF7684-C7EC-44EC-9850-949CD18A97A9}"/>
    <cellStyle name="Note 8 2 2 3 4" xfId="20391" xr:uid="{00000000-0005-0000-0000-0000E3630000}"/>
    <cellStyle name="Note 8 2 2 3 4 2" xfId="44223" xr:uid="{EB5609C4-10D1-478E-8E04-8A24B5486E06}"/>
    <cellStyle name="Note 8 2 2 3 5" xfId="28344" xr:uid="{28176FCA-A69E-43B9-B126-241B24B4B4D3}"/>
    <cellStyle name="Note 8 2 2 4" xfId="6231" xr:uid="{00000000-0005-0000-0000-0000E4630000}"/>
    <cellStyle name="Note 8 2 2 4 2" xfId="14215" xr:uid="{00000000-0005-0000-0000-0000E5630000}"/>
    <cellStyle name="Note 8 2 2 4 2 2" xfId="38058" xr:uid="{E0217F82-5B25-4596-AA8C-11415B6B1620}"/>
    <cellStyle name="Note 8 2 2 4 3" xfId="22163" xr:uid="{00000000-0005-0000-0000-0000E6630000}"/>
    <cellStyle name="Note 8 2 2 4 3 2" xfId="45995" xr:uid="{6DF9F867-AA84-46DC-8815-E344CF5A8E71}"/>
    <cellStyle name="Note 8 2 2 4 4" xfId="30117" xr:uid="{D18F3768-39BE-40D6-AA86-59DC91694DB6}"/>
    <cellStyle name="Note 8 2 2 5" xfId="9784" xr:uid="{00000000-0005-0000-0000-0000E7630000}"/>
    <cellStyle name="Note 8 2 2 5 2" xfId="17742" xr:uid="{00000000-0005-0000-0000-0000E8630000}"/>
    <cellStyle name="Note 8 2 2 5 2 2" xfId="41582" xr:uid="{3F844209-1986-4E29-8775-BBE09D9B7616}"/>
    <cellStyle name="Note 8 2 2 5 3" xfId="25686" xr:uid="{00000000-0005-0000-0000-0000E9630000}"/>
    <cellStyle name="Note 8 2 2 5 3 2" xfId="49518" xr:uid="{E03191F5-D0DB-4919-A7A6-91D85B5DD7DF}"/>
    <cellStyle name="Note 8 2 2 5 4" xfId="33641" xr:uid="{2BE16926-2CF3-44AE-9DE6-C5AF4080782C}"/>
    <cellStyle name="Note 8 2 2 6" xfId="10680" xr:uid="{00000000-0005-0000-0000-0000EA630000}"/>
    <cellStyle name="Note 8 2 2 6 2" xfId="34529" xr:uid="{47A79E80-5E60-49DC-8FDA-57E258076FFC}"/>
    <cellStyle name="Note 8 2 2 7" xfId="18635" xr:uid="{00000000-0005-0000-0000-0000EB630000}"/>
    <cellStyle name="Note 8 2 2 7 2" xfId="42467" xr:uid="{D1A786AD-4939-411E-A7E5-CAC0DE82406C}"/>
    <cellStyle name="Note 8 2 2 8" xfId="26587" xr:uid="{ED0A6726-4072-4744-95FA-00D77C697672}"/>
    <cellStyle name="Note 8 2 2_Exh G" xfId="3679" xr:uid="{00000000-0005-0000-0000-0000EC630000}"/>
    <cellStyle name="Note 8 2 3" xfId="1759" xr:uid="{00000000-0005-0000-0000-0000ED630000}"/>
    <cellStyle name="Note 8 2 3 2" xfId="5289" xr:uid="{00000000-0005-0000-0000-0000EE630000}"/>
    <cellStyle name="Note 8 2 3 2 2" xfId="8880" xr:uid="{00000000-0005-0000-0000-0000EF630000}"/>
    <cellStyle name="Note 8 2 3 2 2 2" xfId="16851" xr:uid="{00000000-0005-0000-0000-0000F0630000}"/>
    <cellStyle name="Note 8 2 3 2 2 2 2" xfId="40693" xr:uid="{63548E7A-7762-4B03-ADD8-195F5D07EB86}"/>
    <cellStyle name="Note 8 2 3 2 2 3" xfId="24797" xr:uid="{00000000-0005-0000-0000-0000F1630000}"/>
    <cellStyle name="Note 8 2 3 2 2 3 2" xfId="48629" xr:uid="{07B51B5D-F2E3-41F4-81E8-CB5A6D277B8E}"/>
    <cellStyle name="Note 8 2 3 2 2 4" xfId="32752" xr:uid="{9C925BCE-47D9-4BF5-A018-5285BE6E5BE8}"/>
    <cellStyle name="Note 8 2 3 2 3" xfId="13313" xr:uid="{00000000-0005-0000-0000-0000F2630000}"/>
    <cellStyle name="Note 8 2 3 2 3 2" xfId="37162" xr:uid="{BFF1E5C3-8822-4714-B06C-2C3EA0CF0DE3}"/>
    <cellStyle name="Note 8 2 3 2 4" xfId="21268" xr:uid="{00000000-0005-0000-0000-0000F3630000}"/>
    <cellStyle name="Note 8 2 3 2 4 2" xfId="45100" xr:uid="{063D5F86-1617-48D3-9429-7F33BD129181}"/>
    <cellStyle name="Note 8 2 3 2 5" xfId="29221" xr:uid="{4B50A9FB-5025-4007-AF30-AD09F678AB1D}"/>
    <cellStyle name="Note 8 2 3 3" xfId="7121" xr:uid="{00000000-0005-0000-0000-0000F4630000}"/>
    <cellStyle name="Note 8 2 3 3 2" xfId="15093" xr:uid="{00000000-0005-0000-0000-0000F5630000}"/>
    <cellStyle name="Note 8 2 3 3 2 2" xfId="38935" xr:uid="{E075F74C-DD9B-4EEC-B96B-97431AB65454}"/>
    <cellStyle name="Note 8 2 3 3 3" xfId="23040" xr:uid="{00000000-0005-0000-0000-0000F6630000}"/>
    <cellStyle name="Note 8 2 3 3 3 2" xfId="46872" xr:uid="{69417B97-9ABF-4484-A930-EE2491CC8C49}"/>
    <cellStyle name="Note 8 2 3 3 4" xfId="30994" xr:uid="{7A49E12A-E40A-43C4-802E-529170A36E8D}"/>
    <cellStyle name="Note 8 2 3 4" xfId="11557" xr:uid="{00000000-0005-0000-0000-0000F7630000}"/>
    <cellStyle name="Note 8 2 3 4 2" xfId="35406" xr:uid="{F0815516-64B5-4115-B279-B4A7C854CF7B}"/>
    <cellStyle name="Note 8 2 3 5" xfId="19512" xr:uid="{00000000-0005-0000-0000-0000F8630000}"/>
    <cellStyle name="Note 8 2 3 5 2" xfId="43344" xr:uid="{1D6FBDCA-F536-44C3-A0B0-E81F26850271}"/>
    <cellStyle name="Note 8 2 3 6" xfId="27464" xr:uid="{247591EE-BD0D-4939-B378-910B586AD8DB}"/>
    <cellStyle name="Note 8 2 3_Exh G" xfId="3681" xr:uid="{00000000-0005-0000-0000-0000F9630000}"/>
    <cellStyle name="Note 8 2 4" xfId="4410" xr:uid="{00000000-0005-0000-0000-0000FA630000}"/>
    <cellStyle name="Note 8 2 4 2" xfId="8002" xr:uid="{00000000-0005-0000-0000-0000FB630000}"/>
    <cellStyle name="Note 8 2 4 2 2" xfId="15973" xr:uid="{00000000-0005-0000-0000-0000FC630000}"/>
    <cellStyle name="Note 8 2 4 2 2 2" xfId="39815" xr:uid="{3EE8AD4E-8217-4C45-8588-4B36F670432C}"/>
    <cellStyle name="Note 8 2 4 2 3" xfId="23919" xr:uid="{00000000-0005-0000-0000-0000FD630000}"/>
    <cellStyle name="Note 8 2 4 2 3 2" xfId="47751" xr:uid="{37C4B5C4-9AE2-43A8-95B3-EABD654EF34B}"/>
    <cellStyle name="Note 8 2 4 2 4" xfId="31874" xr:uid="{38BD62FA-C80A-485A-BBD4-0E493649D62C}"/>
    <cellStyle name="Note 8 2 4 3" xfId="12435" xr:uid="{00000000-0005-0000-0000-0000FE630000}"/>
    <cellStyle name="Note 8 2 4 3 2" xfId="36284" xr:uid="{D83E8153-48F6-4139-99A5-0BDECED808B8}"/>
    <cellStyle name="Note 8 2 4 4" xfId="20390" xr:uid="{00000000-0005-0000-0000-0000FF630000}"/>
    <cellStyle name="Note 8 2 4 4 2" xfId="44222" xr:uid="{24D89FC8-2FC5-4B16-86F7-E8084CAB3635}"/>
    <cellStyle name="Note 8 2 4 5" xfId="28343" xr:uid="{66936F82-B784-4DF6-A82E-09F5C8C8BDD2}"/>
    <cellStyle name="Note 8 2 5" xfId="6230" xr:uid="{00000000-0005-0000-0000-000000640000}"/>
    <cellStyle name="Note 8 2 5 2" xfId="14214" xr:uid="{00000000-0005-0000-0000-000001640000}"/>
    <cellStyle name="Note 8 2 5 2 2" xfId="38057" xr:uid="{A9A68F0A-01D2-45DB-B75C-613A2A329007}"/>
    <cellStyle name="Note 8 2 5 3" xfId="22162" xr:uid="{00000000-0005-0000-0000-000002640000}"/>
    <cellStyle name="Note 8 2 5 3 2" xfId="45994" xr:uid="{E55CC68F-B7BB-47CE-AE5D-35A7BAD649EF}"/>
    <cellStyle name="Note 8 2 5 4" xfId="30116" xr:uid="{BBC9B3B0-EE08-4B0E-B86A-E2B0C987084F}"/>
    <cellStyle name="Note 8 2 6" xfId="9783" xr:uid="{00000000-0005-0000-0000-000003640000}"/>
    <cellStyle name="Note 8 2 6 2" xfId="17741" xr:uid="{00000000-0005-0000-0000-000004640000}"/>
    <cellStyle name="Note 8 2 6 2 2" xfId="41581" xr:uid="{07CA26E1-224A-40D1-87F0-3DD1FEAD5BB4}"/>
    <cellStyle name="Note 8 2 6 3" xfId="25685" xr:uid="{00000000-0005-0000-0000-000005640000}"/>
    <cellStyle name="Note 8 2 6 3 2" xfId="49517" xr:uid="{2085ED1D-191D-4B96-A7EB-D07AAAF87A41}"/>
    <cellStyle name="Note 8 2 6 4" xfId="33640" xr:uid="{2FFD3AAA-7335-4ABD-9A8D-379BA735A7F5}"/>
    <cellStyle name="Note 8 2 7" xfId="10679" xr:uid="{00000000-0005-0000-0000-000006640000}"/>
    <cellStyle name="Note 8 2 7 2" xfId="34528" xr:uid="{4E067028-E69E-4D1A-B75D-8CD55F3ABC48}"/>
    <cellStyle name="Note 8 2 8" xfId="18634" xr:uid="{00000000-0005-0000-0000-000007640000}"/>
    <cellStyle name="Note 8 2 8 2" xfId="42466" xr:uid="{38A9F875-3E6F-43D5-9902-840FA539EA2D}"/>
    <cellStyle name="Note 8 2 9" xfId="26586" xr:uid="{E98D833B-65C4-4D21-9B10-7A818061EFE8}"/>
    <cellStyle name="Note 8 2_Exh G" xfId="3678" xr:uid="{00000000-0005-0000-0000-000008640000}"/>
    <cellStyle name="Note 8 3" xfId="733" xr:uid="{00000000-0005-0000-0000-000009640000}"/>
    <cellStyle name="Note 8 3 2" xfId="1761" xr:uid="{00000000-0005-0000-0000-00000A640000}"/>
    <cellStyle name="Note 8 3 2 2" xfId="5291" xr:uid="{00000000-0005-0000-0000-00000B640000}"/>
    <cellStyle name="Note 8 3 2 2 2" xfId="8882" xr:uid="{00000000-0005-0000-0000-00000C640000}"/>
    <cellStyle name="Note 8 3 2 2 2 2" xfId="16853" xr:uid="{00000000-0005-0000-0000-00000D640000}"/>
    <cellStyle name="Note 8 3 2 2 2 2 2" xfId="40695" xr:uid="{8AF9DFF0-7652-45B7-845C-1CE62304A500}"/>
    <cellStyle name="Note 8 3 2 2 2 3" xfId="24799" xr:uid="{00000000-0005-0000-0000-00000E640000}"/>
    <cellStyle name="Note 8 3 2 2 2 3 2" xfId="48631" xr:uid="{69C1EFE1-DDE0-4451-BE53-EC287CC5CF0A}"/>
    <cellStyle name="Note 8 3 2 2 2 4" xfId="32754" xr:uid="{7633BA60-6287-4896-80E1-4241E4DCC26C}"/>
    <cellStyle name="Note 8 3 2 2 3" xfId="13315" xr:uid="{00000000-0005-0000-0000-00000F640000}"/>
    <cellStyle name="Note 8 3 2 2 3 2" xfId="37164" xr:uid="{AA027590-7800-45D9-94AA-065B297FE5A2}"/>
    <cellStyle name="Note 8 3 2 2 4" xfId="21270" xr:uid="{00000000-0005-0000-0000-000010640000}"/>
    <cellStyle name="Note 8 3 2 2 4 2" xfId="45102" xr:uid="{3C55BE14-3B03-4DB0-9110-546F46136947}"/>
    <cellStyle name="Note 8 3 2 2 5" xfId="29223" xr:uid="{5FC7FFE4-E1F6-4411-8181-5FBCD1B56064}"/>
    <cellStyle name="Note 8 3 2 3" xfId="7123" xr:uid="{00000000-0005-0000-0000-000011640000}"/>
    <cellStyle name="Note 8 3 2 3 2" xfId="15095" xr:uid="{00000000-0005-0000-0000-000012640000}"/>
    <cellStyle name="Note 8 3 2 3 2 2" xfId="38937" xr:uid="{DB5DE7FA-B525-431C-B008-92110EC35B34}"/>
    <cellStyle name="Note 8 3 2 3 3" xfId="23042" xr:uid="{00000000-0005-0000-0000-000013640000}"/>
    <cellStyle name="Note 8 3 2 3 3 2" xfId="46874" xr:uid="{6E069EB6-8C00-4CA4-BF1D-06286F52C24F}"/>
    <cellStyle name="Note 8 3 2 3 4" xfId="30996" xr:uid="{4A6BCEC1-416E-4BE0-8DB6-84B52F378CE0}"/>
    <cellStyle name="Note 8 3 2 4" xfId="11559" xr:uid="{00000000-0005-0000-0000-000014640000}"/>
    <cellStyle name="Note 8 3 2 4 2" xfId="35408" xr:uid="{FD26E75F-662F-4F73-B726-29D186AEF245}"/>
    <cellStyle name="Note 8 3 2 5" xfId="19514" xr:uid="{00000000-0005-0000-0000-000015640000}"/>
    <cellStyle name="Note 8 3 2 5 2" xfId="43346" xr:uid="{67564E43-117E-4873-82AE-E7B67BE62D38}"/>
    <cellStyle name="Note 8 3 2 6" xfId="27466" xr:uid="{BE8DE65B-11F9-4783-B13A-45BAC5A827D3}"/>
    <cellStyle name="Note 8 3 2_Exh G" xfId="3683" xr:uid="{00000000-0005-0000-0000-000016640000}"/>
    <cellStyle name="Note 8 3 3" xfId="4412" xr:uid="{00000000-0005-0000-0000-000017640000}"/>
    <cellStyle name="Note 8 3 3 2" xfId="8004" xr:uid="{00000000-0005-0000-0000-000018640000}"/>
    <cellStyle name="Note 8 3 3 2 2" xfId="15975" xr:uid="{00000000-0005-0000-0000-000019640000}"/>
    <cellStyle name="Note 8 3 3 2 2 2" xfId="39817" xr:uid="{D75C55FE-F151-47E5-ACD6-CFE973156494}"/>
    <cellStyle name="Note 8 3 3 2 3" xfId="23921" xr:uid="{00000000-0005-0000-0000-00001A640000}"/>
    <cellStyle name="Note 8 3 3 2 3 2" xfId="47753" xr:uid="{BCFA711C-1520-4428-880B-8B6C801310F6}"/>
    <cellStyle name="Note 8 3 3 2 4" xfId="31876" xr:uid="{97305AF0-10C8-49F4-93C1-108560C2024C}"/>
    <cellStyle name="Note 8 3 3 3" xfId="12437" xr:uid="{00000000-0005-0000-0000-00001B640000}"/>
    <cellStyle name="Note 8 3 3 3 2" xfId="36286" xr:uid="{301B5D9C-0CA7-423A-9648-D6CA5177A414}"/>
    <cellStyle name="Note 8 3 3 4" xfId="20392" xr:uid="{00000000-0005-0000-0000-00001C640000}"/>
    <cellStyle name="Note 8 3 3 4 2" xfId="44224" xr:uid="{00A76828-3B9D-42BD-812B-D997FB99C288}"/>
    <cellStyle name="Note 8 3 3 5" xfId="28345" xr:uid="{43B07A51-BBF9-4B81-874E-34783E7BE7F5}"/>
    <cellStyle name="Note 8 3 4" xfId="6232" xr:uid="{00000000-0005-0000-0000-00001D640000}"/>
    <cellStyle name="Note 8 3 4 2" xfId="14216" xr:uid="{00000000-0005-0000-0000-00001E640000}"/>
    <cellStyle name="Note 8 3 4 2 2" xfId="38059" xr:uid="{D297F137-8A44-45C3-86E6-34B8002233B8}"/>
    <cellStyle name="Note 8 3 4 3" xfId="22164" xr:uid="{00000000-0005-0000-0000-00001F640000}"/>
    <cellStyle name="Note 8 3 4 3 2" xfId="45996" xr:uid="{88AD672F-3951-4AD4-BE9E-5DD6C85DAB92}"/>
    <cellStyle name="Note 8 3 4 4" xfId="30118" xr:uid="{916ADA40-127A-455A-9B63-5D1B523AEF9D}"/>
    <cellStyle name="Note 8 3 5" xfId="9785" xr:uid="{00000000-0005-0000-0000-000020640000}"/>
    <cellStyle name="Note 8 3 5 2" xfId="17743" xr:uid="{00000000-0005-0000-0000-000021640000}"/>
    <cellStyle name="Note 8 3 5 2 2" xfId="41583" xr:uid="{FBEA77E8-BE3D-4EEE-A7C0-669A5438630F}"/>
    <cellStyle name="Note 8 3 5 3" xfId="25687" xr:uid="{00000000-0005-0000-0000-000022640000}"/>
    <cellStyle name="Note 8 3 5 3 2" xfId="49519" xr:uid="{AD16EDE4-3B86-45E9-B11C-2DF6FBEF7CE3}"/>
    <cellStyle name="Note 8 3 5 4" xfId="33642" xr:uid="{CE97A360-3E32-4DB8-8751-AB59D824A1DC}"/>
    <cellStyle name="Note 8 3 6" xfId="10681" xr:uid="{00000000-0005-0000-0000-000023640000}"/>
    <cellStyle name="Note 8 3 6 2" xfId="34530" xr:uid="{F4006A2E-28F6-4E4D-ADD0-A29A5B2421D6}"/>
    <cellStyle name="Note 8 3 7" xfId="18636" xr:uid="{00000000-0005-0000-0000-000024640000}"/>
    <cellStyle name="Note 8 3 7 2" xfId="42468" xr:uid="{8286A584-A1B1-45BF-8F09-B148C3FA2BFC}"/>
    <cellStyle name="Note 8 3 8" xfId="26588" xr:uid="{43B7EB35-917E-4E62-AA85-60D463E60782}"/>
    <cellStyle name="Note 8 3_Exh G" xfId="3682" xr:uid="{00000000-0005-0000-0000-000025640000}"/>
    <cellStyle name="Note 8 4" xfId="1039" xr:uid="{00000000-0005-0000-0000-000026640000}"/>
    <cellStyle name="Note 8 4 2" xfId="1938" xr:uid="{00000000-0005-0000-0000-000027640000}"/>
    <cellStyle name="Note 8 4 2 2" xfId="5456" xr:uid="{00000000-0005-0000-0000-000028640000}"/>
    <cellStyle name="Note 8 4 2 2 2" xfId="9047" xr:uid="{00000000-0005-0000-0000-000029640000}"/>
    <cellStyle name="Note 8 4 2 2 2 2" xfId="17018" xr:uid="{00000000-0005-0000-0000-00002A640000}"/>
    <cellStyle name="Note 8 4 2 2 2 2 2" xfId="40860" xr:uid="{E873D45B-4F6C-4EA6-95AC-15E11C0B3511}"/>
    <cellStyle name="Note 8 4 2 2 2 3" xfId="24964" xr:uid="{00000000-0005-0000-0000-00002B640000}"/>
    <cellStyle name="Note 8 4 2 2 2 3 2" xfId="48796" xr:uid="{C6FBE82C-63A6-49B4-965C-1DF3CC7370F5}"/>
    <cellStyle name="Note 8 4 2 2 2 4" xfId="32919" xr:uid="{2B5C05D8-B100-4481-9B1C-ABB728AC1FC4}"/>
    <cellStyle name="Note 8 4 2 2 3" xfId="13480" xr:uid="{00000000-0005-0000-0000-00002C640000}"/>
    <cellStyle name="Note 8 4 2 2 3 2" xfId="37329" xr:uid="{12A82DDB-EEF9-4095-A075-A4E9B09177D2}"/>
    <cellStyle name="Note 8 4 2 2 4" xfId="21435" xr:uid="{00000000-0005-0000-0000-00002D640000}"/>
    <cellStyle name="Note 8 4 2 2 4 2" xfId="45267" xr:uid="{50E1A598-678B-4452-A676-2CB7ECE299CE}"/>
    <cellStyle name="Note 8 4 2 2 5" xfId="29388" xr:uid="{DFE17543-89B3-4AA4-8469-00692E0E8337}"/>
    <cellStyle name="Note 8 4 2 3" xfId="7288" xr:uid="{00000000-0005-0000-0000-00002E640000}"/>
    <cellStyle name="Note 8 4 2 3 2" xfId="15260" xr:uid="{00000000-0005-0000-0000-00002F640000}"/>
    <cellStyle name="Note 8 4 2 3 2 2" xfId="39102" xr:uid="{CF5D3994-BFF1-4577-BAEE-F0BF7AFB6F34}"/>
    <cellStyle name="Note 8 4 2 3 3" xfId="23207" xr:uid="{00000000-0005-0000-0000-000030640000}"/>
    <cellStyle name="Note 8 4 2 3 3 2" xfId="47039" xr:uid="{873CD936-23A5-4475-8C95-F29FA0F3E787}"/>
    <cellStyle name="Note 8 4 2 3 4" xfId="31161" xr:uid="{4F7DF1D7-EB3F-440C-8346-635A18F5A62E}"/>
    <cellStyle name="Note 8 4 2 4" xfId="11724" xr:uid="{00000000-0005-0000-0000-000031640000}"/>
    <cellStyle name="Note 8 4 2 4 2" xfId="35573" xr:uid="{E962DC72-9902-43FA-A5A9-0F515CDE5C19}"/>
    <cellStyle name="Note 8 4 2 5" xfId="19679" xr:uid="{00000000-0005-0000-0000-000032640000}"/>
    <cellStyle name="Note 8 4 2 5 2" xfId="43511" xr:uid="{1F50D184-6819-4AFA-B0CB-5673040572CE}"/>
    <cellStyle name="Note 8 4 2 6" xfId="27631" xr:uid="{DE27C334-829B-4231-B485-E7CDDFC48C68}"/>
    <cellStyle name="Note 8 4 2_Exh G" xfId="3685" xr:uid="{00000000-0005-0000-0000-000033640000}"/>
    <cellStyle name="Note 8 4 3" xfId="4577" xr:uid="{00000000-0005-0000-0000-000034640000}"/>
    <cellStyle name="Note 8 4 3 2" xfId="8169" xr:uid="{00000000-0005-0000-0000-000035640000}"/>
    <cellStyle name="Note 8 4 3 2 2" xfId="16140" xr:uid="{00000000-0005-0000-0000-000036640000}"/>
    <cellStyle name="Note 8 4 3 2 2 2" xfId="39982" xr:uid="{2CC612D2-F167-495D-9D83-550581000B60}"/>
    <cellStyle name="Note 8 4 3 2 3" xfId="24086" xr:uid="{00000000-0005-0000-0000-000037640000}"/>
    <cellStyle name="Note 8 4 3 2 3 2" xfId="47918" xr:uid="{9FEEA6FF-B90B-44B9-B2AF-3A3B0B2DEAAD}"/>
    <cellStyle name="Note 8 4 3 2 4" xfId="32041" xr:uid="{54A04BCD-7907-40AD-9F19-55D0D256A5E6}"/>
    <cellStyle name="Note 8 4 3 3" xfId="12602" xr:uid="{00000000-0005-0000-0000-000038640000}"/>
    <cellStyle name="Note 8 4 3 3 2" xfId="36451" xr:uid="{EDD023C3-299A-4E82-A86A-2C5BF361E8AD}"/>
    <cellStyle name="Note 8 4 3 4" xfId="20557" xr:uid="{00000000-0005-0000-0000-000039640000}"/>
    <cellStyle name="Note 8 4 3 4 2" xfId="44389" xr:uid="{9B6475E4-0746-4A7E-99C4-43D31FA0D2A0}"/>
    <cellStyle name="Note 8 4 3 5" xfId="28510" xr:uid="{7DCE7A64-4C06-464D-AD55-8064D4487834}"/>
    <cellStyle name="Note 8 4 4" xfId="6409" xr:uid="{00000000-0005-0000-0000-00003A640000}"/>
    <cellStyle name="Note 8 4 4 2" xfId="14382" xr:uid="{00000000-0005-0000-0000-00003B640000}"/>
    <cellStyle name="Note 8 4 4 2 2" xfId="38224" xr:uid="{26CF8171-CAC5-46D7-A619-2EAB940A8705}"/>
    <cellStyle name="Note 8 4 4 3" xfId="22329" xr:uid="{00000000-0005-0000-0000-00003C640000}"/>
    <cellStyle name="Note 8 4 4 3 2" xfId="46161" xr:uid="{4A77A5B6-F30F-40BB-B7C3-5C4F3CF366FF}"/>
    <cellStyle name="Note 8 4 4 4" xfId="30283" xr:uid="{5C08CCC4-8D3F-4DA3-B9F3-C8AA9631DFD8}"/>
    <cellStyle name="Note 8 4 5" xfId="9950" xr:uid="{00000000-0005-0000-0000-00003D640000}"/>
    <cellStyle name="Note 8 4 5 2" xfId="17908" xr:uid="{00000000-0005-0000-0000-00003E640000}"/>
    <cellStyle name="Note 8 4 5 2 2" xfId="41748" xr:uid="{97E57DDC-C5DB-4BEF-A65E-07088C35D68F}"/>
    <cellStyle name="Note 8 4 5 3" xfId="25852" xr:uid="{00000000-0005-0000-0000-00003F640000}"/>
    <cellStyle name="Note 8 4 5 3 2" xfId="49684" xr:uid="{C6A3D02A-BE45-45A8-B1E2-00351B709CFD}"/>
    <cellStyle name="Note 8 4 5 4" xfId="33807" xr:uid="{E409C61F-9537-4913-B6D2-D4E997BA52D5}"/>
    <cellStyle name="Note 8 4 6" xfId="10846" xr:uid="{00000000-0005-0000-0000-000040640000}"/>
    <cellStyle name="Note 8 4 6 2" xfId="34695" xr:uid="{F66B31BE-9D03-49D5-937B-BBE976F99859}"/>
    <cellStyle name="Note 8 4 7" xfId="18801" xr:uid="{00000000-0005-0000-0000-000041640000}"/>
    <cellStyle name="Note 8 4 7 2" xfId="42633" xr:uid="{523BF6CA-65A5-4766-BFB8-0C0418C3DF2D}"/>
    <cellStyle name="Note 8 4 8" xfId="26753" xr:uid="{C31A3C85-379C-439F-A1B5-C1C7C00EBD79}"/>
    <cellStyle name="Note 8 4_Exh G" xfId="3684" xr:uid="{00000000-0005-0000-0000-000042640000}"/>
    <cellStyle name="Note 8 5" xfId="1758" xr:uid="{00000000-0005-0000-0000-000043640000}"/>
    <cellStyle name="Note 8 5 2" xfId="5288" xr:uid="{00000000-0005-0000-0000-000044640000}"/>
    <cellStyle name="Note 8 5 2 2" xfId="8879" xr:uid="{00000000-0005-0000-0000-000045640000}"/>
    <cellStyle name="Note 8 5 2 2 2" xfId="16850" xr:uid="{00000000-0005-0000-0000-000046640000}"/>
    <cellStyle name="Note 8 5 2 2 2 2" xfId="40692" xr:uid="{F10403B5-68B4-45B0-8EA4-DA99A79E97BF}"/>
    <cellStyle name="Note 8 5 2 2 3" xfId="24796" xr:uid="{00000000-0005-0000-0000-000047640000}"/>
    <cellStyle name="Note 8 5 2 2 3 2" xfId="48628" xr:uid="{B439B1AE-930E-4A6F-B616-CF5C01747FC4}"/>
    <cellStyle name="Note 8 5 2 2 4" xfId="32751" xr:uid="{DE99AE66-3C81-4AFF-9A8B-26F5BEE32650}"/>
    <cellStyle name="Note 8 5 2 3" xfId="13312" xr:uid="{00000000-0005-0000-0000-000048640000}"/>
    <cellStyle name="Note 8 5 2 3 2" xfId="37161" xr:uid="{652A6115-AFA7-4F73-80D2-079437B508B4}"/>
    <cellStyle name="Note 8 5 2 4" xfId="21267" xr:uid="{00000000-0005-0000-0000-000049640000}"/>
    <cellStyle name="Note 8 5 2 4 2" xfId="45099" xr:uid="{0E63588F-89B8-4FC8-8311-806379B96489}"/>
    <cellStyle name="Note 8 5 2 5" xfId="29220" xr:uid="{E209B5F5-9B36-4357-91B6-3E4954AACB46}"/>
    <cellStyle name="Note 8 5 3" xfId="7120" xr:uid="{00000000-0005-0000-0000-00004A640000}"/>
    <cellStyle name="Note 8 5 3 2" xfId="15092" xr:uid="{00000000-0005-0000-0000-00004B640000}"/>
    <cellStyle name="Note 8 5 3 2 2" xfId="38934" xr:uid="{F74FCE8C-55D2-4414-B769-2337DC9B1C19}"/>
    <cellStyle name="Note 8 5 3 3" xfId="23039" xr:uid="{00000000-0005-0000-0000-00004C640000}"/>
    <cellStyle name="Note 8 5 3 3 2" xfId="46871" xr:uid="{B633E7B0-AE25-4EA3-B241-15C599D28125}"/>
    <cellStyle name="Note 8 5 3 4" xfId="30993" xr:uid="{410F1D6D-2BAE-497F-B727-3F5C7198A628}"/>
    <cellStyle name="Note 8 5 4" xfId="11556" xr:uid="{00000000-0005-0000-0000-00004D640000}"/>
    <cellStyle name="Note 8 5 4 2" xfId="35405" xr:uid="{A417BB95-10C2-4964-BFBE-105D66B709D6}"/>
    <cellStyle name="Note 8 5 5" xfId="19511" xr:uid="{00000000-0005-0000-0000-00004E640000}"/>
    <cellStyle name="Note 8 5 5 2" xfId="43343" xr:uid="{0AE910E6-0478-45AF-B984-969BBDD212C4}"/>
    <cellStyle name="Note 8 5 6" xfId="27463" xr:uid="{BC14E67C-7DFB-46A0-AF54-6D72D43A5C69}"/>
    <cellStyle name="Note 8 5_Exh G" xfId="3686" xr:uid="{00000000-0005-0000-0000-00004F640000}"/>
    <cellStyle name="Note 8 6" xfId="4409" xr:uid="{00000000-0005-0000-0000-000050640000}"/>
    <cellStyle name="Note 8 6 2" xfId="8001" xr:uid="{00000000-0005-0000-0000-000051640000}"/>
    <cellStyle name="Note 8 6 2 2" xfId="15972" xr:uid="{00000000-0005-0000-0000-000052640000}"/>
    <cellStyle name="Note 8 6 2 2 2" xfId="39814" xr:uid="{DB6680BD-138D-4E4C-A662-A3CBC8118270}"/>
    <cellStyle name="Note 8 6 2 3" xfId="23918" xr:uid="{00000000-0005-0000-0000-000053640000}"/>
    <cellStyle name="Note 8 6 2 3 2" xfId="47750" xr:uid="{58330B1C-9CC6-4FEB-8F7D-E56516A99383}"/>
    <cellStyle name="Note 8 6 2 4" xfId="31873" xr:uid="{24F668AF-DE54-4819-AC21-34F323F8683C}"/>
    <cellStyle name="Note 8 6 3" xfId="12434" xr:uid="{00000000-0005-0000-0000-000054640000}"/>
    <cellStyle name="Note 8 6 3 2" xfId="36283" xr:uid="{A1AD7CAE-AC1C-4FC7-A741-A3963D0E1D23}"/>
    <cellStyle name="Note 8 6 4" xfId="20389" xr:uid="{00000000-0005-0000-0000-000055640000}"/>
    <cellStyle name="Note 8 6 4 2" xfId="44221" xr:uid="{3C579453-8B71-40D0-8EA8-66EDE0529B8E}"/>
    <cellStyle name="Note 8 6 5" xfId="28342" xr:uid="{EEF9605E-B825-4E6A-9B8B-D24CC79E55FD}"/>
    <cellStyle name="Note 8 7" xfId="6229" xr:uid="{00000000-0005-0000-0000-000056640000}"/>
    <cellStyle name="Note 8 7 2" xfId="14213" xr:uid="{00000000-0005-0000-0000-000057640000}"/>
    <cellStyle name="Note 8 7 2 2" xfId="38056" xr:uid="{EFFD7369-ABD4-4198-B24A-C876C1E812D8}"/>
    <cellStyle name="Note 8 7 3" xfId="22161" xr:uid="{00000000-0005-0000-0000-000058640000}"/>
    <cellStyle name="Note 8 7 3 2" xfId="45993" xr:uid="{02D5B6FF-B1F6-4D30-A3AB-64A01E140B33}"/>
    <cellStyle name="Note 8 7 4" xfId="30115" xr:uid="{330E36B0-1665-495D-B5CA-CAF2C6BC6CED}"/>
    <cellStyle name="Note 8 8" xfId="9782" xr:uid="{00000000-0005-0000-0000-000059640000}"/>
    <cellStyle name="Note 8 8 2" xfId="17740" xr:uid="{00000000-0005-0000-0000-00005A640000}"/>
    <cellStyle name="Note 8 8 2 2" xfId="41580" xr:uid="{B304004F-46F3-451B-A212-B1CAF2B38425}"/>
    <cellStyle name="Note 8 8 3" xfId="25684" xr:uid="{00000000-0005-0000-0000-00005B640000}"/>
    <cellStyle name="Note 8 8 3 2" xfId="49516" xr:uid="{67EC6100-8C1B-4417-89A4-8BBCC9F2F90E}"/>
    <cellStyle name="Note 8 8 4" xfId="33639" xr:uid="{217D7B9E-2152-4FBA-9874-98769FF59B9C}"/>
    <cellStyle name="Note 8 9" xfId="10678" xr:uid="{00000000-0005-0000-0000-00005C640000}"/>
    <cellStyle name="Note 8 9 2" xfId="34527" xr:uid="{816180DD-9C9A-4FB8-90EB-BA7356F704C5}"/>
    <cellStyle name="Note 8_Exh G" xfId="3677" xr:uid="{00000000-0005-0000-0000-00005D640000}"/>
    <cellStyle name="Note 9" xfId="734" xr:uid="{00000000-0005-0000-0000-00005E640000}"/>
    <cellStyle name="Note 9 10" xfId="18637" xr:uid="{00000000-0005-0000-0000-00005F640000}"/>
    <cellStyle name="Note 9 10 2" xfId="42469" xr:uid="{98B9C75C-217E-468B-B836-1BFA1471A54C}"/>
    <cellStyle name="Note 9 11" xfId="26589" xr:uid="{F0B124F6-2BEA-4906-A0DF-E1434034527E}"/>
    <cellStyle name="Note 9 2" xfId="735" xr:uid="{00000000-0005-0000-0000-000060640000}"/>
    <cellStyle name="Note 9 2 2" xfId="736" xr:uid="{00000000-0005-0000-0000-000061640000}"/>
    <cellStyle name="Note 9 2 2 2" xfId="1764" xr:uid="{00000000-0005-0000-0000-000062640000}"/>
    <cellStyle name="Note 9 2 2 2 2" xfId="5294" xr:uid="{00000000-0005-0000-0000-000063640000}"/>
    <cellStyle name="Note 9 2 2 2 2 2" xfId="8885" xr:uid="{00000000-0005-0000-0000-000064640000}"/>
    <cellStyle name="Note 9 2 2 2 2 2 2" xfId="16856" xr:uid="{00000000-0005-0000-0000-000065640000}"/>
    <cellStyle name="Note 9 2 2 2 2 2 2 2" xfId="40698" xr:uid="{2D443883-E3F4-48F5-BCA5-31A87887C37A}"/>
    <cellStyle name="Note 9 2 2 2 2 2 3" xfId="24802" xr:uid="{00000000-0005-0000-0000-000066640000}"/>
    <cellStyle name="Note 9 2 2 2 2 2 3 2" xfId="48634" xr:uid="{EC701DFC-ED0B-45F7-A230-0D382607B695}"/>
    <cellStyle name="Note 9 2 2 2 2 2 4" xfId="32757" xr:uid="{8D6DDB7B-BF2B-4D9D-9432-38C26ED87383}"/>
    <cellStyle name="Note 9 2 2 2 2 3" xfId="13318" xr:uid="{00000000-0005-0000-0000-000067640000}"/>
    <cellStyle name="Note 9 2 2 2 2 3 2" xfId="37167" xr:uid="{1F719971-457F-4C97-8C9A-72D329527BC5}"/>
    <cellStyle name="Note 9 2 2 2 2 4" xfId="21273" xr:uid="{00000000-0005-0000-0000-000068640000}"/>
    <cellStyle name="Note 9 2 2 2 2 4 2" xfId="45105" xr:uid="{09D2A380-2537-4386-895B-99DE54996E06}"/>
    <cellStyle name="Note 9 2 2 2 2 5" xfId="29226" xr:uid="{12A3A0B5-DFD2-46D9-9BB1-9642A542B42F}"/>
    <cellStyle name="Note 9 2 2 2 3" xfId="7126" xr:uid="{00000000-0005-0000-0000-000069640000}"/>
    <cellStyle name="Note 9 2 2 2 3 2" xfId="15098" xr:uid="{00000000-0005-0000-0000-00006A640000}"/>
    <cellStyle name="Note 9 2 2 2 3 2 2" xfId="38940" xr:uid="{078FD4DD-EAF2-4535-A68D-C930A97BF291}"/>
    <cellStyle name="Note 9 2 2 2 3 3" xfId="23045" xr:uid="{00000000-0005-0000-0000-00006B640000}"/>
    <cellStyle name="Note 9 2 2 2 3 3 2" xfId="46877" xr:uid="{A2B42C10-33A2-4005-9D7E-0E4C70560091}"/>
    <cellStyle name="Note 9 2 2 2 3 4" xfId="30999" xr:uid="{C927B8EC-6E59-411A-8B59-040A882B5F8B}"/>
    <cellStyle name="Note 9 2 2 2 4" xfId="11562" xr:uid="{00000000-0005-0000-0000-00006C640000}"/>
    <cellStyle name="Note 9 2 2 2 4 2" xfId="35411" xr:uid="{DB1E7BDD-2FE9-4515-BFB2-FCA230E4DBF7}"/>
    <cellStyle name="Note 9 2 2 2 5" xfId="19517" xr:uid="{00000000-0005-0000-0000-00006D640000}"/>
    <cellStyle name="Note 9 2 2 2 5 2" xfId="43349" xr:uid="{3F47AA54-B958-4765-84CD-23357413E3A3}"/>
    <cellStyle name="Note 9 2 2 2 6" xfId="27469" xr:uid="{166A8905-D3A2-44D6-9CB9-78E488A62856}"/>
    <cellStyle name="Note 9 2 2 2_Exh G" xfId="3690" xr:uid="{00000000-0005-0000-0000-00006E640000}"/>
    <cellStyle name="Note 9 2 2 3" xfId="4415" xr:uid="{00000000-0005-0000-0000-00006F640000}"/>
    <cellStyle name="Note 9 2 2 3 2" xfId="8007" xr:uid="{00000000-0005-0000-0000-000070640000}"/>
    <cellStyle name="Note 9 2 2 3 2 2" xfId="15978" xr:uid="{00000000-0005-0000-0000-000071640000}"/>
    <cellStyle name="Note 9 2 2 3 2 2 2" xfId="39820" xr:uid="{1EFBE16C-39C7-44E4-BAFD-DA197FF3A81A}"/>
    <cellStyle name="Note 9 2 2 3 2 3" xfId="23924" xr:uid="{00000000-0005-0000-0000-000072640000}"/>
    <cellStyle name="Note 9 2 2 3 2 3 2" xfId="47756" xr:uid="{91E399AA-393D-4E0E-9791-3DAFBA206921}"/>
    <cellStyle name="Note 9 2 2 3 2 4" xfId="31879" xr:uid="{59D134C6-B0FA-402F-B60A-ECA87D3A4D13}"/>
    <cellStyle name="Note 9 2 2 3 3" xfId="12440" xr:uid="{00000000-0005-0000-0000-000073640000}"/>
    <cellStyle name="Note 9 2 2 3 3 2" xfId="36289" xr:uid="{3F556A19-C9A2-476F-9736-BA06CFA0D254}"/>
    <cellStyle name="Note 9 2 2 3 4" xfId="20395" xr:uid="{00000000-0005-0000-0000-000074640000}"/>
    <cellStyle name="Note 9 2 2 3 4 2" xfId="44227" xr:uid="{88F22C36-53C0-442B-B895-AB3436CB788D}"/>
    <cellStyle name="Note 9 2 2 3 5" xfId="28348" xr:uid="{C8BBE478-628E-43C8-9A4F-0F237F9505F8}"/>
    <cellStyle name="Note 9 2 2 4" xfId="6235" xr:uid="{00000000-0005-0000-0000-000075640000}"/>
    <cellStyle name="Note 9 2 2 4 2" xfId="14219" xr:uid="{00000000-0005-0000-0000-000076640000}"/>
    <cellStyle name="Note 9 2 2 4 2 2" xfId="38062" xr:uid="{06722C63-491B-40EE-910F-3E0EC976BA36}"/>
    <cellStyle name="Note 9 2 2 4 3" xfId="22167" xr:uid="{00000000-0005-0000-0000-000077640000}"/>
    <cellStyle name="Note 9 2 2 4 3 2" xfId="45999" xr:uid="{50761395-11F3-4477-8B4E-AF71A9BAB984}"/>
    <cellStyle name="Note 9 2 2 4 4" xfId="30121" xr:uid="{83ADB7C1-33FC-4EAD-A531-65CB663C696D}"/>
    <cellStyle name="Note 9 2 2 5" xfId="9788" xr:uid="{00000000-0005-0000-0000-000078640000}"/>
    <cellStyle name="Note 9 2 2 5 2" xfId="17746" xr:uid="{00000000-0005-0000-0000-000079640000}"/>
    <cellStyle name="Note 9 2 2 5 2 2" xfId="41586" xr:uid="{29272D50-0AC3-4DCD-BE6D-5547D13989D9}"/>
    <cellStyle name="Note 9 2 2 5 3" xfId="25690" xr:uid="{00000000-0005-0000-0000-00007A640000}"/>
    <cellStyle name="Note 9 2 2 5 3 2" xfId="49522" xr:uid="{B9B36932-535D-48A7-BDF8-4039689ABF63}"/>
    <cellStyle name="Note 9 2 2 5 4" xfId="33645" xr:uid="{37DC56FC-852B-4665-80D1-96157414653C}"/>
    <cellStyle name="Note 9 2 2 6" xfId="10684" xr:uid="{00000000-0005-0000-0000-00007B640000}"/>
    <cellStyle name="Note 9 2 2 6 2" xfId="34533" xr:uid="{EB985E95-1468-438A-9455-BEF23B2D1286}"/>
    <cellStyle name="Note 9 2 2 7" xfId="18639" xr:uid="{00000000-0005-0000-0000-00007C640000}"/>
    <cellStyle name="Note 9 2 2 7 2" xfId="42471" xr:uid="{37218FD2-1018-4F1A-AD78-710F959A928F}"/>
    <cellStyle name="Note 9 2 2 8" xfId="26591" xr:uid="{A18FFB61-E257-4B9E-802C-1C10DEB0BF77}"/>
    <cellStyle name="Note 9 2 2_Exh G" xfId="3689" xr:uid="{00000000-0005-0000-0000-00007D640000}"/>
    <cellStyle name="Note 9 2 3" xfId="1763" xr:uid="{00000000-0005-0000-0000-00007E640000}"/>
    <cellStyle name="Note 9 2 3 2" xfId="5293" xr:uid="{00000000-0005-0000-0000-00007F640000}"/>
    <cellStyle name="Note 9 2 3 2 2" xfId="8884" xr:uid="{00000000-0005-0000-0000-000080640000}"/>
    <cellStyle name="Note 9 2 3 2 2 2" xfId="16855" xr:uid="{00000000-0005-0000-0000-000081640000}"/>
    <cellStyle name="Note 9 2 3 2 2 2 2" xfId="40697" xr:uid="{3BB1BFBD-2CE6-4F99-85CD-08377CDE41CF}"/>
    <cellStyle name="Note 9 2 3 2 2 3" xfId="24801" xr:uid="{00000000-0005-0000-0000-000082640000}"/>
    <cellStyle name="Note 9 2 3 2 2 3 2" xfId="48633" xr:uid="{12EC2A26-DBD7-4457-A71D-B18B20149CAE}"/>
    <cellStyle name="Note 9 2 3 2 2 4" xfId="32756" xr:uid="{913125BA-48CE-413E-844C-F9F6357B5E11}"/>
    <cellStyle name="Note 9 2 3 2 3" xfId="13317" xr:uid="{00000000-0005-0000-0000-000083640000}"/>
    <cellStyle name="Note 9 2 3 2 3 2" xfId="37166" xr:uid="{76A0EBB1-208B-4902-AFCF-B863942F4F13}"/>
    <cellStyle name="Note 9 2 3 2 4" xfId="21272" xr:uid="{00000000-0005-0000-0000-000084640000}"/>
    <cellStyle name="Note 9 2 3 2 4 2" xfId="45104" xr:uid="{BE569910-21A3-4387-9B9E-DA58FFB91038}"/>
    <cellStyle name="Note 9 2 3 2 5" xfId="29225" xr:uid="{16D98DC3-78BD-4290-B2D1-4AD97773FB77}"/>
    <cellStyle name="Note 9 2 3 3" xfId="7125" xr:uid="{00000000-0005-0000-0000-000085640000}"/>
    <cellStyle name="Note 9 2 3 3 2" xfId="15097" xr:uid="{00000000-0005-0000-0000-000086640000}"/>
    <cellStyle name="Note 9 2 3 3 2 2" xfId="38939" xr:uid="{6B631D50-00E4-48EA-A506-EBFFDD73F1A3}"/>
    <cellStyle name="Note 9 2 3 3 3" xfId="23044" xr:uid="{00000000-0005-0000-0000-000087640000}"/>
    <cellStyle name="Note 9 2 3 3 3 2" xfId="46876" xr:uid="{CF5FEBFB-F4B8-40AD-9962-0D91C34BCE84}"/>
    <cellStyle name="Note 9 2 3 3 4" xfId="30998" xr:uid="{0158848B-0761-4643-B0F8-D7B91262020C}"/>
    <cellStyle name="Note 9 2 3 4" xfId="11561" xr:uid="{00000000-0005-0000-0000-000088640000}"/>
    <cellStyle name="Note 9 2 3 4 2" xfId="35410" xr:uid="{E0A60404-9383-4654-AC06-E5EF29779FC7}"/>
    <cellStyle name="Note 9 2 3 5" xfId="19516" xr:uid="{00000000-0005-0000-0000-000089640000}"/>
    <cellStyle name="Note 9 2 3 5 2" xfId="43348" xr:uid="{9CC48B5C-1FDC-490E-9E21-F10400B1D813}"/>
    <cellStyle name="Note 9 2 3 6" xfId="27468" xr:uid="{2A7D0932-7982-46E8-BE35-C49DBFDB90BA}"/>
    <cellStyle name="Note 9 2 3_Exh G" xfId="3691" xr:uid="{00000000-0005-0000-0000-00008A640000}"/>
    <cellStyle name="Note 9 2 4" xfId="4414" xr:uid="{00000000-0005-0000-0000-00008B640000}"/>
    <cellStyle name="Note 9 2 4 2" xfId="8006" xr:uid="{00000000-0005-0000-0000-00008C640000}"/>
    <cellStyle name="Note 9 2 4 2 2" xfId="15977" xr:uid="{00000000-0005-0000-0000-00008D640000}"/>
    <cellStyle name="Note 9 2 4 2 2 2" xfId="39819" xr:uid="{952586E8-D0E2-40CB-B3C8-C0E86334BF46}"/>
    <cellStyle name="Note 9 2 4 2 3" xfId="23923" xr:uid="{00000000-0005-0000-0000-00008E640000}"/>
    <cellStyle name="Note 9 2 4 2 3 2" xfId="47755" xr:uid="{9816545D-6831-4973-91DD-F89D0893BBE3}"/>
    <cellStyle name="Note 9 2 4 2 4" xfId="31878" xr:uid="{1524D5FB-7BB1-4CFE-B1D6-04C34170FE75}"/>
    <cellStyle name="Note 9 2 4 3" xfId="12439" xr:uid="{00000000-0005-0000-0000-00008F640000}"/>
    <cellStyle name="Note 9 2 4 3 2" xfId="36288" xr:uid="{7EDE5BB3-B91A-4051-8F19-39525599E51C}"/>
    <cellStyle name="Note 9 2 4 4" xfId="20394" xr:uid="{00000000-0005-0000-0000-000090640000}"/>
    <cellStyle name="Note 9 2 4 4 2" xfId="44226" xr:uid="{2C166FE7-8094-46ED-B450-B287ED046DEF}"/>
    <cellStyle name="Note 9 2 4 5" xfId="28347" xr:uid="{A09D6DCC-DCA6-4553-8F20-F9B488CC13BA}"/>
    <cellStyle name="Note 9 2 5" xfId="6234" xr:uid="{00000000-0005-0000-0000-000091640000}"/>
    <cellStyle name="Note 9 2 5 2" xfId="14218" xr:uid="{00000000-0005-0000-0000-000092640000}"/>
    <cellStyle name="Note 9 2 5 2 2" xfId="38061" xr:uid="{1EB43644-1CC8-4657-AF56-0755C72A3C89}"/>
    <cellStyle name="Note 9 2 5 3" xfId="22166" xr:uid="{00000000-0005-0000-0000-000093640000}"/>
    <cellStyle name="Note 9 2 5 3 2" xfId="45998" xr:uid="{EB92B02A-CC55-4D84-AC85-6E90C488D82D}"/>
    <cellStyle name="Note 9 2 5 4" xfId="30120" xr:uid="{6C9076B9-5776-4296-8FF6-A39F1891041A}"/>
    <cellStyle name="Note 9 2 6" xfId="9787" xr:uid="{00000000-0005-0000-0000-000094640000}"/>
    <cellStyle name="Note 9 2 6 2" xfId="17745" xr:uid="{00000000-0005-0000-0000-000095640000}"/>
    <cellStyle name="Note 9 2 6 2 2" xfId="41585" xr:uid="{C39C2126-F5A1-4803-86F7-2DE346FFB5F7}"/>
    <cellStyle name="Note 9 2 6 3" xfId="25689" xr:uid="{00000000-0005-0000-0000-000096640000}"/>
    <cellStyle name="Note 9 2 6 3 2" xfId="49521" xr:uid="{BB05DF12-8D10-4A1C-AD6D-94E3EF766631}"/>
    <cellStyle name="Note 9 2 6 4" xfId="33644" xr:uid="{AC8705EE-7DA1-4D36-B381-77BA644BE889}"/>
    <cellStyle name="Note 9 2 7" xfId="10683" xr:uid="{00000000-0005-0000-0000-000097640000}"/>
    <cellStyle name="Note 9 2 7 2" xfId="34532" xr:uid="{AB17183B-8372-4FE9-8A5C-B227B8BEAFA7}"/>
    <cellStyle name="Note 9 2 8" xfId="18638" xr:uid="{00000000-0005-0000-0000-000098640000}"/>
    <cellStyle name="Note 9 2 8 2" xfId="42470" xr:uid="{CE486E6A-AE1A-4C18-A7DB-5AEE510096FA}"/>
    <cellStyle name="Note 9 2 9" xfId="26590" xr:uid="{5185B392-403C-40F1-A600-A94F930EF2C3}"/>
    <cellStyle name="Note 9 2_Exh G" xfId="3688" xr:uid="{00000000-0005-0000-0000-000099640000}"/>
    <cellStyle name="Note 9 3" xfId="737" xr:uid="{00000000-0005-0000-0000-00009A640000}"/>
    <cellStyle name="Note 9 3 2" xfId="1765" xr:uid="{00000000-0005-0000-0000-00009B640000}"/>
    <cellStyle name="Note 9 3 2 2" xfId="5295" xr:uid="{00000000-0005-0000-0000-00009C640000}"/>
    <cellStyle name="Note 9 3 2 2 2" xfId="8886" xr:uid="{00000000-0005-0000-0000-00009D640000}"/>
    <cellStyle name="Note 9 3 2 2 2 2" xfId="16857" xr:uid="{00000000-0005-0000-0000-00009E640000}"/>
    <cellStyle name="Note 9 3 2 2 2 2 2" xfId="40699" xr:uid="{7BA52E4B-BEA9-4E81-888B-0F16DEED7B7F}"/>
    <cellStyle name="Note 9 3 2 2 2 3" xfId="24803" xr:uid="{00000000-0005-0000-0000-00009F640000}"/>
    <cellStyle name="Note 9 3 2 2 2 3 2" xfId="48635" xr:uid="{F088ADB2-8808-4F78-8A9B-F26AF4447D27}"/>
    <cellStyle name="Note 9 3 2 2 2 4" xfId="32758" xr:uid="{121FDCA3-06B5-4493-A6EF-B9E80552D087}"/>
    <cellStyle name="Note 9 3 2 2 3" xfId="13319" xr:uid="{00000000-0005-0000-0000-0000A0640000}"/>
    <cellStyle name="Note 9 3 2 2 3 2" xfId="37168" xr:uid="{FCABA7E6-2460-4BB1-BFBA-B8FC3E78DD35}"/>
    <cellStyle name="Note 9 3 2 2 4" xfId="21274" xr:uid="{00000000-0005-0000-0000-0000A1640000}"/>
    <cellStyle name="Note 9 3 2 2 4 2" xfId="45106" xr:uid="{0DE34CCF-FB3E-42BC-86FE-97474D989DD3}"/>
    <cellStyle name="Note 9 3 2 2 5" xfId="29227" xr:uid="{BFA1A0DC-AC88-4671-898A-F8C1B795F6B7}"/>
    <cellStyle name="Note 9 3 2 3" xfId="7127" xr:uid="{00000000-0005-0000-0000-0000A2640000}"/>
    <cellStyle name="Note 9 3 2 3 2" xfId="15099" xr:uid="{00000000-0005-0000-0000-0000A3640000}"/>
    <cellStyle name="Note 9 3 2 3 2 2" xfId="38941" xr:uid="{6DF68F2E-9056-44E8-8FF2-2EC4D957C92B}"/>
    <cellStyle name="Note 9 3 2 3 3" xfId="23046" xr:uid="{00000000-0005-0000-0000-0000A4640000}"/>
    <cellStyle name="Note 9 3 2 3 3 2" xfId="46878" xr:uid="{E7E32DBC-AC83-432E-9A1B-691590658963}"/>
    <cellStyle name="Note 9 3 2 3 4" xfId="31000" xr:uid="{3684B375-E59C-46C0-A947-D8E182BED6D1}"/>
    <cellStyle name="Note 9 3 2 4" xfId="11563" xr:uid="{00000000-0005-0000-0000-0000A5640000}"/>
    <cellStyle name="Note 9 3 2 4 2" xfId="35412" xr:uid="{0629671D-4FA6-4CD1-8C23-23722B992BE7}"/>
    <cellStyle name="Note 9 3 2 5" xfId="19518" xr:uid="{00000000-0005-0000-0000-0000A6640000}"/>
    <cellStyle name="Note 9 3 2 5 2" xfId="43350" xr:uid="{32E4144E-1792-4A8F-8E20-BB216C2F481A}"/>
    <cellStyle name="Note 9 3 2 6" xfId="27470" xr:uid="{4B26D67F-4328-4822-948A-C2A5E08ECC55}"/>
    <cellStyle name="Note 9 3 2_Exh G" xfId="3693" xr:uid="{00000000-0005-0000-0000-0000A7640000}"/>
    <cellStyle name="Note 9 3 3" xfId="4416" xr:uid="{00000000-0005-0000-0000-0000A8640000}"/>
    <cellStyle name="Note 9 3 3 2" xfId="8008" xr:uid="{00000000-0005-0000-0000-0000A9640000}"/>
    <cellStyle name="Note 9 3 3 2 2" xfId="15979" xr:uid="{00000000-0005-0000-0000-0000AA640000}"/>
    <cellStyle name="Note 9 3 3 2 2 2" xfId="39821" xr:uid="{025402E5-89FA-47C7-AAF8-CC30F966A95D}"/>
    <cellStyle name="Note 9 3 3 2 3" xfId="23925" xr:uid="{00000000-0005-0000-0000-0000AB640000}"/>
    <cellStyle name="Note 9 3 3 2 3 2" xfId="47757" xr:uid="{85655C44-CA1C-4E5F-A4C2-ABE55C91B7EB}"/>
    <cellStyle name="Note 9 3 3 2 4" xfId="31880" xr:uid="{55C0D61F-6845-4FDC-BFEF-916AA714DF0B}"/>
    <cellStyle name="Note 9 3 3 3" xfId="12441" xr:uid="{00000000-0005-0000-0000-0000AC640000}"/>
    <cellStyle name="Note 9 3 3 3 2" xfId="36290" xr:uid="{A9F54A81-4971-4B9C-B747-733A73440430}"/>
    <cellStyle name="Note 9 3 3 4" xfId="20396" xr:uid="{00000000-0005-0000-0000-0000AD640000}"/>
    <cellStyle name="Note 9 3 3 4 2" xfId="44228" xr:uid="{071D1F73-4DEA-47B2-9963-E7450FBA5BC1}"/>
    <cellStyle name="Note 9 3 3 5" xfId="28349" xr:uid="{10A356E1-703E-4BA8-BB5F-89F19340AEB4}"/>
    <cellStyle name="Note 9 3 4" xfId="6236" xr:uid="{00000000-0005-0000-0000-0000AE640000}"/>
    <cellStyle name="Note 9 3 4 2" xfId="14220" xr:uid="{00000000-0005-0000-0000-0000AF640000}"/>
    <cellStyle name="Note 9 3 4 2 2" xfId="38063" xr:uid="{2A5B5B53-711F-484A-BBD2-18046760BF61}"/>
    <cellStyle name="Note 9 3 4 3" xfId="22168" xr:uid="{00000000-0005-0000-0000-0000B0640000}"/>
    <cellStyle name="Note 9 3 4 3 2" xfId="46000" xr:uid="{D855488D-BE13-4326-9B5A-D73F6E948206}"/>
    <cellStyle name="Note 9 3 4 4" xfId="30122" xr:uid="{1FE304DB-EDA2-4876-BBB6-917105D9E9FE}"/>
    <cellStyle name="Note 9 3 5" xfId="9789" xr:uid="{00000000-0005-0000-0000-0000B1640000}"/>
    <cellStyle name="Note 9 3 5 2" xfId="17747" xr:uid="{00000000-0005-0000-0000-0000B2640000}"/>
    <cellStyle name="Note 9 3 5 2 2" xfId="41587" xr:uid="{D869A498-2E05-4320-9410-39124CA16A02}"/>
    <cellStyle name="Note 9 3 5 3" xfId="25691" xr:uid="{00000000-0005-0000-0000-0000B3640000}"/>
    <cellStyle name="Note 9 3 5 3 2" xfId="49523" xr:uid="{FA716C05-1469-4773-819A-8DF163AF5753}"/>
    <cellStyle name="Note 9 3 5 4" xfId="33646" xr:uid="{5EC47388-7488-40BA-93CA-8919656C2AEA}"/>
    <cellStyle name="Note 9 3 6" xfId="10685" xr:uid="{00000000-0005-0000-0000-0000B4640000}"/>
    <cellStyle name="Note 9 3 6 2" xfId="34534" xr:uid="{34C0D769-605B-4B84-8CC5-31E8C2BB7219}"/>
    <cellStyle name="Note 9 3 7" xfId="18640" xr:uid="{00000000-0005-0000-0000-0000B5640000}"/>
    <cellStyle name="Note 9 3 7 2" xfId="42472" xr:uid="{73370D5C-FF90-4822-957A-70087EB19867}"/>
    <cellStyle name="Note 9 3 8" xfId="26592" xr:uid="{CAFDE4F9-349A-41D7-8DD4-F04AD2FF9896}"/>
    <cellStyle name="Note 9 3_Exh G" xfId="3692" xr:uid="{00000000-0005-0000-0000-0000B6640000}"/>
    <cellStyle name="Note 9 4" xfId="1040" xr:uid="{00000000-0005-0000-0000-0000B7640000}"/>
    <cellStyle name="Note 9 4 2" xfId="1939" xr:uid="{00000000-0005-0000-0000-0000B8640000}"/>
    <cellStyle name="Note 9 4 2 2" xfId="5457" xr:uid="{00000000-0005-0000-0000-0000B9640000}"/>
    <cellStyle name="Note 9 4 2 2 2" xfId="9048" xr:uid="{00000000-0005-0000-0000-0000BA640000}"/>
    <cellStyle name="Note 9 4 2 2 2 2" xfId="17019" xr:uid="{00000000-0005-0000-0000-0000BB640000}"/>
    <cellStyle name="Note 9 4 2 2 2 2 2" xfId="40861" xr:uid="{85F5DB24-E768-4C5D-89E7-BC9EC28DC9A3}"/>
    <cellStyle name="Note 9 4 2 2 2 3" xfId="24965" xr:uid="{00000000-0005-0000-0000-0000BC640000}"/>
    <cellStyle name="Note 9 4 2 2 2 3 2" xfId="48797" xr:uid="{4FF6F304-2880-4723-B83E-00B41D78F801}"/>
    <cellStyle name="Note 9 4 2 2 2 4" xfId="32920" xr:uid="{F854AF45-7057-41EC-A750-1B1A5A7CD89F}"/>
    <cellStyle name="Note 9 4 2 2 3" xfId="13481" xr:uid="{00000000-0005-0000-0000-0000BD640000}"/>
    <cellStyle name="Note 9 4 2 2 3 2" xfId="37330" xr:uid="{F35A9143-9507-47AB-9AFA-CFDC65AD70D2}"/>
    <cellStyle name="Note 9 4 2 2 4" xfId="21436" xr:uid="{00000000-0005-0000-0000-0000BE640000}"/>
    <cellStyle name="Note 9 4 2 2 4 2" xfId="45268" xr:uid="{05CDFAFE-43A0-4DB7-AD40-513E05FDBE39}"/>
    <cellStyle name="Note 9 4 2 2 5" xfId="29389" xr:uid="{FCB04ED0-1D36-4610-8197-5FF83ACCA4C3}"/>
    <cellStyle name="Note 9 4 2 3" xfId="7289" xr:uid="{00000000-0005-0000-0000-0000BF640000}"/>
    <cellStyle name="Note 9 4 2 3 2" xfId="15261" xr:uid="{00000000-0005-0000-0000-0000C0640000}"/>
    <cellStyle name="Note 9 4 2 3 2 2" xfId="39103" xr:uid="{C6ACBE81-6FE8-4D6F-8A92-3C87EF40DA2B}"/>
    <cellStyle name="Note 9 4 2 3 3" xfId="23208" xr:uid="{00000000-0005-0000-0000-0000C1640000}"/>
    <cellStyle name="Note 9 4 2 3 3 2" xfId="47040" xr:uid="{9FE996E6-5A70-428C-9963-5D10D49BD029}"/>
    <cellStyle name="Note 9 4 2 3 4" xfId="31162" xr:uid="{2F18982D-C728-458B-8290-047945938E0A}"/>
    <cellStyle name="Note 9 4 2 4" xfId="11725" xr:uid="{00000000-0005-0000-0000-0000C2640000}"/>
    <cellStyle name="Note 9 4 2 4 2" xfId="35574" xr:uid="{97DE4D4F-3165-446A-938C-831C0565C8D0}"/>
    <cellStyle name="Note 9 4 2 5" xfId="19680" xr:uid="{00000000-0005-0000-0000-0000C3640000}"/>
    <cellStyle name="Note 9 4 2 5 2" xfId="43512" xr:uid="{2548050B-672E-4F1A-9EA3-7D6BF103A094}"/>
    <cellStyle name="Note 9 4 2 6" xfId="27632" xr:uid="{07606C73-9462-4344-8A22-EEF9B12042A0}"/>
    <cellStyle name="Note 9 4 2_Exh G" xfId="3695" xr:uid="{00000000-0005-0000-0000-0000C4640000}"/>
    <cellStyle name="Note 9 4 3" xfId="4578" xr:uid="{00000000-0005-0000-0000-0000C5640000}"/>
    <cellStyle name="Note 9 4 3 2" xfId="8170" xr:uid="{00000000-0005-0000-0000-0000C6640000}"/>
    <cellStyle name="Note 9 4 3 2 2" xfId="16141" xr:uid="{00000000-0005-0000-0000-0000C7640000}"/>
    <cellStyle name="Note 9 4 3 2 2 2" xfId="39983" xr:uid="{4BD1D994-2BE2-4513-BB17-3EDE5B9C6899}"/>
    <cellStyle name="Note 9 4 3 2 3" xfId="24087" xr:uid="{00000000-0005-0000-0000-0000C8640000}"/>
    <cellStyle name="Note 9 4 3 2 3 2" xfId="47919" xr:uid="{78C8BB83-55B4-47FB-A6A1-874823D1B441}"/>
    <cellStyle name="Note 9 4 3 2 4" xfId="32042" xr:uid="{B8E10B37-B55A-4043-A061-72FF0C3E7000}"/>
    <cellStyle name="Note 9 4 3 3" xfId="12603" xr:uid="{00000000-0005-0000-0000-0000C9640000}"/>
    <cellStyle name="Note 9 4 3 3 2" xfId="36452" xr:uid="{D3677765-E255-499A-A9DD-20203B96DFD5}"/>
    <cellStyle name="Note 9 4 3 4" xfId="20558" xr:uid="{00000000-0005-0000-0000-0000CA640000}"/>
    <cellStyle name="Note 9 4 3 4 2" xfId="44390" xr:uid="{1C9B6469-67D7-4E5D-8728-FEC0F7BF5E3E}"/>
    <cellStyle name="Note 9 4 3 5" xfId="28511" xr:uid="{6ACAD47C-00A5-4E27-99EC-514D1F554E74}"/>
    <cellStyle name="Note 9 4 4" xfId="6410" xr:uid="{00000000-0005-0000-0000-0000CB640000}"/>
    <cellStyle name="Note 9 4 4 2" xfId="14383" xr:uid="{00000000-0005-0000-0000-0000CC640000}"/>
    <cellStyle name="Note 9 4 4 2 2" xfId="38225" xr:uid="{44A4CB88-4953-4B88-BAC7-19189840842C}"/>
    <cellStyle name="Note 9 4 4 3" xfId="22330" xr:uid="{00000000-0005-0000-0000-0000CD640000}"/>
    <cellStyle name="Note 9 4 4 3 2" xfId="46162" xr:uid="{AE891A76-2F3F-4972-BBED-666CA2CDA770}"/>
    <cellStyle name="Note 9 4 4 4" xfId="30284" xr:uid="{870B71CA-450C-4469-989F-4A150849CAFA}"/>
    <cellStyle name="Note 9 4 5" xfId="9951" xr:uid="{00000000-0005-0000-0000-0000CE640000}"/>
    <cellStyle name="Note 9 4 5 2" xfId="17909" xr:uid="{00000000-0005-0000-0000-0000CF640000}"/>
    <cellStyle name="Note 9 4 5 2 2" xfId="41749" xr:uid="{CDC63EC5-9A76-4C83-B319-B981DF13F7CD}"/>
    <cellStyle name="Note 9 4 5 3" xfId="25853" xr:uid="{00000000-0005-0000-0000-0000D0640000}"/>
    <cellStyle name="Note 9 4 5 3 2" xfId="49685" xr:uid="{B47A73D7-7BF9-422B-B981-6C9879313EAF}"/>
    <cellStyle name="Note 9 4 5 4" xfId="33808" xr:uid="{624C4EE8-59C5-4D17-86EC-F730D2450BA0}"/>
    <cellStyle name="Note 9 4 6" xfId="10847" xr:uid="{00000000-0005-0000-0000-0000D1640000}"/>
    <cellStyle name="Note 9 4 6 2" xfId="34696" xr:uid="{E44B7865-C2CF-435A-8162-3A504C97FBC8}"/>
    <cellStyle name="Note 9 4 7" xfId="18802" xr:uid="{00000000-0005-0000-0000-0000D2640000}"/>
    <cellStyle name="Note 9 4 7 2" xfId="42634" xr:uid="{17B125CC-9029-43B8-9CCD-EF5E64807373}"/>
    <cellStyle name="Note 9 4 8" xfId="26754" xr:uid="{68465ACF-3318-42D2-894D-4F3EAFF5A991}"/>
    <cellStyle name="Note 9 4_Exh G" xfId="3694" xr:uid="{00000000-0005-0000-0000-0000D3640000}"/>
    <cellStyle name="Note 9 5" xfId="1762" xr:uid="{00000000-0005-0000-0000-0000D4640000}"/>
    <cellStyle name="Note 9 5 2" xfId="5292" xr:uid="{00000000-0005-0000-0000-0000D5640000}"/>
    <cellStyle name="Note 9 5 2 2" xfId="8883" xr:uid="{00000000-0005-0000-0000-0000D6640000}"/>
    <cellStyle name="Note 9 5 2 2 2" xfId="16854" xr:uid="{00000000-0005-0000-0000-0000D7640000}"/>
    <cellStyle name="Note 9 5 2 2 2 2" xfId="40696" xr:uid="{E2784E14-631A-49F8-A183-20F4BBC34474}"/>
    <cellStyle name="Note 9 5 2 2 3" xfId="24800" xr:uid="{00000000-0005-0000-0000-0000D8640000}"/>
    <cellStyle name="Note 9 5 2 2 3 2" xfId="48632" xr:uid="{44C01FFE-FF1F-4B4B-BE37-7B5D55DDA016}"/>
    <cellStyle name="Note 9 5 2 2 4" xfId="32755" xr:uid="{E5D1CB3B-DBC6-400C-B6BE-3AEAB52CE928}"/>
    <cellStyle name="Note 9 5 2 3" xfId="13316" xr:uid="{00000000-0005-0000-0000-0000D9640000}"/>
    <cellStyle name="Note 9 5 2 3 2" xfId="37165" xr:uid="{0CC1E72F-7F09-4E67-9688-1AB72169C69C}"/>
    <cellStyle name="Note 9 5 2 4" xfId="21271" xr:uid="{00000000-0005-0000-0000-0000DA640000}"/>
    <cellStyle name="Note 9 5 2 4 2" xfId="45103" xr:uid="{031118EF-EFDF-497A-8D96-956A132594D5}"/>
    <cellStyle name="Note 9 5 2 5" xfId="29224" xr:uid="{4875B6C3-E4D1-4893-B2A8-EB62E0761EBA}"/>
    <cellStyle name="Note 9 5 3" xfId="7124" xr:uid="{00000000-0005-0000-0000-0000DB640000}"/>
    <cellStyle name="Note 9 5 3 2" xfId="15096" xr:uid="{00000000-0005-0000-0000-0000DC640000}"/>
    <cellStyle name="Note 9 5 3 2 2" xfId="38938" xr:uid="{22D0326C-02FD-4950-988B-8CDECF1E124E}"/>
    <cellStyle name="Note 9 5 3 3" xfId="23043" xr:uid="{00000000-0005-0000-0000-0000DD640000}"/>
    <cellStyle name="Note 9 5 3 3 2" xfId="46875" xr:uid="{EC09DB24-E68C-4DC3-9E3E-E7470C7A5CFF}"/>
    <cellStyle name="Note 9 5 3 4" xfId="30997" xr:uid="{8338139E-CBF8-4580-B6B2-59B5DE317D85}"/>
    <cellStyle name="Note 9 5 4" xfId="11560" xr:uid="{00000000-0005-0000-0000-0000DE640000}"/>
    <cellStyle name="Note 9 5 4 2" xfId="35409" xr:uid="{EEEBB55E-EB5E-4B40-A415-91404DE198E0}"/>
    <cellStyle name="Note 9 5 5" xfId="19515" xr:uid="{00000000-0005-0000-0000-0000DF640000}"/>
    <cellStyle name="Note 9 5 5 2" xfId="43347" xr:uid="{6A2CBF48-990B-4B7A-AD9F-DFE9B31C5C1E}"/>
    <cellStyle name="Note 9 5 6" xfId="27467" xr:uid="{B46E9553-82F2-4BB0-9687-1C51FDFCBB2F}"/>
    <cellStyle name="Note 9 5_Exh G" xfId="3696" xr:uid="{00000000-0005-0000-0000-0000E0640000}"/>
    <cellStyle name="Note 9 6" xfId="4413" xr:uid="{00000000-0005-0000-0000-0000E1640000}"/>
    <cellStyle name="Note 9 6 2" xfId="8005" xr:uid="{00000000-0005-0000-0000-0000E2640000}"/>
    <cellStyle name="Note 9 6 2 2" xfId="15976" xr:uid="{00000000-0005-0000-0000-0000E3640000}"/>
    <cellStyle name="Note 9 6 2 2 2" xfId="39818" xr:uid="{F3442581-C66B-4807-B45B-E27AA1C13D99}"/>
    <cellStyle name="Note 9 6 2 3" xfId="23922" xr:uid="{00000000-0005-0000-0000-0000E4640000}"/>
    <cellStyle name="Note 9 6 2 3 2" xfId="47754" xr:uid="{7AB757CF-CCD2-4E5D-A0A5-8BAF19F415BF}"/>
    <cellStyle name="Note 9 6 2 4" xfId="31877" xr:uid="{82152DC6-DD9C-4034-8B66-AEE997C635CA}"/>
    <cellStyle name="Note 9 6 3" xfId="12438" xr:uid="{00000000-0005-0000-0000-0000E5640000}"/>
    <cellStyle name="Note 9 6 3 2" xfId="36287" xr:uid="{22F523A3-1225-46F2-8910-7C265C5DCC36}"/>
    <cellStyle name="Note 9 6 4" xfId="20393" xr:uid="{00000000-0005-0000-0000-0000E6640000}"/>
    <cellStyle name="Note 9 6 4 2" xfId="44225" xr:uid="{63C1CCD7-746F-4032-9FD5-82C7F288995B}"/>
    <cellStyle name="Note 9 6 5" xfId="28346" xr:uid="{6033349D-DA3A-4F38-B015-575531D4E7A5}"/>
    <cellStyle name="Note 9 7" xfId="6233" xr:uid="{00000000-0005-0000-0000-0000E7640000}"/>
    <cellStyle name="Note 9 7 2" xfId="14217" xr:uid="{00000000-0005-0000-0000-0000E8640000}"/>
    <cellStyle name="Note 9 7 2 2" xfId="38060" xr:uid="{F8A12693-B556-47A7-A9FA-DD7ACB6301E3}"/>
    <cellStyle name="Note 9 7 3" xfId="22165" xr:uid="{00000000-0005-0000-0000-0000E9640000}"/>
    <cellStyle name="Note 9 7 3 2" xfId="45997" xr:uid="{9DEFCB75-D49F-495D-B4B6-B6E68D2469AD}"/>
    <cellStyle name="Note 9 7 4" xfId="30119" xr:uid="{A70B7A2C-1211-45ED-BA8F-6B93FCED5545}"/>
    <cellStyle name="Note 9 8" xfId="9786" xr:uid="{00000000-0005-0000-0000-0000EA640000}"/>
    <cellStyle name="Note 9 8 2" xfId="17744" xr:uid="{00000000-0005-0000-0000-0000EB640000}"/>
    <cellStyle name="Note 9 8 2 2" xfId="41584" xr:uid="{50E5D5B6-8394-4308-BCFA-E2C55E89E792}"/>
    <cellStyle name="Note 9 8 3" xfId="25688" xr:uid="{00000000-0005-0000-0000-0000EC640000}"/>
    <cellStyle name="Note 9 8 3 2" xfId="49520" xr:uid="{3631378F-98BE-45FC-9208-116AA7BD97B6}"/>
    <cellStyle name="Note 9 8 4" xfId="33643" xr:uid="{C08FB77F-2549-4656-9792-D82943581AAC}"/>
    <cellStyle name="Note 9 9" xfId="10682" xr:uid="{00000000-0005-0000-0000-0000ED640000}"/>
    <cellStyle name="Note 9 9 2" xfId="34531" xr:uid="{C0476EFF-DB74-4AFB-917A-2D96C5A2BBE5}"/>
    <cellStyle name="Note 9_Exh G" xfId="3687" xr:uid="{00000000-0005-0000-0000-0000EE640000}"/>
    <cellStyle name="Output 2" xfId="815" xr:uid="{00000000-0005-0000-0000-0000EF640000}"/>
    <cellStyle name="Output 3" xfId="816" xr:uid="{00000000-0005-0000-0000-0000F0640000}"/>
    <cellStyle name="Output 3 2" xfId="6244" xr:uid="{00000000-0005-0000-0000-0000F1640000}"/>
    <cellStyle name="Output 4" xfId="817" xr:uid="{00000000-0005-0000-0000-0000F2640000}"/>
    <cellStyle name="Output 4 2" xfId="6245" xr:uid="{00000000-0005-0000-0000-0000F3640000}"/>
    <cellStyle name="Output Amounts" xfId="12" xr:uid="{00000000-0005-0000-0000-0000F4640000}"/>
    <cellStyle name="Output Column Headings" xfId="13" xr:uid="{00000000-0005-0000-0000-0000F5640000}"/>
    <cellStyle name="Output Line Items" xfId="14" xr:uid="{00000000-0005-0000-0000-0000F6640000}"/>
    <cellStyle name="Output Line Items 2" xfId="3699" xr:uid="{00000000-0005-0000-0000-0000F7640000}"/>
    <cellStyle name="Output Line Items 2 2" xfId="7292" xr:uid="{00000000-0005-0000-0000-0000F8640000}"/>
    <cellStyle name="Output Line Items 2 2 2" xfId="15263" xr:uid="{00000000-0005-0000-0000-0000F9640000}"/>
    <cellStyle name="Output Line Items 2 2 2 2" xfId="39105" xr:uid="{DD1B4581-ED16-4FE9-8D26-767DF391F833}"/>
    <cellStyle name="Output Line Items 2 2 3" xfId="31164" xr:uid="{6B9629A4-57B1-41F7-9C4F-31C740D38E2A}"/>
    <cellStyle name="Output Line Items 2 3" xfId="27633" xr:uid="{D68E4EC4-62A1-4E83-B9F6-A0869640F005}"/>
    <cellStyle name="Output Line Items 3" xfId="5460" xr:uid="{00000000-0005-0000-0000-0000FA640000}"/>
    <cellStyle name="Output Line Items 3 2" xfId="13482" xr:uid="{00000000-0005-0000-0000-0000FB640000}"/>
    <cellStyle name="Output Line Items 3 2 2" xfId="37331" xr:uid="{9F230919-D3E3-4D78-A5E8-B6F0F7FCFD58}"/>
    <cellStyle name="Output Line Items 3 3" xfId="29390" xr:uid="{E56313D5-4E26-4450-B7FF-567F3DD9AAEC}"/>
    <cellStyle name="Output Line Items 4" xfId="25876" xr:uid="{DAC44F73-0623-4BAD-BBDC-2544B852F1F6}"/>
    <cellStyle name="Output Line Items_Exh G" xfId="3697" xr:uid="{00000000-0005-0000-0000-0000FC640000}"/>
    <cellStyle name="Output Report Heading" xfId="15" xr:uid="{00000000-0005-0000-0000-0000FD640000}"/>
    <cellStyle name="Output Report Title" xfId="16" xr:uid="{00000000-0005-0000-0000-0000FE640000}"/>
    <cellStyle name="Percent" xfId="1940" builtinId="5"/>
    <cellStyle name="Percent 2" xfId="7" xr:uid="{00000000-0005-0000-0000-000000650000}"/>
    <cellStyle name="Percent 2 2" xfId="1048" xr:uid="{00000000-0005-0000-0000-000001650000}"/>
    <cellStyle name="Percent 3" xfId="1043" xr:uid="{00000000-0005-0000-0000-000002650000}"/>
    <cellStyle name="Percent 4" xfId="7290" xr:uid="{00000000-0005-0000-0000-000003650000}"/>
    <cellStyle name="R00A" xfId="49740" xr:uid="{7B6C0521-7885-4DB5-B264-E219D81DF26D}"/>
    <cellStyle name="R00B" xfId="49741" xr:uid="{98E9EBBF-D33C-4870-8619-E4CCB7FE6D7E}"/>
    <cellStyle name="R00L" xfId="49742" xr:uid="{C4FF600F-1EAC-4A4F-B738-673259829868}"/>
    <cellStyle name="R01A" xfId="49743" xr:uid="{DE1E0AE8-EA60-4498-92F0-43FB7007CDEC}"/>
    <cellStyle name="R01B" xfId="25863" xr:uid="{00000000-0005-0000-0000-000004650000}"/>
    <cellStyle name="R01H" xfId="25864" xr:uid="{00000000-0005-0000-0000-000005650000}"/>
    <cellStyle name="R01L" xfId="25870" xr:uid="{00000000-0005-0000-0000-000006650000}"/>
    <cellStyle name="R02A" xfId="25869" xr:uid="{00000000-0005-0000-0000-000007650000}"/>
    <cellStyle name="R02B" xfId="25865" xr:uid="{00000000-0005-0000-0000-000008650000}"/>
    <cellStyle name="R02H" xfId="49744" xr:uid="{9CBCAA73-9F11-4254-8054-AF0AA71F6F70}"/>
    <cellStyle name="R02L" xfId="25866" xr:uid="{00000000-0005-0000-0000-000009650000}"/>
    <cellStyle name="R03A" xfId="49745" xr:uid="{B8150B26-A38B-411A-9C1F-713565795023}"/>
    <cellStyle name="R03B" xfId="49746" xr:uid="{0B8CD15F-4416-430F-8748-8DD071013D90}"/>
    <cellStyle name="R03H" xfId="49747" xr:uid="{8CF50398-D3EE-434B-A96F-22B187A24912}"/>
    <cellStyle name="R03L" xfId="49748" xr:uid="{B2E5094E-A000-4592-A4B7-39799F3C4979}"/>
    <cellStyle name="R04A" xfId="49749" xr:uid="{30C3E21F-4C7D-4492-9DD8-6DDAA92046A5}"/>
    <cellStyle name="R04B" xfId="49750" xr:uid="{E1BD74AC-8068-4BAB-A82E-97C36F6650B9}"/>
    <cellStyle name="R04H" xfId="49751" xr:uid="{66CE1DD6-250A-44DD-B070-B6DF6B0071F2}"/>
    <cellStyle name="R04L" xfId="49752" xr:uid="{67189EA3-ADB9-487C-8F42-160572CC00F3}"/>
    <cellStyle name="R05A" xfId="49753" xr:uid="{C8E11FEA-5847-4E79-8849-696E1F4BD714}"/>
    <cellStyle name="R05B" xfId="49754" xr:uid="{F12A779A-FC04-4EA5-9ACB-6BEE437BD4D5}"/>
    <cellStyle name="R05H" xfId="49755" xr:uid="{4A349211-27A5-45F0-9A61-EDA5810BF6D3}"/>
    <cellStyle name="R05L" xfId="49756" xr:uid="{CCF23101-AF9D-42AA-9A10-A1AFDB9DE572}"/>
    <cellStyle name="R05L 2" xfId="49792" xr:uid="{6F9D4CE7-1A52-4BEE-B2DF-49672611DE7C}"/>
    <cellStyle name="R05L 3" xfId="49778" xr:uid="{B3B8F5D7-F2EB-45E8-B55C-76C55797736C}"/>
    <cellStyle name="R06A" xfId="49757" xr:uid="{60DBFAD4-68B0-4C88-994E-FA60A95F9159}"/>
    <cellStyle name="R06B" xfId="49758" xr:uid="{54C3346D-A60C-4C4F-9405-2B2D147C4413}"/>
    <cellStyle name="R06H" xfId="49759" xr:uid="{3AEA0AAD-CFA7-4AE6-B8B9-BD7E01ED1A46}"/>
    <cellStyle name="R06L" xfId="49760" xr:uid="{048A8497-953F-4DE4-859C-27069A4DFE88}"/>
    <cellStyle name="R07A" xfId="49761" xr:uid="{F4E5A1A0-6741-4EE6-A45A-9723749FE4D0}"/>
    <cellStyle name="R07B" xfId="49762" xr:uid="{9ECF5628-EEC7-433D-9063-2A60C438965E}"/>
    <cellStyle name="R07H" xfId="49763" xr:uid="{5852413E-657C-470A-AACE-EA9CFA079B29}"/>
    <cellStyle name="R07L" xfId="49764" xr:uid="{D72A47E1-0953-43E0-83CB-70BF7CAD80BD}"/>
    <cellStyle name="Title 2" xfId="818" xr:uid="{00000000-0005-0000-0000-00000A650000}"/>
    <cellStyle name="Title 3" xfId="819" xr:uid="{00000000-0005-0000-0000-00000B650000}"/>
    <cellStyle name="Title 4" xfId="820" xr:uid="{00000000-0005-0000-0000-00000C650000}"/>
    <cellStyle name="Total 2" xfId="821" xr:uid="{00000000-0005-0000-0000-00000D650000}"/>
    <cellStyle name="Total 3" xfId="822" xr:uid="{00000000-0005-0000-0000-00000E650000}"/>
    <cellStyle name="Total 3 2" xfId="6246" xr:uid="{00000000-0005-0000-0000-00000F650000}"/>
    <cellStyle name="Total 4" xfId="823" xr:uid="{00000000-0005-0000-0000-000010650000}"/>
    <cellStyle name="Total 4 2" xfId="6247" xr:uid="{00000000-0005-0000-0000-000011650000}"/>
    <cellStyle name="Warning Text 2" xfId="824" xr:uid="{00000000-0005-0000-0000-000012650000}"/>
    <cellStyle name="Warning Text 3" xfId="825" xr:uid="{00000000-0005-0000-0000-000013650000}"/>
    <cellStyle name="Warning Text 4" xfId="826" xr:uid="{00000000-0005-0000-0000-000014650000}"/>
  </cellStyles>
  <dxfs count="0"/>
  <tableStyles count="0" defaultTableStyle="TableStyleMedium9" defaultPivotStyle="PivotStyleLight16"/>
  <colors>
    <mruColors>
      <color rgb="FF5C39EF"/>
      <color rgb="FFFFFFCC"/>
      <color rgb="FF1362D7"/>
      <color rgb="FF3711D9"/>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10026</xdr:colOff>
      <xdr:row>0</xdr:row>
      <xdr:rowOff>0</xdr:rowOff>
    </xdr:from>
    <xdr:to>
      <xdr:col>1</xdr:col>
      <xdr:colOff>1314951</xdr:colOff>
      <xdr:row>7</xdr:row>
      <xdr:rowOff>158750</xdr:rowOff>
    </xdr:to>
    <xdr:pic>
      <xdr:nvPicPr>
        <xdr:cNvPr id="2" name="Picture 1" descr="Seal.jpg">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stretch>
          <a:fillRect/>
        </a:stretch>
      </xdr:blipFill>
      <xdr:spPr>
        <a:xfrm>
          <a:off x="10026" y="0"/>
          <a:ext cx="1495425" cy="14954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32</xdr:col>
      <xdr:colOff>28574</xdr:colOff>
      <xdr:row>14</xdr:row>
      <xdr:rowOff>44450</xdr:rowOff>
    </xdr:from>
    <xdr:to>
      <xdr:col>32</xdr:col>
      <xdr:colOff>35718</xdr:colOff>
      <xdr:row>148</xdr:row>
      <xdr:rowOff>202406</xdr:rowOff>
    </xdr:to>
    <xdr:sp macro="" textlink="">
      <xdr:nvSpPr>
        <xdr:cNvPr id="2" name="Line 1">
          <a:extLst>
            <a:ext uri="{FF2B5EF4-FFF2-40B4-BE49-F238E27FC236}">
              <a16:creationId xmlns:a16="http://schemas.microsoft.com/office/drawing/2014/main" id="{00000000-0008-0000-0F00-000002000000}"/>
            </a:ext>
          </a:extLst>
        </xdr:cNvPr>
        <xdr:cNvSpPr>
          <a:spLocks noChangeShapeType="1"/>
        </xdr:cNvSpPr>
      </xdr:nvSpPr>
      <xdr:spPr bwMode="auto">
        <a:xfrm>
          <a:off x="21959887" y="3461544"/>
          <a:ext cx="7144" cy="28090018"/>
        </a:xfrm>
        <a:prstGeom prst="line">
          <a:avLst/>
        </a:prstGeom>
        <a:noFill/>
        <a:ln w="28575">
          <a:solidFill>
            <a:srgbClr val="000000"/>
          </a:solidFill>
          <a:round/>
          <a:headEnd/>
          <a:tailEnd/>
        </a:ln>
      </xdr:spPr>
    </xdr:sp>
    <xdr:clientData/>
  </xdr:twoCellAnchor>
</xdr:wsDr>
</file>

<file path=xl/drawings/drawing3.xml><?xml version="1.0" encoding="utf-8"?>
<xdr:wsDr xmlns:xdr="http://schemas.openxmlformats.org/drawingml/2006/spreadsheetDrawing" xmlns:a="http://schemas.openxmlformats.org/drawingml/2006/main">
  <xdr:twoCellAnchor>
    <xdr:from>
      <xdr:col>31</xdr:col>
      <xdr:colOff>142874</xdr:colOff>
      <xdr:row>13</xdr:row>
      <xdr:rowOff>6350</xdr:rowOff>
    </xdr:from>
    <xdr:to>
      <xdr:col>32</xdr:col>
      <xdr:colOff>12698</xdr:colOff>
      <xdr:row>148</xdr:row>
      <xdr:rowOff>35719</xdr:rowOff>
    </xdr:to>
    <xdr:sp macro="" textlink="">
      <xdr:nvSpPr>
        <xdr:cNvPr id="2" name="Line 1">
          <a:extLst>
            <a:ext uri="{FF2B5EF4-FFF2-40B4-BE49-F238E27FC236}">
              <a16:creationId xmlns:a16="http://schemas.microsoft.com/office/drawing/2014/main" id="{00000000-0008-0000-1000-000002000000}"/>
            </a:ext>
          </a:extLst>
        </xdr:cNvPr>
        <xdr:cNvSpPr>
          <a:spLocks noChangeShapeType="1"/>
        </xdr:cNvSpPr>
      </xdr:nvSpPr>
      <xdr:spPr bwMode="auto">
        <a:xfrm flipH="1">
          <a:off x="21466968" y="3113881"/>
          <a:ext cx="12699" cy="26794619"/>
        </a:xfrm>
        <a:prstGeom prst="line">
          <a:avLst/>
        </a:prstGeom>
        <a:noFill/>
        <a:ln w="28575">
          <a:solidFill>
            <a:srgbClr val="000000"/>
          </a:solidFill>
          <a:round/>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xdr:from>
      <xdr:col>5</xdr:col>
      <xdr:colOff>1238250</xdr:colOff>
      <xdr:row>42</xdr:row>
      <xdr:rowOff>0</xdr:rowOff>
    </xdr:from>
    <xdr:to>
      <xdr:col>5</xdr:col>
      <xdr:colOff>1276350</xdr:colOff>
      <xdr:row>42</xdr:row>
      <xdr:rowOff>0</xdr:rowOff>
    </xdr:to>
    <xdr:sp macro="" textlink="">
      <xdr:nvSpPr>
        <xdr:cNvPr id="2" name="Line 1">
          <a:extLst>
            <a:ext uri="{FF2B5EF4-FFF2-40B4-BE49-F238E27FC236}">
              <a16:creationId xmlns:a16="http://schemas.microsoft.com/office/drawing/2014/main" id="{00000000-0008-0000-2000-000002000000}"/>
            </a:ext>
          </a:extLst>
        </xdr:cNvPr>
        <xdr:cNvSpPr>
          <a:spLocks noChangeShapeType="1"/>
        </xdr:cNvSpPr>
      </xdr:nvSpPr>
      <xdr:spPr bwMode="auto">
        <a:xfrm flipV="1">
          <a:off x="8401050" y="10067925"/>
          <a:ext cx="38100" cy="0"/>
        </a:xfrm>
        <a:prstGeom prst="line">
          <a:avLst/>
        </a:prstGeom>
        <a:noFill/>
        <a:ln w="9525">
          <a:solidFill>
            <a:srgbClr val="000000"/>
          </a:solidFill>
          <a:round/>
          <a:headEnd/>
          <a:tailEnd/>
        </a:ln>
      </xdr:spPr>
    </xdr:sp>
    <xdr:clientData/>
  </xdr:twoCellAnchor>
  <xdr:twoCellAnchor>
    <xdr:from>
      <xdr:col>5</xdr:col>
      <xdr:colOff>1238250</xdr:colOff>
      <xdr:row>42</xdr:row>
      <xdr:rowOff>0</xdr:rowOff>
    </xdr:from>
    <xdr:to>
      <xdr:col>5</xdr:col>
      <xdr:colOff>1276350</xdr:colOff>
      <xdr:row>42</xdr:row>
      <xdr:rowOff>0</xdr:rowOff>
    </xdr:to>
    <xdr:sp macro="" textlink="">
      <xdr:nvSpPr>
        <xdr:cNvPr id="3" name="Line 1">
          <a:extLst>
            <a:ext uri="{FF2B5EF4-FFF2-40B4-BE49-F238E27FC236}">
              <a16:creationId xmlns:a16="http://schemas.microsoft.com/office/drawing/2014/main" id="{00000000-0008-0000-2000-000003000000}"/>
            </a:ext>
          </a:extLst>
        </xdr:cNvPr>
        <xdr:cNvSpPr>
          <a:spLocks noChangeShapeType="1"/>
        </xdr:cNvSpPr>
      </xdr:nvSpPr>
      <xdr:spPr bwMode="auto">
        <a:xfrm flipV="1">
          <a:off x="8629650" y="10067925"/>
          <a:ext cx="38100" cy="0"/>
        </a:xfrm>
        <a:prstGeom prst="line">
          <a:avLst/>
        </a:prstGeom>
        <a:noFill/>
        <a:ln w="9525">
          <a:solidFill>
            <a:srgbClr val="000000"/>
          </a:solidFill>
          <a:round/>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16</xdr:row>
      <xdr:rowOff>171450</xdr:rowOff>
    </xdr:from>
    <xdr:to>
      <xdr:col>10</xdr:col>
      <xdr:colOff>190499</xdr:colOff>
      <xdr:row>30</xdr:row>
      <xdr:rowOff>161925</xdr:rowOff>
    </xdr:to>
    <xdr:sp macro="" textlink="">
      <xdr:nvSpPr>
        <xdr:cNvPr id="2" name="Rectangle 2">
          <a:extLst>
            <a:ext uri="{FF2B5EF4-FFF2-40B4-BE49-F238E27FC236}">
              <a16:creationId xmlns:a16="http://schemas.microsoft.com/office/drawing/2014/main" id="{00000000-0008-0000-2300-000002000000}"/>
            </a:ext>
          </a:extLst>
        </xdr:cNvPr>
        <xdr:cNvSpPr>
          <a:spLocks noChangeArrowheads="1"/>
        </xdr:cNvSpPr>
      </xdr:nvSpPr>
      <xdr:spPr bwMode="auto">
        <a:xfrm>
          <a:off x="0" y="3314700"/>
          <a:ext cx="7858124" cy="2533650"/>
        </a:xfrm>
        <a:prstGeom prst="rect">
          <a:avLst/>
        </a:prstGeom>
        <a:noFill/>
        <a:ln w="9525">
          <a:solidFill>
            <a:srgbClr val="000000"/>
          </a:solidFill>
          <a:miter lim="800000"/>
          <a:headEnd/>
          <a:tailEnd/>
        </a:ln>
      </xdr:spPr>
    </xdr:sp>
    <xdr:clientData/>
  </xdr:twoCellAnchor>
  <xdr:oneCellAnchor>
    <xdr:from>
      <xdr:col>5</xdr:col>
      <xdr:colOff>1076325</xdr:colOff>
      <xdr:row>18</xdr:row>
      <xdr:rowOff>57150</xdr:rowOff>
    </xdr:from>
    <xdr:ext cx="184731" cy="264560"/>
    <xdr:sp macro="" textlink="">
      <xdr:nvSpPr>
        <xdr:cNvPr id="3" name="TextBox 2">
          <a:extLst>
            <a:ext uri="{FF2B5EF4-FFF2-40B4-BE49-F238E27FC236}">
              <a16:creationId xmlns:a16="http://schemas.microsoft.com/office/drawing/2014/main" id="{00000000-0008-0000-2300-000003000000}"/>
            </a:ext>
          </a:extLst>
        </xdr:cNvPr>
        <xdr:cNvSpPr txBox="1"/>
      </xdr:nvSpPr>
      <xdr:spPr>
        <a:xfrm>
          <a:off x="4391025"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twoCellAnchor>
    <xdr:from>
      <xdr:col>1</xdr:col>
      <xdr:colOff>0</xdr:colOff>
      <xdr:row>16</xdr:row>
      <xdr:rowOff>171450</xdr:rowOff>
    </xdr:from>
    <xdr:to>
      <xdr:col>10</xdr:col>
      <xdr:colOff>190499</xdr:colOff>
      <xdr:row>30</xdr:row>
      <xdr:rowOff>161925</xdr:rowOff>
    </xdr:to>
    <xdr:sp macro="" textlink="">
      <xdr:nvSpPr>
        <xdr:cNvPr id="4" name="Rectangle 2">
          <a:extLst>
            <a:ext uri="{FF2B5EF4-FFF2-40B4-BE49-F238E27FC236}">
              <a16:creationId xmlns:a16="http://schemas.microsoft.com/office/drawing/2014/main" id="{00000000-0008-0000-2300-000004000000}"/>
            </a:ext>
          </a:extLst>
        </xdr:cNvPr>
        <xdr:cNvSpPr>
          <a:spLocks noChangeArrowheads="1"/>
        </xdr:cNvSpPr>
      </xdr:nvSpPr>
      <xdr:spPr bwMode="auto">
        <a:xfrm>
          <a:off x="0" y="3314700"/>
          <a:ext cx="7924799" cy="2533650"/>
        </a:xfrm>
        <a:prstGeom prst="rect">
          <a:avLst/>
        </a:prstGeom>
        <a:noFill/>
        <a:ln w="9525">
          <a:solidFill>
            <a:srgbClr val="000000"/>
          </a:solidFill>
          <a:miter lim="800000"/>
          <a:headEnd/>
          <a:tailEnd/>
        </a:ln>
      </xdr:spPr>
    </xdr:sp>
    <xdr:clientData/>
  </xdr:twoCellAnchor>
  <xdr:oneCellAnchor>
    <xdr:from>
      <xdr:col>5</xdr:col>
      <xdr:colOff>1076325</xdr:colOff>
      <xdr:row>18</xdr:row>
      <xdr:rowOff>57150</xdr:rowOff>
    </xdr:from>
    <xdr:ext cx="184731" cy="264560"/>
    <xdr:sp macro="" textlink="">
      <xdr:nvSpPr>
        <xdr:cNvPr id="5" name="TextBox 4">
          <a:extLst>
            <a:ext uri="{FF2B5EF4-FFF2-40B4-BE49-F238E27FC236}">
              <a16:creationId xmlns:a16="http://schemas.microsoft.com/office/drawing/2014/main" id="{00000000-0008-0000-2300-000005000000}"/>
            </a:ext>
          </a:extLst>
        </xdr:cNvPr>
        <xdr:cNvSpPr txBox="1"/>
      </xdr:nvSpPr>
      <xdr:spPr>
        <a:xfrm>
          <a:off x="4457700"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twoCellAnchor>
    <xdr:from>
      <xdr:col>1</xdr:col>
      <xdr:colOff>0</xdr:colOff>
      <xdr:row>16</xdr:row>
      <xdr:rowOff>171450</xdr:rowOff>
    </xdr:from>
    <xdr:to>
      <xdr:col>10</xdr:col>
      <xdr:colOff>190499</xdr:colOff>
      <xdr:row>30</xdr:row>
      <xdr:rowOff>161925</xdr:rowOff>
    </xdr:to>
    <xdr:sp macro="" textlink="">
      <xdr:nvSpPr>
        <xdr:cNvPr id="6" name="Rectangle 2">
          <a:extLst>
            <a:ext uri="{FF2B5EF4-FFF2-40B4-BE49-F238E27FC236}">
              <a16:creationId xmlns:a16="http://schemas.microsoft.com/office/drawing/2014/main" id="{00000000-0008-0000-2300-000006000000}"/>
            </a:ext>
          </a:extLst>
        </xdr:cNvPr>
        <xdr:cNvSpPr>
          <a:spLocks noChangeArrowheads="1"/>
        </xdr:cNvSpPr>
      </xdr:nvSpPr>
      <xdr:spPr bwMode="auto">
        <a:xfrm>
          <a:off x="0" y="3314700"/>
          <a:ext cx="7924799" cy="2533650"/>
        </a:xfrm>
        <a:prstGeom prst="rect">
          <a:avLst/>
        </a:prstGeom>
        <a:noFill/>
        <a:ln w="9525">
          <a:solidFill>
            <a:srgbClr val="000000"/>
          </a:solidFill>
          <a:miter lim="800000"/>
          <a:headEnd/>
          <a:tailEnd/>
        </a:ln>
      </xdr:spPr>
    </xdr:sp>
    <xdr:clientData/>
  </xdr:twoCellAnchor>
  <xdr:oneCellAnchor>
    <xdr:from>
      <xdr:col>5</xdr:col>
      <xdr:colOff>1076325</xdr:colOff>
      <xdr:row>18</xdr:row>
      <xdr:rowOff>57150</xdr:rowOff>
    </xdr:from>
    <xdr:ext cx="184731" cy="264560"/>
    <xdr:sp macro="" textlink="">
      <xdr:nvSpPr>
        <xdr:cNvPr id="7" name="TextBox 6">
          <a:extLst>
            <a:ext uri="{FF2B5EF4-FFF2-40B4-BE49-F238E27FC236}">
              <a16:creationId xmlns:a16="http://schemas.microsoft.com/office/drawing/2014/main" id="{00000000-0008-0000-2300-000007000000}"/>
            </a:ext>
          </a:extLst>
        </xdr:cNvPr>
        <xdr:cNvSpPr txBox="1"/>
      </xdr:nvSpPr>
      <xdr:spPr>
        <a:xfrm>
          <a:off x="4457700"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twoCellAnchor>
    <xdr:from>
      <xdr:col>1</xdr:col>
      <xdr:colOff>0</xdr:colOff>
      <xdr:row>16</xdr:row>
      <xdr:rowOff>171450</xdr:rowOff>
    </xdr:from>
    <xdr:to>
      <xdr:col>10</xdr:col>
      <xdr:colOff>190499</xdr:colOff>
      <xdr:row>30</xdr:row>
      <xdr:rowOff>161925</xdr:rowOff>
    </xdr:to>
    <xdr:sp macro="" textlink="">
      <xdr:nvSpPr>
        <xdr:cNvPr id="8" name="Rectangle 2">
          <a:extLst>
            <a:ext uri="{FF2B5EF4-FFF2-40B4-BE49-F238E27FC236}">
              <a16:creationId xmlns:a16="http://schemas.microsoft.com/office/drawing/2014/main" id="{00000000-0008-0000-2300-000008000000}"/>
            </a:ext>
          </a:extLst>
        </xdr:cNvPr>
        <xdr:cNvSpPr>
          <a:spLocks noChangeArrowheads="1"/>
        </xdr:cNvSpPr>
      </xdr:nvSpPr>
      <xdr:spPr bwMode="auto">
        <a:xfrm>
          <a:off x="0" y="3314700"/>
          <a:ext cx="7924799" cy="2533650"/>
        </a:xfrm>
        <a:prstGeom prst="rect">
          <a:avLst/>
        </a:prstGeom>
        <a:noFill/>
        <a:ln w="9525">
          <a:solidFill>
            <a:srgbClr val="000000"/>
          </a:solidFill>
          <a:miter lim="800000"/>
          <a:headEnd/>
          <a:tailEnd/>
        </a:ln>
      </xdr:spPr>
    </xdr:sp>
    <xdr:clientData/>
  </xdr:twoCellAnchor>
  <xdr:oneCellAnchor>
    <xdr:from>
      <xdr:col>5</xdr:col>
      <xdr:colOff>1076325</xdr:colOff>
      <xdr:row>18</xdr:row>
      <xdr:rowOff>57150</xdr:rowOff>
    </xdr:from>
    <xdr:ext cx="184731" cy="264560"/>
    <xdr:sp macro="" textlink="">
      <xdr:nvSpPr>
        <xdr:cNvPr id="9" name="TextBox 8">
          <a:extLst>
            <a:ext uri="{FF2B5EF4-FFF2-40B4-BE49-F238E27FC236}">
              <a16:creationId xmlns:a16="http://schemas.microsoft.com/office/drawing/2014/main" id="{00000000-0008-0000-2300-000009000000}"/>
            </a:ext>
          </a:extLst>
        </xdr:cNvPr>
        <xdr:cNvSpPr txBox="1"/>
      </xdr:nvSpPr>
      <xdr:spPr>
        <a:xfrm>
          <a:off x="4457700"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ustomProperty" Target="../customProperty2.bin"/><Relationship Id="rId2" Type="http://schemas.openxmlformats.org/officeDocument/2006/relationships/customProperty" Target="../customProperty1.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customProperty" Target="../customProperty11.bin"/><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customProperty" Target="../customProperty12.bin"/><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customProperty" Target="../customProperty13.bin"/><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customProperty" Target="../customProperty14.bin"/><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customProperty" Target="../customProperty15.bin"/><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customProperty" Target="../customProperty16.bin"/><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customProperty" Target="../customProperty17.bin"/><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customProperty" Target="../customProperty18.bin"/><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customProperty" Target="../customProperty19.bin"/><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customProperty" Target="../customProperty3.bin"/><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customProperty" Target="../customProperty20.bin"/><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customProperty" Target="../customProperty21.bin"/><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customProperty" Target="../customProperty22.bin"/><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customProperty" Target="../customProperty23.bin"/><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customProperty" Target="../customProperty24.bin"/><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customProperty" Target="../customProperty25.bin"/><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customProperty" Target="../customProperty26.bin"/><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customProperty" Target="../customProperty27.bin"/><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customProperty" Target="../customProperty28.bin"/><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customProperty" Target="../customProperty29.bin"/><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customProperty" Target="../customProperty4.bin"/><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customProperty" Target="../customProperty30.bin"/><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customProperty" Target="../customProperty31.bin"/><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customProperty" Target="../customProperty32.bin"/><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customProperty" Target="../customProperty33.bin"/><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customProperty" Target="../customProperty34.bin"/><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customProperty" Target="../customProperty35.bin"/><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customProperty" Target="../customProperty36.bin"/><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customProperty" Target="../customProperty37.bin"/><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customProperty" Target="../customProperty38.bin"/><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customProperty" Target="../customProperty39.bin"/><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customProperty" Target="../customProperty5.bin"/><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ustomProperty" Target="../customProperty40.bin"/><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customProperty" Target="../customProperty41.bin"/><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customProperty" Target="../customProperty42.bin"/><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customProperty" Target="../customProperty43.bin"/><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customProperty" Target="../customProperty44.bin"/><Relationship Id="rId1" Type="http://schemas.openxmlformats.org/officeDocument/2006/relationships/printerSettings" Target="../printerSettings/printerSettings45.bin"/></Relationships>
</file>

<file path=xl/worksheets/_rels/sheet5.xml.rels><?xml version="1.0" encoding="UTF-8" standalone="yes"?>
<Relationships xmlns="http://schemas.openxmlformats.org/package/2006/relationships"><Relationship Id="rId2" Type="http://schemas.openxmlformats.org/officeDocument/2006/relationships/customProperty" Target="../customProperty6.bin"/><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customProperty" Target="../customProperty7.bin"/><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customProperty" Target="../customProperty8.bin"/><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customProperty" Target="../customProperty9.bin"/><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customProperty" Target="../customProperty10.bin"/><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autoPageBreaks="0"/>
  </sheetPr>
  <dimension ref="A1:K109"/>
  <sheetViews>
    <sheetView showGridLines="0" tabSelected="1" workbookViewId="0"/>
  </sheetViews>
  <sheetFormatPr defaultColWidth="8.84375" defaultRowHeight="12.5"/>
  <cols>
    <col min="1" max="1" width="2.07421875" style="292" customWidth="1"/>
    <col min="2" max="2" width="22.84375" style="292" customWidth="1"/>
    <col min="3" max="3" width="6" style="292" customWidth="1"/>
    <col min="4" max="4" width="24.07421875" style="292" customWidth="1"/>
    <col min="5" max="6" width="12.4609375" style="292" customWidth="1"/>
    <col min="7" max="7" width="4" style="292" customWidth="1"/>
    <col min="8" max="8" width="12.4609375" style="292" customWidth="1"/>
    <col min="9" max="9" width="12" style="292" customWidth="1"/>
    <col min="10" max="10" width="3.84375" style="292" customWidth="1"/>
    <col min="11" max="11" width="28.4609375" style="292" customWidth="1"/>
    <col min="12" max="16384" width="8.84375" style="292"/>
  </cols>
  <sheetData>
    <row r="1" spans="1:10" s="289" customFormat="1" ht="13">
      <c r="A1" s="287"/>
      <c r="B1" s="287"/>
      <c r="C1" s="287"/>
      <c r="D1" s="287"/>
      <c r="E1" s="287"/>
      <c r="F1" s="287"/>
      <c r="G1" s="287"/>
      <c r="H1" s="287"/>
      <c r="I1" s="287"/>
      <c r="J1" s="288"/>
    </row>
    <row r="2" spans="1:10" s="289" customFormat="1" ht="13">
      <c r="A2" s="287"/>
      <c r="B2" s="287"/>
      <c r="C2" s="287"/>
      <c r="D2" s="287"/>
      <c r="E2" s="287"/>
      <c r="F2" s="287"/>
      <c r="G2" s="287"/>
      <c r="H2" s="287"/>
      <c r="I2" s="287"/>
      <c r="J2" s="288"/>
    </row>
    <row r="3" spans="1:10" s="289" customFormat="1" ht="13">
      <c r="A3" s="287"/>
      <c r="B3" s="287"/>
      <c r="C3" s="287"/>
      <c r="D3" s="287"/>
      <c r="E3" s="287"/>
      <c r="F3" s="287"/>
      <c r="G3" s="287"/>
      <c r="H3" s="287"/>
      <c r="I3" s="287"/>
      <c r="J3" s="288"/>
    </row>
    <row r="4" spans="1:10" s="289" customFormat="1" ht="13">
      <c r="A4" s="287" t="s">
        <v>0</v>
      </c>
      <c r="B4" s="287"/>
      <c r="C4" s="287"/>
      <c r="D4" s="287"/>
      <c r="E4" s="287"/>
      <c r="F4" s="287"/>
      <c r="G4" s="287"/>
      <c r="H4" s="287"/>
      <c r="I4" s="401" t="s">
        <v>1</v>
      </c>
      <c r="J4" s="288"/>
    </row>
    <row r="5" spans="1:10" ht="18">
      <c r="A5" s="287" t="s">
        <v>2</v>
      </c>
      <c r="B5" s="290"/>
      <c r="C5" s="290"/>
      <c r="D5" s="290"/>
      <c r="E5" s="290"/>
      <c r="F5" s="290"/>
      <c r="G5" s="290"/>
      <c r="H5" s="290"/>
      <c r="I5" s="401" t="s">
        <v>3</v>
      </c>
      <c r="J5" s="291"/>
    </row>
    <row r="6" spans="1:10" ht="18">
      <c r="A6" s="287" t="s">
        <v>4</v>
      </c>
      <c r="B6" s="290"/>
      <c r="C6" s="290"/>
      <c r="D6" s="290"/>
      <c r="E6" s="290"/>
      <c r="F6" s="290"/>
      <c r="G6" s="290"/>
      <c r="H6" s="290"/>
      <c r="I6" s="290"/>
      <c r="J6" s="291"/>
    </row>
    <row r="7" spans="1:10" ht="18">
      <c r="A7" s="287" t="s">
        <v>5</v>
      </c>
      <c r="B7" s="290"/>
      <c r="C7" s="290"/>
      <c r="D7" s="290"/>
      <c r="E7" s="290"/>
      <c r="F7" s="290"/>
      <c r="G7" s="290"/>
      <c r="H7" s="290"/>
      <c r="I7" s="290"/>
      <c r="J7" s="291"/>
    </row>
    <row r="8" spans="1:10" ht="18.5" thickBot="1">
      <c r="A8" s="290"/>
      <c r="B8" s="290"/>
      <c r="C8" s="290"/>
      <c r="D8" s="290"/>
      <c r="E8" s="290"/>
      <c r="F8" s="290"/>
      <c r="G8" s="290"/>
      <c r="H8" s="290"/>
      <c r="I8" s="290"/>
      <c r="J8" s="291"/>
    </row>
    <row r="9" spans="1:10" ht="18.5" thickTop="1">
      <c r="A9" s="293" t="s">
        <v>6</v>
      </c>
      <c r="B9" s="294"/>
      <c r="C9" s="294"/>
      <c r="D9" s="294"/>
      <c r="E9" s="294"/>
      <c r="F9" s="294"/>
      <c r="G9" s="294"/>
      <c r="H9" s="294"/>
      <c r="I9" s="294"/>
      <c r="J9" s="295"/>
    </row>
    <row r="10" spans="1:10" ht="18.5" thickBot="1">
      <c r="A10" s="691" t="s">
        <v>1559</v>
      </c>
      <c r="B10" s="290"/>
      <c r="C10" s="290"/>
      <c r="D10" s="290"/>
      <c r="E10" s="290"/>
      <c r="F10" s="290"/>
      <c r="G10" s="290"/>
      <c r="H10" s="290"/>
      <c r="I10" s="290"/>
      <c r="J10" s="295"/>
    </row>
    <row r="11" spans="1:10" ht="18.5" thickTop="1">
      <c r="A11" s="296"/>
      <c r="B11" s="297"/>
      <c r="C11" s="297"/>
      <c r="D11" s="297"/>
      <c r="E11" s="297"/>
      <c r="F11" s="297"/>
      <c r="G11" s="297"/>
      <c r="H11" s="297"/>
      <c r="I11" s="297"/>
      <c r="J11" s="298"/>
    </row>
    <row r="12" spans="1:10" ht="13">
      <c r="A12" s="287" t="s">
        <v>7</v>
      </c>
      <c r="B12" s="290"/>
      <c r="C12" s="290"/>
      <c r="D12" s="290"/>
      <c r="E12" s="287"/>
      <c r="F12" s="287"/>
      <c r="G12" s="287"/>
      <c r="H12" s="290"/>
      <c r="I12" s="290"/>
      <c r="J12" s="299"/>
    </row>
    <row r="13" spans="1:10" ht="13">
      <c r="A13" s="289"/>
      <c r="J13" s="299"/>
    </row>
    <row r="14" spans="1:10" ht="13">
      <c r="A14" s="289" t="s">
        <v>8</v>
      </c>
      <c r="B14" s="302"/>
      <c r="J14" s="300"/>
    </row>
    <row r="15" spans="1:10" ht="13">
      <c r="A15" s="289"/>
      <c r="B15" s="332"/>
      <c r="J15" s="300"/>
    </row>
    <row r="16" spans="1:10" ht="13">
      <c r="A16" s="289"/>
      <c r="B16" s="642" t="s">
        <v>9</v>
      </c>
      <c r="D16" s="301" t="s">
        <v>10</v>
      </c>
      <c r="F16" s="302"/>
      <c r="J16" s="333">
        <v>2</v>
      </c>
    </row>
    <row r="17" spans="1:11" ht="13">
      <c r="A17" s="289"/>
      <c r="B17" s="642" t="s">
        <v>11</v>
      </c>
      <c r="D17" s="292" t="s">
        <v>12</v>
      </c>
      <c r="E17" s="1672"/>
      <c r="F17" s="1673"/>
      <c r="G17" s="1672"/>
      <c r="H17" s="1672"/>
      <c r="I17" s="1672"/>
      <c r="J17" s="333">
        <v>3</v>
      </c>
    </row>
    <row r="18" spans="1:11" ht="13">
      <c r="A18" s="304"/>
      <c r="B18" s="637" t="s">
        <v>13</v>
      </c>
      <c r="D18" s="1417" t="s">
        <v>14</v>
      </c>
      <c r="E18" s="301"/>
      <c r="F18" s="301"/>
      <c r="G18" s="301"/>
      <c r="H18" s="301"/>
      <c r="I18" s="301"/>
      <c r="J18" s="333">
        <v>4</v>
      </c>
    </row>
    <row r="19" spans="1:11" ht="13">
      <c r="A19" s="289"/>
      <c r="B19" s="637" t="s">
        <v>15</v>
      </c>
      <c r="D19" s="1418" t="s">
        <v>16</v>
      </c>
      <c r="E19" s="1418"/>
      <c r="F19" s="1418"/>
      <c r="G19" s="1418"/>
      <c r="H19" s="1418"/>
      <c r="I19" s="1418"/>
      <c r="J19" s="333">
        <v>5</v>
      </c>
    </row>
    <row r="20" spans="1:11" ht="13">
      <c r="A20" s="289"/>
      <c r="B20" s="637" t="s">
        <v>17</v>
      </c>
      <c r="D20" s="1418" t="s">
        <v>18</v>
      </c>
      <c r="E20" s="1418"/>
      <c r="F20" s="1418"/>
      <c r="G20" s="1418"/>
      <c r="H20" s="1418"/>
      <c r="I20" s="1418"/>
      <c r="J20" s="333">
        <v>6</v>
      </c>
    </row>
    <row r="21" spans="1:11" ht="13">
      <c r="A21" s="289"/>
      <c r="B21" s="637" t="s">
        <v>19</v>
      </c>
      <c r="D21" s="1417" t="s">
        <v>20</v>
      </c>
      <c r="E21" s="1418"/>
      <c r="F21" s="1418"/>
      <c r="G21" s="1418"/>
      <c r="H21" s="1418"/>
      <c r="I21" s="1418"/>
      <c r="J21" s="333">
        <v>7</v>
      </c>
    </row>
    <row r="22" spans="1:11" ht="13">
      <c r="A22" s="289"/>
      <c r="B22" s="637" t="s">
        <v>21</v>
      </c>
      <c r="D22" s="1417" t="s">
        <v>22</v>
      </c>
      <c r="E22" s="1418"/>
      <c r="F22" s="1418"/>
      <c r="G22" s="1418"/>
      <c r="H22" s="1418"/>
      <c r="I22" s="1418"/>
      <c r="J22" s="333">
        <v>8</v>
      </c>
    </row>
    <row r="23" spans="1:11" ht="13">
      <c r="A23" s="289"/>
      <c r="B23" s="642" t="s">
        <v>23</v>
      </c>
      <c r="D23" s="1417" t="s">
        <v>24</v>
      </c>
      <c r="E23" s="1418"/>
      <c r="F23" s="1418"/>
      <c r="G23" s="1418"/>
      <c r="H23" s="1418"/>
      <c r="I23" s="1418"/>
      <c r="J23" s="333">
        <v>9</v>
      </c>
    </row>
    <row r="24" spans="1:11" ht="13">
      <c r="A24" s="289"/>
      <c r="B24" s="637" t="s">
        <v>25</v>
      </c>
      <c r="D24" s="1417" t="s">
        <v>26</v>
      </c>
      <c r="E24" s="1418"/>
      <c r="F24" s="1418"/>
      <c r="G24" s="1418"/>
      <c r="H24" s="1418"/>
      <c r="I24" s="1418"/>
      <c r="J24" s="333">
        <v>10</v>
      </c>
    </row>
    <row r="25" spans="1:11" ht="13">
      <c r="A25" s="289"/>
      <c r="B25" s="637" t="s">
        <v>27</v>
      </c>
      <c r="D25" s="1417" t="s">
        <v>28</v>
      </c>
      <c r="E25" s="1418"/>
      <c r="F25" s="1418"/>
      <c r="G25" s="1418"/>
      <c r="H25" s="1418"/>
      <c r="I25" s="1418"/>
      <c r="J25" s="333">
        <v>11</v>
      </c>
    </row>
    <row r="26" spans="1:11" ht="13">
      <c r="A26" s="289"/>
      <c r="B26" s="637" t="s">
        <v>29</v>
      </c>
      <c r="D26" s="1417" t="s">
        <v>30</v>
      </c>
      <c r="E26" s="1418"/>
      <c r="F26" s="1418"/>
      <c r="G26" s="1418"/>
      <c r="H26" s="1418"/>
      <c r="I26" s="1418"/>
      <c r="J26" s="333">
        <v>12</v>
      </c>
    </row>
    <row r="27" spans="1:11" ht="13">
      <c r="A27" s="289"/>
      <c r="B27" s="637" t="s">
        <v>31</v>
      </c>
      <c r="D27" s="1417" t="s">
        <v>32</v>
      </c>
      <c r="E27" s="1418"/>
      <c r="F27" s="1418"/>
      <c r="G27" s="1418"/>
      <c r="H27" s="1418"/>
      <c r="I27" s="1418"/>
      <c r="J27" s="333">
        <v>13</v>
      </c>
    </row>
    <row r="28" spans="1:11" ht="13">
      <c r="A28" s="289"/>
      <c r="B28" s="637" t="s">
        <v>33</v>
      </c>
      <c r="D28" s="1417" t="s">
        <v>34</v>
      </c>
      <c r="E28" s="1418"/>
      <c r="F28" s="1418"/>
      <c r="G28" s="1418"/>
      <c r="H28" s="1418"/>
      <c r="I28" s="1418"/>
      <c r="J28" s="333">
        <v>14</v>
      </c>
    </row>
    <row r="29" spans="1:11" ht="13">
      <c r="A29" s="289"/>
      <c r="B29" s="637" t="s">
        <v>35</v>
      </c>
      <c r="D29" s="305" t="s">
        <v>36</v>
      </c>
      <c r="E29" s="1418"/>
      <c r="F29" s="1418"/>
      <c r="G29" s="1418"/>
      <c r="H29" s="1418"/>
      <c r="I29" s="1418"/>
      <c r="J29" s="333">
        <v>15</v>
      </c>
    </row>
    <row r="30" spans="1:11" ht="13">
      <c r="A30" s="289"/>
      <c r="B30" s="642" t="s">
        <v>37</v>
      </c>
      <c r="D30" s="1417" t="s">
        <v>38</v>
      </c>
      <c r="E30" s="1417"/>
      <c r="F30" s="1417"/>
      <c r="G30" s="1417"/>
      <c r="H30" s="1417"/>
      <c r="I30" s="1417"/>
      <c r="J30" s="333">
        <v>16</v>
      </c>
      <c r="K30" s="289"/>
    </row>
    <row r="31" spans="1:11" ht="13">
      <c r="A31" s="289"/>
      <c r="B31" s="637" t="s">
        <v>39</v>
      </c>
      <c r="D31" s="1417" t="s">
        <v>12</v>
      </c>
      <c r="E31" s="1672"/>
      <c r="F31" s="1672"/>
      <c r="G31" s="1672"/>
      <c r="H31" s="1672"/>
      <c r="I31" s="1672"/>
      <c r="J31" s="333">
        <v>18</v>
      </c>
      <c r="K31" s="289"/>
    </row>
    <row r="32" spans="1:11" ht="13">
      <c r="A32" s="289"/>
      <c r="B32" s="637"/>
      <c r="J32" s="333"/>
      <c r="K32" s="289"/>
    </row>
    <row r="33" spans="1:11" ht="13">
      <c r="A33" s="289"/>
      <c r="B33" s="638"/>
      <c r="J33" s="333"/>
    </row>
    <row r="34" spans="1:11" ht="13">
      <c r="A34" s="289" t="s">
        <v>40</v>
      </c>
      <c r="B34" s="639"/>
      <c r="C34" s="289"/>
      <c r="D34" s="289"/>
      <c r="E34" s="289"/>
      <c r="F34" s="289"/>
      <c r="G34" s="289"/>
      <c r="H34" s="289"/>
      <c r="I34" s="289"/>
      <c r="J34" s="334"/>
    </row>
    <row r="35" spans="1:11" ht="13">
      <c r="A35" s="289"/>
      <c r="B35" s="639"/>
      <c r="C35" s="289"/>
      <c r="D35" s="289"/>
      <c r="E35" s="289"/>
      <c r="F35" s="289"/>
      <c r="G35" s="289"/>
      <c r="H35" s="289"/>
      <c r="I35" s="289"/>
      <c r="J35" s="334"/>
    </row>
    <row r="36" spans="1:11" ht="13">
      <c r="A36" s="289"/>
      <c r="B36" s="642" t="s">
        <v>41</v>
      </c>
      <c r="D36" s="301" t="s">
        <v>42</v>
      </c>
      <c r="E36" s="301"/>
      <c r="F36" s="301"/>
      <c r="G36" s="301"/>
      <c r="H36" s="301"/>
      <c r="I36" s="301"/>
      <c r="J36" s="333">
        <v>20</v>
      </c>
    </row>
    <row r="37" spans="1:11" ht="13">
      <c r="A37" s="289"/>
      <c r="B37" s="642" t="s">
        <v>43</v>
      </c>
      <c r="D37" s="292" t="s">
        <v>44</v>
      </c>
      <c r="J37" s="333">
        <v>22</v>
      </c>
    </row>
    <row r="38" spans="1:11" ht="13">
      <c r="A38" s="289"/>
      <c r="B38" s="642" t="s">
        <v>45</v>
      </c>
      <c r="D38" s="1418" t="s">
        <v>46</v>
      </c>
      <c r="E38" s="1418"/>
      <c r="F38" s="1418"/>
      <c r="G38" s="1418"/>
      <c r="H38" s="1418"/>
      <c r="I38" s="1418"/>
      <c r="J38" s="333">
        <v>24</v>
      </c>
    </row>
    <row r="39" spans="1:11" ht="13">
      <c r="A39" s="289"/>
      <c r="B39" s="642" t="s">
        <v>47</v>
      </c>
      <c r="D39" s="1418" t="s">
        <v>48</v>
      </c>
      <c r="E39" s="1418"/>
      <c r="F39" s="1418"/>
      <c r="G39" s="1418"/>
      <c r="H39" s="1418"/>
      <c r="I39" s="1418"/>
      <c r="J39" s="333">
        <v>26</v>
      </c>
    </row>
    <row r="40" spans="1:11" ht="13">
      <c r="A40" s="289"/>
      <c r="B40" s="637" t="s">
        <v>49</v>
      </c>
      <c r="D40" s="1418" t="s">
        <v>50</v>
      </c>
      <c r="E40" s="1418"/>
      <c r="F40" s="1418"/>
      <c r="G40" s="1418"/>
      <c r="H40" s="1418"/>
      <c r="I40" s="1418"/>
      <c r="J40" s="333">
        <v>28</v>
      </c>
    </row>
    <row r="41" spans="1:11" ht="13">
      <c r="A41" s="289"/>
      <c r="B41" s="642" t="s">
        <v>51</v>
      </c>
      <c r="D41" s="1418" t="s">
        <v>52</v>
      </c>
      <c r="E41" s="1418"/>
      <c r="F41" s="1418"/>
      <c r="G41" s="1418"/>
      <c r="H41" s="1418"/>
      <c r="I41" s="1418"/>
      <c r="J41" s="333">
        <v>29</v>
      </c>
    </row>
    <row r="42" spans="1:11" ht="13">
      <c r="A42" s="289"/>
      <c r="B42" s="642" t="s">
        <v>53</v>
      </c>
      <c r="D42" s="1418" t="s">
        <v>54</v>
      </c>
      <c r="E42" s="1418"/>
      <c r="F42" s="1418"/>
      <c r="G42" s="1418"/>
      <c r="H42" s="1418"/>
      <c r="I42" s="1418"/>
      <c r="J42" s="333">
        <v>31</v>
      </c>
    </row>
    <row r="43" spans="1:11" ht="13">
      <c r="A43" s="289"/>
      <c r="B43" s="642" t="s">
        <v>55</v>
      </c>
      <c r="D43" s="1418" t="s">
        <v>56</v>
      </c>
      <c r="E43" s="1418"/>
      <c r="F43" s="1418"/>
      <c r="G43" s="1418"/>
      <c r="H43" s="1418"/>
      <c r="I43" s="1418"/>
      <c r="J43" s="333">
        <v>33</v>
      </c>
    </row>
    <row r="44" spans="1:11" ht="13">
      <c r="A44" s="289"/>
      <c r="B44" s="637" t="s">
        <v>57</v>
      </c>
      <c r="D44" s="1418" t="s">
        <v>58</v>
      </c>
      <c r="E44" s="1418"/>
      <c r="F44" s="1418"/>
      <c r="G44" s="1418"/>
      <c r="H44" s="1418"/>
      <c r="I44" s="1418"/>
      <c r="J44" s="333">
        <v>34</v>
      </c>
    </row>
    <row r="45" spans="1:11" ht="13">
      <c r="A45" s="289"/>
      <c r="B45" s="642" t="s">
        <v>59</v>
      </c>
      <c r="D45" s="1418" t="s">
        <v>60</v>
      </c>
      <c r="E45" s="1418"/>
      <c r="F45" s="1418"/>
      <c r="G45" s="1418"/>
      <c r="H45" s="1418"/>
      <c r="I45" s="1418"/>
      <c r="J45" s="333">
        <v>35</v>
      </c>
    </row>
    <row r="46" spans="1:11" ht="13">
      <c r="A46" s="289"/>
      <c r="B46" s="637" t="s">
        <v>61</v>
      </c>
      <c r="D46" s="1418" t="s">
        <v>62</v>
      </c>
      <c r="E46" s="1418"/>
      <c r="F46" s="1418"/>
      <c r="G46" s="1418"/>
      <c r="H46" s="1418"/>
      <c r="I46" s="1418"/>
      <c r="J46" s="333">
        <v>36</v>
      </c>
    </row>
    <row r="47" spans="1:11" ht="13">
      <c r="A47" s="289"/>
      <c r="B47" s="637" t="s">
        <v>63</v>
      </c>
      <c r="D47" s="1417" t="s">
        <v>64</v>
      </c>
      <c r="E47" s="1417"/>
      <c r="F47" s="1417"/>
      <c r="G47" s="1417"/>
      <c r="H47" s="1417"/>
      <c r="I47" s="1417"/>
      <c r="J47" s="333">
        <v>37</v>
      </c>
      <c r="K47" s="289"/>
    </row>
    <row r="48" spans="1:11" ht="13">
      <c r="A48" s="289"/>
      <c r="B48" s="638"/>
      <c r="J48" s="333"/>
    </row>
    <row r="49" spans="1:11" ht="13">
      <c r="A49" s="289" t="s">
        <v>65</v>
      </c>
      <c r="B49" s="638"/>
      <c r="J49" s="333"/>
    </row>
    <row r="50" spans="1:11" ht="13">
      <c r="A50" s="289"/>
      <c r="B50" s="639"/>
      <c r="C50" s="289"/>
      <c r="D50" s="289"/>
      <c r="E50" s="289"/>
      <c r="F50" s="289"/>
      <c r="G50" s="289"/>
      <c r="H50" s="289"/>
      <c r="I50" s="289"/>
      <c r="J50" s="334"/>
    </row>
    <row r="51" spans="1:11" ht="13">
      <c r="A51" s="289"/>
      <c r="B51" s="637" t="s">
        <v>66</v>
      </c>
      <c r="D51" s="292" t="s">
        <v>67</v>
      </c>
      <c r="J51" s="333">
        <v>38</v>
      </c>
    </row>
    <row r="52" spans="1:11" ht="13">
      <c r="A52" s="289"/>
      <c r="B52" s="637" t="s">
        <v>68</v>
      </c>
      <c r="D52" s="1418" t="s">
        <v>69</v>
      </c>
      <c r="E52" s="1418"/>
      <c r="F52" s="1418"/>
      <c r="G52" s="1418"/>
      <c r="H52" s="1418"/>
      <c r="I52" s="1418"/>
      <c r="J52" s="333">
        <v>41</v>
      </c>
    </row>
    <row r="53" spans="1:11" ht="13">
      <c r="A53" s="289"/>
      <c r="B53" s="637" t="s">
        <v>70</v>
      </c>
      <c r="D53" s="1418" t="s">
        <v>71</v>
      </c>
      <c r="E53" s="1418"/>
      <c r="F53" s="1418"/>
      <c r="G53" s="1418"/>
      <c r="H53" s="1418"/>
      <c r="I53" s="1418"/>
      <c r="J53" s="333">
        <v>42</v>
      </c>
    </row>
    <row r="54" spans="1:11" ht="13">
      <c r="A54" s="289"/>
      <c r="B54" s="637" t="s">
        <v>72</v>
      </c>
      <c r="D54" s="1418" t="s">
        <v>73</v>
      </c>
      <c r="E54" s="1418"/>
      <c r="F54" s="1418"/>
      <c r="G54" s="1418"/>
      <c r="H54" s="1418"/>
      <c r="I54" s="1418"/>
      <c r="J54" s="333">
        <v>43</v>
      </c>
    </row>
    <row r="55" spans="1:11" ht="13">
      <c r="A55" s="289"/>
      <c r="B55" s="637" t="s">
        <v>74</v>
      </c>
      <c r="D55" s="1418" t="s">
        <v>75</v>
      </c>
      <c r="E55" s="1418"/>
      <c r="F55" s="1418"/>
      <c r="G55" s="1418"/>
      <c r="H55" s="1418"/>
      <c r="I55" s="1418"/>
      <c r="J55" s="333">
        <v>44</v>
      </c>
      <c r="K55" s="306"/>
    </row>
    <row r="56" spans="1:11" ht="13">
      <c r="A56" s="289"/>
      <c r="B56" s="642" t="s">
        <v>76</v>
      </c>
      <c r="D56" s="1418" t="s">
        <v>77</v>
      </c>
      <c r="E56" s="1418"/>
      <c r="F56" s="1418"/>
      <c r="G56" s="1418"/>
      <c r="H56" s="1418"/>
      <c r="I56" s="1418"/>
      <c r="J56" s="333">
        <v>45</v>
      </c>
      <c r="K56" s="299"/>
    </row>
    <row r="57" spans="1:11" ht="13">
      <c r="A57" s="289"/>
      <c r="B57" s="637" t="s">
        <v>78</v>
      </c>
      <c r="D57" s="1417" t="s">
        <v>79</v>
      </c>
      <c r="E57" s="1417"/>
      <c r="F57" s="1417"/>
      <c r="G57" s="1417"/>
      <c r="H57" s="1417"/>
      <c r="I57" s="1417"/>
      <c r="J57" s="333">
        <v>46</v>
      </c>
      <c r="K57" s="299"/>
    </row>
    <row r="58" spans="1:11" ht="13">
      <c r="A58" s="289"/>
      <c r="B58" s="640" t="s">
        <v>80</v>
      </c>
      <c r="D58" s="301" t="s">
        <v>81</v>
      </c>
      <c r="E58" s="301"/>
      <c r="F58" s="301"/>
      <c r="G58" s="301"/>
      <c r="H58" s="301"/>
      <c r="I58" s="301"/>
      <c r="J58" s="333">
        <v>47</v>
      </c>
      <c r="K58" s="299"/>
    </row>
    <row r="59" spans="1:11" ht="13">
      <c r="A59" s="289"/>
      <c r="B59" s="641" t="s">
        <v>82</v>
      </c>
      <c r="D59" s="1672" t="s">
        <v>83</v>
      </c>
      <c r="E59" s="1672"/>
      <c r="F59" s="1672"/>
      <c r="G59" s="1672"/>
      <c r="H59" s="1672"/>
      <c r="I59" s="1672"/>
      <c r="J59" s="333">
        <v>48</v>
      </c>
      <c r="K59" s="299"/>
    </row>
    <row r="60" spans="1:11" ht="13">
      <c r="A60" s="289"/>
      <c r="B60" s="641" t="s">
        <v>84</v>
      </c>
      <c r="D60" s="1674" t="s">
        <v>85</v>
      </c>
      <c r="E60" s="1672"/>
      <c r="F60" s="1674"/>
      <c r="G60" s="1672"/>
      <c r="H60" s="1672"/>
      <c r="I60" s="1672"/>
      <c r="J60" s="333">
        <v>49</v>
      </c>
      <c r="K60" s="299"/>
    </row>
    <row r="61" spans="1:11" ht="13">
      <c r="A61" s="289"/>
      <c r="B61" s="641" t="s">
        <v>86</v>
      </c>
      <c r="D61" s="1672" t="s">
        <v>87</v>
      </c>
      <c r="E61" s="1672"/>
      <c r="F61" s="1672"/>
      <c r="G61" s="1672"/>
      <c r="H61" s="1672"/>
      <c r="I61" s="1672"/>
      <c r="J61" s="333">
        <v>50</v>
      </c>
    </row>
    <row r="62" spans="1:11" ht="13">
      <c r="A62" s="289"/>
      <c r="B62" s="726" t="s">
        <v>88</v>
      </c>
      <c r="D62" s="1672" t="s">
        <v>89</v>
      </c>
      <c r="E62" s="1672"/>
      <c r="F62" s="1672"/>
      <c r="G62" s="1672"/>
      <c r="H62" s="1673"/>
      <c r="I62" s="1672"/>
      <c r="J62" s="333">
        <v>51</v>
      </c>
    </row>
    <row r="63" spans="1:11" ht="13">
      <c r="A63" s="289"/>
      <c r="B63" s="726" t="s">
        <v>90</v>
      </c>
      <c r="D63" s="1672" t="s">
        <v>91</v>
      </c>
      <c r="E63" s="1672"/>
      <c r="F63" s="1672"/>
      <c r="G63" s="1672"/>
      <c r="H63" s="1673"/>
      <c r="I63" s="1672"/>
      <c r="J63" s="333">
        <v>52</v>
      </c>
    </row>
    <row r="64" spans="1:11" ht="13">
      <c r="A64" s="289"/>
      <c r="B64" s="642" t="s">
        <v>92</v>
      </c>
      <c r="D64" s="1672" t="s">
        <v>93</v>
      </c>
      <c r="E64" s="1672"/>
      <c r="F64" s="1672"/>
      <c r="G64" s="1672"/>
      <c r="H64" s="1673"/>
      <c r="I64" s="1672"/>
      <c r="J64" s="333">
        <v>56</v>
      </c>
    </row>
    <row r="65" spans="1:10" ht="13.4" customHeight="1">
      <c r="A65" s="289"/>
      <c r="B65" s="642" t="s">
        <v>94</v>
      </c>
      <c r="D65" s="1672" t="s">
        <v>95</v>
      </c>
      <c r="E65" s="1672"/>
      <c r="F65" s="1672"/>
      <c r="G65" s="1672"/>
      <c r="H65" s="1673"/>
      <c r="I65" s="1672"/>
      <c r="J65" s="333">
        <v>57</v>
      </c>
    </row>
    <row r="66" spans="1:10" ht="13.4" customHeight="1">
      <c r="A66" s="289"/>
      <c r="B66" s="642" t="s">
        <v>96</v>
      </c>
      <c r="D66" s="1672" t="s">
        <v>97</v>
      </c>
      <c r="E66" s="1672"/>
      <c r="F66" s="1672"/>
      <c r="G66" s="1672"/>
      <c r="H66" s="1673"/>
      <c r="I66" s="1672"/>
      <c r="J66" s="333">
        <v>58</v>
      </c>
    </row>
    <row r="67" spans="1:10" ht="13.4" customHeight="1">
      <c r="A67" s="289"/>
      <c r="B67" s="307"/>
      <c r="D67" s="302"/>
      <c r="E67" s="302"/>
      <c r="F67" s="302"/>
      <c r="G67" s="302"/>
      <c r="H67" s="302"/>
      <c r="I67" s="302"/>
      <c r="J67" s="303"/>
    </row>
    <row r="68" spans="1:10" ht="13.4" customHeight="1">
      <c r="A68" s="289"/>
      <c r="B68" s="307"/>
      <c r="D68" s="302"/>
      <c r="E68" s="302"/>
      <c r="F68" s="302"/>
      <c r="G68" s="302"/>
      <c r="H68" s="302"/>
      <c r="I68" s="302"/>
      <c r="J68" s="303"/>
    </row>
    <row r="69" spans="1:10" ht="13.4" customHeight="1">
      <c r="A69" s="289"/>
      <c r="B69" s="307"/>
      <c r="D69" s="302"/>
      <c r="E69" s="302"/>
      <c r="F69" s="302"/>
      <c r="G69" s="302"/>
      <c r="H69" s="302"/>
      <c r="I69" s="302"/>
      <c r="J69" s="303"/>
    </row>
    <row r="70" spans="1:10" ht="13.4" customHeight="1">
      <c r="A70" s="289"/>
      <c r="B70" s="307"/>
      <c r="D70" s="302"/>
      <c r="E70" s="302"/>
      <c r="F70" s="302"/>
      <c r="G70" s="302"/>
      <c r="H70" s="302"/>
      <c r="I70" s="302"/>
      <c r="J70" s="303"/>
    </row>
    <row r="71" spans="1:10" ht="13.4" customHeight="1">
      <c r="A71" s="289"/>
      <c r="B71" s="307"/>
      <c r="D71" s="302"/>
      <c r="E71" s="302"/>
      <c r="F71" s="302"/>
      <c r="G71" s="302"/>
      <c r="H71" s="302"/>
      <c r="I71" s="302"/>
      <c r="J71" s="303"/>
    </row>
    <row r="72" spans="1:10" ht="13.4" customHeight="1">
      <c r="A72" s="289"/>
      <c r="B72" s="307"/>
      <c r="D72" s="302"/>
      <c r="E72" s="302"/>
      <c r="F72" s="302"/>
      <c r="G72" s="302"/>
      <c r="H72" s="302"/>
      <c r="I72" s="302"/>
      <c r="J72" s="303"/>
    </row>
    <row r="73" spans="1:10" ht="13.4" customHeight="1">
      <c r="A73" s="289"/>
      <c r="B73" s="307"/>
      <c r="D73" s="302"/>
      <c r="E73" s="302"/>
      <c r="F73" s="302"/>
      <c r="G73" s="302"/>
      <c r="H73" s="302"/>
      <c r="I73" s="302"/>
      <c r="J73" s="303"/>
    </row>
    <row r="74" spans="1:10" ht="13.4" customHeight="1">
      <c r="A74" s="289"/>
      <c r="B74" s="307"/>
      <c r="D74" s="302"/>
      <c r="E74" s="302"/>
      <c r="F74" s="302"/>
      <c r="G74" s="302"/>
      <c r="H74" s="302"/>
      <c r="I74" s="302"/>
      <c r="J74" s="303"/>
    </row>
    <row r="75" spans="1:10" ht="13.4" customHeight="1">
      <c r="A75" s="289"/>
      <c r="B75" s="307"/>
      <c r="D75" s="302"/>
      <c r="E75" s="302"/>
      <c r="F75" s="302"/>
      <c r="G75" s="302"/>
      <c r="H75" s="302"/>
      <c r="I75" s="302"/>
      <c r="J75" s="303"/>
    </row>
    <row r="76" spans="1:10" ht="13.4" customHeight="1">
      <c r="A76" s="289"/>
      <c r="B76" s="307"/>
      <c r="D76" s="302"/>
      <c r="E76" s="302"/>
      <c r="F76" s="302"/>
      <c r="G76" s="302"/>
      <c r="H76" s="302"/>
      <c r="I76" s="302"/>
      <c r="J76" s="303"/>
    </row>
    <row r="77" spans="1:10" ht="13.4" customHeight="1">
      <c r="A77" s="289"/>
      <c r="B77" s="307"/>
      <c r="D77" s="302"/>
      <c r="E77" s="302"/>
      <c r="F77" s="302"/>
      <c r="G77" s="302"/>
      <c r="H77" s="302"/>
      <c r="I77" s="302"/>
      <c r="J77" s="303"/>
    </row>
    <row r="78" spans="1:10" ht="13.4" customHeight="1">
      <c r="A78" s="289"/>
      <c r="B78" s="307"/>
      <c r="D78" s="302"/>
      <c r="E78" s="302"/>
      <c r="F78" s="302"/>
      <c r="G78" s="302"/>
      <c r="H78" s="302"/>
      <c r="I78" s="302"/>
      <c r="J78" s="303"/>
    </row>
    <row r="79" spans="1:10" ht="13.4" customHeight="1">
      <c r="A79" s="289"/>
      <c r="B79" s="307"/>
      <c r="D79" s="302"/>
      <c r="E79" s="302"/>
      <c r="F79" s="302"/>
      <c r="G79" s="302"/>
      <c r="H79" s="302"/>
      <c r="I79" s="302"/>
      <c r="J79" s="303"/>
    </row>
    <row r="80" spans="1:10" ht="13.4" customHeight="1">
      <c r="A80" s="289"/>
      <c r="B80" s="307"/>
      <c r="D80" s="302"/>
      <c r="E80" s="302"/>
      <c r="F80" s="302"/>
      <c r="G80" s="302"/>
      <c r="H80" s="302"/>
      <c r="I80" s="302"/>
      <c r="J80" s="303"/>
    </row>
    <row r="81" spans="1:10" ht="13.4" customHeight="1">
      <c r="A81" s="289"/>
      <c r="B81" s="307"/>
      <c r="D81" s="302"/>
      <c r="E81" s="302"/>
      <c r="F81" s="302"/>
      <c r="G81" s="302"/>
      <c r="H81" s="302"/>
      <c r="I81" s="302"/>
      <c r="J81" s="303"/>
    </row>
    <row r="82" spans="1:10" ht="13.4" customHeight="1">
      <c r="A82" s="289"/>
      <c r="B82" s="307"/>
      <c r="D82" s="302"/>
      <c r="E82" s="302"/>
      <c r="F82" s="302"/>
      <c r="G82" s="302"/>
      <c r="H82" s="302"/>
      <c r="I82" s="302"/>
      <c r="J82" s="303"/>
    </row>
    <row r="83" spans="1:10" ht="13.4" customHeight="1">
      <c r="A83" s="289"/>
      <c r="B83" s="307"/>
      <c r="D83" s="302"/>
      <c r="E83" s="302"/>
      <c r="F83" s="302"/>
      <c r="G83" s="302"/>
      <c r="H83" s="302"/>
      <c r="I83" s="302"/>
      <c r="J83" s="303"/>
    </row>
    <row r="84" spans="1:10" ht="13.4" customHeight="1">
      <c r="A84" s="289"/>
      <c r="B84" s="307"/>
      <c r="D84" s="302"/>
      <c r="E84" s="302"/>
      <c r="F84" s="302"/>
      <c r="G84" s="302"/>
      <c r="H84" s="302"/>
      <c r="I84" s="302"/>
      <c r="J84" s="303"/>
    </row>
    <row r="85" spans="1:10" ht="13.4" customHeight="1">
      <c r="A85" s="289"/>
      <c r="B85" s="307"/>
      <c r="D85" s="302"/>
      <c r="E85" s="302"/>
      <c r="F85" s="302"/>
      <c r="G85" s="302"/>
      <c r="H85" s="302"/>
      <c r="I85" s="302"/>
      <c r="J85" s="303"/>
    </row>
    <row r="86" spans="1:10" ht="13.4" customHeight="1">
      <c r="A86" s="289"/>
      <c r="B86" s="307"/>
      <c r="D86" s="302"/>
      <c r="E86" s="302"/>
      <c r="F86" s="302"/>
      <c r="G86" s="302"/>
      <c r="H86" s="302"/>
      <c r="I86" s="302"/>
      <c r="J86" s="303"/>
    </row>
    <row r="87" spans="1:10" ht="13.4" customHeight="1">
      <c r="A87" s="289"/>
      <c r="B87" s="307"/>
      <c r="D87" s="302"/>
      <c r="E87" s="302"/>
      <c r="F87" s="302"/>
      <c r="G87" s="302"/>
      <c r="H87" s="302"/>
      <c r="I87" s="302"/>
      <c r="J87" s="303"/>
    </row>
    <row r="88" spans="1:10" ht="13.4" customHeight="1">
      <c r="A88" s="289"/>
      <c r="B88" s="307"/>
      <c r="D88" s="302"/>
      <c r="E88" s="302"/>
      <c r="F88" s="302"/>
      <c r="G88" s="302"/>
      <c r="H88" s="302"/>
      <c r="I88" s="302"/>
      <c r="J88" s="303"/>
    </row>
    <row r="89" spans="1:10" ht="13.4" customHeight="1">
      <c r="A89" s="289"/>
      <c r="B89" s="307"/>
      <c r="D89" s="302"/>
      <c r="E89" s="302"/>
      <c r="F89" s="302"/>
      <c r="G89" s="302"/>
      <c r="H89" s="302"/>
      <c r="I89" s="302"/>
      <c r="J89" s="303"/>
    </row>
    <row r="90" spans="1:10" ht="13.4" customHeight="1">
      <c r="A90" s="289"/>
      <c r="B90" s="307"/>
      <c r="D90" s="302"/>
      <c r="E90" s="302"/>
      <c r="F90" s="302"/>
      <c r="G90" s="302"/>
      <c r="H90" s="302"/>
      <c r="I90" s="302"/>
      <c r="J90" s="303"/>
    </row>
    <row r="91" spans="1:10" ht="13.4" customHeight="1">
      <c r="A91" s="289"/>
      <c r="B91" s="307"/>
      <c r="D91" s="302"/>
      <c r="E91" s="302"/>
      <c r="F91" s="302"/>
      <c r="G91" s="302"/>
      <c r="H91" s="302"/>
      <c r="I91" s="302"/>
      <c r="J91" s="303"/>
    </row>
    <row r="92" spans="1:10" ht="13.4" customHeight="1">
      <c r="A92" s="289"/>
      <c r="B92" s="307"/>
      <c r="D92" s="302"/>
      <c r="E92" s="302"/>
      <c r="F92" s="302"/>
      <c r="G92" s="302"/>
      <c r="H92" s="302"/>
      <c r="I92" s="302"/>
      <c r="J92" s="303"/>
    </row>
    <row r="93" spans="1:10" ht="13.4" customHeight="1">
      <c r="A93" s="289"/>
      <c r="B93" s="307"/>
      <c r="D93" s="302"/>
      <c r="E93" s="302"/>
      <c r="F93" s="302"/>
      <c r="G93" s="302"/>
      <c r="H93" s="302"/>
      <c r="I93" s="302"/>
      <c r="J93" s="303"/>
    </row>
    <row r="94" spans="1:10" ht="13.4" customHeight="1">
      <c r="A94" s="289"/>
      <c r="B94" s="307"/>
      <c r="D94" s="302"/>
      <c r="E94" s="302"/>
      <c r="F94" s="302"/>
      <c r="G94" s="302"/>
      <c r="H94" s="302"/>
      <c r="I94" s="302"/>
      <c r="J94" s="303"/>
    </row>
    <row r="95" spans="1:10" ht="13.4" customHeight="1">
      <c r="A95" s="289"/>
      <c r="B95" s="307"/>
      <c r="D95" s="302"/>
      <c r="E95" s="302"/>
      <c r="F95" s="302"/>
      <c r="G95" s="302"/>
      <c r="H95" s="302"/>
      <c r="I95" s="302"/>
      <c r="J95" s="303"/>
    </row>
    <row r="96" spans="1:10" ht="13.4" customHeight="1">
      <c r="A96" s="289"/>
      <c r="B96" s="307"/>
      <c r="D96" s="302"/>
      <c r="E96" s="302"/>
      <c r="F96" s="302"/>
      <c r="G96" s="302"/>
      <c r="H96" s="302"/>
      <c r="I96" s="302"/>
      <c r="J96" s="303"/>
    </row>
    <row r="97" spans="1:10" ht="13.4" customHeight="1">
      <c r="A97" s="289"/>
      <c r="B97" s="307"/>
      <c r="D97" s="302"/>
      <c r="E97" s="302"/>
      <c r="F97" s="302"/>
      <c r="G97" s="302"/>
      <c r="H97" s="302"/>
      <c r="I97" s="302"/>
      <c r="J97" s="303"/>
    </row>
    <row r="98" spans="1:10" ht="13.4" customHeight="1">
      <c r="A98" s="289"/>
      <c r="B98" s="307"/>
      <c r="D98" s="302"/>
      <c r="E98" s="302"/>
      <c r="F98" s="302"/>
      <c r="G98" s="302"/>
      <c r="H98" s="302"/>
      <c r="I98" s="302"/>
      <c r="J98" s="303"/>
    </row>
    <row r="99" spans="1:10" ht="13.4" customHeight="1">
      <c r="A99" s="289"/>
      <c r="B99" s="307"/>
      <c r="D99" s="302"/>
      <c r="E99" s="302"/>
      <c r="F99" s="302"/>
      <c r="G99" s="302"/>
      <c r="H99" s="302"/>
      <c r="I99" s="302"/>
      <c r="J99" s="303"/>
    </row>
    <row r="100" spans="1:10" ht="13.4" customHeight="1">
      <c r="A100" s="289"/>
      <c r="B100" s="307"/>
      <c r="D100" s="302"/>
      <c r="E100" s="302"/>
      <c r="F100" s="302"/>
      <c r="G100" s="302"/>
      <c r="H100" s="302"/>
      <c r="I100" s="302"/>
      <c r="J100" s="303"/>
    </row>
    <row r="101" spans="1:10">
      <c r="B101" s="307"/>
      <c r="J101" s="308"/>
    </row>
    <row r="102" spans="1:10">
      <c r="B102" s="307"/>
      <c r="J102" s="308"/>
    </row>
    <row r="103" spans="1:10">
      <c r="B103" s="307"/>
      <c r="J103" s="308"/>
    </row>
    <row r="104" spans="1:10">
      <c r="B104" s="307"/>
    </row>
    <row r="105" spans="1:10">
      <c r="B105" s="307"/>
    </row>
    <row r="106" spans="1:10">
      <c r="B106" s="307"/>
    </row>
    <row r="107" spans="1:10">
      <c r="B107" s="307"/>
    </row>
    <row r="108" spans="1:10">
      <c r="B108" s="307"/>
    </row>
    <row r="109" spans="1:10">
      <c r="B109" s="307"/>
    </row>
  </sheetData>
  <hyperlinks>
    <hyperlink ref="B16" location="'Exhibit A'!A1" display="Exhibit A" xr:uid="{00000000-0004-0000-0000-000000000000}"/>
    <hyperlink ref="B17" location="'Exh A Supp'!A1" display="Exhibit A Supplemental " xr:uid="{00000000-0004-0000-0000-000001000000}"/>
    <hyperlink ref="B18" location="Footnotes!A1" display="Exhibit A Footnotes" xr:uid="{00000000-0004-0000-0000-000002000000}"/>
    <hyperlink ref="B19" location="'Exh B'!A1" display="Exhibit B" xr:uid="{00000000-0004-0000-0000-000003000000}"/>
    <hyperlink ref="B20" location="'Exh C'!A1" display="Exhibit C" xr:uid="{00000000-0004-0000-0000-000004000000}"/>
    <hyperlink ref="B21" location="'Exh D-Governmental  '!A1" display="Exhibit D    " xr:uid="{00000000-0004-0000-0000-000005000000}"/>
    <hyperlink ref="B22" location="'Exh D State Operating'!A1" display="Exhibit D State Operating" xr:uid="{00000000-0004-0000-0000-000006000000}"/>
    <hyperlink ref="B23" location="'Exh D General Fund'!A1" display="Exhibit D General Fund" xr:uid="{00000000-0004-0000-0000-000007000000}"/>
    <hyperlink ref="B29" location="'EXHIBIT E '!A1" display="Exhibit E" xr:uid="{00000000-0004-0000-0000-000008000000}"/>
    <hyperlink ref="B30" location="'Cashflow Governmental'!A1" display="Cash Flow - Governmental" xr:uid="{00000000-0004-0000-0000-000009000000}"/>
    <hyperlink ref="B36" location="'Exhibit F'!A1" display="Exhibit F" xr:uid="{00000000-0004-0000-0000-00000A000000}"/>
    <hyperlink ref="B37" location="'Exhibit G'!A1" display="Exhibit G" xr:uid="{00000000-0004-0000-0000-00000B000000}"/>
    <hyperlink ref="B38" location="'Exhibit G state'!A1" display="Exhibit G State" xr:uid="{00000000-0004-0000-0000-00000C000000}"/>
    <hyperlink ref="B39" location="'Exhibit G Federal'!A1" display="Exhibit G Federal" xr:uid="{00000000-0004-0000-0000-00000D000000}"/>
    <hyperlink ref="B40" location="'Exhibit H'!A1" display="Exhibit H" xr:uid="{00000000-0004-0000-0000-00000E000000}"/>
    <hyperlink ref="B41" location="'Exhibit I'!A1" display="Exhibit I" xr:uid="{00000000-0004-0000-0000-00000F000000}"/>
    <hyperlink ref="B42" location="'Exhibit I State'!A1" display="Exhibit I State" xr:uid="{00000000-0004-0000-0000-000010000000}"/>
    <hyperlink ref="B43" location="'Exhibit I Federal'!A1" display="Exhibit I Federal" xr:uid="{00000000-0004-0000-0000-000011000000}"/>
    <hyperlink ref="B44" location="'Exhibit J'!A1" display="Exhibit J" xr:uid="{00000000-0004-0000-0000-000012000000}"/>
    <hyperlink ref="B45" location="'Exhibit K'!A1" display="Exhibit K" xr:uid="{00000000-0004-0000-0000-000013000000}"/>
    <hyperlink ref="B46" location="'EXHIBIT L'!A1" display="Exhibit L" xr:uid="{00000000-0004-0000-0000-000014000000}"/>
    <hyperlink ref="B47" location="'EXHIBIT M'!A1" display="Exhibit M" xr:uid="{00000000-0004-0000-0000-000015000000}"/>
    <hyperlink ref="B51" location="'Sch 1 '!A1" display="Schedule 1" xr:uid="{00000000-0004-0000-0000-000016000000}"/>
    <hyperlink ref="B52" location="'Sch 2 '!A1" display="Schedule 2" xr:uid="{00000000-0004-0000-0000-000017000000}"/>
    <hyperlink ref="B53" location="'Sch 3 '!A1" display="Schedule 3" xr:uid="{00000000-0004-0000-0000-000018000000}"/>
    <hyperlink ref="B54" location="'Sch 4'!A1" display="Schedule 4" xr:uid="{00000000-0004-0000-0000-000019000000}"/>
    <hyperlink ref="B55" location="'Sch 5 '!A1" display="Schedule 5" xr:uid="{00000000-0004-0000-0000-00001A000000}"/>
    <hyperlink ref="B56" location="'Sch 5a'!A1" display="Schedule 5a" xr:uid="{00000000-0004-0000-0000-00001B000000}"/>
    <hyperlink ref="B57" location="'Sch 6'!A1" display="Schedule 6" xr:uid="{00000000-0004-0000-0000-00001C000000}"/>
    <hyperlink ref="B58" location="'HCRA '!A1" display="Appendix A " xr:uid="{00000000-0004-0000-0000-00001D000000}"/>
    <hyperlink ref="B59" location="'HCRA PROG DISB'!A1" display="Appendix B" xr:uid="{00000000-0004-0000-0000-00001E000000}"/>
    <hyperlink ref="B60" location="'Public Goods '!A1" display="Appendix D" xr:uid="{00000000-0004-0000-0000-00001F000000}"/>
    <hyperlink ref="B61" location="'Medicaid Disp Share'!B1" display="Appendix E" xr:uid="{00000000-0004-0000-0000-000020000000}"/>
    <hyperlink ref="B62" location="'Appendix E'!A1" display="Appendix E" xr:uid="{00000000-0004-0000-0000-000021000000}"/>
    <hyperlink ref="B63" location="'Appendix F'!D1" display="Appendix F" xr:uid="{00000000-0004-0000-0000-000022000000}"/>
    <hyperlink ref="B31" location="'Cash Flow State Operating'!A1" display="Cash Flow - State Operating" xr:uid="{00000000-0004-0000-0000-000023000000}"/>
    <hyperlink ref="B25" location="'Exh D Special Revenue State Fed'!A1" display="Exhibit D Special Revenue State/Federal" xr:uid="{00000000-0004-0000-0000-000024000000}"/>
    <hyperlink ref="B26" location="'Exh D Debt Service'!A1" display="Exhibit D Debt" xr:uid="{00000000-0004-0000-0000-000025000000}"/>
    <hyperlink ref="B28" location="'Exh D Captl Projects State Fed'!A1" display="Exhibit D Capital Projects State/Federal" xr:uid="{00000000-0004-0000-0000-000026000000}"/>
    <hyperlink ref="B24" location="'Exh D Special Revenue'!A1" display="Exhibit D Special Revenue" xr:uid="{00000000-0004-0000-0000-000027000000}"/>
    <hyperlink ref="B27" location="'Exh D Capital Projects'!A1" display="Exhibit D Capital Projects" xr:uid="{00000000-0004-0000-0000-000028000000}"/>
    <hyperlink ref="B64" location="'Appendix G'!A1" display="Appendix G" xr:uid="{00000000-0004-0000-0000-000029000000}"/>
    <hyperlink ref="B65" location="'Appendix H'!A1" display="Appendix H" xr:uid="{00000000-0004-0000-0000-00002A000000}"/>
    <hyperlink ref="B66" location="'Appendix I'!A1" display="Appendix I" xr:uid="{00000000-0004-0000-0000-00002B000000}"/>
  </hyperlinks>
  <printOptions horizontalCentered="1"/>
  <pageMargins left="1" right="0.5" top="0.45" bottom="0.35" header="0" footer="0"/>
  <pageSetup scale="62" orientation="landscape" r:id="rId1"/>
  <headerFooter alignWithMargins="0"/>
  <rowBreaks count="3" manualBreakCount="3">
    <brk id="103" max="9" man="1"/>
    <brk id="116" max="9" man="1"/>
    <brk id="130" max="10" man="1"/>
  </rowBreaks>
  <customProperties>
    <customPr name="SheetOptions" r:id="rId2"/>
    <customPr name="WORKBKFUNCTIONCACHE" r:id="rId3"/>
  </customProperties>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dimension ref="A1:AH50"/>
  <sheetViews>
    <sheetView showGridLines="0" zoomScale="90" workbookViewId="0"/>
  </sheetViews>
  <sheetFormatPr defaultColWidth="8.84375" defaultRowHeight="15.5"/>
  <cols>
    <col min="1" max="1" width="50.07421875" style="353" customWidth="1"/>
    <col min="2" max="2" width="3.84375" style="314" customWidth="1"/>
    <col min="3" max="3" width="16.84375" style="314" customWidth="1"/>
    <col min="4" max="4" width="1.53515625" style="314" customWidth="1"/>
    <col min="5" max="5" width="16.4609375" style="179" customWidth="1"/>
    <col min="6" max="6" width="3.07421875" style="314" customWidth="1"/>
    <col min="7" max="7" width="14.07421875" style="314" customWidth="1"/>
    <col min="8" max="8" width="2.07421875" style="314" customWidth="1"/>
    <col min="9" max="9" width="14.07421875" style="314" customWidth="1"/>
    <col min="10" max="10" width="1.07421875" style="314" customWidth="1"/>
    <col min="11" max="11" width="14.07421875" style="314" customWidth="1"/>
    <col min="12" max="12" width="1.07421875" style="314" customWidth="1"/>
    <col min="13" max="13" width="16.07421875" style="314" customWidth="1"/>
    <col min="14" max="14" width="1.53515625" style="314" customWidth="1"/>
    <col min="15" max="15" width="12.53515625" style="314" customWidth="1"/>
    <col min="16" max="16" width="11.4609375" style="314" customWidth="1"/>
    <col min="17" max="17" width="1.84375" style="314" customWidth="1"/>
    <col min="18" max="18" width="11.84375" style="314" customWidth="1"/>
    <col min="19" max="19" width="2.07421875" style="314" customWidth="1"/>
    <col min="20" max="20" width="11.4609375" style="314" customWidth="1"/>
    <col min="21" max="21" width="0.53515625" style="314" customWidth="1"/>
    <col min="22" max="22" width="2.07421875" style="314" customWidth="1"/>
    <col min="23" max="23" width="10.53515625" style="314" customWidth="1"/>
    <col min="24" max="24" width="11.07421875" style="314" customWidth="1"/>
    <col min="25" max="25" width="2.07421875" style="314" customWidth="1"/>
    <col min="26" max="26" width="11.07421875" style="314" customWidth="1"/>
    <col min="27" max="27" width="2.07421875" style="314" customWidth="1"/>
    <col min="28" max="28" width="12.4609375" style="314" customWidth="1"/>
    <col min="29" max="34" width="8.84375" style="314"/>
    <col min="35" max="16384" width="8.84375" style="353"/>
  </cols>
  <sheetData>
    <row r="1" spans="1:28">
      <c r="A1" s="326" t="s">
        <v>98</v>
      </c>
      <c r="B1" s="60"/>
      <c r="C1" s="60"/>
      <c r="D1" s="60"/>
      <c r="E1" s="175"/>
      <c r="F1" s="60"/>
      <c r="G1" s="60"/>
      <c r="H1" s="60"/>
      <c r="I1" s="60"/>
      <c r="J1" s="60"/>
      <c r="K1" s="60"/>
      <c r="L1" s="60"/>
      <c r="M1" s="60"/>
      <c r="N1" s="60"/>
      <c r="O1" s="60"/>
      <c r="P1" s="60"/>
      <c r="Q1" s="60"/>
      <c r="R1" s="60"/>
      <c r="S1" s="60"/>
      <c r="T1" s="60"/>
      <c r="U1" s="60"/>
      <c r="V1" s="60"/>
      <c r="W1" s="60"/>
      <c r="X1" s="60"/>
      <c r="Y1" s="60"/>
      <c r="Z1" s="60"/>
      <c r="AA1" s="60"/>
      <c r="AB1" s="60"/>
    </row>
    <row r="2" spans="1:28" ht="17.25" customHeight="1">
      <c r="A2" s="61"/>
      <c r="B2" s="60"/>
      <c r="C2" s="60"/>
      <c r="D2" s="60"/>
      <c r="E2" s="175"/>
      <c r="F2" s="60"/>
      <c r="G2" s="60"/>
      <c r="H2" s="60"/>
      <c r="I2" s="60"/>
      <c r="J2" s="60"/>
      <c r="K2" s="60"/>
      <c r="L2" s="60"/>
      <c r="M2" s="60"/>
      <c r="N2" s="60"/>
      <c r="O2" s="60"/>
      <c r="P2" s="60"/>
      <c r="Q2" s="60"/>
      <c r="R2" s="60"/>
      <c r="S2" s="60"/>
      <c r="T2" s="60"/>
      <c r="U2" s="60"/>
      <c r="V2" s="60"/>
      <c r="W2" s="60"/>
      <c r="X2" s="60"/>
      <c r="Y2" s="60"/>
      <c r="Z2" s="60"/>
      <c r="AA2" s="60"/>
      <c r="AB2" s="60"/>
    </row>
    <row r="3" spans="1:28" ht="18" customHeight="1">
      <c r="A3" s="62" t="s">
        <v>99</v>
      </c>
      <c r="B3" s="40"/>
      <c r="C3" s="40"/>
      <c r="D3" s="40"/>
      <c r="E3" s="176"/>
      <c r="F3" s="40"/>
      <c r="G3" s="40"/>
      <c r="H3" s="40"/>
      <c r="I3" s="40"/>
      <c r="J3" s="40"/>
      <c r="K3" s="40"/>
      <c r="L3" s="40"/>
      <c r="M3" s="429"/>
      <c r="N3" s="40"/>
      <c r="O3" s="429" t="s">
        <v>247</v>
      </c>
      <c r="P3" s="40"/>
      <c r="Q3" s="40"/>
      <c r="R3" s="40"/>
      <c r="S3" s="40"/>
      <c r="T3" s="40"/>
      <c r="U3" s="40"/>
      <c r="V3" s="40"/>
      <c r="W3" s="40"/>
      <c r="X3" s="40"/>
      <c r="Y3" s="40"/>
      <c r="Z3" s="40"/>
      <c r="AA3" s="40"/>
      <c r="AB3" s="63"/>
    </row>
    <row r="4" spans="1:28" ht="18" customHeight="1">
      <c r="A4" s="62" t="s">
        <v>248</v>
      </c>
      <c r="B4" s="40"/>
      <c r="C4" s="40"/>
      <c r="D4" s="40"/>
      <c r="E4" s="176"/>
      <c r="F4" s="40"/>
      <c r="G4" s="40"/>
      <c r="H4" s="40"/>
      <c r="I4" s="40"/>
      <c r="J4" s="40"/>
      <c r="K4" s="40"/>
      <c r="L4" s="40"/>
      <c r="M4" s="430"/>
      <c r="N4" s="40"/>
      <c r="O4" s="430"/>
      <c r="P4" s="40"/>
      <c r="Q4" s="40"/>
      <c r="R4" s="40"/>
      <c r="S4" s="40"/>
      <c r="T4" s="40"/>
      <c r="U4" s="40"/>
      <c r="V4" s="40"/>
      <c r="W4" s="40"/>
      <c r="X4" s="40"/>
      <c r="Y4" s="40"/>
      <c r="Z4" s="40"/>
      <c r="AA4" s="40"/>
      <c r="AB4" s="40"/>
    </row>
    <row r="5" spans="1:28" ht="18" customHeight="1">
      <c r="A5" s="2221" t="str">
        <f>'Exh D-Governmental  '!A5:E5</f>
        <v>FISCAL YEAR 2023-2024</v>
      </c>
      <c r="B5" s="2222"/>
      <c r="C5" s="2222"/>
      <c r="D5" s="2222"/>
      <c r="E5" s="2222"/>
      <c r="F5" s="40"/>
      <c r="G5" s="40"/>
      <c r="H5" s="40"/>
      <c r="I5" s="40"/>
      <c r="J5" s="40"/>
      <c r="K5" s="40"/>
      <c r="L5" s="40"/>
      <c r="M5" s="40"/>
      <c r="N5" s="40"/>
      <c r="O5" s="40"/>
      <c r="P5" s="40"/>
      <c r="Q5" s="40"/>
      <c r="R5" s="40"/>
      <c r="S5" s="40"/>
      <c r="T5" s="40"/>
      <c r="U5" s="40"/>
      <c r="V5" s="40"/>
      <c r="W5" s="40"/>
      <c r="X5" s="40"/>
      <c r="Y5" s="40"/>
      <c r="Z5" s="40"/>
      <c r="AA5" s="40"/>
      <c r="AB5" s="40"/>
    </row>
    <row r="6" spans="1:28" ht="18" customHeight="1">
      <c r="A6" s="62" t="str">
        <f>+'Exh D-Governmental  '!A6</f>
        <v>FOR EIGHT MONTHS ENDED NOVEMBER 30, 2023</v>
      </c>
      <c r="B6" s="40"/>
      <c r="C6" s="40"/>
      <c r="D6" s="40"/>
      <c r="E6" s="176"/>
      <c r="F6" s="40"/>
      <c r="G6" s="40"/>
      <c r="H6" s="40"/>
      <c r="I6" s="40"/>
      <c r="J6" s="40"/>
      <c r="K6" s="40"/>
      <c r="L6" s="40"/>
      <c r="M6" s="40"/>
      <c r="N6" s="40"/>
      <c r="O6" s="40"/>
      <c r="P6" s="40"/>
      <c r="Q6" s="40"/>
      <c r="R6" s="40"/>
      <c r="S6" s="40"/>
      <c r="T6" s="40"/>
      <c r="U6" s="40"/>
      <c r="V6" s="40"/>
      <c r="W6" s="40"/>
      <c r="X6" s="40"/>
      <c r="Y6" s="40"/>
      <c r="Z6" s="40"/>
      <c r="AA6" s="40"/>
      <c r="AB6" s="40"/>
    </row>
    <row r="7" spans="1:28" ht="18" customHeight="1">
      <c r="A7" s="62" t="s">
        <v>250</v>
      </c>
      <c r="B7" s="40"/>
      <c r="C7" s="40"/>
      <c r="D7" s="40"/>
      <c r="E7" s="176"/>
      <c r="F7" s="40"/>
      <c r="G7" s="40"/>
      <c r="H7" s="40"/>
      <c r="I7" s="40"/>
      <c r="J7" s="40"/>
      <c r="K7" s="40"/>
      <c r="L7" s="40"/>
      <c r="M7" s="40"/>
      <c r="N7" s="40"/>
      <c r="O7" s="40"/>
      <c r="P7" s="40"/>
      <c r="Q7" s="40"/>
      <c r="R7" s="40"/>
      <c r="S7" s="40"/>
      <c r="T7" s="40"/>
      <c r="U7" s="40"/>
      <c r="V7" s="40"/>
      <c r="W7" s="40"/>
      <c r="X7" s="40"/>
      <c r="Y7" s="40"/>
      <c r="Z7" s="40"/>
      <c r="AA7" s="40"/>
      <c r="AB7" s="40"/>
    </row>
    <row r="8" spans="1:28" ht="15" customHeight="1">
      <c r="A8" s="45"/>
      <c r="B8" s="40"/>
      <c r="C8" s="40"/>
      <c r="D8" s="40"/>
      <c r="E8" s="176"/>
      <c r="F8" s="40"/>
      <c r="G8" s="40"/>
      <c r="H8" s="40"/>
      <c r="I8" s="40"/>
      <c r="J8" s="40"/>
      <c r="K8" s="40"/>
      <c r="L8" s="40"/>
      <c r="M8" s="40"/>
      <c r="N8" s="40"/>
      <c r="O8" s="40"/>
      <c r="P8" s="40"/>
      <c r="Q8" s="40"/>
      <c r="R8" s="40"/>
      <c r="S8" s="40"/>
      <c r="T8" s="40"/>
      <c r="U8" s="40"/>
      <c r="V8" s="40"/>
      <c r="W8" s="40"/>
      <c r="X8" s="40"/>
      <c r="Y8" s="40"/>
      <c r="Z8" s="40"/>
      <c r="AA8" s="40"/>
      <c r="AB8" s="40"/>
    </row>
    <row r="9" spans="1:28">
      <c r="A9" s="46"/>
      <c r="B9" s="40"/>
      <c r="C9" s="40"/>
      <c r="D9" s="40"/>
      <c r="E9" s="176"/>
      <c r="F9" s="40"/>
      <c r="G9" s="40"/>
      <c r="H9" s="40"/>
      <c r="I9" s="40"/>
      <c r="J9" s="40"/>
      <c r="K9" s="40"/>
      <c r="L9" s="40"/>
      <c r="M9" s="40"/>
      <c r="N9" s="40"/>
      <c r="O9" s="40"/>
      <c r="P9" s="40"/>
      <c r="Q9" s="40"/>
      <c r="R9" s="40"/>
      <c r="S9" s="40"/>
      <c r="T9" s="40"/>
      <c r="U9" s="40"/>
      <c r="V9" s="40"/>
      <c r="W9" s="40"/>
      <c r="X9" s="40"/>
      <c r="Y9" s="40"/>
      <c r="Z9" s="40"/>
      <c r="AA9" s="40"/>
      <c r="AB9" s="40"/>
    </row>
    <row r="10" spans="1:28">
      <c r="A10" s="46"/>
      <c r="B10" s="40"/>
      <c r="C10" s="40"/>
      <c r="D10" s="40"/>
      <c r="E10" s="176"/>
      <c r="F10" s="40"/>
      <c r="G10" s="40"/>
      <c r="H10" s="40"/>
      <c r="I10" s="40"/>
      <c r="J10" s="40"/>
      <c r="K10" s="40"/>
      <c r="L10" s="40"/>
      <c r="M10" s="40"/>
      <c r="N10" s="40"/>
      <c r="O10" s="40"/>
      <c r="P10" s="40"/>
      <c r="Q10" s="40"/>
      <c r="R10" s="40"/>
      <c r="S10" s="40"/>
      <c r="T10" s="40"/>
      <c r="U10" s="40"/>
      <c r="V10" s="40"/>
      <c r="W10" s="40"/>
      <c r="X10" s="40"/>
      <c r="Y10" s="40"/>
      <c r="Z10" s="40"/>
      <c r="AA10" s="40"/>
      <c r="AB10" s="40"/>
    </row>
    <row r="11" spans="1:28">
      <c r="C11" s="1485"/>
      <c r="D11" s="1485"/>
      <c r="E11" s="2007"/>
      <c r="F11" s="2007"/>
      <c r="G11" s="2007" t="s">
        <v>300</v>
      </c>
      <c r="H11" s="2007"/>
      <c r="I11" s="2007"/>
      <c r="J11" s="2007"/>
      <c r="K11" s="2007"/>
      <c r="L11" s="2007"/>
      <c r="M11" s="2007"/>
      <c r="N11" s="541"/>
      <c r="O11" s="542"/>
      <c r="P11" s="64"/>
      <c r="Q11" s="64"/>
      <c r="R11" s="64"/>
      <c r="S11" s="64"/>
      <c r="T11" s="64"/>
      <c r="U11" s="64"/>
      <c r="V11" s="47"/>
      <c r="W11" s="64"/>
      <c r="X11" s="65"/>
      <c r="Y11" s="64"/>
      <c r="Z11" s="64"/>
      <c r="AA11" s="64"/>
      <c r="AB11" s="64"/>
    </row>
    <row r="12" spans="1:28">
      <c r="F12" s="66"/>
      <c r="G12" s="67"/>
      <c r="H12" s="67"/>
      <c r="I12" s="67"/>
      <c r="J12" s="67"/>
      <c r="K12" s="67"/>
      <c r="L12" s="66"/>
      <c r="M12" s="66" t="s">
        <v>252</v>
      </c>
      <c r="N12" s="47"/>
      <c r="O12" s="66" t="s">
        <v>252</v>
      </c>
      <c r="P12" s="64"/>
      <c r="Q12" s="64"/>
      <c r="R12" s="64"/>
      <c r="S12" s="64"/>
      <c r="T12" s="64"/>
      <c r="U12" s="64"/>
      <c r="V12" s="47"/>
      <c r="W12" s="64"/>
      <c r="X12" s="65"/>
      <c r="Y12" s="64"/>
      <c r="Z12" s="64"/>
      <c r="AA12" s="64"/>
      <c r="AB12" s="64"/>
    </row>
    <row r="13" spans="1:28">
      <c r="F13" s="66"/>
      <c r="G13" s="67"/>
      <c r="H13" s="67"/>
      <c r="I13" s="67"/>
      <c r="J13" s="67"/>
      <c r="K13" s="67"/>
      <c r="L13" s="66"/>
      <c r="M13" s="48" t="s">
        <v>253</v>
      </c>
      <c r="N13" s="47"/>
      <c r="O13" s="48" t="s">
        <v>253</v>
      </c>
      <c r="P13" s="64"/>
      <c r="Q13" s="64"/>
      <c r="R13" s="64"/>
      <c r="S13" s="64"/>
      <c r="T13" s="64"/>
      <c r="U13" s="64"/>
      <c r="V13" s="47"/>
      <c r="W13" s="64"/>
      <c r="X13" s="65"/>
      <c r="Y13" s="64"/>
      <c r="Z13" s="64"/>
      <c r="AA13" s="64"/>
      <c r="AB13" s="64"/>
    </row>
    <row r="14" spans="1:28">
      <c r="B14" s="47"/>
      <c r="C14" s="49" t="s">
        <v>255</v>
      </c>
      <c r="D14" s="47"/>
      <c r="E14" s="48" t="s">
        <v>256</v>
      </c>
      <c r="F14" s="47"/>
      <c r="G14" s="47"/>
      <c r="H14" s="47"/>
      <c r="I14" s="47"/>
      <c r="J14" s="47"/>
      <c r="K14" s="47"/>
      <c r="L14" s="47"/>
      <c r="M14" s="48" t="s">
        <v>257</v>
      </c>
      <c r="N14" s="47"/>
      <c r="O14" s="48" t="s">
        <v>257</v>
      </c>
      <c r="P14" s="47"/>
      <c r="Q14" s="47"/>
      <c r="R14" s="47"/>
      <c r="S14" s="47"/>
      <c r="T14" s="49"/>
      <c r="U14" s="48"/>
      <c r="V14" s="47"/>
      <c r="W14" s="47"/>
      <c r="X14" s="47"/>
      <c r="Y14" s="47"/>
      <c r="Z14" s="47"/>
      <c r="AA14" s="47"/>
      <c r="AB14" s="49"/>
    </row>
    <row r="15" spans="1:28">
      <c r="B15" s="68"/>
      <c r="C15" s="48" t="s">
        <v>258</v>
      </c>
      <c r="D15" s="68"/>
      <c r="E15" s="48" t="s">
        <v>258</v>
      </c>
      <c r="F15" s="47"/>
      <c r="G15" s="47"/>
      <c r="H15" s="47"/>
      <c r="I15" s="47"/>
      <c r="J15" s="47"/>
      <c r="K15" s="47"/>
      <c r="L15" s="47"/>
      <c r="M15" s="48" t="s">
        <v>255</v>
      </c>
      <c r="N15" s="47"/>
      <c r="O15" s="48" t="s">
        <v>256</v>
      </c>
      <c r="P15" s="48"/>
      <c r="Q15" s="47"/>
      <c r="R15" s="47"/>
      <c r="S15" s="47"/>
      <c r="T15" s="49"/>
      <c r="U15" s="48"/>
      <c r="V15" s="47"/>
      <c r="W15" s="49"/>
      <c r="X15" s="48"/>
      <c r="Y15" s="47"/>
      <c r="Z15" s="47"/>
      <c r="AA15" s="47"/>
      <c r="AB15" s="49"/>
    </row>
    <row r="16" spans="1:28">
      <c r="B16" s="48"/>
      <c r="C16" s="551" t="s">
        <v>259</v>
      </c>
      <c r="D16" s="48"/>
      <c r="E16" s="48" t="s">
        <v>1486</v>
      </c>
      <c r="F16" s="47"/>
      <c r="G16" s="49" t="s">
        <v>252</v>
      </c>
      <c r="H16" s="49"/>
      <c r="I16" s="729" t="s">
        <v>301</v>
      </c>
      <c r="J16" s="49"/>
      <c r="K16" s="729" t="s">
        <v>302</v>
      </c>
      <c r="L16" s="47"/>
      <c r="M16" s="48" t="s">
        <v>260</v>
      </c>
      <c r="N16" s="47"/>
      <c r="O16" s="551" t="s">
        <v>260</v>
      </c>
      <c r="P16" s="48"/>
      <c r="Q16" s="47"/>
      <c r="R16" s="49"/>
      <c r="S16" s="47"/>
      <c r="T16" s="49"/>
      <c r="U16" s="48"/>
      <c r="V16" s="47"/>
      <c r="W16" s="48"/>
      <c r="X16" s="48"/>
      <c r="Y16" s="47"/>
      <c r="Z16" s="49"/>
      <c r="AA16" s="47"/>
      <c r="AB16" s="49"/>
    </row>
    <row r="17" spans="1:28">
      <c r="A17" s="50"/>
      <c r="B17" s="40"/>
      <c r="C17" s="40"/>
      <c r="D17" s="40"/>
      <c r="E17" s="1483"/>
      <c r="F17" s="40"/>
      <c r="G17" s="1483"/>
      <c r="H17" s="40"/>
      <c r="I17" s="40"/>
      <c r="J17" s="40"/>
      <c r="K17" s="40"/>
      <c r="L17" s="40"/>
      <c r="M17" s="1483"/>
      <c r="N17" s="40"/>
      <c r="O17" s="40"/>
      <c r="P17" s="40"/>
      <c r="Q17" s="40"/>
      <c r="R17" s="40"/>
      <c r="S17" s="40"/>
      <c r="T17" s="40"/>
      <c r="U17" s="40"/>
      <c r="V17" s="40"/>
      <c r="W17" s="40"/>
      <c r="X17" s="40"/>
      <c r="Y17" s="40"/>
      <c r="Z17" s="40"/>
      <c r="AA17" s="40"/>
      <c r="AB17" s="40"/>
    </row>
    <row r="18" spans="1:28">
      <c r="A18" s="6" t="s">
        <v>115</v>
      </c>
      <c r="E18" s="314"/>
    </row>
    <row r="19" spans="1:28">
      <c r="A19" s="427" t="s">
        <v>261</v>
      </c>
      <c r="B19" s="482"/>
      <c r="C19" s="482"/>
      <c r="D19" s="482"/>
      <c r="E19" s="314"/>
      <c r="L19" s="482"/>
      <c r="O19" s="692"/>
    </row>
    <row r="20" spans="1:28">
      <c r="A20" s="427" t="s">
        <v>262</v>
      </c>
      <c r="B20" s="482"/>
      <c r="C20" s="491">
        <f>'Exh D Special Revenue State Fed'!C20+'Exh D Special Revenue State Fed'!N20</f>
        <v>1</v>
      </c>
      <c r="D20" s="482"/>
      <c r="E20" s="491">
        <f>'Exh D Special Revenue State Fed'!E20+'Exh D Special Revenue State Fed'!P20</f>
        <v>1</v>
      </c>
      <c r="F20" s="337"/>
      <c r="G20" s="491">
        <f>+'Exh D Special Revenue State Fed'!G20</f>
        <v>0.1</v>
      </c>
      <c r="H20" s="491"/>
      <c r="I20" s="491">
        <v>0</v>
      </c>
      <c r="J20" s="491"/>
      <c r="K20" s="491">
        <f t="shared" ref="K20:K25" si="0">+G20+I20</f>
        <v>0.1</v>
      </c>
      <c r="L20" s="337"/>
      <c r="M20" s="335">
        <f>ROUND(SUM(K20)-SUM(C20),1)</f>
        <v>-0.9</v>
      </c>
      <c r="O20" s="335">
        <f>+K20-E20</f>
        <v>-0.9</v>
      </c>
    </row>
    <row r="21" spans="1:28">
      <c r="A21" s="427" t="s">
        <v>263</v>
      </c>
      <c r="C21" s="350">
        <f>'Exh D Special Revenue State Fed'!C21+'Exh D Special Revenue State Fed'!N21</f>
        <v>1462</v>
      </c>
      <c r="E21" s="350">
        <f>'Exh D Special Revenue State Fed'!E21+'Exh D Special Revenue State Fed'!P21</f>
        <v>1416</v>
      </c>
      <c r="F21" s="325"/>
      <c r="G21" s="325">
        <f>+'Exh D Special Revenue State Fed'!G21</f>
        <v>1432.4</v>
      </c>
      <c r="H21" s="325"/>
      <c r="I21" s="325">
        <v>0</v>
      </c>
      <c r="J21" s="325"/>
      <c r="K21" s="325">
        <f t="shared" si="0"/>
        <v>1432.4</v>
      </c>
      <c r="L21" s="325"/>
      <c r="M21" s="325">
        <f t="shared" ref="M21:M25" si="1">ROUND(SUM(K21)-SUM(C21),1)</f>
        <v>-29.6</v>
      </c>
      <c r="N21" s="325"/>
      <c r="O21" s="325">
        <f>+K21-E21</f>
        <v>16.400000000000091</v>
      </c>
    </row>
    <row r="22" spans="1:28">
      <c r="A22" s="427" t="s">
        <v>264</v>
      </c>
      <c r="B22" s="482"/>
      <c r="C22" s="350">
        <f>'Exh D Special Revenue State Fed'!C22+'Exh D Special Revenue State Fed'!N22</f>
        <v>1455</v>
      </c>
      <c r="D22" s="482"/>
      <c r="E22" s="350">
        <f>'Exh D Special Revenue State Fed'!E22+'Exh D Special Revenue State Fed'!P22</f>
        <v>1538</v>
      </c>
      <c r="F22" s="348"/>
      <c r="G22" s="325">
        <f>+'Exh D Special Revenue State Fed'!G22</f>
        <v>1583.9</v>
      </c>
      <c r="H22" s="325"/>
      <c r="I22" s="325">
        <v>0</v>
      </c>
      <c r="J22" s="325"/>
      <c r="K22" s="325">
        <f t="shared" si="0"/>
        <v>1583.9</v>
      </c>
      <c r="L22" s="348"/>
      <c r="M22" s="325">
        <f t="shared" si="1"/>
        <v>128.9</v>
      </c>
      <c r="N22" s="348"/>
      <c r="O22" s="325">
        <f t="shared" ref="O22:O25" si="2">+K22-E22</f>
        <v>45.900000000000091</v>
      </c>
      <c r="Q22" s="482"/>
      <c r="S22" s="482"/>
      <c r="V22" s="482"/>
      <c r="Y22" s="482"/>
      <c r="Z22" s="69"/>
      <c r="AA22" s="482"/>
    </row>
    <row r="23" spans="1:28" ht="15" customHeight="1">
      <c r="A23" s="427" t="s">
        <v>120</v>
      </c>
      <c r="C23" s="350">
        <f>'Exh D Special Revenue State Fed'!C23+'Exh D Special Revenue State Fed'!N23</f>
        <v>13777</v>
      </c>
      <c r="E23" s="350">
        <f>'Exh D Special Revenue State Fed'!E23+'Exh D Special Revenue State Fed'!P23</f>
        <v>14640</v>
      </c>
      <c r="F23" s="325"/>
      <c r="G23" s="325">
        <f>+'Exh D Special Revenue State Fed'!G23+'Exh D Special Revenue State Fed'!R23</f>
        <v>14983.300000000001</v>
      </c>
      <c r="H23" s="325"/>
      <c r="I23" s="325">
        <v>0</v>
      </c>
      <c r="J23" s="325"/>
      <c r="K23" s="325">
        <f t="shared" si="0"/>
        <v>14983.300000000001</v>
      </c>
      <c r="L23" s="325"/>
      <c r="M23" s="325">
        <f t="shared" si="1"/>
        <v>1206.3</v>
      </c>
      <c r="N23" s="325"/>
      <c r="O23" s="325">
        <f t="shared" si="2"/>
        <v>343.30000000000109</v>
      </c>
    </row>
    <row r="24" spans="1:28" ht="15" customHeight="1">
      <c r="A24" s="427" t="s">
        <v>121</v>
      </c>
      <c r="C24" s="350">
        <f>'Exh D Special Revenue State Fed'!C24+'Exh D Special Revenue State Fed'!N24</f>
        <v>59647</v>
      </c>
      <c r="E24" s="350">
        <f>'Exh D Special Revenue State Fed'!E24+'Exh D Special Revenue State Fed'!P24</f>
        <v>61576</v>
      </c>
      <c r="F24" s="325"/>
      <c r="G24" s="325">
        <f>+'Exh D Special Revenue State Fed'!G24+'Exh D Special Revenue State Fed'!R24</f>
        <v>62022.8</v>
      </c>
      <c r="H24" s="325"/>
      <c r="I24" s="325">
        <v>0</v>
      </c>
      <c r="J24" s="325"/>
      <c r="K24" s="325">
        <f t="shared" si="0"/>
        <v>62022.8</v>
      </c>
      <c r="L24" s="325"/>
      <c r="M24" s="325">
        <f t="shared" si="1"/>
        <v>2375.8000000000002</v>
      </c>
      <c r="N24" s="325"/>
      <c r="O24" s="325">
        <f t="shared" si="2"/>
        <v>446.80000000000291</v>
      </c>
      <c r="P24" s="484"/>
      <c r="R24" s="484"/>
      <c r="T24" s="484"/>
      <c r="U24" s="492"/>
    </row>
    <row r="25" spans="1:28">
      <c r="A25" s="427" t="s">
        <v>1493</v>
      </c>
      <c r="B25" s="484"/>
      <c r="C25" s="1448">
        <f>'Exh D Special Revenue State Fed'!C25+'Exh D Special Revenue State Fed'!N25</f>
        <v>2631</v>
      </c>
      <c r="D25" s="484"/>
      <c r="E25" s="1448">
        <f>'Exh D Special Revenue State Fed'!E25+'Exh D Special Revenue State Fed'!P25</f>
        <v>2683</v>
      </c>
      <c r="F25" s="325"/>
      <c r="G25" s="485">
        <f>+'Exh D Special Revenue State Fed'!G25</f>
        <v>2627.5</v>
      </c>
      <c r="H25" s="348"/>
      <c r="I25" s="485">
        <f>+'Exhibit G'!AB115</f>
        <v>-420.6</v>
      </c>
      <c r="J25" s="348"/>
      <c r="K25" s="486">
        <f t="shared" si="0"/>
        <v>2206.9</v>
      </c>
      <c r="L25" s="325"/>
      <c r="M25" s="325">
        <f t="shared" si="1"/>
        <v>-424.1</v>
      </c>
      <c r="N25" s="325"/>
      <c r="O25" s="325">
        <f t="shared" si="2"/>
        <v>-476.09999999999991</v>
      </c>
      <c r="P25" s="484"/>
      <c r="R25" s="484"/>
      <c r="T25" s="484"/>
      <c r="U25" s="492"/>
    </row>
    <row r="26" spans="1:28" ht="18" customHeight="1">
      <c r="A26" s="2006" t="s">
        <v>287</v>
      </c>
      <c r="B26" s="47"/>
      <c r="C26" s="434">
        <f>ROUND(SUM(C20:C25),1)</f>
        <v>78973</v>
      </c>
      <c r="D26" s="47"/>
      <c r="E26" s="434">
        <f>ROUND(SUM(E20:E25),1)</f>
        <v>81854</v>
      </c>
      <c r="F26" s="16"/>
      <c r="G26" s="434">
        <f>ROUND(SUM(G20:G25),1)</f>
        <v>82650</v>
      </c>
      <c r="H26" s="16"/>
      <c r="I26" s="434">
        <f>ROUND(SUM(I20:I25),1)</f>
        <v>-420.6</v>
      </c>
      <c r="J26" s="16"/>
      <c r="K26" s="434">
        <f>ROUND(SUM(K20:K25),1)</f>
        <v>82229.399999999994</v>
      </c>
      <c r="L26" s="16"/>
      <c r="M26" s="1358">
        <f>ROUND(SUM(M20:M25),1)</f>
        <v>3256.4</v>
      </c>
      <c r="N26" s="16"/>
      <c r="O26" s="1358">
        <f>ROUND(SUM(O20:O25),1)</f>
        <v>375.4</v>
      </c>
      <c r="P26" s="47"/>
      <c r="Q26" s="47"/>
      <c r="R26" s="47"/>
      <c r="S26" s="47"/>
      <c r="T26" s="47"/>
      <c r="U26" s="47"/>
      <c r="V26" s="47"/>
      <c r="W26" s="47"/>
      <c r="X26" s="47"/>
      <c r="Y26" s="47"/>
      <c r="Z26" s="47"/>
      <c r="AA26" s="47"/>
      <c r="AB26" s="47"/>
    </row>
    <row r="27" spans="1:28">
      <c r="C27" s="325"/>
      <c r="E27" s="325"/>
      <c r="F27" s="325"/>
      <c r="G27" s="783"/>
      <c r="H27" s="325"/>
      <c r="I27" s="325"/>
      <c r="J27" s="325"/>
      <c r="K27" s="325"/>
      <c r="L27" s="325"/>
      <c r="M27" s="783"/>
      <c r="N27" s="325"/>
      <c r="O27" s="783"/>
    </row>
    <row r="28" spans="1:28">
      <c r="A28" s="6" t="s">
        <v>123</v>
      </c>
      <c r="C28" s="325"/>
      <c r="E28" s="325"/>
      <c r="F28" s="325"/>
      <c r="G28" s="325"/>
      <c r="H28" s="325"/>
      <c r="I28" s="325" t="s">
        <v>104</v>
      </c>
      <c r="J28" s="325" t="s">
        <v>104</v>
      </c>
      <c r="K28" s="325" t="s">
        <v>104</v>
      </c>
      <c r="L28" s="325"/>
      <c r="M28" s="325"/>
      <c r="N28" s="325"/>
      <c r="O28" s="325"/>
    </row>
    <row r="29" spans="1:28">
      <c r="A29" s="427" t="s">
        <v>267</v>
      </c>
      <c r="B29" s="482"/>
      <c r="C29" s="350">
        <f>'Exh D Special Revenue State Fed'!C29+'Exh D Special Revenue State Fed'!N29</f>
        <v>69403</v>
      </c>
      <c r="D29" s="482"/>
      <c r="E29" s="350">
        <f>'Exh D Special Revenue State Fed'!E29+'Exh D Special Revenue State Fed'!P29</f>
        <v>70010</v>
      </c>
      <c r="F29" s="325"/>
      <c r="G29" s="348">
        <f>+'Exh D Special Revenue State Fed'!G29+'Exh D Special Revenue State Fed'!R29</f>
        <v>70930</v>
      </c>
      <c r="H29" s="348"/>
      <c r="I29" s="348">
        <v>0</v>
      </c>
      <c r="J29" s="348"/>
      <c r="K29" s="325">
        <f t="shared" ref="K29:K34" si="3">+G29+I29</f>
        <v>70930</v>
      </c>
      <c r="L29" s="325"/>
      <c r="M29" s="325">
        <f t="shared" ref="M29:M34" si="4">ROUND(SUM(K29)-SUM(C29),1)</f>
        <v>1527</v>
      </c>
      <c r="N29" s="325"/>
      <c r="O29" s="325">
        <f t="shared" ref="O29:O34" si="5">+K29-E29</f>
        <v>920</v>
      </c>
      <c r="P29" s="484"/>
      <c r="R29" s="484"/>
      <c r="T29" s="484"/>
      <c r="U29" s="492"/>
    </row>
    <row r="30" spans="1:28">
      <c r="A30" s="427" t="s">
        <v>268</v>
      </c>
      <c r="B30" s="482"/>
      <c r="C30" s="350">
        <f>'Exh D Special Revenue State Fed'!C30+'Exh D Special Revenue State Fed'!N30</f>
        <v>8494</v>
      </c>
      <c r="D30" s="482"/>
      <c r="E30" s="350">
        <f>'Exh D Special Revenue State Fed'!E30+'Exh D Special Revenue State Fed'!P30</f>
        <v>8369</v>
      </c>
      <c r="F30" s="325"/>
      <c r="G30" s="348">
        <f>+'Exh D Special Revenue State Fed'!G30+'Exh D Special Revenue State Fed'!R30</f>
        <v>8454.4</v>
      </c>
      <c r="H30" s="348"/>
      <c r="I30" s="348">
        <v>0</v>
      </c>
      <c r="J30" s="348"/>
      <c r="K30" s="325">
        <f t="shared" si="3"/>
        <v>8454.4</v>
      </c>
      <c r="L30" s="325"/>
      <c r="M30" s="325">
        <f t="shared" si="4"/>
        <v>-39.6</v>
      </c>
      <c r="N30" s="325"/>
      <c r="O30" s="325">
        <f t="shared" si="5"/>
        <v>85.399999999999636</v>
      </c>
      <c r="P30" s="482"/>
      <c r="R30" s="482"/>
      <c r="T30" s="484"/>
      <c r="W30" s="484"/>
      <c r="X30" s="484"/>
      <c r="Z30" s="484"/>
      <c r="AB30" s="484"/>
    </row>
    <row r="31" spans="1:28">
      <c r="A31" s="427" t="s">
        <v>232</v>
      </c>
      <c r="B31" s="482"/>
      <c r="C31" s="350">
        <f>'Exh D Special Revenue State Fed'!C31+'Exh D Special Revenue State Fed'!N31</f>
        <v>989</v>
      </c>
      <c r="D31" s="482"/>
      <c r="E31" s="350">
        <f>'Exh D Special Revenue State Fed'!E31+'Exh D Special Revenue State Fed'!P31</f>
        <v>987</v>
      </c>
      <c r="F31" s="325"/>
      <c r="G31" s="348">
        <f>+'Exh D Special Revenue State Fed'!G31+'Exh D Special Revenue State Fed'!R31</f>
        <v>946.1</v>
      </c>
      <c r="H31" s="348"/>
      <c r="I31" s="348">
        <v>0</v>
      </c>
      <c r="J31" s="348"/>
      <c r="K31" s="325">
        <f t="shared" si="3"/>
        <v>946.1</v>
      </c>
      <c r="L31" s="325"/>
      <c r="M31" s="325">
        <f t="shared" si="4"/>
        <v>-42.9</v>
      </c>
      <c r="N31" s="325"/>
      <c r="O31" s="325">
        <f t="shared" si="5"/>
        <v>-40.899999999999977</v>
      </c>
      <c r="P31" s="484"/>
      <c r="R31" s="484"/>
      <c r="T31" s="484"/>
      <c r="U31" s="492"/>
      <c r="W31" s="484"/>
      <c r="X31" s="484"/>
      <c r="Z31" s="484"/>
      <c r="AB31" s="484"/>
    </row>
    <row r="32" spans="1:28">
      <c r="A32" s="427" t="s">
        <v>269</v>
      </c>
      <c r="B32" s="482"/>
      <c r="C32" s="350">
        <f>'Exh D Special Revenue State Fed'!C32+'Exh D Special Revenue State Fed'!N32</f>
        <v>0</v>
      </c>
      <c r="D32" s="482"/>
      <c r="E32" s="350">
        <f>'Exh D Special Revenue State Fed'!E32+'Exh D Special Revenue State Fed'!P32</f>
        <v>0</v>
      </c>
      <c r="F32" s="325"/>
      <c r="G32" s="348">
        <f>+'Exh D Special Revenue State Fed'!G32+'Exh D Special Revenue State Fed'!R32</f>
        <v>0</v>
      </c>
      <c r="H32" s="348"/>
      <c r="I32" s="348">
        <v>0</v>
      </c>
      <c r="J32" s="348"/>
      <c r="K32" s="325">
        <f t="shared" si="3"/>
        <v>0</v>
      </c>
      <c r="L32" s="325"/>
      <c r="M32" s="325">
        <f t="shared" si="4"/>
        <v>0</v>
      </c>
      <c r="N32" s="325"/>
      <c r="O32" s="325">
        <f t="shared" si="5"/>
        <v>0</v>
      </c>
      <c r="P32" s="484"/>
      <c r="R32" s="484"/>
      <c r="T32" s="484"/>
      <c r="U32" s="492"/>
      <c r="W32" s="484"/>
      <c r="X32" s="484"/>
      <c r="Z32" s="484"/>
      <c r="AB32" s="484"/>
    </row>
    <row r="33" spans="1:28">
      <c r="A33" s="427" t="s">
        <v>142</v>
      </c>
      <c r="B33" s="482"/>
      <c r="C33" s="350">
        <f>'Exh D Special Revenue State Fed'!C33+'Exh D Special Revenue State Fed'!N33</f>
        <v>0</v>
      </c>
      <c r="D33" s="482"/>
      <c r="E33" s="350">
        <f>'Exh D Special Revenue State Fed'!E33+'Exh D Special Revenue State Fed'!P33</f>
        <v>0</v>
      </c>
      <c r="F33" s="325"/>
      <c r="G33" s="350">
        <f>+'Exh D Special Revenue State Fed'!G33+'Exh D Special Revenue State Fed'!R33</f>
        <v>0</v>
      </c>
      <c r="H33" s="350"/>
      <c r="I33" s="350">
        <v>0</v>
      </c>
      <c r="J33" s="350"/>
      <c r="K33" s="325">
        <f t="shared" si="3"/>
        <v>0</v>
      </c>
      <c r="L33" s="325"/>
      <c r="M33" s="325">
        <f t="shared" si="4"/>
        <v>0</v>
      </c>
      <c r="N33" s="325"/>
      <c r="O33" s="325">
        <f t="shared" si="5"/>
        <v>0</v>
      </c>
      <c r="P33" s="484"/>
      <c r="R33" s="484"/>
      <c r="T33" s="484"/>
      <c r="U33" s="492"/>
    </row>
    <row r="34" spans="1:28">
      <c r="A34" s="427" t="s">
        <v>1492</v>
      </c>
      <c r="B34" s="482"/>
      <c r="C34" s="350">
        <f>'Exh D Special Revenue State Fed'!C34+'Exh D Special Revenue State Fed'!N34</f>
        <v>1441</v>
      </c>
      <c r="D34" s="482"/>
      <c r="E34" s="350">
        <f>'Exh D Special Revenue State Fed'!E34+'Exh D Special Revenue State Fed'!P34</f>
        <v>1361</v>
      </c>
      <c r="F34" s="325"/>
      <c r="G34" s="348">
        <f>+'Exh D Special Revenue State Fed'!G34+'Exh D Special Revenue State Fed'!R34</f>
        <v>1693.8</v>
      </c>
      <c r="H34" s="348"/>
      <c r="I34" s="348">
        <f>-'Exhibit G'!AB116</f>
        <v>-420.6</v>
      </c>
      <c r="J34" s="348"/>
      <c r="K34" s="325">
        <f t="shared" si="3"/>
        <v>1273.1999999999998</v>
      </c>
      <c r="L34" s="325"/>
      <c r="M34" s="325">
        <f t="shared" si="4"/>
        <v>-167.8</v>
      </c>
      <c r="N34" s="325"/>
      <c r="O34" s="325">
        <f t="shared" si="5"/>
        <v>-87.800000000000182</v>
      </c>
      <c r="P34" s="484"/>
      <c r="R34" s="484"/>
      <c r="T34" s="484"/>
      <c r="U34" s="492"/>
    </row>
    <row r="35" spans="1:28" ht="18" customHeight="1">
      <c r="A35" s="2006" t="s">
        <v>296</v>
      </c>
      <c r="B35" s="47"/>
      <c r="C35" s="784">
        <f>ROUND(SUM(C29:C34),1)</f>
        <v>80327</v>
      </c>
      <c r="D35" s="47"/>
      <c r="E35" s="784">
        <f>ROUND(SUM(E29:E34),1)</f>
        <v>80727</v>
      </c>
      <c r="F35" s="16"/>
      <c r="G35" s="785">
        <f>ROUND(SUM(G29:G34),1)</f>
        <v>82024.3</v>
      </c>
      <c r="H35" s="16"/>
      <c r="I35" s="784">
        <f>ROUND(SUM(I29:I34),1)</f>
        <v>-420.6</v>
      </c>
      <c r="J35" s="16"/>
      <c r="K35" s="784">
        <f>ROUND(SUM(K29:K34),1)</f>
        <v>81603.7</v>
      </c>
      <c r="L35" s="16"/>
      <c r="M35" s="785">
        <f>ROUND(SUM(M29:M34),1)</f>
        <v>1276.7</v>
      </c>
      <c r="N35" s="16"/>
      <c r="O35" s="785">
        <f>ROUND(SUM(O29:O34),1)</f>
        <v>876.7</v>
      </c>
      <c r="P35" s="47"/>
      <c r="Q35" s="47"/>
      <c r="R35" s="51"/>
      <c r="S35" s="47"/>
      <c r="T35" s="47"/>
      <c r="U35" s="47"/>
      <c r="V35" s="47"/>
      <c r="W35" s="47"/>
      <c r="X35" s="47"/>
      <c r="Y35" s="47"/>
      <c r="Z35" s="47"/>
      <c r="AA35" s="47"/>
      <c r="AB35" s="47"/>
    </row>
    <row r="36" spans="1:28">
      <c r="C36" s="325"/>
      <c r="E36" s="325"/>
      <c r="F36" s="325"/>
      <c r="G36" s="783"/>
      <c r="H36" s="325"/>
      <c r="I36" s="325"/>
      <c r="J36" s="325"/>
      <c r="K36" s="325"/>
      <c r="L36" s="325"/>
      <c r="M36" s="783"/>
      <c r="N36" s="325"/>
      <c r="O36" s="783"/>
    </row>
    <row r="37" spans="1:28">
      <c r="A37" s="6" t="s">
        <v>297</v>
      </c>
      <c r="C37" s="325"/>
      <c r="E37" s="325"/>
      <c r="F37" s="325"/>
      <c r="G37" s="325"/>
      <c r="H37" s="325"/>
      <c r="I37" s="325"/>
      <c r="J37" s="325"/>
      <c r="K37" s="325"/>
      <c r="L37" s="325"/>
      <c r="M37" s="325"/>
      <c r="N37" s="325"/>
      <c r="O37" s="325"/>
    </row>
    <row r="38" spans="1:28">
      <c r="A38" s="6" t="s">
        <v>298</v>
      </c>
      <c r="C38" s="325"/>
      <c r="E38" s="325"/>
      <c r="F38" s="325"/>
      <c r="G38" s="325"/>
      <c r="H38" s="325"/>
      <c r="I38" s="325"/>
      <c r="J38" s="325"/>
      <c r="K38" s="325"/>
      <c r="L38" s="325"/>
      <c r="M38" s="325"/>
      <c r="N38" s="325"/>
      <c r="O38" s="325"/>
    </row>
    <row r="39" spans="1:28">
      <c r="A39" s="2006" t="s">
        <v>276</v>
      </c>
      <c r="B39" s="53"/>
      <c r="C39" s="16">
        <f>ROUND(SUM(C26)-SUM(C35),1)</f>
        <v>-1354</v>
      </c>
      <c r="D39" s="53"/>
      <c r="E39" s="16">
        <f>ROUND(SUM(E26)-SUM(E35),1)</f>
        <v>1127</v>
      </c>
      <c r="F39" s="23"/>
      <c r="G39" s="16">
        <f>ROUND(SUM(G26)-SUM(G35),1)</f>
        <v>625.70000000000005</v>
      </c>
      <c r="H39" s="16"/>
      <c r="I39" s="16">
        <v>0</v>
      </c>
      <c r="J39" s="16"/>
      <c r="K39" s="16">
        <f>+G39+I39</f>
        <v>625.70000000000005</v>
      </c>
      <c r="L39" s="23"/>
      <c r="M39" s="16">
        <f>ROUND(SUM(M26)-SUM(M35),1)</f>
        <v>1979.7</v>
      </c>
      <c r="N39" s="23"/>
      <c r="O39" s="16">
        <f>ROUND(SUM(O26)-SUM(O35),1)</f>
        <v>-501.3</v>
      </c>
      <c r="P39" s="47"/>
      <c r="Q39" s="53"/>
      <c r="R39" s="47"/>
      <c r="S39" s="53"/>
      <c r="T39" s="47"/>
      <c r="U39" s="47"/>
      <c r="V39" s="53"/>
      <c r="W39" s="47"/>
      <c r="X39" s="47"/>
      <c r="Y39" s="53"/>
      <c r="Z39" s="47"/>
      <c r="AA39" s="53"/>
      <c r="AB39" s="47"/>
    </row>
    <row r="40" spans="1:28" ht="15" customHeight="1">
      <c r="C40" s="325"/>
      <c r="E40" s="325"/>
      <c r="F40" s="325"/>
      <c r="G40" s="325"/>
      <c r="H40" s="325"/>
      <c r="I40" s="325"/>
      <c r="J40" s="325"/>
      <c r="K40" s="325"/>
      <c r="L40" s="325"/>
      <c r="M40" s="325"/>
      <c r="N40" s="325"/>
      <c r="O40" s="325"/>
    </row>
    <row r="41" spans="1:28">
      <c r="A41" s="2006" t="str">
        <f>+'Exh D-Governmental  '!A49</f>
        <v>Fund Balances (Deficits) at April 1</v>
      </c>
      <c r="C41" s="34">
        <f>'Exh D Special Revenue State Fed'!C41+'Exh D Special Revenue State Fed'!N41</f>
        <v>23939</v>
      </c>
      <c r="E41" s="34">
        <f>'Exh D Special Revenue State Fed'!E41+'Exh D Special Revenue State Fed'!P41</f>
        <v>23939</v>
      </c>
      <c r="F41" s="325"/>
      <c r="G41" s="16">
        <f>'Exh D Special Revenue State Fed'!G41+'Exh D Special Revenue State Fed'!R41</f>
        <v>23940.19125797</v>
      </c>
      <c r="H41" s="16"/>
      <c r="I41" s="16">
        <v>0</v>
      </c>
      <c r="J41" s="16"/>
      <c r="K41" s="16">
        <f>+G41+I41</f>
        <v>23940.19125797</v>
      </c>
      <c r="L41" s="325"/>
      <c r="M41" s="16">
        <f t="shared" ref="M41" si="6">ROUND(SUM(K41)-SUM(C41),1)</f>
        <v>1.2</v>
      </c>
      <c r="N41" s="325"/>
      <c r="O41" s="16">
        <f>+K41-E41</f>
        <v>1.1912579700001515</v>
      </c>
    </row>
    <row r="42" spans="1:28" ht="18" customHeight="1" thickBot="1">
      <c r="A42" s="2006" t="str">
        <f>+'Exh D-Governmental  '!A50</f>
        <v xml:space="preserve">Fund Balances (Deficits) at November 30, 2023 </v>
      </c>
      <c r="B42" s="53"/>
      <c r="C42" s="843">
        <f>ROUND(SUM(C39:C41),1)</f>
        <v>22585</v>
      </c>
      <c r="D42" s="53"/>
      <c r="E42" s="843">
        <f>ROUND(SUM(E39:E41),1)</f>
        <v>25066</v>
      </c>
      <c r="F42" s="55"/>
      <c r="G42" s="843">
        <f>ROUND(SUM(G39:G41),1)</f>
        <v>24565.9</v>
      </c>
      <c r="H42" s="26"/>
      <c r="I42" s="843">
        <f>ROUND(SUM(I39:I41),1)</f>
        <v>0</v>
      </c>
      <c r="J42" s="26"/>
      <c r="K42" s="843">
        <f>ROUND(SUM(K39:K41),1)</f>
        <v>24565.9</v>
      </c>
      <c r="L42" s="55"/>
      <c r="M42" s="843">
        <f>ROUND(SUM(M39:M41),1)</f>
        <v>1980.9</v>
      </c>
      <c r="O42" s="843">
        <f>ROUND(SUM(O39:O41),1)</f>
        <v>-500.1</v>
      </c>
    </row>
    <row r="43" spans="1:28" ht="15" customHeight="1" thickTop="1">
      <c r="A43" s="50"/>
      <c r="E43" s="352"/>
      <c r="F43" s="335"/>
      <c r="G43" s="335"/>
      <c r="H43" s="335"/>
      <c r="I43" s="335"/>
      <c r="J43" s="335"/>
      <c r="K43" s="335"/>
      <c r="L43" s="335"/>
      <c r="M43" s="335"/>
      <c r="O43" s="693"/>
    </row>
    <row r="44" spans="1:28">
      <c r="A44" s="489" t="str">
        <f>'Exh D-Governmental  '!A52</f>
        <v xml:space="preserve">(*)    Source: 2023-24 Enacted Financial Plan dated June 9, 2023. </v>
      </c>
    </row>
    <row r="45" spans="1:28">
      <c r="A45" s="489" t="str">
        <f>'Exh D-Governmental  '!A53</f>
        <v>(**)   Source: 2023-24 Mid Year Update dated October 30, 2023.</v>
      </c>
    </row>
    <row r="46" spans="1:28">
      <c r="A46" s="427" t="s">
        <v>1491</v>
      </c>
    </row>
    <row r="47" spans="1:28">
      <c r="A47" s="427"/>
    </row>
    <row r="49" spans="1:1">
      <c r="A49" s="70"/>
    </row>
    <row r="50" spans="1:1">
      <c r="A50" s="70"/>
    </row>
  </sheetData>
  <mergeCells count="1">
    <mergeCell ref="A5:E5"/>
  </mergeCells>
  <pageMargins left="0.7" right="0.7" top="0.75" bottom="0.6" header="0.3" footer="0.3"/>
  <pageSetup scale="60" firstPageNumber="10" orientation="landscape" useFirstPageNumber="1" r:id="rId1"/>
  <headerFooter scaleWithDoc="0" alignWithMargins="0">
    <oddFooter>&amp;C&amp;8&amp;P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dimension ref="A1:AW70"/>
  <sheetViews>
    <sheetView showGridLines="0" zoomScale="90" zoomScaleNormal="90" workbookViewId="0"/>
  </sheetViews>
  <sheetFormatPr defaultColWidth="8.84375" defaultRowHeight="15.5"/>
  <cols>
    <col min="1" max="1" width="53.07421875" style="353" customWidth="1"/>
    <col min="2" max="2" width="0.84375" style="314" customWidth="1"/>
    <col min="3" max="3" width="15.84375" style="179" customWidth="1"/>
    <col min="4" max="4" width="0.84375" style="314" customWidth="1"/>
    <col min="5" max="5" width="15.84375" style="179" customWidth="1"/>
    <col min="6" max="6" width="0.84375" style="314" customWidth="1"/>
    <col min="7" max="7" width="15.84375" style="314" customWidth="1"/>
    <col min="8" max="8" width="0.84375" style="314" customWidth="1"/>
    <col min="9" max="9" width="15.84375" style="314" customWidth="1"/>
    <col min="10" max="10" width="0.84375" style="314" customWidth="1"/>
    <col min="11" max="11" width="15.84375" style="314" customWidth="1"/>
    <col min="12" max="12" width="1.84375" style="314" customWidth="1"/>
    <col min="13" max="13" width="0.84375" style="314" customWidth="1"/>
    <col min="14" max="14" width="15.84375" style="314" customWidth="1"/>
    <col min="15" max="15" width="1.07421875" style="314" customWidth="1"/>
    <col min="16" max="16" width="15.84375" style="314" customWidth="1"/>
    <col min="17" max="17" width="1.07421875" style="314" customWidth="1"/>
    <col min="18" max="18" width="15.84375" style="314" customWidth="1"/>
    <col min="19" max="19" width="0.53515625" style="314" customWidth="1"/>
    <col min="20" max="20" width="15.84375" style="314" customWidth="1"/>
    <col min="21" max="21" width="1.07421875" style="314" customWidth="1"/>
    <col min="22" max="22" width="15.84375" style="179" customWidth="1"/>
    <col min="23" max="23" width="1" style="314" customWidth="1"/>
    <col min="24" max="24" width="3.84375" style="179" customWidth="1"/>
    <col min="25" max="25" width="1" style="314" customWidth="1"/>
    <col min="26" max="26" width="15.84375" style="314" customWidth="1"/>
    <col min="27" max="27" width="0.84375" style="314" customWidth="1"/>
    <col min="28" max="28" width="15.84375" style="314" customWidth="1"/>
    <col min="29" max="29" width="7.421875E-2" style="314" customWidth="1"/>
    <col min="30" max="30" width="11.84375" style="314" customWidth="1"/>
    <col min="31" max="31" width="11.4609375" style="314" customWidth="1"/>
    <col min="32" max="32" width="1.84375" style="314" customWidth="1"/>
    <col min="33" max="33" width="11.84375" style="314" customWidth="1"/>
    <col min="34" max="34" width="2.07421875" style="314" customWidth="1"/>
    <col min="35" max="35" width="11.4609375" style="314" customWidth="1"/>
    <col min="36" max="36" width="0.53515625" style="314" customWidth="1"/>
    <col min="37" max="37" width="2.07421875" style="314" customWidth="1"/>
    <col min="38" max="38" width="10.53515625" style="314" customWidth="1"/>
    <col min="39" max="39" width="11.07421875" style="314" customWidth="1"/>
    <col min="40" max="40" width="2.07421875" style="314" customWidth="1"/>
    <col min="41" max="41" width="11.07421875" style="314" customWidth="1"/>
    <col min="42" max="42" width="2.07421875" style="314" customWidth="1"/>
    <col min="43" max="43" width="12.4609375" style="314" customWidth="1"/>
    <col min="44" max="49" width="8.84375" style="314"/>
    <col min="50" max="16384" width="8.84375" style="353"/>
  </cols>
  <sheetData>
    <row r="1" spans="1:49">
      <c r="A1" s="490" t="s">
        <v>98</v>
      </c>
      <c r="B1" s="60"/>
      <c r="C1" s="175"/>
      <c r="D1" s="60"/>
      <c r="E1" s="175"/>
      <c r="F1" s="60"/>
      <c r="G1" s="60"/>
      <c r="H1" s="60"/>
      <c r="I1" s="60"/>
      <c r="J1" s="60"/>
      <c r="K1" s="60"/>
      <c r="L1" s="60"/>
      <c r="M1" s="60"/>
      <c r="N1" s="60"/>
      <c r="O1" s="60"/>
      <c r="P1" s="60"/>
      <c r="Q1" s="60"/>
      <c r="R1" s="60"/>
      <c r="S1" s="60"/>
      <c r="T1" s="60"/>
      <c r="U1" s="60"/>
      <c r="V1" s="175"/>
      <c r="W1" s="60"/>
      <c r="X1" s="175"/>
      <c r="Y1" s="60"/>
      <c r="Z1" s="60"/>
      <c r="AA1" s="60"/>
      <c r="AB1" s="60"/>
      <c r="AC1" s="60"/>
      <c r="AD1" s="60"/>
      <c r="AE1" s="60"/>
      <c r="AF1" s="60"/>
      <c r="AG1" s="60"/>
      <c r="AH1" s="60"/>
      <c r="AI1" s="60"/>
      <c r="AJ1" s="60"/>
      <c r="AK1" s="60"/>
      <c r="AL1" s="60"/>
      <c r="AM1" s="60"/>
      <c r="AN1" s="60"/>
      <c r="AO1" s="60"/>
      <c r="AP1" s="60"/>
      <c r="AQ1" s="60"/>
      <c r="AR1" s="353"/>
      <c r="AS1" s="353"/>
      <c r="AT1" s="353"/>
      <c r="AU1" s="353"/>
      <c r="AV1" s="353"/>
      <c r="AW1" s="353"/>
    </row>
    <row r="2" spans="1:49" ht="17.25" customHeight="1">
      <c r="A2" s="61"/>
      <c r="B2" s="60"/>
      <c r="C2" s="175"/>
      <c r="D2" s="60"/>
      <c r="E2" s="175"/>
      <c r="F2" s="60"/>
      <c r="G2" s="60"/>
      <c r="H2" s="60"/>
      <c r="I2" s="60"/>
      <c r="J2" s="60"/>
      <c r="K2" s="60"/>
      <c r="L2" s="60"/>
      <c r="M2" s="60"/>
      <c r="N2" s="60"/>
      <c r="O2" s="60"/>
      <c r="P2" s="60"/>
      <c r="Q2" s="60"/>
      <c r="R2" s="60"/>
      <c r="S2" s="60"/>
      <c r="T2" s="60"/>
      <c r="U2" s="60"/>
      <c r="V2" s="175"/>
      <c r="W2" s="60"/>
      <c r="X2" s="175"/>
      <c r="Y2" s="60"/>
      <c r="Z2" s="60"/>
      <c r="AA2" s="60"/>
      <c r="AB2" s="60"/>
      <c r="AC2" s="60"/>
      <c r="AD2" s="60"/>
      <c r="AE2" s="60"/>
      <c r="AF2" s="60"/>
      <c r="AG2" s="60"/>
      <c r="AH2" s="60"/>
      <c r="AI2" s="60"/>
      <c r="AJ2" s="60"/>
      <c r="AK2" s="60"/>
      <c r="AL2" s="60"/>
      <c r="AM2" s="60"/>
      <c r="AN2" s="60"/>
      <c r="AO2" s="60"/>
      <c r="AP2" s="60"/>
      <c r="AQ2" s="60"/>
      <c r="AR2" s="353"/>
      <c r="AS2" s="353"/>
      <c r="AT2" s="353"/>
      <c r="AU2" s="353"/>
      <c r="AV2" s="353"/>
      <c r="AW2" s="353"/>
    </row>
    <row r="3" spans="1:49" ht="18.75" customHeight="1">
      <c r="A3" s="62" t="s">
        <v>99</v>
      </c>
      <c r="B3" s="40"/>
      <c r="C3" s="176"/>
      <c r="D3" s="40"/>
      <c r="E3" s="176"/>
      <c r="F3" s="40"/>
      <c r="G3" s="40"/>
      <c r="H3" s="40"/>
      <c r="I3" s="40"/>
      <c r="J3" s="40"/>
      <c r="K3" s="40"/>
      <c r="L3" s="40"/>
      <c r="M3" s="40"/>
      <c r="N3" s="40"/>
      <c r="O3" s="40"/>
      <c r="P3" s="40"/>
      <c r="Q3" s="40"/>
      <c r="R3" s="40"/>
      <c r="S3" s="40"/>
      <c r="T3" s="429"/>
      <c r="U3" s="40"/>
      <c r="V3" s="429" t="s">
        <v>247</v>
      </c>
      <c r="W3" s="40"/>
      <c r="X3" s="176"/>
      <c r="Y3" s="40"/>
      <c r="Z3" s="40"/>
      <c r="AA3" s="40"/>
      <c r="AB3" s="429"/>
      <c r="AC3" s="40"/>
      <c r="AD3" s="40"/>
      <c r="AE3" s="40"/>
      <c r="AF3" s="40"/>
      <c r="AG3" s="40"/>
      <c r="AH3" s="40"/>
      <c r="AI3" s="40"/>
      <c r="AJ3" s="40"/>
      <c r="AK3" s="40"/>
      <c r="AL3" s="40"/>
      <c r="AM3" s="40"/>
      <c r="AN3" s="40"/>
      <c r="AO3" s="40"/>
      <c r="AP3" s="40"/>
      <c r="AQ3" s="63"/>
      <c r="AR3" s="353"/>
      <c r="AS3" s="353"/>
      <c r="AT3" s="353"/>
      <c r="AU3" s="353"/>
      <c r="AV3" s="353"/>
      <c r="AW3" s="353"/>
    </row>
    <row r="4" spans="1:49" ht="18.75" customHeight="1">
      <c r="A4" s="62" t="s">
        <v>248</v>
      </c>
      <c r="B4" s="40"/>
      <c r="C4" s="176"/>
      <c r="D4" s="40"/>
      <c r="E4" s="176"/>
      <c r="F4" s="40"/>
      <c r="G4" s="40"/>
      <c r="H4" s="40"/>
      <c r="I4" s="40"/>
      <c r="J4" s="40"/>
      <c r="K4" s="40"/>
      <c r="L4" s="40"/>
      <c r="M4" s="40"/>
      <c r="N4" s="40"/>
      <c r="O4" s="40"/>
      <c r="P4" s="40"/>
      <c r="Q4" s="40"/>
      <c r="R4" s="40"/>
      <c r="S4" s="40"/>
      <c r="T4" s="430"/>
      <c r="U4" s="40"/>
      <c r="V4" s="430"/>
      <c r="W4" s="40"/>
      <c r="X4" s="176"/>
      <c r="Y4" s="40"/>
      <c r="Z4" s="40"/>
      <c r="AA4" s="40"/>
      <c r="AB4" s="430"/>
      <c r="AC4" s="40"/>
      <c r="AD4" s="40"/>
      <c r="AE4" s="40"/>
      <c r="AF4" s="40"/>
      <c r="AG4" s="40"/>
      <c r="AH4" s="40"/>
      <c r="AI4" s="40"/>
      <c r="AJ4" s="40"/>
      <c r="AK4" s="40"/>
      <c r="AL4" s="40"/>
      <c r="AM4" s="40"/>
      <c r="AN4" s="40"/>
      <c r="AO4" s="40"/>
      <c r="AP4" s="40"/>
      <c r="AQ4" s="40"/>
      <c r="AR4" s="353"/>
      <c r="AS4" s="353"/>
      <c r="AT4" s="353"/>
      <c r="AU4" s="353"/>
      <c r="AV4" s="353"/>
      <c r="AW4" s="353"/>
    </row>
    <row r="5" spans="1:49" ht="18.75" customHeight="1">
      <c r="A5" s="2221" t="str">
        <f>'Exh D-Governmental  '!A5:E5</f>
        <v>FISCAL YEAR 2023-2024</v>
      </c>
      <c r="B5" s="2222"/>
      <c r="C5" s="2222"/>
      <c r="D5" s="2222"/>
      <c r="E5" s="2222"/>
      <c r="F5" s="40"/>
      <c r="G5" s="329"/>
      <c r="H5" s="40"/>
      <c r="I5" s="40"/>
      <c r="J5" s="40"/>
      <c r="K5" s="40"/>
      <c r="L5" s="40"/>
      <c r="M5" s="40"/>
      <c r="N5" s="338"/>
      <c r="O5" s="40"/>
      <c r="P5" s="40"/>
      <c r="Q5" s="40"/>
      <c r="R5" s="40"/>
      <c r="S5" s="40"/>
      <c r="T5" s="40"/>
      <c r="U5" s="40"/>
      <c r="V5" s="176"/>
      <c r="W5" s="40"/>
      <c r="X5" s="176"/>
      <c r="Y5" s="40"/>
      <c r="Z5" s="40"/>
      <c r="AA5" s="40"/>
      <c r="AB5" s="40"/>
      <c r="AC5" s="40"/>
      <c r="AD5" s="40"/>
      <c r="AE5" s="40"/>
      <c r="AF5" s="40"/>
      <c r="AG5" s="40"/>
      <c r="AH5" s="40"/>
      <c r="AI5" s="40"/>
      <c r="AJ5" s="40"/>
      <c r="AK5" s="40"/>
      <c r="AL5" s="40"/>
      <c r="AM5" s="40"/>
      <c r="AN5" s="40"/>
      <c r="AO5" s="40"/>
      <c r="AP5" s="40"/>
      <c r="AQ5" s="40"/>
      <c r="AR5" s="353"/>
      <c r="AS5" s="353"/>
      <c r="AT5" s="353"/>
      <c r="AU5" s="353"/>
      <c r="AV5" s="353"/>
      <c r="AW5" s="353"/>
    </row>
    <row r="6" spans="1:49" ht="18.75" customHeight="1">
      <c r="A6" s="44" t="str">
        <f>'Exh D-Governmental  '!A6</f>
        <v>FOR EIGHT MONTHS ENDED NOVEMBER 30, 2023</v>
      </c>
      <c r="B6" s="40"/>
      <c r="C6" s="176"/>
      <c r="D6" s="40"/>
      <c r="E6" s="176"/>
      <c r="F6" s="40"/>
      <c r="G6" s="40"/>
      <c r="H6" s="40"/>
      <c r="I6" s="40"/>
      <c r="J6" s="40"/>
      <c r="K6" s="40"/>
      <c r="L6" s="40"/>
      <c r="M6" s="40"/>
      <c r="N6" s="40"/>
      <c r="O6" s="40"/>
      <c r="P6" s="40"/>
      <c r="Q6" s="40"/>
      <c r="R6" s="40"/>
      <c r="S6" s="40"/>
      <c r="T6" s="40"/>
      <c r="U6" s="40"/>
      <c r="V6" s="176"/>
      <c r="W6" s="40"/>
      <c r="X6" s="176"/>
      <c r="Y6" s="40"/>
      <c r="Z6" s="40"/>
      <c r="AA6" s="40"/>
      <c r="AB6" s="40"/>
      <c r="AC6" s="40"/>
      <c r="AD6" s="40"/>
      <c r="AE6" s="40"/>
      <c r="AF6" s="40"/>
      <c r="AG6" s="40"/>
      <c r="AH6" s="40"/>
      <c r="AI6" s="40"/>
      <c r="AJ6" s="40"/>
      <c r="AK6" s="40"/>
      <c r="AL6" s="40"/>
      <c r="AM6" s="40"/>
      <c r="AN6" s="40"/>
      <c r="AO6" s="40"/>
      <c r="AP6" s="40"/>
      <c r="AQ6" s="40"/>
      <c r="AR6" s="353"/>
      <c r="AS6" s="353"/>
      <c r="AT6" s="353"/>
      <c r="AU6" s="353"/>
      <c r="AV6" s="353"/>
      <c r="AW6" s="353"/>
    </row>
    <row r="7" spans="1:49" ht="18.75" customHeight="1">
      <c r="A7" s="62" t="s">
        <v>250</v>
      </c>
      <c r="B7" s="40"/>
      <c r="C7" s="176"/>
      <c r="D7" s="40"/>
      <c r="E7" s="176"/>
      <c r="F7" s="40"/>
      <c r="G7" s="40"/>
      <c r="H7" s="40"/>
      <c r="I7" s="40"/>
      <c r="J7" s="40"/>
      <c r="K7" s="40"/>
      <c r="L7" s="40"/>
      <c r="M7" s="40"/>
      <c r="N7" s="40"/>
      <c r="O7" s="40"/>
      <c r="P7" s="40"/>
      <c r="Q7" s="40"/>
      <c r="R7" s="40"/>
      <c r="S7" s="40"/>
      <c r="T7" s="40"/>
      <c r="U7" s="40"/>
      <c r="V7" s="176"/>
      <c r="W7" s="40"/>
      <c r="X7" s="176"/>
      <c r="Y7" s="40"/>
      <c r="Z7" s="40"/>
      <c r="AA7" s="40"/>
      <c r="AB7" s="40"/>
      <c r="AC7" s="40"/>
      <c r="AD7" s="40"/>
      <c r="AE7" s="40"/>
      <c r="AF7" s="40"/>
      <c r="AG7" s="40"/>
      <c r="AH7" s="40"/>
      <c r="AI7" s="40"/>
      <c r="AJ7" s="40"/>
      <c r="AK7" s="40"/>
      <c r="AL7" s="40"/>
      <c r="AM7" s="40"/>
      <c r="AN7" s="40"/>
      <c r="AO7" s="40"/>
      <c r="AP7" s="40"/>
      <c r="AQ7" s="40"/>
      <c r="AR7" s="353"/>
      <c r="AS7" s="353"/>
      <c r="AT7" s="353"/>
      <c r="AU7" s="353"/>
      <c r="AV7" s="353"/>
      <c r="AW7" s="353"/>
    </row>
    <row r="8" spans="1:49" ht="15" customHeight="1">
      <c r="A8" s="45"/>
      <c r="B8" s="40"/>
      <c r="C8" s="176"/>
      <c r="D8" s="40"/>
      <c r="E8" s="176"/>
      <c r="F8" s="40"/>
      <c r="G8" s="40"/>
      <c r="H8" s="40"/>
      <c r="I8" s="40"/>
      <c r="J8" s="40"/>
      <c r="K8" s="40"/>
      <c r="L8" s="40"/>
      <c r="M8" s="40"/>
      <c r="N8" s="40"/>
      <c r="O8" s="40"/>
      <c r="P8" s="40"/>
      <c r="Q8" s="40"/>
      <c r="R8" s="40"/>
      <c r="S8" s="40"/>
      <c r="T8" s="40"/>
      <c r="U8" s="40"/>
      <c r="V8" s="176"/>
      <c r="W8" s="40"/>
      <c r="X8" s="176"/>
      <c r="Y8" s="40"/>
      <c r="Z8" s="40"/>
      <c r="AA8" s="40"/>
      <c r="AB8" s="40"/>
      <c r="AC8" s="40"/>
      <c r="AD8" s="40"/>
      <c r="AE8" s="40"/>
      <c r="AF8" s="40"/>
      <c r="AG8" s="40"/>
      <c r="AH8" s="40"/>
      <c r="AI8" s="40"/>
      <c r="AJ8" s="40"/>
      <c r="AK8" s="40"/>
      <c r="AL8" s="40"/>
      <c r="AM8" s="40"/>
      <c r="AN8" s="40"/>
      <c r="AO8" s="40"/>
      <c r="AP8" s="40"/>
      <c r="AQ8" s="40"/>
      <c r="AR8" s="353"/>
      <c r="AS8" s="353"/>
      <c r="AT8" s="353"/>
      <c r="AU8" s="353"/>
      <c r="AV8" s="353"/>
      <c r="AW8" s="353"/>
    </row>
    <row r="9" spans="1:49">
      <c r="A9" s="46"/>
      <c r="B9" s="40"/>
      <c r="C9" s="176"/>
      <c r="D9" s="40"/>
      <c r="E9" s="176"/>
      <c r="F9" s="40"/>
      <c r="G9" s="40"/>
      <c r="H9" s="40"/>
      <c r="I9" s="40"/>
      <c r="J9" s="40"/>
      <c r="K9" s="40"/>
      <c r="L9" s="40"/>
      <c r="M9" s="40"/>
      <c r="N9" s="40"/>
      <c r="O9" s="40"/>
      <c r="P9" s="40"/>
      <c r="Q9" s="40"/>
      <c r="R9" s="40"/>
      <c r="S9" s="40"/>
      <c r="T9" s="40"/>
      <c r="U9" s="40"/>
      <c r="V9" s="176"/>
      <c r="W9" s="40"/>
      <c r="X9" s="176"/>
      <c r="Y9" s="40"/>
      <c r="Z9" s="40"/>
      <c r="AA9" s="40"/>
      <c r="AB9" s="40"/>
      <c r="AC9" s="40"/>
      <c r="AD9" s="40"/>
      <c r="AE9" s="40"/>
      <c r="AF9" s="40"/>
      <c r="AG9" s="40"/>
      <c r="AH9" s="40"/>
      <c r="AI9" s="40"/>
      <c r="AJ9" s="40"/>
      <c r="AK9" s="40"/>
      <c r="AL9" s="40"/>
      <c r="AM9" s="40"/>
      <c r="AN9" s="40"/>
      <c r="AO9" s="40"/>
      <c r="AP9" s="40"/>
      <c r="AQ9" s="40"/>
      <c r="AR9" s="353"/>
      <c r="AS9" s="353"/>
      <c r="AT9" s="353"/>
      <c r="AU9" s="353"/>
      <c r="AV9" s="353"/>
      <c r="AW9" s="353"/>
    </row>
    <row r="10" spans="1:49">
      <c r="A10" s="46"/>
      <c r="B10" s="40"/>
      <c r="C10" s="176"/>
      <c r="D10" s="40"/>
      <c r="E10" s="176"/>
      <c r="F10" s="40"/>
      <c r="G10" s="40"/>
      <c r="H10" s="40"/>
      <c r="I10" s="40"/>
      <c r="J10" s="40"/>
      <c r="K10" s="40"/>
      <c r="L10" s="40"/>
      <c r="M10" s="40"/>
      <c r="N10" s="40"/>
      <c r="O10" s="40"/>
      <c r="P10" s="40"/>
      <c r="Q10" s="40"/>
      <c r="R10" s="40"/>
      <c r="S10" s="40"/>
      <c r="T10" s="40"/>
      <c r="U10" s="40"/>
      <c r="V10" s="176"/>
      <c r="W10" s="40"/>
      <c r="X10" s="176"/>
      <c r="Y10" s="40"/>
      <c r="Z10" s="40"/>
      <c r="AA10" s="40"/>
      <c r="AB10" s="40"/>
      <c r="AC10" s="40"/>
      <c r="AD10" s="40"/>
      <c r="AE10" s="40"/>
      <c r="AF10" s="40"/>
      <c r="AG10" s="40"/>
      <c r="AH10" s="40"/>
      <c r="AI10" s="40"/>
      <c r="AJ10" s="40"/>
      <c r="AK10" s="40"/>
      <c r="AL10" s="40"/>
      <c r="AM10" s="40"/>
      <c r="AN10" s="40"/>
      <c r="AO10" s="40"/>
      <c r="AP10" s="40"/>
      <c r="AQ10" s="40"/>
      <c r="AR10" s="353"/>
      <c r="AS10" s="353"/>
      <c r="AT10" s="353"/>
      <c r="AU10" s="353"/>
      <c r="AV10" s="353"/>
      <c r="AW10" s="353"/>
    </row>
    <row r="11" spans="1:49">
      <c r="C11" s="2217" t="s">
        <v>305</v>
      </c>
      <c r="D11" s="2217"/>
      <c r="E11" s="2217"/>
      <c r="F11" s="2217"/>
      <c r="G11" s="2217"/>
      <c r="H11" s="2217"/>
      <c r="I11" s="2217"/>
      <c r="J11" s="2007"/>
      <c r="K11" s="2007"/>
      <c r="L11" s="66"/>
      <c r="M11" s="64"/>
      <c r="N11" s="2217" t="s">
        <v>306</v>
      </c>
      <c r="O11" s="2217"/>
      <c r="P11" s="2217"/>
      <c r="Q11" s="2217"/>
      <c r="R11" s="2217"/>
      <c r="S11" s="2217"/>
      <c r="T11" s="2217"/>
      <c r="U11" s="1486"/>
      <c r="V11" s="2008"/>
      <c r="W11" s="660"/>
      <c r="X11" s="660"/>
      <c r="Y11" s="660"/>
      <c r="Z11" s="660"/>
      <c r="AA11" s="660"/>
      <c r="AB11" s="660"/>
      <c r="AC11" s="47"/>
      <c r="AD11" s="64"/>
      <c r="AE11" s="64"/>
      <c r="AF11" s="64"/>
      <c r="AG11" s="64"/>
      <c r="AH11" s="64"/>
      <c r="AI11" s="64"/>
      <c r="AJ11" s="64"/>
      <c r="AK11" s="47"/>
      <c r="AL11" s="64"/>
      <c r="AM11" s="65"/>
      <c r="AN11" s="64"/>
      <c r="AO11" s="64"/>
      <c r="AP11" s="64"/>
      <c r="AQ11" s="64"/>
      <c r="AR11" s="353"/>
      <c r="AS11" s="353"/>
      <c r="AT11" s="353"/>
      <c r="AU11" s="353"/>
      <c r="AV11" s="353"/>
      <c r="AW11" s="353"/>
    </row>
    <row r="12" spans="1:49">
      <c r="C12" s="177"/>
      <c r="D12" s="66"/>
      <c r="E12" s="177"/>
      <c r="F12" s="66"/>
      <c r="G12" s="67"/>
      <c r="H12" s="66"/>
      <c r="I12" s="66" t="s">
        <v>252</v>
      </c>
      <c r="J12" s="66"/>
      <c r="K12" s="66" t="s">
        <v>252</v>
      </c>
      <c r="L12" s="66"/>
      <c r="M12" s="1487"/>
      <c r="N12" s="177"/>
      <c r="O12" s="66"/>
      <c r="P12" s="177"/>
      <c r="Q12" s="66"/>
      <c r="R12" s="67"/>
      <c r="S12" s="66"/>
      <c r="T12" s="66" t="s">
        <v>252</v>
      </c>
      <c r="U12" s="64"/>
      <c r="V12" s="66" t="s">
        <v>252</v>
      </c>
      <c r="W12" s="66"/>
      <c r="Y12" s="66"/>
      <c r="Z12" s="67"/>
      <c r="AA12" s="66"/>
      <c r="AB12" s="66"/>
      <c r="AC12" s="47"/>
      <c r="AD12" s="64"/>
      <c r="AE12" s="64"/>
      <c r="AF12" s="64"/>
      <c r="AG12" s="64"/>
      <c r="AH12" s="64"/>
      <c r="AI12" s="64"/>
      <c r="AJ12" s="64"/>
      <c r="AK12" s="47"/>
      <c r="AL12" s="64"/>
      <c r="AM12" s="65"/>
      <c r="AN12" s="64"/>
      <c r="AO12" s="64"/>
      <c r="AP12" s="64"/>
      <c r="AQ12" s="64"/>
      <c r="AR12" s="353"/>
      <c r="AS12" s="353"/>
      <c r="AT12" s="353"/>
      <c r="AU12" s="353"/>
      <c r="AV12" s="353"/>
      <c r="AW12" s="353"/>
    </row>
    <row r="13" spans="1:49">
      <c r="B13" s="47"/>
      <c r="C13" s="178"/>
      <c r="D13" s="47"/>
      <c r="E13" s="178"/>
      <c r="F13" s="47"/>
      <c r="G13" s="47"/>
      <c r="H13" s="47"/>
      <c r="I13" s="48" t="s">
        <v>253</v>
      </c>
      <c r="J13" s="48"/>
      <c r="K13" s="48" t="s">
        <v>253</v>
      </c>
      <c r="L13" s="48"/>
      <c r="M13" s="545"/>
      <c r="N13" s="178"/>
      <c r="O13" s="47"/>
      <c r="P13" s="178"/>
      <c r="Q13" s="47"/>
      <c r="R13" s="47"/>
      <c r="S13" s="47"/>
      <c r="T13" s="48" t="s">
        <v>253</v>
      </c>
      <c r="U13" s="48"/>
      <c r="V13" s="48" t="s">
        <v>253</v>
      </c>
      <c r="W13" s="47"/>
      <c r="X13" s="178"/>
      <c r="Y13" s="47"/>
      <c r="Z13" s="47"/>
      <c r="AA13" s="47"/>
      <c r="AB13" s="48"/>
      <c r="AC13" s="47"/>
      <c r="AD13" s="47"/>
      <c r="AE13" s="47"/>
      <c r="AF13" s="47"/>
      <c r="AG13" s="47"/>
      <c r="AH13" s="47"/>
      <c r="AI13" s="49"/>
      <c r="AJ13" s="48"/>
      <c r="AK13" s="47"/>
      <c r="AL13" s="47"/>
      <c r="AM13" s="47"/>
      <c r="AN13" s="47"/>
      <c r="AO13" s="47"/>
      <c r="AP13" s="47"/>
      <c r="AQ13" s="49"/>
      <c r="AR13" s="353"/>
      <c r="AS13" s="353"/>
      <c r="AT13" s="353"/>
      <c r="AU13" s="353"/>
      <c r="AV13" s="353"/>
      <c r="AW13" s="353"/>
    </row>
    <row r="14" spans="1:49">
      <c r="B14" s="68"/>
      <c r="C14" s="49" t="s">
        <v>255</v>
      </c>
      <c r="D14" s="353"/>
      <c r="E14" s="48" t="s">
        <v>256</v>
      </c>
      <c r="F14" s="47"/>
      <c r="G14" s="47"/>
      <c r="H14" s="47"/>
      <c r="I14" s="48" t="s">
        <v>257</v>
      </c>
      <c r="J14" s="48"/>
      <c r="K14" s="48" t="s">
        <v>257</v>
      </c>
      <c r="L14" s="48"/>
      <c r="M14" s="545"/>
      <c r="N14" s="49" t="s">
        <v>255</v>
      </c>
      <c r="O14" s="353"/>
      <c r="P14" s="48" t="s">
        <v>256</v>
      </c>
      <c r="Q14" s="47"/>
      <c r="R14" s="47"/>
      <c r="S14" s="47"/>
      <c r="T14" s="48" t="s">
        <v>257</v>
      </c>
      <c r="U14" s="48"/>
      <c r="V14" s="48" t="s">
        <v>257</v>
      </c>
      <c r="W14" s="353"/>
      <c r="X14" s="48"/>
      <c r="Y14" s="47"/>
      <c r="Z14" s="47"/>
      <c r="AA14" s="47"/>
      <c r="AB14" s="48"/>
      <c r="AC14" s="47"/>
      <c r="AD14" s="49"/>
      <c r="AE14" s="48"/>
      <c r="AF14" s="47"/>
      <c r="AG14" s="47"/>
      <c r="AH14" s="47"/>
      <c r="AI14" s="49"/>
      <c r="AJ14" s="48"/>
      <c r="AK14" s="47"/>
      <c r="AL14" s="49"/>
      <c r="AM14" s="48"/>
      <c r="AN14" s="47"/>
      <c r="AO14" s="47"/>
      <c r="AP14" s="47"/>
      <c r="AQ14" s="49"/>
      <c r="AR14" s="353"/>
      <c r="AS14" s="353"/>
      <c r="AT14" s="353"/>
      <c r="AU14" s="353"/>
      <c r="AV14" s="353"/>
      <c r="AW14" s="353"/>
    </row>
    <row r="15" spans="1:49">
      <c r="B15" s="68"/>
      <c r="C15" s="48" t="s">
        <v>258</v>
      </c>
      <c r="D15" s="47"/>
      <c r="E15" s="48" t="s">
        <v>258</v>
      </c>
      <c r="F15" s="47"/>
      <c r="G15" s="47"/>
      <c r="H15" s="47"/>
      <c r="I15" s="48" t="s">
        <v>255</v>
      </c>
      <c r="J15" s="48"/>
      <c r="K15" s="48" t="s">
        <v>256</v>
      </c>
      <c r="L15" s="48"/>
      <c r="M15" s="545"/>
      <c r="N15" s="48" t="s">
        <v>258</v>
      </c>
      <c r="O15" s="47"/>
      <c r="P15" s="48" t="s">
        <v>258</v>
      </c>
      <c r="Q15" s="47"/>
      <c r="R15" s="47"/>
      <c r="S15" s="47"/>
      <c r="T15" s="48" t="s">
        <v>255</v>
      </c>
      <c r="U15" s="48"/>
      <c r="V15" s="48" t="s">
        <v>256</v>
      </c>
      <c r="W15" s="47"/>
      <c r="X15" s="48"/>
      <c r="Y15" s="47"/>
      <c r="Z15" s="47"/>
      <c r="AA15" s="47"/>
      <c r="AB15" s="48"/>
      <c r="AC15" s="47"/>
      <c r="AD15" s="49"/>
      <c r="AE15" s="48"/>
      <c r="AF15" s="47"/>
      <c r="AG15" s="47"/>
      <c r="AH15" s="47"/>
      <c r="AI15" s="49"/>
      <c r="AJ15" s="48"/>
      <c r="AK15" s="47"/>
      <c r="AL15" s="49"/>
      <c r="AM15" s="48"/>
      <c r="AN15" s="47"/>
      <c r="AO15" s="47"/>
      <c r="AP15" s="47"/>
      <c r="AQ15" s="49"/>
      <c r="AR15" s="353"/>
      <c r="AS15" s="353"/>
      <c r="AT15" s="353"/>
      <c r="AU15" s="353"/>
      <c r="AV15" s="353"/>
      <c r="AW15" s="353"/>
    </row>
    <row r="16" spans="1:49">
      <c r="B16" s="48"/>
      <c r="C16" s="551" t="s">
        <v>259</v>
      </c>
      <c r="D16" s="47"/>
      <c r="E16" s="48" t="s">
        <v>1486</v>
      </c>
      <c r="F16" s="47"/>
      <c r="G16" s="49" t="s">
        <v>252</v>
      </c>
      <c r="H16" s="47"/>
      <c r="I16" s="48" t="s">
        <v>260</v>
      </c>
      <c r="J16" s="48"/>
      <c r="K16" s="48" t="s">
        <v>260</v>
      </c>
      <c r="L16" s="48"/>
      <c r="M16" s="1488"/>
      <c r="N16" s="551" t="s">
        <v>259</v>
      </c>
      <c r="O16" s="47"/>
      <c r="P16" s="48" t="s">
        <v>1486</v>
      </c>
      <c r="Q16" s="47"/>
      <c r="R16" s="49" t="s">
        <v>252</v>
      </c>
      <c r="S16" s="47"/>
      <c r="T16" s="48" t="s">
        <v>260</v>
      </c>
      <c r="U16" s="48"/>
      <c r="V16" s="48" t="s">
        <v>260</v>
      </c>
      <c r="W16" s="47"/>
      <c r="X16" s="48"/>
      <c r="Y16" s="47"/>
      <c r="Z16" s="49"/>
      <c r="AA16" s="47"/>
      <c r="AB16" s="48"/>
      <c r="AC16" s="47"/>
      <c r="AD16" s="48"/>
      <c r="AE16" s="48"/>
      <c r="AF16" s="47"/>
      <c r="AG16" s="49"/>
      <c r="AH16" s="47"/>
      <c r="AI16" s="49"/>
      <c r="AJ16" s="48"/>
      <c r="AK16" s="47"/>
      <c r="AL16" s="48"/>
      <c r="AM16" s="48"/>
      <c r="AN16" s="47"/>
      <c r="AO16" s="49"/>
      <c r="AP16" s="47"/>
      <c r="AQ16" s="49"/>
      <c r="AR16" s="353"/>
      <c r="AS16" s="353"/>
      <c r="AT16" s="353"/>
      <c r="AU16" s="353"/>
      <c r="AV16" s="353"/>
      <c r="AW16" s="353"/>
    </row>
    <row r="17" spans="1:49">
      <c r="A17" s="50"/>
      <c r="B17" s="40"/>
      <c r="C17" s="1483"/>
      <c r="D17" s="40"/>
      <c r="E17" s="1483"/>
      <c r="F17" s="40"/>
      <c r="G17" s="1483"/>
      <c r="H17" s="40"/>
      <c r="I17" s="1483"/>
      <c r="J17" s="40"/>
      <c r="K17" s="1483"/>
      <c r="L17" s="40"/>
      <c r="M17" s="546"/>
      <c r="N17" s="40"/>
      <c r="O17" s="40"/>
      <c r="P17" s="1483"/>
      <c r="Q17" s="40"/>
      <c r="R17" s="1483"/>
      <c r="S17" s="40"/>
      <c r="T17" s="1483"/>
      <c r="U17" s="40"/>
      <c r="V17" s="1483"/>
      <c r="W17" s="40"/>
      <c r="X17" s="40"/>
      <c r="Y17" s="40"/>
      <c r="Z17" s="40"/>
      <c r="AA17" s="40"/>
      <c r="AB17" s="40"/>
      <c r="AC17" s="40"/>
      <c r="AD17" s="40"/>
      <c r="AE17" s="40"/>
      <c r="AF17" s="40"/>
      <c r="AG17" s="40"/>
      <c r="AH17" s="40"/>
      <c r="AI17" s="40"/>
      <c r="AJ17" s="40"/>
      <c r="AK17" s="40"/>
      <c r="AL17" s="40"/>
      <c r="AM17" s="40"/>
      <c r="AN17" s="40"/>
      <c r="AO17" s="40"/>
      <c r="AP17" s="40"/>
      <c r="AQ17" s="40"/>
      <c r="AR17" s="353"/>
      <c r="AS17" s="353"/>
      <c r="AT17" s="353"/>
      <c r="AU17" s="353"/>
      <c r="AV17" s="353"/>
      <c r="AW17" s="353"/>
    </row>
    <row r="18" spans="1:49">
      <c r="A18" s="6" t="s">
        <v>115</v>
      </c>
      <c r="C18" s="314"/>
      <c r="E18" s="314"/>
      <c r="M18" s="547"/>
      <c r="V18" s="314"/>
      <c r="X18" s="314"/>
      <c r="AR18" s="353"/>
      <c r="AS18" s="353"/>
      <c r="AT18" s="353"/>
      <c r="AU18" s="353"/>
      <c r="AV18" s="353"/>
      <c r="AW18" s="353"/>
    </row>
    <row r="19" spans="1:49">
      <c r="A19" s="427" t="s">
        <v>261</v>
      </c>
      <c r="B19" s="482"/>
      <c r="C19" s="314"/>
      <c r="D19" s="482"/>
      <c r="E19" s="314"/>
      <c r="F19" s="482"/>
      <c r="H19" s="482"/>
      <c r="M19" s="547"/>
      <c r="O19" s="482"/>
      <c r="Q19" s="482"/>
      <c r="S19" s="482"/>
      <c r="V19" s="314"/>
      <c r="X19" s="314"/>
      <c r="AA19" s="482"/>
      <c r="AR19" s="353"/>
      <c r="AS19" s="353"/>
      <c r="AT19" s="353"/>
      <c r="AU19" s="353"/>
      <c r="AV19" s="353"/>
      <c r="AW19" s="353"/>
    </row>
    <row r="20" spans="1:49">
      <c r="A20" s="427" t="s">
        <v>262</v>
      </c>
      <c r="B20" s="482" t="s">
        <v>104</v>
      </c>
      <c r="C20" s="338">
        <v>1</v>
      </c>
      <c r="D20" s="337"/>
      <c r="E20" s="338">
        <v>1</v>
      </c>
      <c r="F20" s="337"/>
      <c r="G20" s="335">
        <f>'Exhibit G State'!AD17</f>
        <v>0.1</v>
      </c>
      <c r="H20" s="337"/>
      <c r="I20" s="335">
        <f t="shared" ref="I20:I23" si="0">G20-C20</f>
        <v>-0.9</v>
      </c>
      <c r="J20" s="335"/>
      <c r="K20" s="335">
        <f>G20-E20</f>
        <v>-0.9</v>
      </c>
      <c r="L20" s="335"/>
      <c r="M20" s="547"/>
      <c r="N20" s="338">
        <v>0</v>
      </c>
      <c r="O20" s="337"/>
      <c r="P20" s="338">
        <v>0</v>
      </c>
      <c r="Q20" s="337"/>
      <c r="R20" s="335">
        <v>0</v>
      </c>
      <c r="S20" s="337"/>
      <c r="T20" s="335">
        <f>R20-N20</f>
        <v>0</v>
      </c>
      <c r="V20" s="335">
        <f>R20-P20</f>
        <v>0</v>
      </c>
      <c r="W20" s="337"/>
      <c r="X20" s="497"/>
      <c r="Y20" s="337"/>
      <c r="Z20" s="491"/>
      <c r="AA20" s="337"/>
      <c r="AB20" s="335"/>
      <c r="AR20" s="353"/>
      <c r="AS20" s="353"/>
      <c r="AT20" s="353"/>
      <c r="AU20" s="353"/>
      <c r="AV20" s="353"/>
      <c r="AW20" s="353"/>
    </row>
    <row r="21" spans="1:49">
      <c r="A21" s="427" t="s">
        <v>263</v>
      </c>
      <c r="B21" s="314" t="s">
        <v>104</v>
      </c>
      <c r="C21" s="336">
        <v>1462</v>
      </c>
      <c r="D21" s="325"/>
      <c r="E21" s="336">
        <v>1416</v>
      </c>
      <c r="F21" s="325"/>
      <c r="G21" s="325">
        <f>'Exhibit G State'!AD29</f>
        <v>1432.4</v>
      </c>
      <c r="H21" s="325"/>
      <c r="I21" s="325">
        <f t="shared" si="0"/>
        <v>-29.599999999999909</v>
      </c>
      <c r="J21" s="325"/>
      <c r="K21" s="325">
        <f t="shared" ref="K21:K25" si="1">G21-E21</f>
        <v>16.400000000000091</v>
      </c>
      <c r="L21" s="325"/>
      <c r="M21" s="547"/>
      <c r="N21" s="336">
        <v>0</v>
      </c>
      <c r="O21" s="325"/>
      <c r="P21" s="336">
        <v>0</v>
      </c>
      <c r="Q21" s="325"/>
      <c r="R21" s="325">
        <v>0</v>
      </c>
      <c r="S21" s="325"/>
      <c r="T21" s="325">
        <f t="shared" ref="T21:T25" si="2">R21-N21</f>
        <v>0</v>
      </c>
      <c r="V21" s="325">
        <f t="shared" ref="V21:V25" si="3">R21-P21</f>
        <v>0</v>
      </c>
      <c r="W21" s="325"/>
      <c r="X21" s="497"/>
      <c r="Y21" s="325"/>
      <c r="Z21" s="325"/>
      <c r="AA21" s="325"/>
      <c r="AB21" s="325"/>
      <c r="AC21" s="325"/>
      <c r="AD21" s="325"/>
      <c r="AR21" s="353"/>
      <c r="AS21" s="353"/>
      <c r="AT21" s="353"/>
      <c r="AU21" s="353"/>
      <c r="AV21" s="353"/>
      <c r="AW21" s="353"/>
    </row>
    <row r="22" spans="1:49">
      <c r="A22" s="427" t="s">
        <v>264</v>
      </c>
      <c r="B22" s="482" t="s">
        <v>104</v>
      </c>
      <c r="C22" s="336">
        <v>1455</v>
      </c>
      <c r="D22" s="348"/>
      <c r="E22" s="336">
        <v>1538</v>
      </c>
      <c r="F22" s="348"/>
      <c r="G22" s="325">
        <f>'Exhibit G State'!AD36</f>
        <v>1583.9</v>
      </c>
      <c r="H22" s="348"/>
      <c r="I22" s="325">
        <f t="shared" si="0"/>
        <v>128.90000000000009</v>
      </c>
      <c r="J22" s="325"/>
      <c r="K22" s="325">
        <f t="shared" si="1"/>
        <v>45.900000000000091</v>
      </c>
      <c r="L22" s="325"/>
      <c r="M22" s="547"/>
      <c r="N22" s="336">
        <v>0</v>
      </c>
      <c r="O22" s="348"/>
      <c r="P22" s="336">
        <v>0</v>
      </c>
      <c r="Q22" s="348"/>
      <c r="R22" s="325">
        <v>0</v>
      </c>
      <c r="S22" s="348"/>
      <c r="T22" s="325">
        <f t="shared" si="2"/>
        <v>0</v>
      </c>
      <c r="V22" s="325">
        <f t="shared" si="3"/>
        <v>0</v>
      </c>
      <c r="W22" s="348"/>
      <c r="X22" s="497"/>
      <c r="Y22" s="348"/>
      <c r="Z22" s="325"/>
      <c r="AA22" s="348"/>
      <c r="AB22" s="325"/>
      <c r="AC22" s="348"/>
      <c r="AD22" s="325"/>
      <c r="AF22" s="482"/>
      <c r="AH22" s="482"/>
      <c r="AK22" s="482"/>
      <c r="AN22" s="482"/>
      <c r="AO22" s="69"/>
      <c r="AP22" s="482"/>
      <c r="AR22" s="353"/>
      <c r="AS22" s="353"/>
      <c r="AT22" s="353"/>
      <c r="AU22" s="353"/>
      <c r="AV22" s="353"/>
      <c r="AW22" s="353"/>
    </row>
    <row r="23" spans="1:49" ht="15" customHeight="1">
      <c r="A23" s="427" t="s">
        <v>120</v>
      </c>
      <c r="B23" s="314" t="s">
        <v>104</v>
      </c>
      <c r="C23" s="336">
        <v>13449</v>
      </c>
      <c r="D23" s="1977"/>
      <c r="E23" s="336">
        <v>13969</v>
      </c>
      <c r="F23" s="1977"/>
      <c r="G23" s="325">
        <f>'Exhibit G State'!AD82</f>
        <v>14226.6</v>
      </c>
      <c r="H23" s="325"/>
      <c r="I23" s="325">
        <f t="shared" si="0"/>
        <v>777.60000000000036</v>
      </c>
      <c r="J23" s="325"/>
      <c r="K23" s="325">
        <f t="shared" si="1"/>
        <v>257.60000000000036</v>
      </c>
      <c r="L23" s="325"/>
      <c r="M23" s="547"/>
      <c r="N23" s="336">
        <v>328</v>
      </c>
      <c r="O23" s="1977"/>
      <c r="P23" s="336">
        <v>671</v>
      </c>
      <c r="Q23" s="1977"/>
      <c r="R23" s="350">
        <f>'Exhibit G Federal'!AD52</f>
        <v>756.7</v>
      </c>
      <c r="S23" s="325"/>
      <c r="T23" s="325">
        <f t="shared" si="2"/>
        <v>428.70000000000005</v>
      </c>
      <c r="V23" s="325">
        <f t="shared" si="3"/>
        <v>85.700000000000045</v>
      </c>
      <c r="W23" s="325"/>
      <c r="X23" s="497"/>
      <c r="Y23" s="325"/>
      <c r="Z23" s="325"/>
      <c r="AA23" s="325"/>
      <c r="AB23" s="325"/>
      <c r="AC23" s="325"/>
      <c r="AD23" s="325"/>
      <c r="AR23" s="353"/>
      <c r="AS23" s="353"/>
      <c r="AT23" s="353"/>
      <c r="AU23" s="353"/>
      <c r="AV23" s="353"/>
      <c r="AW23" s="353"/>
    </row>
    <row r="24" spans="1:49" ht="15" customHeight="1">
      <c r="A24" s="427" t="s">
        <v>121</v>
      </c>
      <c r="B24" s="314" t="s">
        <v>104</v>
      </c>
      <c r="C24" s="336">
        <v>1</v>
      </c>
      <c r="D24" s="325"/>
      <c r="E24" s="336">
        <v>0</v>
      </c>
      <c r="F24" s="325"/>
      <c r="G24" s="350">
        <f>'Exhibit G State'!AD84</f>
        <v>0.9</v>
      </c>
      <c r="H24" s="325"/>
      <c r="I24" s="325">
        <f t="shared" ref="I24:I25" si="4">G24-C24</f>
        <v>-9.9999999999999978E-2</v>
      </c>
      <c r="J24" s="325"/>
      <c r="K24" s="325">
        <f t="shared" si="1"/>
        <v>0.9</v>
      </c>
      <c r="L24" s="325"/>
      <c r="M24" s="547"/>
      <c r="N24" s="336">
        <v>59646</v>
      </c>
      <c r="O24" s="325"/>
      <c r="P24" s="336">
        <v>61576</v>
      </c>
      <c r="Q24" s="325"/>
      <c r="R24" s="350">
        <f>'Exhibit G Federal'!AD54</f>
        <v>62021.9</v>
      </c>
      <c r="S24" s="325"/>
      <c r="T24" s="325">
        <f t="shared" si="2"/>
        <v>2375.9000000000015</v>
      </c>
      <c r="V24" s="325">
        <f t="shared" si="3"/>
        <v>445.90000000000146</v>
      </c>
      <c r="W24" s="325"/>
      <c r="X24" s="497"/>
      <c r="Y24" s="325"/>
      <c r="Z24" s="325"/>
      <c r="AA24" s="325"/>
      <c r="AB24" s="325"/>
      <c r="AC24" s="325"/>
      <c r="AD24" s="336"/>
      <c r="AE24" s="484"/>
      <c r="AG24" s="484"/>
      <c r="AI24" s="484"/>
      <c r="AJ24" s="492"/>
      <c r="AR24" s="353"/>
      <c r="AS24" s="353"/>
      <c r="AT24" s="353"/>
      <c r="AU24" s="353"/>
      <c r="AV24" s="353"/>
      <c r="AW24" s="353"/>
    </row>
    <row r="25" spans="1:49">
      <c r="A25" s="427" t="s">
        <v>149</v>
      </c>
      <c r="B25" s="492" t="s">
        <v>104</v>
      </c>
      <c r="C25" s="336">
        <v>2631</v>
      </c>
      <c r="D25" s="325"/>
      <c r="E25" s="336">
        <v>2683</v>
      </c>
      <c r="F25" s="325"/>
      <c r="G25" s="350">
        <f>'Exhibit G State'!AD113</f>
        <v>2627.5</v>
      </c>
      <c r="H25" s="325"/>
      <c r="I25" s="325">
        <f t="shared" si="4"/>
        <v>-3.5</v>
      </c>
      <c r="J25" s="325"/>
      <c r="K25" s="325">
        <f t="shared" si="1"/>
        <v>-55.5</v>
      </c>
      <c r="L25" s="325"/>
      <c r="M25" s="548"/>
      <c r="N25" s="336">
        <v>0</v>
      </c>
      <c r="O25" s="325"/>
      <c r="P25" s="336">
        <v>0</v>
      </c>
      <c r="Q25" s="325"/>
      <c r="R25" s="350">
        <f>'Exhibit G Federal'!AD85</f>
        <v>0</v>
      </c>
      <c r="S25" s="325"/>
      <c r="T25" s="325">
        <f t="shared" si="2"/>
        <v>0</v>
      </c>
      <c r="U25" s="492"/>
      <c r="V25" s="325">
        <f t="shared" si="3"/>
        <v>0</v>
      </c>
      <c r="W25" s="325"/>
      <c r="X25" s="497"/>
      <c r="Y25" s="325"/>
      <c r="Z25" s="348"/>
      <c r="AA25" s="325"/>
      <c r="AB25" s="325"/>
      <c r="AC25" s="325"/>
      <c r="AD25" s="336"/>
      <c r="AE25" s="484"/>
      <c r="AG25" s="484"/>
      <c r="AI25" s="484"/>
      <c r="AJ25" s="492"/>
      <c r="AR25" s="353"/>
      <c r="AS25" s="353"/>
      <c r="AT25" s="353"/>
      <c r="AU25" s="353"/>
      <c r="AV25" s="353"/>
      <c r="AW25" s="353"/>
    </row>
    <row r="26" spans="1:49" ht="18" customHeight="1">
      <c r="A26" s="2006" t="s">
        <v>287</v>
      </c>
      <c r="B26" s="47" t="s">
        <v>104</v>
      </c>
      <c r="C26" s="785">
        <f>ROUND(SUM(C20:C25),1)</f>
        <v>18999</v>
      </c>
      <c r="D26" s="16"/>
      <c r="E26" s="785">
        <f>ROUND(SUM(E20:E25),1)</f>
        <v>19607</v>
      </c>
      <c r="F26" s="16"/>
      <c r="G26" s="785">
        <f>ROUND(SUM(G20:G25),1)</f>
        <v>19871.400000000001</v>
      </c>
      <c r="H26" s="16"/>
      <c r="I26" s="784">
        <f>ROUND(SUM(I20:I25),1)</f>
        <v>872.4</v>
      </c>
      <c r="J26" s="16"/>
      <c r="K26" s="784">
        <f>ROUND(SUM(K20:K25),1)</f>
        <v>264.39999999999998</v>
      </c>
      <c r="L26" s="16"/>
      <c r="M26" s="547"/>
      <c r="N26" s="785">
        <f>ROUND(SUM(N20:N25),1)</f>
        <v>59974</v>
      </c>
      <c r="O26" s="16"/>
      <c r="P26" s="785">
        <f>ROUND(SUM(P20:P25),1)</f>
        <v>62247</v>
      </c>
      <c r="Q26" s="16"/>
      <c r="R26" s="784">
        <f>ROUND(SUM(R20:R25),1)</f>
        <v>62778.6</v>
      </c>
      <c r="S26" s="16"/>
      <c r="T26" s="784">
        <f>ROUND(SUM(T20:T25),1)</f>
        <v>2804.6</v>
      </c>
      <c r="U26" s="47"/>
      <c r="V26" s="784">
        <f>ROUND(SUM(V20:V25),1)</f>
        <v>531.6</v>
      </c>
      <c r="W26" s="16"/>
      <c r="X26" s="16"/>
      <c r="Y26" s="16"/>
      <c r="Z26" s="16"/>
      <c r="AA26" s="16"/>
      <c r="AB26" s="16"/>
      <c r="AC26" s="16"/>
      <c r="AD26" s="16"/>
      <c r="AE26" s="47"/>
      <c r="AF26" s="47"/>
      <c r="AG26" s="47"/>
      <c r="AH26" s="47"/>
      <c r="AI26" s="47"/>
      <c r="AJ26" s="47"/>
      <c r="AK26" s="47"/>
      <c r="AL26" s="47"/>
      <c r="AM26" s="47"/>
      <c r="AN26" s="47"/>
      <c r="AO26" s="47"/>
      <c r="AP26" s="47"/>
      <c r="AQ26" s="47"/>
      <c r="AR26" s="353"/>
      <c r="AS26" s="353"/>
      <c r="AT26" s="353"/>
      <c r="AU26" s="353"/>
      <c r="AV26" s="353"/>
      <c r="AW26" s="353"/>
    </row>
    <row r="27" spans="1:49">
      <c r="C27" s="783"/>
      <c r="D27" s="325"/>
      <c r="E27" s="783"/>
      <c r="F27" s="325"/>
      <c r="G27" s="783"/>
      <c r="H27" s="325"/>
      <c r="I27" s="325"/>
      <c r="J27" s="325"/>
      <c r="K27" s="325"/>
      <c r="L27" s="325"/>
      <c r="M27" s="547"/>
      <c r="N27" s="783"/>
      <c r="O27" s="325"/>
      <c r="P27" s="783"/>
      <c r="Q27" s="325"/>
      <c r="R27" s="783"/>
      <c r="S27" s="325"/>
      <c r="T27" s="325"/>
      <c r="V27" s="325"/>
      <c r="W27" s="325"/>
      <c r="X27" s="325"/>
      <c r="Y27" s="325"/>
      <c r="Z27" s="325"/>
      <c r="AA27" s="325"/>
      <c r="AB27" s="325"/>
      <c r="AC27" s="325"/>
      <c r="AD27" s="325"/>
      <c r="AR27" s="353"/>
      <c r="AS27" s="353"/>
      <c r="AT27" s="353"/>
      <c r="AU27" s="353"/>
      <c r="AV27" s="353"/>
      <c r="AW27" s="353"/>
    </row>
    <row r="28" spans="1:49">
      <c r="A28" s="6" t="s">
        <v>123</v>
      </c>
      <c r="C28" s="325"/>
      <c r="D28" s="325"/>
      <c r="E28" s="325"/>
      <c r="F28" s="325"/>
      <c r="G28" s="325"/>
      <c r="H28" s="325"/>
      <c r="I28" s="325"/>
      <c r="J28" s="325"/>
      <c r="K28" s="325"/>
      <c r="L28" s="325"/>
      <c r="M28" s="547"/>
      <c r="N28" s="325"/>
      <c r="O28" s="325"/>
      <c r="P28" s="325"/>
      <c r="Q28" s="325"/>
      <c r="R28" s="325"/>
      <c r="S28" s="325"/>
      <c r="T28" s="325"/>
      <c r="V28" s="325"/>
      <c r="W28" s="325"/>
      <c r="X28" s="325"/>
      <c r="Y28" s="325"/>
      <c r="Z28" s="325"/>
      <c r="AA28" s="325"/>
      <c r="AB28" s="325"/>
      <c r="AC28" s="325"/>
      <c r="AD28" s="325"/>
      <c r="AR28" s="353"/>
      <c r="AS28" s="353"/>
      <c r="AT28" s="353"/>
      <c r="AU28" s="353"/>
      <c r="AV28" s="353"/>
      <c r="AW28" s="353"/>
    </row>
    <row r="29" spans="1:49">
      <c r="A29" s="427" t="s">
        <v>267</v>
      </c>
      <c r="B29" s="482" t="s">
        <v>104</v>
      </c>
      <c r="C29" s="336">
        <v>12679</v>
      </c>
      <c r="D29" s="325"/>
      <c r="E29" s="336">
        <v>12556</v>
      </c>
      <c r="F29" s="325"/>
      <c r="G29" s="348">
        <f>'Exhibit G State'!AD100</f>
        <v>12460.6</v>
      </c>
      <c r="H29" s="325"/>
      <c r="I29" s="325">
        <f t="shared" ref="I29:I34" si="5">G29-C29</f>
        <v>-218.39999999999964</v>
      </c>
      <c r="J29" s="325"/>
      <c r="K29" s="325">
        <f t="shared" ref="K29:K34" si="6">G29-E29</f>
        <v>-95.399999999999636</v>
      </c>
      <c r="L29" s="325"/>
      <c r="M29" s="547"/>
      <c r="N29" s="336">
        <v>56724</v>
      </c>
      <c r="O29" s="325"/>
      <c r="P29" s="336">
        <v>57454</v>
      </c>
      <c r="Q29" s="325"/>
      <c r="R29" s="348">
        <f>'Exhibit G Federal'!AD70</f>
        <v>58469.4</v>
      </c>
      <c r="S29" s="325"/>
      <c r="T29" s="325">
        <f t="shared" ref="T29:T34" si="7">R29-N29</f>
        <v>1745.4000000000015</v>
      </c>
      <c r="V29" s="325">
        <f t="shared" ref="V29:V34" si="8">R29-P29</f>
        <v>1015.4000000000015</v>
      </c>
      <c r="W29" s="325"/>
      <c r="X29" s="497"/>
      <c r="Y29" s="325"/>
      <c r="Z29" s="325"/>
      <c r="AA29" s="325"/>
      <c r="AB29" s="325"/>
      <c r="AC29" s="325"/>
      <c r="AD29" s="336"/>
      <c r="AE29" s="484"/>
      <c r="AG29" s="484"/>
      <c r="AI29" s="484"/>
      <c r="AJ29" s="492"/>
      <c r="AR29" s="353"/>
      <c r="AS29" s="353"/>
      <c r="AT29" s="353"/>
      <c r="AU29" s="353"/>
      <c r="AV29" s="353"/>
      <c r="AW29" s="353"/>
    </row>
    <row r="30" spans="1:49">
      <c r="A30" s="427" t="s">
        <v>268</v>
      </c>
      <c r="B30" s="482" t="s">
        <v>104</v>
      </c>
      <c r="C30" s="336">
        <v>6122</v>
      </c>
      <c r="D30" s="325"/>
      <c r="E30" s="336">
        <v>6086</v>
      </c>
      <c r="F30" s="325"/>
      <c r="G30" s="348">
        <f>'Exhibit G State'!AD102+'Exhibit G State'!AD103</f>
        <v>6075.2</v>
      </c>
      <c r="H30" s="325"/>
      <c r="I30" s="325">
        <f t="shared" si="5"/>
        <v>-46.800000000000182</v>
      </c>
      <c r="J30" s="325"/>
      <c r="K30" s="325">
        <f t="shared" si="6"/>
        <v>-10.800000000000182</v>
      </c>
      <c r="L30" s="325"/>
      <c r="M30" s="547"/>
      <c r="N30" s="336">
        <v>2372</v>
      </c>
      <c r="O30" s="325"/>
      <c r="P30" s="336">
        <v>2283</v>
      </c>
      <c r="Q30" s="325"/>
      <c r="R30" s="348">
        <f>'Exhibit G Federal'!AD72+'Exhibit G Federal'!AD73</f>
        <v>2379.1999999999998</v>
      </c>
      <c r="S30" s="325"/>
      <c r="T30" s="325">
        <f t="shared" si="7"/>
        <v>7.1999999999998181</v>
      </c>
      <c r="V30" s="325">
        <f t="shared" si="8"/>
        <v>96.199999999999818</v>
      </c>
      <c r="W30" s="325"/>
      <c r="X30" s="497"/>
      <c r="Y30" s="325"/>
      <c r="Z30" s="325"/>
      <c r="AA30" s="325"/>
      <c r="AB30" s="325"/>
      <c r="AC30" s="325"/>
      <c r="AD30" s="348"/>
      <c r="AE30" s="482"/>
      <c r="AG30" s="482"/>
      <c r="AI30" s="484"/>
      <c r="AL30" s="484"/>
      <c r="AM30" s="484"/>
      <c r="AO30" s="484"/>
      <c r="AQ30" s="484"/>
      <c r="AR30" s="353"/>
      <c r="AS30" s="353"/>
      <c r="AT30" s="353"/>
      <c r="AU30" s="353"/>
      <c r="AV30" s="353"/>
      <c r="AW30" s="353"/>
    </row>
    <row r="31" spans="1:49">
      <c r="A31" s="427" t="s">
        <v>232</v>
      </c>
      <c r="B31" s="482" t="s">
        <v>104</v>
      </c>
      <c r="C31" s="336">
        <v>739</v>
      </c>
      <c r="D31" s="325"/>
      <c r="E31" s="336">
        <v>725</v>
      </c>
      <c r="F31" s="325"/>
      <c r="G31" s="348">
        <f>'Exhibit G State'!AD104</f>
        <v>660.6</v>
      </c>
      <c r="H31" s="325"/>
      <c r="I31" s="325">
        <f t="shared" si="5"/>
        <v>-78.399999999999977</v>
      </c>
      <c r="J31" s="325"/>
      <c r="K31" s="325">
        <f t="shared" si="6"/>
        <v>-64.399999999999977</v>
      </c>
      <c r="L31" s="325"/>
      <c r="M31" s="547"/>
      <c r="N31" s="336">
        <v>250</v>
      </c>
      <c r="O31" s="325"/>
      <c r="P31" s="336">
        <v>262</v>
      </c>
      <c r="Q31" s="325"/>
      <c r="R31" s="348">
        <f>'Exhibit G Federal'!AD74</f>
        <v>285.5</v>
      </c>
      <c r="S31" s="325"/>
      <c r="T31" s="325">
        <f t="shared" si="7"/>
        <v>35.5</v>
      </c>
      <c r="V31" s="325">
        <f t="shared" si="8"/>
        <v>23.5</v>
      </c>
      <c r="W31" s="325"/>
      <c r="X31" s="497"/>
      <c r="Y31" s="325"/>
      <c r="Z31" s="325"/>
      <c r="AA31" s="325"/>
      <c r="AB31" s="325"/>
      <c r="AC31" s="325"/>
      <c r="AD31" s="336"/>
      <c r="AE31" s="484"/>
      <c r="AG31" s="484"/>
      <c r="AI31" s="484"/>
      <c r="AJ31" s="492"/>
      <c r="AL31" s="484"/>
      <c r="AM31" s="484"/>
      <c r="AO31" s="484"/>
      <c r="AQ31" s="484"/>
      <c r="AR31" s="353"/>
      <c r="AS31" s="353"/>
      <c r="AT31" s="353"/>
      <c r="AU31" s="353"/>
      <c r="AV31" s="353"/>
      <c r="AW31" s="353"/>
    </row>
    <row r="32" spans="1:49">
      <c r="A32" s="427" t="s">
        <v>269</v>
      </c>
      <c r="B32" s="482"/>
      <c r="C32" s="336">
        <v>0</v>
      </c>
      <c r="D32" s="325"/>
      <c r="E32" s="336">
        <v>0</v>
      </c>
      <c r="F32" s="325"/>
      <c r="G32" s="348">
        <v>0</v>
      </c>
      <c r="H32" s="325"/>
      <c r="I32" s="325">
        <f t="shared" si="5"/>
        <v>0</v>
      </c>
      <c r="J32" s="325"/>
      <c r="K32" s="325">
        <f t="shared" si="6"/>
        <v>0</v>
      </c>
      <c r="L32" s="325"/>
      <c r="M32" s="547"/>
      <c r="N32" s="336">
        <v>0</v>
      </c>
      <c r="O32" s="325"/>
      <c r="P32" s="336">
        <v>0</v>
      </c>
      <c r="Q32" s="325"/>
      <c r="R32" s="348">
        <v>0</v>
      </c>
      <c r="S32" s="325"/>
      <c r="T32" s="325">
        <f t="shared" si="7"/>
        <v>0</v>
      </c>
      <c r="V32" s="325">
        <f t="shared" si="8"/>
        <v>0</v>
      </c>
      <c r="W32" s="325"/>
      <c r="X32" s="497"/>
      <c r="Y32" s="325"/>
      <c r="Z32" s="325"/>
      <c r="AA32" s="325"/>
      <c r="AB32" s="325"/>
      <c r="AC32" s="325"/>
      <c r="AD32" s="336"/>
      <c r="AE32" s="484"/>
      <c r="AG32" s="484"/>
      <c r="AI32" s="484"/>
      <c r="AJ32" s="492"/>
      <c r="AL32" s="484"/>
      <c r="AM32" s="484"/>
      <c r="AO32" s="484"/>
      <c r="AQ32" s="484"/>
      <c r="AR32" s="353"/>
      <c r="AS32" s="353"/>
      <c r="AT32" s="353"/>
      <c r="AU32" s="353"/>
      <c r="AV32" s="353"/>
      <c r="AW32" s="353"/>
    </row>
    <row r="33" spans="1:49">
      <c r="A33" s="427" t="s">
        <v>142</v>
      </c>
      <c r="B33" s="492" t="s">
        <v>104</v>
      </c>
      <c r="C33" s="336">
        <v>0</v>
      </c>
      <c r="D33" s="325"/>
      <c r="E33" s="336">
        <v>0</v>
      </c>
      <c r="F33" s="325"/>
      <c r="G33" s="336">
        <v>0</v>
      </c>
      <c r="H33" s="325"/>
      <c r="I33" s="325">
        <f t="shared" si="5"/>
        <v>0</v>
      </c>
      <c r="J33" s="325"/>
      <c r="K33" s="325">
        <f t="shared" si="6"/>
        <v>0</v>
      </c>
      <c r="L33" s="325"/>
      <c r="M33" s="548"/>
      <c r="N33" s="336">
        <v>0</v>
      </c>
      <c r="O33" s="325"/>
      <c r="P33" s="336">
        <v>0</v>
      </c>
      <c r="Q33" s="325"/>
      <c r="R33" s="348">
        <v>0</v>
      </c>
      <c r="S33" s="325"/>
      <c r="T33" s="325">
        <f t="shared" si="7"/>
        <v>0</v>
      </c>
      <c r="U33" s="492"/>
      <c r="V33" s="325">
        <f t="shared" si="8"/>
        <v>0</v>
      </c>
      <c r="W33" s="325"/>
      <c r="X33" s="497"/>
      <c r="Y33" s="325"/>
      <c r="Z33" s="325"/>
      <c r="AA33" s="325"/>
      <c r="AB33" s="325"/>
      <c r="AC33" s="325"/>
      <c r="AD33" s="336"/>
      <c r="AE33" s="484"/>
      <c r="AG33" s="484"/>
      <c r="AI33" s="484"/>
      <c r="AJ33" s="492"/>
      <c r="AR33" s="353"/>
      <c r="AS33" s="353"/>
      <c r="AT33" s="353"/>
      <c r="AU33" s="353"/>
      <c r="AV33" s="353"/>
      <c r="AW33" s="353"/>
    </row>
    <row r="34" spans="1:49">
      <c r="A34" s="427" t="s">
        <v>272</v>
      </c>
      <c r="B34" s="492" t="s">
        <v>104</v>
      </c>
      <c r="C34" s="336">
        <v>107</v>
      </c>
      <c r="D34" s="325"/>
      <c r="E34" s="336">
        <v>109</v>
      </c>
      <c r="F34" s="325"/>
      <c r="G34" s="350">
        <f>-'Exhibit G State'!AD114</f>
        <v>104.3</v>
      </c>
      <c r="H34" s="325"/>
      <c r="I34" s="325">
        <f t="shared" si="5"/>
        <v>-2.7000000000000028</v>
      </c>
      <c r="J34" s="325"/>
      <c r="K34" s="325">
        <f t="shared" si="6"/>
        <v>-4.7000000000000028</v>
      </c>
      <c r="L34" s="325"/>
      <c r="M34" s="548"/>
      <c r="N34" s="336">
        <v>1334</v>
      </c>
      <c r="O34" s="325"/>
      <c r="P34" s="336">
        <v>1252</v>
      </c>
      <c r="Q34" s="325"/>
      <c r="R34" s="350">
        <f>-'Exhibit G Federal'!AD86</f>
        <v>1589.5</v>
      </c>
      <c r="S34" s="325"/>
      <c r="T34" s="325">
        <f t="shared" si="7"/>
        <v>255.5</v>
      </c>
      <c r="U34" s="492"/>
      <c r="V34" s="325">
        <f t="shared" si="8"/>
        <v>337.5</v>
      </c>
      <c r="W34" s="325"/>
      <c r="X34" s="497"/>
      <c r="Y34" s="325"/>
      <c r="Z34" s="348"/>
      <c r="AA34" s="325"/>
      <c r="AB34" s="325"/>
      <c r="AC34" s="325"/>
      <c r="AD34" s="336"/>
      <c r="AE34" s="484"/>
      <c r="AG34" s="484"/>
      <c r="AI34" s="484"/>
      <c r="AJ34" s="492"/>
      <c r="AR34" s="353"/>
      <c r="AS34" s="353"/>
      <c r="AT34" s="353"/>
      <c r="AU34" s="353"/>
      <c r="AV34" s="353"/>
      <c r="AW34" s="353"/>
    </row>
    <row r="35" spans="1:49" ht="18" customHeight="1">
      <c r="A35" s="2006" t="s">
        <v>296</v>
      </c>
      <c r="B35" s="47" t="s">
        <v>104</v>
      </c>
      <c r="C35" s="784">
        <f>ROUND(SUM(C29:C34),1)</f>
        <v>19647</v>
      </c>
      <c r="D35" s="16"/>
      <c r="E35" s="784">
        <f>ROUND(SUM(E29:E34),1)</f>
        <v>19476</v>
      </c>
      <c r="F35" s="16"/>
      <c r="G35" s="784">
        <f>ROUND(SUM(G29:G34),1)</f>
        <v>19300.7</v>
      </c>
      <c r="H35" s="16"/>
      <c r="I35" s="784">
        <f>ROUND(SUM(I29:I34),1)</f>
        <v>-346.3</v>
      </c>
      <c r="J35" s="16"/>
      <c r="K35" s="784">
        <f>ROUND(SUM(K29:K34),1)</f>
        <v>-175.3</v>
      </c>
      <c r="L35" s="16"/>
      <c r="M35" s="1489"/>
      <c r="N35" s="784">
        <f>ROUND(SUM(N29:N34),1)</f>
        <v>60680</v>
      </c>
      <c r="O35" s="16"/>
      <c r="P35" s="784">
        <f>ROUND(SUM(P29:P34),1)</f>
        <v>61251</v>
      </c>
      <c r="Q35" s="16"/>
      <c r="R35" s="784">
        <f>ROUND(SUM(R29:R34),1)</f>
        <v>62723.6</v>
      </c>
      <c r="S35" s="16"/>
      <c r="T35" s="784">
        <f>ROUND(SUM(T29:T34),1)</f>
        <v>2043.6</v>
      </c>
      <c r="U35" s="47"/>
      <c r="V35" s="784">
        <f>ROUND(SUM(V29:V34),1)</f>
        <v>1472.6</v>
      </c>
      <c r="W35" s="16"/>
      <c r="X35" s="16"/>
      <c r="Y35" s="16"/>
      <c r="Z35" s="16"/>
      <c r="AA35" s="16"/>
      <c r="AB35" s="16"/>
      <c r="AC35" s="16"/>
      <c r="AD35" s="16"/>
      <c r="AE35" s="47"/>
      <c r="AF35" s="47"/>
      <c r="AG35" s="47"/>
      <c r="AH35" s="47"/>
      <c r="AI35" s="47"/>
      <c r="AJ35" s="47"/>
      <c r="AK35" s="47"/>
      <c r="AL35" s="47"/>
      <c r="AM35" s="47"/>
      <c r="AN35" s="47"/>
      <c r="AO35" s="47"/>
      <c r="AP35" s="47"/>
      <c r="AQ35" s="47"/>
      <c r="AR35" s="353"/>
      <c r="AS35" s="353"/>
      <c r="AT35" s="353"/>
      <c r="AU35" s="353"/>
      <c r="AV35" s="353"/>
      <c r="AW35" s="353"/>
    </row>
    <row r="36" spans="1:49">
      <c r="C36" s="783"/>
      <c r="D36" s="325"/>
      <c r="E36" s="783"/>
      <c r="F36" s="325"/>
      <c r="G36" s="783"/>
      <c r="H36" s="325"/>
      <c r="I36" s="325"/>
      <c r="J36" s="325"/>
      <c r="K36" s="325"/>
      <c r="L36" s="325"/>
      <c r="M36" s="547"/>
      <c r="N36" s="783"/>
      <c r="O36" s="325"/>
      <c r="P36" s="783"/>
      <c r="Q36" s="325"/>
      <c r="R36" s="783"/>
      <c r="S36" s="325"/>
      <c r="T36" s="325"/>
      <c r="V36" s="325"/>
      <c r="W36" s="325"/>
      <c r="X36" s="325"/>
      <c r="Y36" s="325"/>
      <c r="Z36" s="325"/>
      <c r="AA36" s="325"/>
      <c r="AB36" s="325"/>
      <c r="AC36" s="325"/>
      <c r="AD36" s="325"/>
      <c r="AR36" s="353"/>
      <c r="AS36" s="353"/>
      <c r="AT36" s="353"/>
      <c r="AU36" s="353"/>
      <c r="AV36" s="353"/>
      <c r="AW36" s="353"/>
    </row>
    <row r="37" spans="1:49">
      <c r="A37" s="6" t="s">
        <v>297</v>
      </c>
      <c r="C37" s="325"/>
      <c r="D37" s="325"/>
      <c r="E37" s="325"/>
      <c r="F37" s="325"/>
      <c r="G37" s="325"/>
      <c r="H37" s="325"/>
      <c r="I37" s="325"/>
      <c r="J37" s="325"/>
      <c r="K37" s="325"/>
      <c r="L37" s="325"/>
      <c r="M37" s="547"/>
      <c r="N37" s="325"/>
      <c r="O37" s="325"/>
      <c r="P37" s="325"/>
      <c r="Q37" s="325"/>
      <c r="R37" s="325"/>
      <c r="S37" s="325"/>
      <c r="T37" s="325"/>
      <c r="V37" s="325"/>
      <c r="W37" s="325"/>
      <c r="X37" s="325"/>
      <c r="Y37" s="325"/>
      <c r="Z37" s="325"/>
      <c r="AA37" s="325"/>
      <c r="AB37" s="325"/>
      <c r="AC37" s="325"/>
      <c r="AD37" s="325"/>
      <c r="AR37" s="353"/>
      <c r="AS37" s="353"/>
      <c r="AT37" s="353"/>
      <c r="AU37" s="353"/>
      <c r="AV37" s="353"/>
      <c r="AW37" s="353"/>
    </row>
    <row r="38" spans="1:49">
      <c r="A38" s="6" t="s">
        <v>298</v>
      </c>
      <c r="C38" s="325"/>
      <c r="D38" s="325"/>
      <c r="E38" s="325"/>
      <c r="F38" s="325"/>
      <c r="G38" s="325"/>
      <c r="H38" s="325"/>
      <c r="I38" s="325"/>
      <c r="J38" s="325"/>
      <c r="K38" s="325"/>
      <c r="L38" s="325"/>
      <c r="M38" s="547"/>
      <c r="N38" s="325"/>
      <c r="O38" s="325"/>
      <c r="P38" s="325"/>
      <c r="Q38" s="325"/>
      <c r="R38" s="325"/>
      <c r="S38" s="325"/>
      <c r="T38" s="325"/>
      <c r="V38" s="325"/>
      <c r="W38" s="325"/>
      <c r="X38" s="325"/>
      <c r="Y38" s="325"/>
      <c r="Z38" s="325"/>
      <c r="AA38" s="325"/>
      <c r="AB38" s="325"/>
      <c r="AC38" s="325"/>
      <c r="AD38" s="325"/>
      <c r="AR38" s="353"/>
      <c r="AS38" s="353"/>
      <c r="AT38" s="353"/>
      <c r="AU38" s="353"/>
      <c r="AV38" s="353"/>
      <c r="AW38" s="353"/>
    </row>
    <row r="39" spans="1:49">
      <c r="A39" s="2006" t="s">
        <v>276</v>
      </c>
      <c r="B39" s="2005" t="s">
        <v>104</v>
      </c>
      <c r="C39" s="16">
        <f>ROUND(SUM(C26)-SUM(C35),1)</f>
        <v>-648</v>
      </c>
      <c r="D39" s="23"/>
      <c r="E39" s="16">
        <f>ROUND(SUM(E26)-SUM(E35),1)</f>
        <v>131</v>
      </c>
      <c r="F39" s="23"/>
      <c r="G39" s="16">
        <f>ROUND(SUM(G26)-SUM(G35),1)</f>
        <v>570.70000000000005</v>
      </c>
      <c r="H39" s="23"/>
      <c r="I39" s="16">
        <f>ROUND(SUM(I26)-SUM(I35),1)</f>
        <v>1218.7</v>
      </c>
      <c r="J39" s="16"/>
      <c r="K39" s="16">
        <f>ROUND(SUM(K26)-SUM(K35),1)</f>
        <v>439.7</v>
      </c>
      <c r="L39" s="16"/>
      <c r="M39" s="549"/>
      <c r="N39" s="16">
        <f>ROUND(SUM(N26)-SUM(N35),1)</f>
        <v>-706</v>
      </c>
      <c r="O39" s="23"/>
      <c r="P39" s="16">
        <f>ROUND(SUM(P26)-SUM(P35),1)</f>
        <v>996</v>
      </c>
      <c r="Q39" s="23"/>
      <c r="R39" s="16">
        <f>ROUND(SUM(R26)-SUM(R35),1)</f>
        <v>55</v>
      </c>
      <c r="S39" s="23"/>
      <c r="T39" s="16">
        <f>ROUND(SUM(T26)-SUM(T35),1)</f>
        <v>761</v>
      </c>
      <c r="U39" s="47"/>
      <c r="V39" s="16">
        <f>ROUND(SUM(V26)-SUM(V35),1)</f>
        <v>-941</v>
      </c>
      <c r="W39" s="23"/>
      <c r="X39" s="16"/>
      <c r="Y39" s="23"/>
      <c r="Z39" s="16"/>
      <c r="AA39" s="23"/>
      <c r="AB39" s="16"/>
      <c r="AC39" s="23"/>
      <c r="AD39" s="16"/>
      <c r="AE39" s="47"/>
      <c r="AF39" s="53"/>
      <c r="AG39" s="47"/>
      <c r="AH39" s="53"/>
      <c r="AI39" s="47"/>
      <c r="AJ39" s="47"/>
      <c r="AK39" s="53"/>
      <c r="AL39" s="47"/>
      <c r="AM39" s="47"/>
      <c r="AN39" s="53"/>
      <c r="AO39" s="47"/>
      <c r="AP39" s="53"/>
      <c r="AQ39" s="47"/>
      <c r="AR39" s="353"/>
      <c r="AS39" s="353"/>
      <c r="AT39" s="353"/>
      <c r="AU39" s="353"/>
      <c r="AV39" s="353"/>
      <c r="AW39" s="353"/>
    </row>
    <row r="40" spans="1:49" ht="15" customHeight="1">
      <c r="C40" s="325"/>
      <c r="D40" s="325"/>
      <c r="E40" s="325"/>
      <c r="F40" s="325"/>
      <c r="G40" s="325"/>
      <c r="H40" s="325"/>
      <c r="I40" s="16"/>
      <c r="J40" s="16"/>
      <c r="K40" s="325"/>
      <c r="L40" s="16"/>
      <c r="M40" s="549"/>
      <c r="N40" s="325"/>
      <c r="O40" s="325"/>
      <c r="P40" s="325"/>
      <c r="Q40" s="325"/>
      <c r="R40" s="325"/>
      <c r="S40" s="325"/>
      <c r="T40" s="16"/>
      <c r="U40" s="47"/>
      <c r="V40" s="325"/>
      <c r="W40" s="325"/>
      <c r="X40" s="325"/>
      <c r="Y40" s="325"/>
      <c r="Z40" s="325"/>
      <c r="AA40" s="325"/>
      <c r="AB40" s="325"/>
      <c r="AC40" s="325"/>
      <c r="AD40" s="325"/>
      <c r="AR40" s="353"/>
      <c r="AS40" s="353"/>
      <c r="AT40" s="353"/>
      <c r="AU40" s="353"/>
      <c r="AV40" s="353"/>
      <c r="AW40" s="353"/>
    </row>
    <row r="41" spans="1:49">
      <c r="A41" s="2006" t="str">
        <f>+'Exh D-Governmental  '!A49</f>
        <v>Fund Balances (Deficits) at April 1</v>
      </c>
      <c r="B41" s="314" t="s">
        <v>104</v>
      </c>
      <c r="C41" s="16">
        <v>9113</v>
      </c>
      <c r="D41" s="325"/>
      <c r="E41" s="16">
        <f>C41</f>
        <v>9113</v>
      </c>
      <c r="F41" s="325"/>
      <c r="G41" s="16">
        <v>9113.7885491500019</v>
      </c>
      <c r="H41" s="325"/>
      <c r="I41" s="16">
        <f t="shared" ref="I41" si="9">G41-C41</f>
        <v>0.78854915000192705</v>
      </c>
      <c r="J41" s="21"/>
      <c r="K41" s="16">
        <f>G41-E41</f>
        <v>0.78854915000192705</v>
      </c>
      <c r="L41" s="21"/>
      <c r="M41" s="549"/>
      <c r="N41" s="16">
        <v>14826</v>
      </c>
      <c r="O41" s="325"/>
      <c r="P41" s="16">
        <f>N41</f>
        <v>14826</v>
      </c>
      <c r="Q41" s="325"/>
      <c r="R41" s="16">
        <v>14826.40270882</v>
      </c>
      <c r="S41" s="325"/>
      <c r="T41" s="16">
        <f t="shared" ref="T41" si="10">R41-N41</f>
        <v>0.40270882000004349</v>
      </c>
      <c r="U41" s="47"/>
      <c r="V41" s="16">
        <f>R41-P41</f>
        <v>0.40270882000004349</v>
      </c>
      <c r="W41" s="325"/>
      <c r="X41" s="16"/>
      <c r="Y41" s="325"/>
      <c r="Z41" s="16"/>
      <c r="AA41" s="325"/>
      <c r="AB41" s="21"/>
      <c r="AC41" s="325"/>
      <c r="AD41" s="325"/>
      <c r="AR41" s="353"/>
      <c r="AS41" s="353"/>
      <c r="AT41" s="353"/>
      <c r="AU41" s="353"/>
      <c r="AV41" s="353"/>
      <c r="AW41" s="353"/>
    </row>
    <row r="42" spans="1:49" ht="18" customHeight="1" thickBot="1">
      <c r="A42" s="2006" t="str">
        <f>+'Exh D-Governmental  '!A50</f>
        <v xml:space="preserve">Fund Balances (Deficits) at November 30, 2023 </v>
      </c>
      <c r="B42" s="54" t="s">
        <v>104</v>
      </c>
      <c r="C42" s="843">
        <f>ROUND(SUM(C39:C41),1)</f>
        <v>8465</v>
      </c>
      <c r="D42" s="55"/>
      <c r="E42" s="843">
        <f>ROUND(SUM(E39:E41),1)</f>
        <v>9244</v>
      </c>
      <c r="F42" s="55"/>
      <c r="G42" s="843">
        <f>ROUND(SUM(G39:G41),1)</f>
        <v>9684.5</v>
      </c>
      <c r="H42" s="55"/>
      <c r="I42" s="843">
        <f>ROUND(SUM(I39:I41),1)</f>
        <v>1219.5</v>
      </c>
      <c r="J42" s="26"/>
      <c r="K42" s="843">
        <f>ROUND(SUM(K39:K41),1)</f>
        <v>440.5</v>
      </c>
      <c r="L42" s="26"/>
      <c r="M42" s="550"/>
      <c r="N42" s="843">
        <f>ROUND(SUM(N39:N41),1)</f>
        <v>14120</v>
      </c>
      <c r="O42" s="55"/>
      <c r="P42" s="843">
        <f>ROUND(SUM(P39:P41),1)</f>
        <v>15822</v>
      </c>
      <c r="Q42" s="55"/>
      <c r="R42" s="843">
        <f>ROUND(SUM(R39:R41),1)</f>
        <v>14881.4</v>
      </c>
      <c r="S42" s="55"/>
      <c r="T42" s="843">
        <f>ROUND(SUM(T39:T41),1)</f>
        <v>761.4</v>
      </c>
      <c r="U42" s="47"/>
      <c r="V42" s="843">
        <f>ROUND(SUM(V39:V41),1)</f>
        <v>-940.6</v>
      </c>
      <c r="W42" s="55"/>
      <c r="X42" s="26"/>
      <c r="Y42" s="55"/>
      <c r="Z42" s="26"/>
      <c r="AA42" s="55"/>
      <c r="AB42" s="26"/>
      <c r="AR42" s="353"/>
      <c r="AS42" s="353"/>
      <c r="AT42" s="353"/>
      <c r="AU42" s="353"/>
      <c r="AV42" s="353"/>
      <c r="AW42" s="353"/>
    </row>
    <row r="43" spans="1:49" ht="15" customHeight="1" thickTop="1">
      <c r="A43" s="50"/>
      <c r="V43" s="314"/>
      <c r="W43" s="335"/>
      <c r="X43" s="352"/>
      <c r="Y43" s="335"/>
      <c r="Z43" s="335"/>
      <c r="AA43" s="335"/>
      <c r="AB43" s="335"/>
      <c r="AR43" s="353"/>
      <c r="AS43" s="353"/>
      <c r="AT43" s="353"/>
      <c r="AU43" s="353"/>
      <c r="AV43" s="353"/>
      <c r="AW43" s="353"/>
    </row>
    <row r="44" spans="1:49">
      <c r="A44" s="489" t="str">
        <f>'Exh D-Governmental  '!A52</f>
        <v xml:space="preserve">(*)    Source: 2023-24 Enacted Financial Plan dated June 9, 2023. </v>
      </c>
      <c r="AR44" s="353"/>
      <c r="AS44" s="353"/>
      <c r="AT44" s="353"/>
      <c r="AU44" s="353"/>
      <c r="AV44" s="353"/>
      <c r="AW44" s="353"/>
    </row>
    <row r="45" spans="1:49">
      <c r="A45" s="489" t="str">
        <f>'Exh D-Governmental  '!A53</f>
        <v>(**)   Source: 2023-24 Mid Year Update dated October 30, 2023.</v>
      </c>
      <c r="B45" s="353"/>
      <c r="C45" s="335"/>
      <c r="D45" s="353"/>
      <c r="E45" s="353"/>
      <c r="F45" s="353"/>
      <c r="G45" s="353"/>
      <c r="H45" s="353"/>
      <c r="I45" s="353"/>
      <c r="J45" s="353"/>
      <c r="K45" s="353"/>
      <c r="L45" s="353"/>
      <c r="M45" s="353"/>
      <c r="N45" s="353"/>
      <c r="O45" s="353"/>
      <c r="P45" s="353"/>
      <c r="Q45" s="353"/>
      <c r="R45" s="335"/>
      <c r="S45" s="353"/>
      <c r="T45" s="353"/>
      <c r="U45" s="353"/>
      <c r="V45" s="353"/>
      <c r="W45" s="353"/>
      <c r="X45" s="353"/>
      <c r="Y45" s="353"/>
      <c r="Z45" s="353"/>
      <c r="AA45" s="353"/>
      <c r="AB45" s="353"/>
      <c r="AC45" s="353"/>
      <c r="AD45" s="353"/>
      <c r="AE45" s="353"/>
      <c r="AF45" s="353"/>
      <c r="AG45" s="353"/>
      <c r="AH45" s="353"/>
      <c r="AI45" s="353"/>
      <c r="AJ45" s="353"/>
      <c r="AK45" s="353"/>
      <c r="AL45" s="353"/>
      <c r="AM45" s="353"/>
      <c r="AN45" s="353"/>
      <c r="AO45" s="353"/>
      <c r="AP45" s="353"/>
      <c r="AQ45" s="353"/>
      <c r="AR45" s="353"/>
      <c r="AS45" s="353"/>
      <c r="AT45" s="353"/>
      <c r="AU45" s="353"/>
      <c r="AV45" s="353"/>
      <c r="AW45" s="353"/>
    </row>
    <row r="46" spans="1:49">
      <c r="A46" s="489"/>
      <c r="B46" s="353"/>
      <c r="C46" s="335"/>
      <c r="D46" s="353"/>
      <c r="E46" s="353"/>
      <c r="F46" s="353"/>
      <c r="G46" s="353"/>
      <c r="H46" s="353"/>
      <c r="I46" s="353"/>
      <c r="J46" s="353"/>
      <c r="K46" s="353"/>
      <c r="L46" s="353"/>
      <c r="M46" s="353"/>
      <c r="N46" s="353"/>
      <c r="O46" s="353"/>
      <c r="P46" s="353"/>
      <c r="Q46" s="353"/>
      <c r="R46" s="335"/>
      <c r="S46" s="353"/>
      <c r="T46" s="353"/>
      <c r="U46" s="353"/>
      <c r="V46" s="353"/>
      <c r="W46" s="353"/>
      <c r="X46" s="353"/>
      <c r="Y46" s="353"/>
      <c r="Z46" s="353"/>
      <c r="AA46" s="353"/>
      <c r="AB46" s="353"/>
      <c r="AC46" s="353"/>
      <c r="AD46" s="353"/>
      <c r="AE46" s="353"/>
      <c r="AF46" s="353"/>
      <c r="AG46" s="353"/>
      <c r="AH46" s="353"/>
      <c r="AI46" s="353"/>
      <c r="AJ46" s="353"/>
      <c r="AK46" s="353"/>
      <c r="AL46" s="353"/>
      <c r="AM46" s="353"/>
      <c r="AN46" s="353"/>
      <c r="AO46" s="353"/>
      <c r="AP46" s="353"/>
      <c r="AQ46" s="353"/>
      <c r="AR46" s="353"/>
      <c r="AS46" s="353"/>
      <c r="AT46" s="353"/>
      <c r="AU46" s="353"/>
      <c r="AV46" s="353"/>
      <c r="AW46" s="353"/>
    </row>
    <row r="47" spans="1:49">
      <c r="A47" s="474"/>
    </row>
    <row r="48" spans="1:49">
      <c r="A48" s="70"/>
      <c r="B48" s="353"/>
      <c r="C48" s="353"/>
      <c r="D48" s="353"/>
      <c r="E48" s="353"/>
      <c r="F48" s="353"/>
      <c r="G48" s="353"/>
      <c r="H48" s="353"/>
      <c r="I48" s="353"/>
      <c r="J48" s="353"/>
      <c r="K48" s="353"/>
      <c r="L48" s="353"/>
      <c r="M48" s="353"/>
      <c r="N48" s="353"/>
      <c r="O48" s="353"/>
      <c r="P48" s="353"/>
      <c r="Q48" s="353"/>
      <c r="R48" s="353"/>
      <c r="S48" s="353"/>
      <c r="T48" s="353"/>
      <c r="U48" s="353"/>
      <c r="V48" s="353"/>
      <c r="W48" s="353"/>
      <c r="X48" s="353"/>
      <c r="Y48" s="353"/>
      <c r="Z48" s="353"/>
      <c r="AA48" s="353"/>
      <c r="AB48" s="353"/>
      <c r="AC48" s="353"/>
      <c r="AD48" s="353"/>
      <c r="AE48" s="353"/>
      <c r="AF48" s="353"/>
      <c r="AG48" s="353"/>
      <c r="AH48" s="353"/>
      <c r="AI48" s="353"/>
      <c r="AJ48" s="353"/>
      <c r="AK48" s="353"/>
      <c r="AL48" s="353"/>
      <c r="AM48" s="353"/>
      <c r="AN48" s="353"/>
      <c r="AO48" s="353"/>
      <c r="AP48" s="353"/>
      <c r="AQ48" s="353"/>
      <c r="AR48" s="353"/>
      <c r="AS48" s="353"/>
      <c r="AT48" s="353"/>
      <c r="AU48" s="353"/>
      <c r="AV48" s="353"/>
      <c r="AW48" s="353"/>
    </row>
    <row r="49" spans="1:49">
      <c r="A49" s="70"/>
      <c r="B49" s="353"/>
      <c r="C49" s="335"/>
      <c r="D49" s="353"/>
      <c r="E49" s="335"/>
      <c r="F49" s="353"/>
      <c r="G49" s="353"/>
      <c r="H49" s="353"/>
      <c r="I49" s="353"/>
      <c r="J49" s="353"/>
      <c r="K49" s="353"/>
      <c r="L49" s="353"/>
      <c r="M49" s="353"/>
      <c r="N49" s="353"/>
      <c r="O49" s="353"/>
      <c r="P49" s="353"/>
      <c r="Q49" s="353"/>
      <c r="R49" s="353"/>
      <c r="S49" s="353"/>
      <c r="T49" s="353"/>
      <c r="U49" s="353"/>
      <c r="V49" s="353"/>
      <c r="W49" s="353"/>
      <c r="X49" s="353"/>
      <c r="Y49" s="353"/>
      <c r="Z49" s="353"/>
      <c r="AA49" s="353"/>
      <c r="AB49" s="353"/>
      <c r="AC49" s="353"/>
      <c r="AD49" s="353"/>
      <c r="AE49" s="353"/>
      <c r="AF49" s="353"/>
      <c r="AG49" s="353"/>
      <c r="AH49" s="353"/>
      <c r="AI49" s="353"/>
      <c r="AJ49" s="353"/>
      <c r="AK49" s="353"/>
      <c r="AL49" s="353"/>
      <c r="AM49" s="353"/>
      <c r="AN49" s="353"/>
      <c r="AO49" s="353"/>
      <c r="AP49" s="353"/>
      <c r="AQ49" s="353"/>
      <c r="AR49" s="353"/>
      <c r="AS49" s="353"/>
      <c r="AT49" s="353"/>
      <c r="AU49" s="353"/>
      <c r="AV49" s="353"/>
      <c r="AW49" s="353"/>
    </row>
    <row r="50" spans="1:49">
      <c r="C50" s="335"/>
      <c r="E50" s="335"/>
    </row>
    <row r="51" spans="1:49">
      <c r="C51" s="335"/>
      <c r="E51" s="335"/>
    </row>
    <row r="52" spans="1:49">
      <c r="C52" s="335"/>
      <c r="E52" s="335"/>
    </row>
    <row r="53" spans="1:49">
      <c r="C53" s="335"/>
      <c r="E53" s="335"/>
    </row>
    <row r="54" spans="1:49">
      <c r="C54" s="335"/>
      <c r="E54" s="335"/>
    </row>
    <row r="55" spans="1:49">
      <c r="C55" s="335"/>
      <c r="E55" s="335"/>
    </row>
    <row r="56" spans="1:49">
      <c r="C56" s="335"/>
      <c r="E56" s="335"/>
    </row>
    <row r="57" spans="1:49">
      <c r="C57" s="335"/>
      <c r="E57" s="335"/>
    </row>
    <row r="58" spans="1:49">
      <c r="C58" s="335"/>
      <c r="E58" s="335"/>
    </row>
    <row r="59" spans="1:49">
      <c r="C59" s="335"/>
      <c r="E59" s="335"/>
    </row>
    <row r="60" spans="1:49">
      <c r="C60" s="335"/>
      <c r="E60" s="335"/>
    </row>
    <row r="61" spans="1:49">
      <c r="C61" s="335"/>
      <c r="E61" s="335"/>
    </row>
    <row r="62" spans="1:49">
      <c r="C62" s="335"/>
      <c r="E62" s="335"/>
    </row>
    <row r="63" spans="1:49">
      <c r="C63" s="335"/>
      <c r="E63" s="335"/>
    </row>
    <row r="64" spans="1:49">
      <c r="C64" s="335"/>
      <c r="E64" s="335"/>
    </row>
    <row r="65" spans="3:5">
      <c r="C65" s="335"/>
      <c r="E65" s="335"/>
    </row>
    <row r="66" spans="3:5">
      <c r="C66" s="335"/>
      <c r="E66" s="335"/>
    </row>
    <row r="67" spans="3:5">
      <c r="C67" s="335"/>
      <c r="E67" s="335"/>
    </row>
    <row r="68" spans="3:5">
      <c r="C68" s="335"/>
      <c r="E68" s="335"/>
    </row>
    <row r="69" spans="3:5">
      <c r="C69" s="335"/>
      <c r="E69" s="335"/>
    </row>
    <row r="70" spans="3:5">
      <c r="C70" s="335"/>
      <c r="E70" s="335"/>
    </row>
  </sheetData>
  <mergeCells count="3">
    <mergeCell ref="A5:E5"/>
    <mergeCell ref="C11:I11"/>
    <mergeCell ref="N11:T11"/>
  </mergeCells>
  <pageMargins left="0.2" right="0.2" top="0.75" bottom="0.25" header="0.3" footer="0.3"/>
  <pageSetup scale="50" firstPageNumber="11" orientation="landscape" useFirstPageNumber="1" r:id="rId1"/>
  <headerFooter scaleWithDoc="0" alignWithMargins="0">
    <oddFooter>&amp;C&amp;8&amp;P</oddFooter>
  </headerFooter>
  <customProperties>
    <customPr name="SheetOptions" r:id="rId2"/>
  </customProperties>
  <ignoredErrors>
    <ignoredError sqref="AH6:XFD6 B6 M6 P6:U6 E6:I6" unlockedFormula="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AD48"/>
  <sheetViews>
    <sheetView showGridLines="0" zoomScale="90" workbookViewId="0"/>
  </sheetViews>
  <sheetFormatPr defaultColWidth="8.84375" defaultRowHeight="15.5"/>
  <cols>
    <col min="1" max="1" width="47.07421875" style="353" customWidth="1"/>
    <col min="2" max="2" width="2" style="314" customWidth="1"/>
    <col min="3" max="3" width="15.07421875" style="179" customWidth="1"/>
    <col min="4" max="4" width="1.84375" style="314" customWidth="1"/>
    <col min="5" max="5" width="15.07421875" style="179" customWidth="1"/>
    <col min="6" max="6" width="2.84375" style="314" customWidth="1"/>
    <col min="7" max="7" width="15.07421875" style="314" customWidth="1"/>
    <col min="8" max="8" width="2" style="314" customWidth="1"/>
    <col min="9" max="9" width="15.07421875" style="314" customWidth="1"/>
    <col min="10" max="10" width="2.07421875" style="314" customWidth="1"/>
    <col min="11" max="11" width="15.07421875" style="314" customWidth="1"/>
    <col min="12" max="12" width="11.4609375" style="314" customWidth="1"/>
    <col min="13" max="13" width="1.84375" style="314" customWidth="1"/>
    <col min="14" max="14" width="11.84375" style="314" customWidth="1"/>
    <col min="15" max="15" width="2.07421875" style="314" customWidth="1"/>
    <col min="16" max="16" width="11.4609375" style="314" customWidth="1"/>
    <col min="17" max="17" width="0.53515625" style="314" customWidth="1"/>
    <col min="18" max="18" width="2.07421875" style="314" customWidth="1"/>
    <col min="19" max="19" width="10.53515625" style="314" customWidth="1"/>
    <col min="20" max="20" width="11.07421875" style="314" customWidth="1"/>
    <col min="21" max="21" width="2.07421875" style="314" customWidth="1"/>
    <col min="22" max="22" width="11.07421875" style="314" customWidth="1"/>
    <col min="23" max="23" width="2.07421875" style="314" customWidth="1"/>
    <col min="24" max="24" width="12.4609375" style="314" customWidth="1"/>
    <col min="25" max="30" width="8.84375" style="314"/>
    <col min="31" max="16384" width="8.84375" style="353"/>
  </cols>
  <sheetData>
    <row r="1" spans="1:24">
      <c r="A1" s="490" t="s">
        <v>98</v>
      </c>
      <c r="B1" s="60"/>
      <c r="C1" s="175"/>
      <c r="D1" s="60"/>
      <c r="E1" s="175"/>
      <c r="F1" s="60"/>
      <c r="G1" s="60"/>
      <c r="H1" s="60"/>
      <c r="I1" s="60"/>
      <c r="J1" s="60"/>
      <c r="K1" s="60"/>
      <c r="L1" s="60"/>
      <c r="M1" s="60"/>
      <c r="N1" s="60"/>
      <c r="O1" s="60"/>
      <c r="P1" s="60"/>
      <c r="Q1" s="60"/>
      <c r="R1" s="60"/>
      <c r="S1" s="60"/>
      <c r="T1" s="60"/>
      <c r="U1" s="60"/>
      <c r="V1" s="60"/>
      <c r="W1" s="60"/>
      <c r="X1" s="60"/>
    </row>
    <row r="2" spans="1:24" ht="17.149999999999999" customHeight="1">
      <c r="A2" s="61"/>
      <c r="B2" s="60"/>
      <c r="C2" s="175"/>
      <c r="D2" s="60"/>
      <c r="E2" s="175"/>
      <c r="F2" s="60"/>
      <c r="G2" s="60"/>
      <c r="H2" s="60"/>
      <c r="I2" s="60"/>
      <c r="J2" s="60"/>
      <c r="K2" s="60"/>
      <c r="L2" s="60"/>
      <c r="M2" s="60"/>
      <c r="N2" s="60"/>
      <c r="O2" s="60"/>
      <c r="P2" s="60"/>
      <c r="Q2" s="60"/>
      <c r="R2" s="60"/>
      <c r="S2" s="60"/>
      <c r="T2" s="60"/>
      <c r="U2" s="60"/>
      <c r="V2" s="60"/>
      <c r="W2" s="60"/>
      <c r="X2" s="60"/>
    </row>
    <row r="3" spans="1:24" ht="18">
      <c r="A3" s="62" t="s">
        <v>99</v>
      </c>
      <c r="B3" s="40"/>
      <c r="C3" s="176"/>
      <c r="D3" s="40"/>
      <c r="E3" s="176"/>
      <c r="F3" s="40"/>
      <c r="G3" s="40"/>
      <c r="H3" s="40"/>
      <c r="I3" s="429"/>
      <c r="J3" s="40"/>
      <c r="K3" s="429" t="s">
        <v>247</v>
      </c>
      <c r="L3" s="40"/>
      <c r="M3" s="40"/>
      <c r="N3" s="40"/>
      <c r="O3" s="40"/>
      <c r="P3" s="40"/>
      <c r="Q3" s="40"/>
      <c r="R3" s="40"/>
      <c r="S3" s="40"/>
      <c r="T3" s="40"/>
      <c r="U3" s="40"/>
      <c r="V3" s="40"/>
      <c r="W3" s="40"/>
      <c r="X3" s="63"/>
    </row>
    <row r="4" spans="1:24" ht="18">
      <c r="A4" s="62" t="s">
        <v>248</v>
      </c>
      <c r="B4" s="40"/>
      <c r="C4" s="176"/>
      <c r="D4" s="40"/>
      <c r="E4" s="176"/>
      <c r="F4" s="40"/>
      <c r="G4" s="40"/>
      <c r="H4" s="40"/>
      <c r="I4" s="430"/>
      <c r="J4" s="40"/>
      <c r="K4" s="430"/>
      <c r="L4" s="40"/>
      <c r="M4" s="40"/>
      <c r="N4" s="40"/>
      <c r="O4" s="40"/>
      <c r="P4" s="40"/>
      <c r="Q4" s="40"/>
      <c r="R4" s="40"/>
      <c r="S4" s="40"/>
      <c r="T4" s="40"/>
      <c r="U4" s="40"/>
      <c r="V4" s="40"/>
      <c r="W4" s="40"/>
      <c r="X4" s="40"/>
    </row>
    <row r="5" spans="1:24" ht="18">
      <c r="A5" s="2221" t="str">
        <f>'Exh D-Governmental  '!A5:E5</f>
        <v>FISCAL YEAR 2023-2024</v>
      </c>
      <c r="B5" s="2222"/>
      <c r="C5" s="2222"/>
      <c r="D5" s="2222"/>
      <c r="E5" s="2222"/>
      <c r="F5" s="40"/>
      <c r="G5" s="40"/>
      <c r="H5" s="40"/>
      <c r="I5" s="40"/>
      <c r="J5" s="40"/>
      <c r="K5" s="40"/>
      <c r="L5" s="40"/>
      <c r="M5" s="40"/>
      <c r="N5" s="40"/>
      <c r="O5" s="40"/>
      <c r="P5" s="40"/>
      <c r="Q5" s="40"/>
      <c r="R5" s="40"/>
      <c r="S5" s="40"/>
      <c r="T5" s="40"/>
      <c r="U5" s="40"/>
      <c r="V5" s="40"/>
      <c r="W5" s="40"/>
      <c r="X5" s="40"/>
    </row>
    <row r="6" spans="1:24" ht="18">
      <c r="A6" s="62" t="str">
        <f>'Exh D-Governmental  '!A6</f>
        <v>FOR EIGHT MONTHS ENDED NOVEMBER 30, 2023</v>
      </c>
      <c r="B6" s="40"/>
      <c r="C6" s="176"/>
      <c r="D6" s="40"/>
      <c r="E6" s="176"/>
      <c r="F6" s="40"/>
      <c r="G6" s="40"/>
      <c r="H6" s="40"/>
      <c r="I6" s="40"/>
      <c r="J6" s="40"/>
      <c r="K6" s="40"/>
      <c r="L6" s="40"/>
      <c r="M6" s="40"/>
      <c r="N6" s="40"/>
      <c r="O6" s="40"/>
      <c r="P6" s="40"/>
      <c r="Q6" s="40"/>
      <c r="R6" s="40"/>
      <c r="S6" s="40"/>
      <c r="T6" s="40"/>
      <c r="U6" s="40"/>
      <c r="V6" s="40"/>
      <c r="W6" s="40"/>
      <c r="X6" s="40"/>
    </row>
    <row r="7" spans="1:24" ht="18">
      <c r="A7" s="62" t="s">
        <v>250</v>
      </c>
      <c r="B7" s="40"/>
      <c r="C7" s="176"/>
      <c r="D7" s="40"/>
      <c r="E7" s="176"/>
      <c r="F7" s="40"/>
      <c r="G7" s="40"/>
      <c r="H7" s="40"/>
      <c r="I7" s="40"/>
      <c r="J7" s="40"/>
      <c r="K7" s="40"/>
      <c r="L7" s="40"/>
      <c r="M7" s="40"/>
      <c r="N7" s="40"/>
      <c r="O7" s="40"/>
      <c r="P7" s="40"/>
      <c r="Q7" s="40"/>
      <c r="R7" s="40"/>
      <c r="S7" s="40"/>
      <c r="T7" s="40"/>
      <c r="U7" s="40"/>
      <c r="V7" s="40"/>
      <c r="W7" s="40"/>
      <c r="X7" s="40"/>
    </row>
    <row r="8" spans="1:24" ht="15" customHeight="1">
      <c r="A8" s="45"/>
      <c r="B8" s="40"/>
      <c r="C8" s="176"/>
      <c r="D8" s="40"/>
      <c r="E8" s="176"/>
      <c r="F8" s="40"/>
      <c r="G8" s="40"/>
      <c r="H8" s="40"/>
      <c r="I8" s="40"/>
      <c r="J8" s="40"/>
      <c r="K8" s="40"/>
      <c r="L8" s="40"/>
      <c r="M8" s="40"/>
      <c r="N8" s="40"/>
      <c r="O8" s="40"/>
      <c r="P8" s="40"/>
      <c r="Q8" s="40"/>
      <c r="R8" s="40"/>
      <c r="S8" s="40"/>
      <c r="T8" s="40"/>
      <c r="U8" s="40"/>
      <c r="V8" s="40"/>
      <c r="W8" s="40"/>
      <c r="X8" s="40"/>
    </row>
    <row r="9" spans="1:24">
      <c r="A9" s="46"/>
      <c r="B9" s="40"/>
      <c r="C9" s="176"/>
      <c r="D9" s="40"/>
      <c r="E9" s="176"/>
      <c r="F9" s="40"/>
      <c r="G9" s="40"/>
      <c r="H9" s="40"/>
      <c r="I9" s="40"/>
      <c r="J9" s="40"/>
      <c r="K9" s="40"/>
      <c r="L9" s="40"/>
      <c r="M9" s="40"/>
      <c r="N9" s="40"/>
      <c r="O9" s="40"/>
      <c r="P9" s="40"/>
      <c r="Q9" s="40"/>
      <c r="R9" s="40"/>
      <c r="S9" s="40"/>
      <c r="T9" s="40"/>
      <c r="U9" s="40"/>
      <c r="V9" s="40"/>
      <c r="W9" s="40"/>
      <c r="X9" s="40"/>
    </row>
    <row r="10" spans="1:24">
      <c r="A10" s="46"/>
      <c r="B10" s="40"/>
      <c r="C10" s="176"/>
      <c r="D10" s="40"/>
      <c r="E10" s="176"/>
      <c r="F10" s="40"/>
      <c r="G10" s="40"/>
      <c r="H10" s="40"/>
      <c r="I10" s="40"/>
      <c r="J10" s="40"/>
      <c r="K10" s="40"/>
      <c r="L10" s="40"/>
      <c r="M10" s="40"/>
      <c r="N10" s="40"/>
      <c r="O10" s="40"/>
      <c r="P10" s="40"/>
      <c r="Q10" s="40"/>
      <c r="R10" s="40"/>
      <c r="S10" s="40"/>
      <c r="T10" s="40"/>
      <c r="U10" s="40"/>
      <c r="V10" s="40"/>
      <c r="W10" s="40"/>
      <c r="X10" s="40"/>
    </row>
    <row r="11" spans="1:24">
      <c r="C11" s="2217" t="s">
        <v>307</v>
      </c>
      <c r="D11" s="2217"/>
      <c r="E11" s="2217"/>
      <c r="F11" s="2217"/>
      <c r="G11" s="2217"/>
      <c r="H11" s="2217"/>
      <c r="I11" s="2217"/>
      <c r="J11" s="541"/>
      <c r="K11" s="542"/>
      <c r="L11" s="64"/>
      <c r="M11" s="64"/>
      <c r="N11" s="64"/>
      <c r="O11" s="64"/>
      <c r="P11" s="64"/>
      <c r="Q11" s="64"/>
      <c r="R11" s="47"/>
      <c r="S11" s="64"/>
      <c r="T11" s="65"/>
      <c r="U11" s="64"/>
      <c r="V11" s="64"/>
      <c r="W11" s="64"/>
      <c r="X11" s="64"/>
    </row>
    <row r="12" spans="1:24">
      <c r="D12" s="66"/>
      <c r="F12" s="66"/>
      <c r="G12" s="67"/>
      <c r="H12" s="66"/>
      <c r="I12" s="66" t="s">
        <v>252</v>
      </c>
      <c r="J12" s="47"/>
      <c r="K12" s="66" t="s">
        <v>252</v>
      </c>
      <c r="L12" s="64"/>
      <c r="M12" s="64"/>
      <c r="N12" s="64"/>
      <c r="O12" s="64"/>
      <c r="P12" s="64"/>
      <c r="Q12" s="64"/>
      <c r="R12" s="47"/>
      <c r="S12" s="64"/>
      <c r="T12" s="65"/>
      <c r="U12" s="64"/>
      <c r="V12" s="64"/>
      <c r="W12" s="64"/>
      <c r="X12" s="64"/>
    </row>
    <row r="13" spans="1:24">
      <c r="B13" s="47"/>
      <c r="C13" s="178"/>
      <c r="D13" s="47"/>
      <c r="E13" s="178"/>
      <c r="F13" s="47"/>
      <c r="G13" s="47"/>
      <c r="H13" s="47"/>
      <c r="I13" s="48" t="s">
        <v>253</v>
      </c>
      <c r="J13" s="47"/>
      <c r="K13" s="48" t="s">
        <v>253</v>
      </c>
      <c r="L13" s="47"/>
      <c r="M13" s="47"/>
      <c r="N13" s="47"/>
      <c r="O13" s="47"/>
      <c r="P13" s="49"/>
      <c r="Q13" s="48"/>
      <c r="R13" s="47"/>
      <c r="S13" s="47"/>
      <c r="T13" s="47"/>
      <c r="U13" s="47"/>
      <c r="V13" s="47"/>
      <c r="W13" s="47"/>
      <c r="X13" s="49"/>
    </row>
    <row r="14" spans="1:24">
      <c r="B14" s="68"/>
      <c r="C14" s="49" t="s">
        <v>255</v>
      </c>
      <c r="D14" s="47"/>
      <c r="E14" s="48" t="s">
        <v>256</v>
      </c>
      <c r="F14" s="47"/>
      <c r="G14" s="47"/>
      <c r="H14" s="47"/>
      <c r="I14" s="48" t="s">
        <v>257</v>
      </c>
      <c r="J14" s="47"/>
      <c r="K14" s="48" t="s">
        <v>257</v>
      </c>
      <c r="L14" s="48"/>
      <c r="M14" s="47"/>
      <c r="N14" s="47"/>
      <c r="O14" s="47"/>
      <c r="P14" s="49"/>
      <c r="Q14" s="48"/>
      <c r="R14" s="47"/>
      <c r="S14" s="49"/>
      <c r="T14" s="48"/>
      <c r="U14" s="47"/>
      <c r="V14" s="47"/>
      <c r="W14" s="47"/>
      <c r="X14" s="49"/>
    </row>
    <row r="15" spans="1:24">
      <c r="B15" s="68"/>
      <c r="C15" s="48" t="s">
        <v>258</v>
      </c>
      <c r="D15" s="47"/>
      <c r="E15" s="48" t="s">
        <v>258</v>
      </c>
      <c r="F15" s="47"/>
      <c r="G15" s="47"/>
      <c r="H15" s="47"/>
      <c r="I15" s="48" t="s">
        <v>255</v>
      </c>
      <c r="J15" s="47"/>
      <c r="K15" s="48" t="s">
        <v>256</v>
      </c>
      <c r="L15" s="48"/>
      <c r="M15" s="47"/>
      <c r="N15" s="47"/>
      <c r="O15" s="47"/>
      <c r="P15" s="49"/>
      <c r="Q15" s="48"/>
      <c r="R15" s="47"/>
      <c r="S15" s="49"/>
      <c r="T15" s="48"/>
      <c r="U15" s="47"/>
      <c r="V15" s="47"/>
      <c r="W15" s="47"/>
      <c r="X15" s="49"/>
    </row>
    <row r="16" spans="1:24">
      <c r="B16" s="48"/>
      <c r="C16" s="48" t="s">
        <v>259</v>
      </c>
      <c r="D16" s="47"/>
      <c r="E16" s="48" t="s">
        <v>1486</v>
      </c>
      <c r="F16" s="47"/>
      <c r="G16" s="49" t="s">
        <v>252</v>
      </c>
      <c r="H16" s="47"/>
      <c r="I16" s="48" t="s">
        <v>260</v>
      </c>
      <c r="J16" s="47"/>
      <c r="K16" s="48" t="s">
        <v>260</v>
      </c>
      <c r="L16" s="48"/>
      <c r="M16" s="47"/>
      <c r="N16" s="49"/>
      <c r="O16" s="47"/>
      <c r="P16" s="49"/>
      <c r="Q16" s="48"/>
      <c r="R16" s="47"/>
      <c r="S16" s="48"/>
      <c r="T16" s="48"/>
      <c r="U16" s="47"/>
      <c r="V16" s="49"/>
      <c r="W16" s="47"/>
      <c r="X16" s="49"/>
    </row>
    <row r="17" spans="1:24">
      <c r="A17" s="50"/>
      <c r="B17" s="40"/>
      <c r="C17" s="1483"/>
      <c r="D17" s="40"/>
      <c r="E17" s="1483"/>
      <c r="F17" s="40"/>
      <c r="G17" s="1483"/>
      <c r="H17" s="40"/>
      <c r="I17" s="1483"/>
      <c r="J17" s="40"/>
      <c r="K17" s="1483"/>
      <c r="L17" s="40"/>
      <c r="M17" s="40"/>
      <c r="N17" s="40"/>
      <c r="O17" s="40"/>
      <c r="P17" s="40"/>
      <c r="Q17" s="40"/>
      <c r="R17" s="40"/>
      <c r="S17" s="40"/>
      <c r="T17" s="40"/>
      <c r="U17" s="40"/>
      <c r="V17" s="40"/>
      <c r="W17" s="40"/>
      <c r="X17" s="40"/>
    </row>
    <row r="18" spans="1:24">
      <c r="A18" s="6" t="s">
        <v>115</v>
      </c>
      <c r="C18" s="314"/>
      <c r="E18" s="314"/>
    </row>
    <row r="19" spans="1:24">
      <c r="A19" s="427" t="s">
        <v>261</v>
      </c>
      <c r="B19" s="482"/>
      <c r="C19" s="314"/>
      <c r="E19" s="314"/>
      <c r="H19" s="482"/>
    </row>
    <row r="20" spans="1:24">
      <c r="A20" s="427" t="s">
        <v>262</v>
      </c>
      <c r="B20" s="482" t="s">
        <v>104</v>
      </c>
      <c r="C20" s="338">
        <v>15549</v>
      </c>
      <c r="D20" s="337"/>
      <c r="E20" s="338">
        <v>15576</v>
      </c>
      <c r="F20" s="337"/>
      <c r="G20" s="491">
        <f>'Exhibit H'!AA16</f>
        <v>15818.2</v>
      </c>
      <c r="H20" s="337"/>
      <c r="I20" s="335">
        <f t="shared" ref="I20:I26" si="0">G20-C20</f>
        <v>269.20000000000073</v>
      </c>
      <c r="K20" s="335">
        <f>G20-E20</f>
        <v>242.20000000000073</v>
      </c>
      <c r="L20" s="335"/>
    </row>
    <row r="21" spans="1:24">
      <c r="A21" s="427" t="s">
        <v>263</v>
      </c>
      <c r="B21" s="314" t="s">
        <v>104</v>
      </c>
      <c r="C21" s="336">
        <v>6060</v>
      </c>
      <c r="D21" s="325"/>
      <c r="E21" s="336">
        <v>6142</v>
      </c>
      <c r="F21" s="325"/>
      <c r="G21" s="325">
        <f>'Exhibit H'!AA20</f>
        <v>6108.4</v>
      </c>
      <c r="H21" s="325"/>
      <c r="I21" s="325">
        <f t="shared" si="0"/>
        <v>48.399999999999636</v>
      </c>
      <c r="J21" s="325"/>
      <c r="K21" s="325">
        <f t="shared" ref="K21:K26" si="1">G21-E21</f>
        <v>-33.600000000000364</v>
      </c>
      <c r="L21" s="335"/>
    </row>
    <row r="22" spans="1:24">
      <c r="A22" s="427" t="s">
        <v>264</v>
      </c>
      <c r="C22" s="336">
        <v>2116</v>
      </c>
      <c r="D22" s="325"/>
      <c r="E22" s="336">
        <v>2378</v>
      </c>
      <c r="F22" s="325"/>
      <c r="G22" s="325">
        <f>'Exhibit H'!AA23</f>
        <v>2431.8000000000002</v>
      </c>
      <c r="H22" s="325"/>
      <c r="I22" s="325">
        <f t="shared" si="0"/>
        <v>315.80000000000018</v>
      </c>
      <c r="J22" s="325"/>
      <c r="K22" s="325">
        <f t="shared" si="1"/>
        <v>53.800000000000182</v>
      </c>
      <c r="L22" s="335"/>
    </row>
    <row r="23" spans="1:24">
      <c r="A23" s="427" t="s">
        <v>265</v>
      </c>
      <c r="B23" s="314" t="s">
        <v>104</v>
      </c>
      <c r="C23" s="336">
        <v>707</v>
      </c>
      <c r="D23" s="325"/>
      <c r="E23" s="336">
        <v>674</v>
      </c>
      <c r="F23" s="325"/>
      <c r="G23" s="325">
        <f>'Exhibit H'!AA27</f>
        <v>661.1</v>
      </c>
      <c r="H23" s="325"/>
      <c r="I23" s="325">
        <f t="shared" si="0"/>
        <v>-45.899999999999977</v>
      </c>
      <c r="J23" s="325"/>
      <c r="K23" s="325">
        <f t="shared" si="1"/>
        <v>-12.899999999999977</v>
      </c>
      <c r="L23" s="335"/>
    </row>
    <row r="24" spans="1:24" ht="15" customHeight="1">
      <c r="A24" s="427" t="s">
        <v>120</v>
      </c>
      <c r="B24" s="314" t="s">
        <v>104</v>
      </c>
      <c r="C24" s="336">
        <v>280</v>
      </c>
      <c r="D24" s="325"/>
      <c r="E24" s="336">
        <v>373</v>
      </c>
      <c r="F24" s="325"/>
      <c r="G24" s="325">
        <f>'Exhibit H'!AA50</f>
        <v>344.5</v>
      </c>
      <c r="H24" s="325"/>
      <c r="I24" s="325">
        <f t="shared" si="0"/>
        <v>64.5</v>
      </c>
      <c r="J24" s="325"/>
      <c r="K24" s="325">
        <f t="shared" si="1"/>
        <v>-28.5</v>
      </c>
      <c r="L24" s="335"/>
    </row>
    <row r="25" spans="1:24" ht="15" customHeight="1">
      <c r="A25" s="427" t="s">
        <v>121</v>
      </c>
      <c r="B25" s="314" t="s">
        <v>104</v>
      </c>
      <c r="C25" s="336">
        <v>36</v>
      </c>
      <c r="D25" s="325"/>
      <c r="E25" s="336">
        <v>35</v>
      </c>
      <c r="F25" s="325"/>
      <c r="G25" s="325">
        <f>'Exhibit H'!AA52</f>
        <v>34.9</v>
      </c>
      <c r="H25" s="325"/>
      <c r="I25" s="325">
        <f t="shared" si="0"/>
        <v>-1.1000000000000014</v>
      </c>
      <c r="J25" s="325"/>
      <c r="K25" s="325">
        <f t="shared" si="1"/>
        <v>-0.10000000000000142</v>
      </c>
      <c r="L25" s="335"/>
      <c r="N25" s="484"/>
      <c r="P25" s="484"/>
      <c r="Q25" s="492"/>
    </row>
    <row r="26" spans="1:24">
      <c r="A26" s="427" t="s">
        <v>149</v>
      </c>
      <c r="B26" s="492" t="s">
        <v>104</v>
      </c>
      <c r="C26" s="336">
        <v>985</v>
      </c>
      <c r="D26" s="325"/>
      <c r="E26" s="336">
        <v>890</v>
      </c>
      <c r="F26" s="325"/>
      <c r="G26" s="485">
        <f>'Exhibit H'!AA68</f>
        <v>1234.2</v>
      </c>
      <c r="H26" s="325"/>
      <c r="I26" s="325">
        <f t="shared" si="0"/>
        <v>249.20000000000005</v>
      </c>
      <c r="J26" s="325"/>
      <c r="K26" s="325">
        <f t="shared" si="1"/>
        <v>344.20000000000005</v>
      </c>
      <c r="L26" s="335"/>
      <c r="N26" s="484"/>
      <c r="P26" s="484"/>
      <c r="Q26" s="492"/>
    </row>
    <row r="27" spans="1:24" ht="18" customHeight="1">
      <c r="A27" s="2006" t="s">
        <v>287</v>
      </c>
      <c r="B27" s="47" t="s">
        <v>104</v>
      </c>
      <c r="C27" s="785">
        <f>ROUND(SUM(C20:C26),1)</f>
        <v>25733</v>
      </c>
      <c r="D27" s="16"/>
      <c r="E27" s="785">
        <f>ROUND(SUM(E20:E26),1)</f>
        <v>26068</v>
      </c>
      <c r="F27" s="16"/>
      <c r="G27" s="785">
        <f>ROUND(SUM(G20:G26),1)</f>
        <v>26633.1</v>
      </c>
      <c r="H27" s="16"/>
      <c r="I27" s="785">
        <f>ROUND(SUM(I20:I26),1)</f>
        <v>900.1</v>
      </c>
      <c r="J27" s="16"/>
      <c r="K27" s="785">
        <f>ROUND(SUM(K20:K26),1)</f>
        <v>565.1</v>
      </c>
      <c r="L27" s="335"/>
      <c r="M27" s="47"/>
      <c r="N27" s="47"/>
      <c r="O27" s="47"/>
      <c r="P27" s="47"/>
      <c r="Q27" s="47"/>
      <c r="R27" s="47"/>
      <c r="S27" s="47"/>
      <c r="T27" s="47"/>
      <c r="U27" s="47"/>
      <c r="V27" s="47"/>
      <c r="W27" s="47"/>
      <c r="X27" s="47"/>
    </row>
    <row r="28" spans="1:24">
      <c r="C28" s="783"/>
      <c r="D28" s="325"/>
      <c r="E28" s="783"/>
      <c r="F28" s="325"/>
      <c r="G28" s="783"/>
      <c r="H28" s="325"/>
      <c r="I28" s="783"/>
      <c r="J28" s="325"/>
      <c r="K28" s="783"/>
      <c r="L28" s="335"/>
    </row>
    <row r="29" spans="1:24">
      <c r="A29" s="6" t="s">
        <v>123</v>
      </c>
      <c r="C29" s="325"/>
      <c r="D29" s="325"/>
      <c r="E29" s="325"/>
      <c r="F29" s="325"/>
      <c r="G29" s="325"/>
      <c r="H29" s="325"/>
      <c r="I29" s="325"/>
      <c r="J29" s="325"/>
      <c r="K29" s="325"/>
      <c r="L29" s="335"/>
    </row>
    <row r="30" spans="1:24">
      <c r="A30" s="427" t="s">
        <v>268</v>
      </c>
      <c r="B30" s="482" t="s">
        <v>104</v>
      </c>
      <c r="C30" s="336">
        <v>9</v>
      </c>
      <c r="D30" s="325"/>
      <c r="E30" s="336">
        <v>38</v>
      </c>
      <c r="F30" s="325"/>
      <c r="G30" s="348">
        <f>'Exhibit H'!AA58</f>
        <v>38.4</v>
      </c>
      <c r="H30" s="325"/>
      <c r="I30" s="325">
        <f>G30-C30</f>
        <v>29.4</v>
      </c>
      <c r="J30" s="325"/>
      <c r="K30" s="325">
        <f>G30-E30</f>
        <v>0.39999999999999858</v>
      </c>
      <c r="L30" s="335"/>
      <c r="N30" s="482"/>
      <c r="P30" s="484"/>
      <c r="S30" s="484"/>
      <c r="T30" s="484"/>
      <c r="V30" s="484"/>
      <c r="X30" s="484"/>
    </row>
    <row r="31" spans="1:24" ht="14.25" customHeight="1">
      <c r="A31" s="427" t="s">
        <v>269</v>
      </c>
      <c r="B31" s="492" t="s">
        <v>104</v>
      </c>
      <c r="C31" s="336">
        <v>1108</v>
      </c>
      <c r="D31" s="325"/>
      <c r="E31" s="336">
        <v>581</v>
      </c>
      <c r="F31" s="325"/>
      <c r="G31" s="336">
        <f>'Exhibit H'!AA60</f>
        <v>580.5</v>
      </c>
      <c r="H31" s="325"/>
      <c r="I31" s="325">
        <f>G31-C31</f>
        <v>-527.5</v>
      </c>
      <c r="J31" s="325"/>
      <c r="K31" s="325">
        <f>G31-E31</f>
        <v>-0.5</v>
      </c>
      <c r="L31" s="335"/>
      <c r="N31" s="482"/>
      <c r="S31" s="484"/>
      <c r="T31" s="484"/>
      <c r="V31" s="484"/>
      <c r="X31" s="484"/>
    </row>
    <row r="32" spans="1:24">
      <c r="A32" s="427" t="s">
        <v>272</v>
      </c>
      <c r="B32" s="492" t="s">
        <v>104</v>
      </c>
      <c r="C32" s="336">
        <v>24305</v>
      </c>
      <c r="D32" s="325"/>
      <c r="E32" s="336">
        <v>25278</v>
      </c>
      <c r="F32" s="325"/>
      <c r="G32" s="348">
        <f>-'Exhibit H'!AA69</f>
        <v>25519.200000000001</v>
      </c>
      <c r="H32" s="325"/>
      <c r="I32" s="325">
        <f>G32-C32</f>
        <v>1214.2000000000007</v>
      </c>
      <c r="J32" s="325"/>
      <c r="K32" s="325">
        <f>G32-E32</f>
        <v>241.20000000000073</v>
      </c>
      <c r="L32" s="335"/>
      <c r="N32" s="484"/>
      <c r="P32" s="484"/>
      <c r="Q32" s="492"/>
    </row>
    <row r="33" spans="1:24" ht="18" customHeight="1">
      <c r="A33" s="2006" t="s">
        <v>296</v>
      </c>
      <c r="B33" s="47" t="s">
        <v>104</v>
      </c>
      <c r="C33" s="785">
        <f>ROUND(SUM(C30:C32),1)</f>
        <v>25422</v>
      </c>
      <c r="D33" s="16"/>
      <c r="E33" s="785">
        <f>ROUND(SUM(E30:E32),1)</f>
        <v>25897</v>
      </c>
      <c r="F33" s="16"/>
      <c r="G33" s="785">
        <f>ROUND(SUM(G30:G32),1)</f>
        <v>26138.1</v>
      </c>
      <c r="H33" s="16"/>
      <c r="I33" s="785">
        <f>ROUND(SUM(I30:I32),1)</f>
        <v>716.1</v>
      </c>
      <c r="J33" s="16"/>
      <c r="K33" s="785">
        <f>ROUND(SUM(K30:K32),1)</f>
        <v>241.1</v>
      </c>
      <c r="L33" s="335"/>
      <c r="M33" s="47"/>
      <c r="N33" s="47"/>
      <c r="O33" s="47"/>
      <c r="P33" s="47"/>
      <c r="Q33" s="47"/>
      <c r="R33" s="47"/>
      <c r="S33" s="47"/>
      <c r="T33" s="47"/>
      <c r="U33" s="47"/>
      <c r="V33" s="47"/>
      <c r="W33" s="47"/>
      <c r="X33" s="47"/>
    </row>
    <row r="34" spans="1:24">
      <c r="C34" s="783"/>
      <c r="D34" s="325"/>
      <c r="E34" s="783"/>
      <c r="F34" s="325"/>
      <c r="G34" s="783"/>
      <c r="H34" s="325"/>
      <c r="I34" s="783"/>
      <c r="J34" s="325"/>
      <c r="K34" s="783"/>
      <c r="L34" s="335"/>
    </row>
    <row r="35" spans="1:24">
      <c r="A35" s="6" t="s">
        <v>297</v>
      </c>
      <c r="C35" s="325"/>
      <c r="D35" s="325"/>
      <c r="E35" s="325"/>
      <c r="F35" s="325"/>
      <c r="G35" s="325"/>
      <c r="H35" s="325"/>
      <c r="I35" s="325"/>
      <c r="J35" s="325"/>
      <c r="K35" s="325"/>
      <c r="L35" s="335"/>
    </row>
    <row r="36" spans="1:24">
      <c r="A36" s="6" t="s">
        <v>298</v>
      </c>
      <c r="C36" s="325"/>
      <c r="D36" s="325"/>
      <c r="E36" s="325"/>
      <c r="F36" s="325"/>
      <c r="G36" s="325"/>
      <c r="H36" s="325"/>
      <c r="I36" s="325"/>
      <c r="J36" s="325"/>
      <c r="K36" s="325"/>
      <c r="L36" s="335"/>
    </row>
    <row r="37" spans="1:24">
      <c r="A37" s="2006" t="s">
        <v>276</v>
      </c>
      <c r="B37" s="2005" t="s">
        <v>104</v>
      </c>
      <c r="C37" s="16">
        <f>C27-C33</f>
        <v>311</v>
      </c>
      <c r="D37" s="23"/>
      <c r="E37" s="16">
        <f>E27-E33</f>
        <v>171</v>
      </c>
      <c r="F37" s="23"/>
      <c r="G37" s="16">
        <f>G27-G33</f>
        <v>495</v>
      </c>
      <c r="H37" s="23"/>
      <c r="I37" s="16">
        <f>ROUND(SUM(I27)-SUM(I33),1)</f>
        <v>184</v>
      </c>
      <c r="J37" s="23"/>
      <c r="K37" s="16">
        <f>ROUND(SUM(K27)-SUM(K33),1)</f>
        <v>324</v>
      </c>
      <c r="L37" s="335"/>
      <c r="M37" s="53"/>
      <c r="N37" s="47"/>
      <c r="O37" s="53"/>
      <c r="P37" s="47"/>
      <c r="Q37" s="47"/>
      <c r="R37" s="53"/>
      <c r="S37" s="47"/>
      <c r="T37" s="47"/>
      <c r="U37" s="53"/>
      <c r="V37" s="47"/>
      <c r="W37" s="53"/>
      <c r="X37" s="47"/>
    </row>
    <row r="38" spans="1:24" ht="15" customHeight="1">
      <c r="C38" s="325"/>
      <c r="D38" s="325"/>
      <c r="E38" s="325"/>
      <c r="F38" s="325"/>
      <c r="G38" s="325"/>
      <c r="H38" s="325"/>
      <c r="I38" s="325"/>
      <c r="J38" s="325"/>
      <c r="K38" s="325"/>
      <c r="L38" s="335"/>
    </row>
    <row r="39" spans="1:24">
      <c r="A39" s="2006" t="str">
        <f>'Exh D-Governmental  '!A49</f>
        <v>Fund Balances (Deficits) at April 1</v>
      </c>
      <c r="B39" s="314" t="s">
        <v>104</v>
      </c>
      <c r="C39" s="16">
        <v>159</v>
      </c>
      <c r="D39" s="325"/>
      <c r="E39" s="16">
        <f>C39</f>
        <v>159</v>
      </c>
      <c r="F39" s="325"/>
      <c r="G39" s="16">
        <v>159.35661268000098</v>
      </c>
      <c r="H39" s="325"/>
      <c r="I39" s="16">
        <f>G39-C39</f>
        <v>0.35661268000097834</v>
      </c>
      <c r="J39" s="325"/>
      <c r="K39" s="16">
        <f>G39-E39</f>
        <v>0.35661268000097834</v>
      </c>
      <c r="L39" s="335"/>
    </row>
    <row r="40" spans="1:24" ht="18" customHeight="1" thickBot="1">
      <c r="A40" s="2006" t="str">
        <f>+'Exh D-Governmental  '!A50</f>
        <v xml:space="preserve">Fund Balances (Deficits) at November 30, 2023 </v>
      </c>
      <c r="B40" s="54" t="s">
        <v>104</v>
      </c>
      <c r="C40" s="843">
        <f>ROUND(SUM(C37:C39),1)</f>
        <v>470</v>
      </c>
      <c r="D40" s="55"/>
      <c r="E40" s="843">
        <f>ROUND(SUM(E37:E39),1)</f>
        <v>330</v>
      </c>
      <c r="F40" s="55"/>
      <c r="G40" s="843">
        <f>ROUND(SUM(G37:G39),1)</f>
        <v>654.4</v>
      </c>
      <c r="H40" s="55"/>
      <c r="I40" s="843">
        <f>ROUND(SUM(I37:I39),1)</f>
        <v>184.4</v>
      </c>
      <c r="K40" s="843">
        <f>ROUND(SUM(K37:K39),1)</f>
        <v>324.39999999999998</v>
      </c>
      <c r="L40" s="335"/>
    </row>
    <row r="41" spans="1:24" ht="15" customHeight="1" thickTop="1">
      <c r="A41" s="50"/>
      <c r="C41" s="352"/>
      <c r="D41" s="335"/>
      <c r="E41" s="352"/>
      <c r="F41" s="335"/>
      <c r="G41" s="335"/>
      <c r="H41" s="335"/>
      <c r="I41" s="335"/>
      <c r="K41" s="335"/>
    </row>
    <row r="42" spans="1:24">
      <c r="A42" s="489" t="str">
        <f>'Exh D-Governmental  '!A52</f>
        <v xml:space="preserve">(*)    Source: 2023-24 Enacted Financial Plan dated June 9, 2023. </v>
      </c>
    </row>
    <row r="43" spans="1:24">
      <c r="A43" s="489" t="str">
        <f>'Exh D-Governmental  '!A53</f>
        <v>(**)   Source: 2023-24 Mid Year Update dated October 30, 2023.</v>
      </c>
    </row>
    <row r="44" spans="1:24">
      <c r="A44" s="427"/>
    </row>
    <row r="45" spans="1:24">
      <c r="A45" s="427"/>
    </row>
    <row r="47" spans="1:24">
      <c r="A47" s="70"/>
    </row>
    <row r="48" spans="1:24">
      <c r="A48" s="70"/>
    </row>
  </sheetData>
  <mergeCells count="2">
    <mergeCell ref="C11:I11"/>
    <mergeCell ref="A5:E5"/>
  </mergeCells>
  <pageMargins left="0.75" right="0.75" top="0.75" bottom="0.75" header="0.5" footer="0.25"/>
  <pageSetup scale="76" firstPageNumber="12" orientation="landscape" useFirstPageNumber="1" r:id="rId1"/>
  <headerFooter scaleWithDoc="0" alignWithMargins="0">
    <oddFooter>&amp;C&amp;8&amp;P</oddFooter>
  </headerFooter>
  <customProperties>
    <customPr name="SheetOptions" r:id="rId2"/>
  </customPropertie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AH47"/>
  <sheetViews>
    <sheetView showGridLines="0" zoomScale="90" zoomScaleNormal="110" workbookViewId="0"/>
  </sheetViews>
  <sheetFormatPr defaultColWidth="8.84375" defaultRowHeight="15.5"/>
  <cols>
    <col min="1" max="1" width="51.84375" style="353" customWidth="1"/>
    <col min="2" max="2" width="2.07421875" style="314" customWidth="1"/>
    <col min="3" max="3" width="18.07421875" style="179" bestFit="1" customWidth="1"/>
    <col min="4" max="4" width="0.84375" style="314" customWidth="1"/>
    <col min="5" max="5" width="15.4609375" style="179" customWidth="1"/>
    <col min="6" max="6" width="0.84375" style="314" customWidth="1"/>
    <col min="7" max="7" width="14" style="314" customWidth="1"/>
    <col min="8" max="8" width="1.4609375" style="314" customWidth="1"/>
    <col min="9" max="9" width="15" style="314" customWidth="1"/>
    <col min="10" max="10" width="1.53515625" style="314" customWidth="1"/>
    <col min="11" max="11" width="15" style="314" customWidth="1"/>
    <col min="12" max="12" width="1" style="314" customWidth="1"/>
    <col min="13" max="13" width="15.07421875" style="314" customWidth="1"/>
    <col min="14" max="14" width="1" style="314" customWidth="1"/>
    <col min="15" max="15" width="14" style="314" customWidth="1"/>
    <col min="16" max="19" width="8.84375" style="314"/>
    <col min="20" max="16384" width="8.84375" style="353"/>
  </cols>
  <sheetData>
    <row r="1" spans="1:34">
      <c r="A1" s="326" t="s">
        <v>98</v>
      </c>
    </row>
    <row r="2" spans="1:34" ht="16.5">
      <c r="A2" s="59"/>
      <c r="B2" s="60"/>
      <c r="C2" s="175"/>
      <c r="D2" s="60"/>
      <c r="E2" s="175"/>
      <c r="F2" s="60"/>
      <c r="G2" s="60"/>
      <c r="H2" s="60"/>
      <c r="I2" s="60"/>
      <c r="J2" s="60"/>
      <c r="K2" s="60"/>
      <c r="L2" s="60"/>
      <c r="M2" s="60"/>
    </row>
    <row r="3" spans="1:34" ht="18">
      <c r="A3" s="62" t="s">
        <v>99</v>
      </c>
      <c r="B3" s="40"/>
      <c r="C3" s="176"/>
      <c r="D3" s="40"/>
      <c r="E3" s="176"/>
      <c r="F3" s="40"/>
      <c r="G3" s="40"/>
      <c r="H3" s="40"/>
      <c r="I3" s="40"/>
      <c r="J3" s="40"/>
      <c r="K3" s="40"/>
      <c r="L3" s="40"/>
      <c r="M3" s="429"/>
      <c r="O3" s="429" t="s">
        <v>247</v>
      </c>
    </row>
    <row r="4" spans="1:34" ht="18">
      <c r="A4" s="62" t="s">
        <v>248</v>
      </c>
      <c r="B4" s="40"/>
      <c r="C4" s="176"/>
      <c r="D4" s="40"/>
      <c r="E4" s="176"/>
      <c r="F4" s="40"/>
      <c r="G4" s="40"/>
      <c r="H4" s="40"/>
      <c r="I4" s="40"/>
      <c r="J4" s="40"/>
      <c r="K4" s="40"/>
      <c r="L4" s="40"/>
      <c r="M4" s="430"/>
      <c r="O4" s="430"/>
    </row>
    <row r="5" spans="1:34" ht="18">
      <c r="A5" s="2221" t="str">
        <f>'Exh D-Governmental  '!A5:E5</f>
        <v>FISCAL YEAR 2023-2024</v>
      </c>
      <c r="B5" s="2222"/>
      <c r="C5" s="2222"/>
      <c r="D5" s="2222"/>
      <c r="E5" s="2222"/>
      <c r="F5" s="40"/>
      <c r="G5" s="40"/>
      <c r="H5" s="40"/>
      <c r="I5" s="40"/>
      <c r="J5" s="40"/>
      <c r="K5" s="40"/>
      <c r="L5" s="40"/>
      <c r="M5" s="40"/>
    </row>
    <row r="6" spans="1:34" ht="18">
      <c r="A6" s="668" t="str">
        <f>+'Exh D-Governmental  '!A6</f>
        <v>FOR EIGHT MONTHS ENDED NOVEMBER 30, 2023</v>
      </c>
      <c r="B6" s="40"/>
      <c r="C6" s="176"/>
      <c r="D6" s="40"/>
      <c r="E6" s="176"/>
      <c r="F6" s="40"/>
      <c r="G6" s="40"/>
      <c r="H6" s="40"/>
      <c r="I6" s="40"/>
      <c r="J6" s="40"/>
      <c r="K6" s="40"/>
      <c r="L6" s="40"/>
      <c r="M6" s="40"/>
      <c r="N6" s="40"/>
      <c r="O6" s="40"/>
      <c r="P6" s="40"/>
      <c r="Q6" s="40"/>
      <c r="R6" s="40"/>
      <c r="S6" s="40"/>
      <c r="T6" s="40"/>
      <c r="U6" s="40"/>
      <c r="V6" s="40"/>
      <c r="W6" s="40"/>
      <c r="X6" s="40"/>
      <c r="Y6" s="40"/>
      <c r="Z6" s="40"/>
      <c r="AA6" s="40"/>
      <c r="AB6" s="40"/>
      <c r="AC6" s="314"/>
      <c r="AD6" s="314"/>
      <c r="AE6" s="314"/>
      <c r="AF6" s="314"/>
      <c r="AG6" s="314"/>
      <c r="AH6" s="314"/>
    </row>
    <row r="7" spans="1:34" ht="18">
      <c r="A7" s="62" t="s">
        <v>250</v>
      </c>
      <c r="B7" s="40"/>
      <c r="C7" s="176"/>
      <c r="D7" s="40"/>
      <c r="E7" s="176"/>
      <c r="F7" s="40"/>
      <c r="G7" s="40"/>
      <c r="H7" s="40"/>
      <c r="I7" s="40"/>
      <c r="J7" s="40"/>
      <c r="K7" s="40"/>
      <c r="L7" s="40"/>
      <c r="M7" s="40"/>
    </row>
    <row r="8" spans="1:34" ht="17.5">
      <c r="A8" s="45"/>
      <c r="B8" s="40"/>
      <c r="C8" s="176"/>
      <c r="D8" s="40"/>
      <c r="E8" s="176"/>
      <c r="F8" s="40"/>
      <c r="G8" s="40"/>
      <c r="H8" s="40"/>
      <c r="I8" s="40"/>
      <c r="J8" s="40"/>
      <c r="K8" s="40"/>
      <c r="L8" s="40"/>
      <c r="M8" s="40"/>
    </row>
    <row r="9" spans="1:34">
      <c r="A9" s="46"/>
      <c r="B9" s="40"/>
      <c r="C9" s="176"/>
      <c r="D9" s="40"/>
      <c r="E9" s="176"/>
      <c r="F9" s="40"/>
      <c r="G9" s="40"/>
      <c r="H9" s="40"/>
      <c r="I9" s="40"/>
      <c r="J9" s="40"/>
      <c r="K9" s="40"/>
      <c r="L9" s="40"/>
      <c r="M9" s="40"/>
    </row>
    <row r="10" spans="1:34">
      <c r="A10" s="46"/>
      <c r="B10" s="40"/>
      <c r="C10" s="176"/>
      <c r="D10" s="40"/>
      <c r="E10" s="176"/>
      <c r="F10" s="40"/>
      <c r="G10" s="40"/>
      <c r="H10" s="40"/>
      <c r="I10" s="40"/>
      <c r="J10" s="40"/>
      <c r="K10" s="40"/>
      <c r="L10" s="40"/>
      <c r="M10" s="40"/>
    </row>
    <row r="11" spans="1:34">
      <c r="B11" s="47"/>
      <c r="C11" s="1490"/>
      <c r="D11" s="542"/>
      <c r="E11" s="1490"/>
      <c r="F11" s="728"/>
      <c r="G11" s="2007"/>
      <c r="H11" s="728"/>
      <c r="I11" s="2007" t="s">
        <v>308</v>
      </c>
      <c r="J11" s="728"/>
      <c r="K11" s="728"/>
      <c r="L11" s="728"/>
      <c r="M11" s="728"/>
      <c r="N11" s="1485"/>
      <c r="O11" s="1485"/>
    </row>
    <row r="12" spans="1:34">
      <c r="B12" s="47"/>
      <c r="C12" s="47"/>
      <c r="D12" s="47"/>
      <c r="E12" s="47"/>
      <c r="F12" s="47"/>
      <c r="G12" s="47"/>
      <c r="H12" s="47"/>
      <c r="I12" s="47"/>
      <c r="J12" s="47"/>
      <c r="K12" s="47"/>
      <c r="L12" s="47"/>
      <c r="M12" s="48" t="s">
        <v>252</v>
      </c>
      <c r="N12" s="48"/>
      <c r="O12" s="48" t="s">
        <v>252</v>
      </c>
    </row>
    <row r="13" spans="1:34">
      <c r="B13" s="47"/>
      <c r="C13" s="47"/>
      <c r="D13" s="47"/>
      <c r="E13" s="47"/>
      <c r="F13" s="47"/>
      <c r="G13" s="47"/>
      <c r="H13" s="47"/>
      <c r="I13" s="47"/>
      <c r="J13" s="47"/>
      <c r="K13" s="47"/>
      <c r="L13" s="47"/>
      <c r="M13" s="48" t="s">
        <v>253</v>
      </c>
      <c r="N13" s="48"/>
      <c r="O13" s="48" t="s">
        <v>253</v>
      </c>
    </row>
    <row r="14" spans="1:34">
      <c r="B14" s="47"/>
      <c r="C14" s="49" t="s">
        <v>255</v>
      </c>
      <c r="D14" s="47"/>
      <c r="E14" s="48" t="s">
        <v>256</v>
      </c>
      <c r="F14" s="47"/>
      <c r="G14" s="47"/>
      <c r="H14" s="47"/>
      <c r="I14" s="47"/>
      <c r="J14" s="47"/>
      <c r="K14" s="47"/>
      <c r="L14" s="47"/>
      <c r="M14" s="48" t="s">
        <v>257</v>
      </c>
      <c r="N14" s="48"/>
      <c r="O14" s="48" t="s">
        <v>257</v>
      </c>
    </row>
    <row r="15" spans="1:34" ht="15.75" customHeight="1">
      <c r="B15" s="47"/>
      <c r="C15" s="48" t="s">
        <v>258</v>
      </c>
      <c r="D15" s="47"/>
      <c r="E15" s="48" t="s">
        <v>258</v>
      </c>
      <c r="F15" s="47"/>
      <c r="G15" s="47"/>
      <c r="H15" s="47"/>
      <c r="I15" s="47"/>
      <c r="J15" s="47"/>
      <c r="K15" s="47"/>
      <c r="L15" s="47"/>
      <c r="M15" s="48" t="s">
        <v>255</v>
      </c>
      <c r="N15" s="48"/>
      <c r="O15" s="48" t="s">
        <v>256</v>
      </c>
    </row>
    <row r="16" spans="1:34">
      <c r="B16" s="47"/>
      <c r="C16" s="48" t="s">
        <v>259</v>
      </c>
      <c r="D16" s="47"/>
      <c r="E16" s="48" t="s">
        <v>1486</v>
      </c>
      <c r="F16" s="47"/>
      <c r="G16" s="49" t="s">
        <v>252</v>
      </c>
      <c r="H16" s="47"/>
      <c r="I16" s="551" t="s">
        <v>301</v>
      </c>
      <c r="J16" s="47"/>
      <c r="K16" s="551" t="s">
        <v>302</v>
      </c>
      <c r="L16" s="47"/>
      <c r="M16" s="48" t="s">
        <v>260</v>
      </c>
      <c r="N16" s="48"/>
      <c r="O16" s="48" t="s">
        <v>260</v>
      </c>
    </row>
    <row r="17" spans="1:34">
      <c r="A17" s="50"/>
      <c r="B17" s="40"/>
      <c r="C17" s="1483"/>
      <c r="D17" s="40"/>
      <c r="E17" s="1483"/>
      <c r="F17" s="40"/>
      <c r="G17" s="1483"/>
      <c r="H17" s="40"/>
      <c r="I17" s="40"/>
      <c r="J17" s="40"/>
      <c r="K17" s="40"/>
      <c r="L17" s="40"/>
      <c r="M17" s="1483"/>
      <c r="O17" s="1483"/>
    </row>
    <row r="18" spans="1:34">
      <c r="A18" s="6" t="s">
        <v>115</v>
      </c>
      <c r="C18" s="314"/>
      <c r="E18" s="314"/>
      <c r="G18" s="314" t="s">
        <v>104</v>
      </c>
    </row>
    <row r="19" spans="1:34">
      <c r="A19" s="427" t="s">
        <v>261</v>
      </c>
      <c r="B19" s="482" t="s">
        <v>104</v>
      </c>
      <c r="C19" s="335"/>
      <c r="D19" s="335"/>
      <c r="E19" s="335"/>
      <c r="F19" s="335"/>
      <c r="G19" s="493"/>
      <c r="H19" s="337"/>
      <c r="I19" s="337"/>
      <c r="J19" s="337"/>
      <c r="K19" s="337"/>
      <c r="L19" s="337"/>
      <c r="M19" s="335"/>
      <c r="O19" s="335"/>
      <c r="T19" s="314"/>
      <c r="U19" s="314"/>
      <c r="V19" s="314"/>
      <c r="W19" s="314"/>
      <c r="X19" s="314"/>
      <c r="Y19" s="314"/>
      <c r="Z19" s="314"/>
      <c r="AA19" s="314"/>
      <c r="AB19" s="314"/>
      <c r="AC19" s="314"/>
      <c r="AD19" s="314"/>
      <c r="AE19" s="314"/>
      <c r="AF19" s="314"/>
      <c r="AG19" s="314"/>
      <c r="AH19" s="314"/>
    </row>
    <row r="20" spans="1:34">
      <c r="A20" s="427" t="s">
        <v>263</v>
      </c>
      <c r="B20" s="314" t="s">
        <v>104</v>
      </c>
      <c r="C20" s="491">
        <f>'Exh D Captl Projects State Fed'!C20+'Exh D Captl Projects State Fed'!M20</f>
        <v>407</v>
      </c>
      <c r="D20" s="325"/>
      <c r="E20" s="491">
        <f>+'Exh D Captl Projects State Fed'!E20+'Exh D Captl Projects State Fed'!O20</f>
        <v>409</v>
      </c>
      <c r="F20" s="336"/>
      <c r="G20" s="491">
        <f>+'Exh D Captl Projects State Fed'!G20</f>
        <v>414.2</v>
      </c>
      <c r="H20" s="336"/>
      <c r="I20" s="491">
        <v>0</v>
      </c>
      <c r="J20" s="336"/>
      <c r="K20" s="731">
        <f>+G20+I20</f>
        <v>414.2</v>
      </c>
      <c r="L20" s="336"/>
      <c r="M20" s="335">
        <f t="shared" ref="M20:M26" si="0">K20-C20</f>
        <v>7.1999999999999886</v>
      </c>
      <c r="O20" s="335">
        <f>+K20-E20</f>
        <v>5.1999999999999886</v>
      </c>
      <c r="T20" s="314"/>
      <c r="U20" s="314"/>
      <c r="V20" s="314"/>
      <c r="W20" s="314"/>
      <c r="X20" s="314"/>
      <c r="Y20" s="314"/>
      <c r="Z20" s="314"/>
      <c r="AA20" s="314"/>
      <c r="AB20" s="314"/>
      <c r="AC20" s="314"/>
      <c r="AD20" s="314"/>
      <c r="AE20" s="314"/>
      <c r="AF20" s="314"/>
      <c r="AG20" s="314"/>
      <c r="AH20" s="314"/>
    </row>
    <row r="21" spans="1:34">
      <c r="A21" s="427" t="s">
        <v>264</v>
      </c>
      <c r="B21" s="482" t="s">
        <v>104</v>
      </c>
      <c r="C21" s="350">
        <f>'Exh D Captl Projects State Fed'!C21+'Exh D Captl Projects State Fed'!M21</f>
        <v>422</v>
      </c>
      <c r="D21" s="325"/>
      <c r="E21" s="350">
        <f>+'Exh D Captl Projects State Fed'!E21+'Exh D Captl Projects State Fed'!O21</f>
        <v>430</v>
      </c>
      <c r="F21" s="336"/>
      <c r="G21" s="350">
        <f>+'Exh D Captl Projects State Fed'!G21</f>
        <v>441.5</v>
      </c>
      <c r="H21" s="336"/>
      <c r="I21" s="336">
        <v>0</v>
      </c>
      <c r="J21" s="336"/>
      <c r="K21" s="732">
        <f t="shared" ref="K21:K26" si="1">+G21+I21</f>
        <v>441.5</v>
      </c>
      <c r="L21" s="336"/>
      <c r="M21" s="325">
        <f t="shared" si="0"/>
        <v>19.5</v>
      </c>
      <c r="N21" s="482"/>
      <c r="O21" s="325">
        <f>+K21-E21</f>
        <v>11.5</v>
      </c>
      <c r="Q21" s="482"/>
      <c r="S21" s="482"/>
      <c r="T21" s="314"/>
      <c r="U21" s="314"/>
      <c r="V21" s="482"/>
      <c r="W21" s="314"/>
      <c r="X21" s="314"/>
      <c r="Y21" s="482"/>
      <c r="Z21" s="69"/>
      <c r="AA21" s="482"/>
      <c r="AB21" s="314"/>
      <c r="AC21" s="314"/>
      <c r="AD21" s="314"/>
      <c r="AE21" s="314"/>
      <c r="AF21" s="314"/>
      <c r="AG21" s="314"/>
      <c r="AH21" s="314"/>
    </row>
    <row r="22" spans="1:34">
      <c r="A22" s="427" t="s">
        <v>265</v>
      </c>
      <c r="B22" s="314" t="s">
        <v>104</v>
      </c>
      <c r="C22" s="350">
        <f>'Exh D Captl Projects State Fed'!C22+'Exh D Captl Projects State Fed'!M22</f>
        <v>156</v>
      </c>
      <c r="D22" s="325"/>
      <c r="E22" s="350">
        <f>+'Exh D Captl Projects State Fed'!E22+'Exh D Captl Projects State Fed'!O22</f>
        <v>155</v>
      </c>
      <c r="F22" s="336"/>
      <c r="G22" s="350">
        <f>+'Exh D Captl Projects State Fed'!G22</f>
        <v>154.4</v>
      </c>
      <c r="H22" s="336"/>
      <c r="I22" s="336">
        <v>0</v>
      </c>
      <c r="J22" s="336"/>
      <c r="K22" s="732">
        <f>+G22+I22</f>
        <v>154.4</v>
      </c>
      <c r="L22" s="336"/>
      <c r="M22" s="325">
        <f t="shared" si="0"/>
        <v>-1.5999999999999943</v>
      </c>
      <c r="O22" s="325">
        <f t="shared" ref="O22:O26" si="2">+K22-E22</f>
        <v>-0.59999999999999432</v>
      </c>
      <c r="T22" s="314"/>
      <c r="U22" s="314"/>
      <c r="V22" s="314"/>
      <c r="W22" s="314"/>
      <c r="X22" s="314"/>
      <c r="Y22" s="314"/>
      <c r="Z22" s="314"/>
      <c r="AA22" s="314"/>
      <c r="AB22" s="314"/>
      <c r="AC22" s="314"/>
      <c r="AD22" s="314"/>
      <c r="AE22" s="314"/>
      <c r="AF22" s="314"/>
      <c r="AG22" s="314"/>
      <c r="AH22" s="314"/>
    </row>
    <row r="23" spans="1:34">
      <c r="A23" s="427" t="s">
        <v>120</v>
      </c>
      <c r="B23" s="314" t="s">
        <v>104</v>
      </c>
      <c r="C23" s="350">
        <f>'Exh D Captl Projects State Fed'!C23+'Exh D Captl Projects State Fed'!M23</f>
        <v>4749</v>
      </c>
      <c r="D23" s="325"/>
      <c r="E23" s="350">
        <f>+'Exh D Captl Projects State Fed'!E23+'Exh D Captl Projects State Fed'!O23</f>
        <v>3804</v>
      </c>
      <c r="F23" s="325"/>
      <c r="G23" s="325">
        <f>+'Exh D Captl Projects State Fed'!G23+'Exh D Captl Projects State Fed'!Q23</f>
        <v>3696.6</v>
      </c>
      <c r="H23" s="325"/>
      <c r="I23" s="325">
        <v>0</v>
      </c>
      <c r="J23" s="325"/>
      <c r="K23" s="732">
        <f t="shared" si="1"/>
        <v>3696.6</v>
      </c>
      <c r="L23" s="325"/>
      <c r="M23" s="325">
        <f t="shared" si="0"/>
        <v>-1052.4000000000001</v>
      </c>
      <c r="O23" s="325">
        <f t="shared" si="2"/>
        <v>-107.40000000000009</v>
      </c>
    </row>
    <row r="24" spans="1:34">
      <c r="A24" s="427" t="s">
        <v>121</v>
      </c>
      <c r="B24" s="314" t="s">
        <v>104</v>
      </c>
      <c r="C24" s="350">
        <f>'Exh D Captl Projects State Fed'!C24+'Exh D Captl Projects State Fed'!M24</f>
        <v>2280</v>
      </c>
      <c r="D24" s="325"/>
      <c r="E24" s="350">
        <f>+'Exh D Captl Projects State Fed'!E24+'Exh D Captl Projects State Fed'!O24</f>
        <v>1942</v>
      </c>
      <c r="F24" s="325"/>
      <c r="G24" s="325">
        <f>+'Exh D Captl Projects State Fed'!G24+'Exh D Captl Projects State Fed'!Q24</f>
        <v>1887.9</v>
      </c>
      <c r="H24" s="325"/>
      <c r="I24" s="325">
        <v>0</v>
      </c>
      <c r="J24" s="325"/>
      <c r="K24" s="732">
        <f t="shared" si="1"/>
        <v>1887.9</v>
      </c>
      <c r="L24" s="325"/>
      <c r="M24" s="325">
        <f t="shared" si="0"/>
        <v>-392.09999999999991</v>
      </c>
      <c r="O24" s="325">
        <f t="shared" si="2"/>
        <v>-54.099999999999909</v>
      </c>
    </row>
    <row r="25" spans="1:34">
      <c r="A25" s="427" t="s">
        <v>271</v>
      </c>
      <c r="B25" s="314" t="s">
        <v>104</v>
      </c>
      <c r="C25" s="350">
        <f>'Exh D Captl Projects State Fed'!C25+'Exh D Captl Projects State Fed'!M25</f>
        <v>0</v>
      </c>
      <c r="D25" s="469"/>
      <c r="E25" s="350">
        <f>+'Exh D Captl Projects State Fed'!E25+'Exh D Captl Projects State Fed'!O25</f>
        <v>0</v>
      </c>
      <c r="F25" s="325"/>
      <c r="G25" s="336">
        <f>+'Exh D Captl Projects State Fed'!G25+'Exh D Captl Projects State Fed'!Q25</f>
        <v>504.98107589999995</v>
      </c>
      <c r="H25" s="325"/>
      <c r="I25" s="325">
        <v>0</v>
      </c>
      <c r="J25" s="325"/>
      <c r="K25" s="336">
        <f t="shared" si="1"/>
        <v>504.98107589999995</v>
      </c>
      <c r="L25" s="325"/>
      <c r="M25" s="325">
        <f t="shared" si="0"/>
        <v>504.98107589999995</v>
      </c>
      <c r="O25" s="325">
        <f t="shared" si="2"/>
        <v>504.98107589999995</v>
      </c>
    </row>
    <row r="26" spans="1:34">
      <c r="A26" s="427" t="s">
        <v>149</v>
      </c>
      <c r="B26" s="314" t="s">
        <v>104</v>
      </c>
      <c r="C26" s="350">
        <f>'Exh D Captl Projects State Fed'!C26+'Exh D Captl Projects State Fed'!M26</f>
        <v>2214</v>
      </c>
      <c r="D26" s="325"/>
      <c r="E26" s="350">
        <f>+'Exh D Captl Projects State Fed'!E26+'Exh D Captl Projects State Fed'!O26</f>
        <v>2558</v>
      </c>
      <c r="F26" s="325"/>
      <c r="G26" s="348">
        <f>+'Exh D Captl Projects State Fed'!G26+'Exh D Captl Projects State Fed'!Q26</f>
        <v>1917.9</v>
      </c>
      <c r="H26" s="325"/>
      <c r="I26" s="325">
        <f>'Exhibit I'!AC93</f>
        <v>0</v>
      </c>
      <c r="J26" s="325"/>
      <c r="K26" s="732">
        <f t="shared" si="1"/>
        <v>1917.9</v>
      </c>
      <c r="L26" s="325"/>
      <c r="M26" s="325">
        <f t="shared" si="0"/>
        <v>-296.09999999999991</v>
      </c>
      <c r="O26" s="325">
        <f t="shared" si="2"/>
        <v>-640.09999999999991</v>
      </c>
    </row>
    <row r="27" spans="1:34" ht="18" customHeight="1">
      <c r="A27" s="2006" t="s">
        <v>287</v>
      </c>
      <c r="B27" s="47" t="s">
        <v>104</v>
      </c>
      <c r="C27" s="785">
        <f>ROUND(SUM(C20:C26),1)</f>
        <v>10228</v>
      </c>
      <c r="D27" s="16"/>
      <c r="E27" s="785">
        <f>ROUND(SUM(E20:E26),1)</f>
        <v>9298</v>
      </c>
      <c r="F27" s="16"/>
      <c r="G27" s="785">
        <f>ROUND(SUM(G20:G26),1)</f>
        <v>9017.5</v>
      </c>
      <c r="H27" s="16"/>
      <c r="I27" s="784">
        <f>ROUND(SUM(I20:I26),1)</f>
        <v>0</v>
      </c>
      <c r="J27" s="16"/>
      <c r="K27" s="784">
        <f>ROUND(SUM(K20:K26),1)</f>
        <v>9017.5</v>
      </c>
      <c r="L27" s="16"/>
      <c r="M27" s="785">
        <f>ROUND(SUM(M20:M26),1)</f>
        <v>-1210.5</v>
      </c>
      <c r="O27" s="785">
        <f>ROUND(SUM(O20:O26),1)</f>
        <v>-280.5</v>
      </c>
    </row>
    <row r="28" spans="1:34">
      <c r="B28" s="314" t="s">
        <v>104</v>
      </c>
      <c r="C28" s="783"/>
      <c r="D28" s="325"/>
      <c r="E28" s="783"/>
      <c r="F28" s="325"/>
      <c r="G28" s="783"/>
      <c r="H28" s="325"/>
      <c r="I28" s="325"/>
      <c r="J28" s="325"/>
      <c r="K28" s="325"/>
      <c r="L28" s="325"/>
      <c r="M28" s="783" t="s">
        <v>104</v>
      </c>
      <c r="O28" s="783" t="s">
        <v>104</v>
      </c>
    </row>
    <row r="29" spans="1:34">
      <c r="A29" s="6" t="s">
        <v>123</v>
      </c>
      <c r="B29" s="314" t="s">
        <v>104</v>
      </c>
      <c r="C29" s="325"/>
      <c r="D29" s="325"/>
      <c r="E29" s="325"/>
      <c r="F29" s="325"/>
      <c r="G29" s="325"/>
      <c r="H29" s="325"/>
      <c r="I29" s="325"/>
      <c r="J29" s="325"/>
      <c r="K29" s="325"/>
      <c r="L29" s="325"/>
      <c r="M29" s="325"/>
      <c r="O29" s="325"/>
    </row>
    <row r="30" spans="1:34">
      <c r="A30" s="427" t="s">
        <v>267</v>
      </c>
      <c r="B30" s="314" t="s">
        <v>104</v>
      </c>
      <c r="C30" s="350">
        <f>'Exh D Captl Projects State Fed'!C30+'Exh D Captl Projects State Fed'!M30</f>
        <v>3216</v>
      </c>
      <c r="D30" s="325"/>
      <c r="E30" s="350">
        <f>+'Exh D Captl Projects State Fed'!E30+'Exh D Captl Projects State Fed'!O30</f>
        <v>3246</v>
      </c>
      <c r="F30" s="325"/>
      <c r="G30" s="325">
        <f>+'Exh D Captl Projects State Fed'!G30+'Exh D Captl Projects State Fed'!Q30</f>
        <v>3629.4</v>
      </c>
      <c r="H30" s="325"/>
      <c r="I30" s="325">
        <v>0</v>
      </c>
      <c r="J30" s="325"/>
      <c r="K30" s="732">
        <f>+G30+I30</f>
        <v>3629.4</v>
      </c>
      <c r="L30" s="325"/>
      <c r="M30" s="325">
        <f>K30-C30</f>
        <v>413.40000000000009</v>
      </c>
      <c r="O30" s="325">
        <f t="shared" ref="O30:O32" si="3">+K30-E30</f>
        <v>383.40000000000009</v>
      </c>
    </row>
    <row r="31" spans="1:34">
      <c r="A31" s="427" t="s">
        <v>142</v>
      </c>
      <c r="B31" s="314" t="s">
        <v>104</v>
      </c>
      <c r="C31" s="350">
        <f>'Exh D Captl Projects State Fed'!C31+'Exh D Captl Projects State Fed'!M31</f>
        <v>7829</v>
      </c>
      <c r="D31" s="469"/>
      <c r="E31" s="350">
        <f>+'Exh D Captl Projects State Fed'!E31+'Exh D Captl Projects State Fed'!O31</f>
        <v>6394</v>
      </c>
      <c r="F31" s="325"/>
      <c r="G31" s="325">
        <f>+'Exh D Captl Projects State Fed'!G31+'Exh D Captl Projects State Fed'!Q31</f>
        <v>5730.2999999999993</v>
      </c>
      <c r="H31" s="325"/>
      <c r="I31" s="325">
        <v>0</v>
      </c>
      <c r="J31" s="325"/>
      <c r="K31" s="732">
        <f>+G31+I31</f>
        <v>5730.2999999999993</v>
      </c>
      <c r="L31" s="325"/>
      <c r="M31" s="325">
        <f>K31-C31</f>
        <v>-2098.7000000000007</v>
      </c>
      <c r="O31" s="325">
        <f t="shared" si="3"/>
        <v>-663.70000000000073</v>
      </c>
    </row>
    <row r="32" spans="1:34">
      <c r="A32" s="427" t="s">
        <v>272</v>
      </c>
      <c r="B32" s="314" t="s">
        <v>104</v>
      </c>
      <c r="C32" s="350">
        <f>'Exh D Captl Projects State Fed'!C32+'Exh D Captl Projects State Fed'!M32</f>
        <v>283</v>
      </c>
      <c r="D32" s="325"/>
      <c r="E32" s="350">
        <f>+'Exh D Captl Projects State Fed'!E32+'Exh D Captl Projects State Fed'!O32</f>
        <v>87</v>
      </c>
      <c r="F32" s="325"/>
      <c r="G32" s="325">
        <f>+'Exh D Captl Projects State Fed'!G32+'Exh D Captl Projects State Fed'!Q32</f>
        <v>71.130950000000013</v>
      </c>
      <c r="H32" s="325"/>
      <c r="I32" s="325">
        <f>-'Exhibit I'!AC94</f>
        <v>0</v>
      </c>
      <c r="J32" s="325"/>
      <c r="K32" s="732">
        <f>+G32+I32</f>
        <v>71.130950000000013</v>
      </c>
      <c r="L32" s="325"/>
      <c r="M32" s="325">
        <f>K32-C32</f>
        <v>-211.86904999999999</v>
      </c>
      <c r="O32" s="325">
        <f t="shared" si="3"/>
        <v>-15.869049999999987</v>
      </c>
    </row>
    <row r="33" spans="1:34" ht="18" customHeight="1">
      <c r="A33" s="2006" t="s">
        <v>296</v>
      </c>
      <c r="B33" s="47" t="s">
        <v>104</v>
      </c>
      <c r="C33" s="785">
        <f>ROUND(SUM(C30:C32),1)</f>
        <v>11328</v>
      </c>
      <c r="D33" s="16"/>
      <c r="E33" s="785">
        <f>ROUND(SUM(E30:E32),1)</f>
        <v>9727</v>
      </c>
      <c r="F33" s="16"/>
      <c r="G33" s="785">
        <f>ROUND(SUM(G30:G32),1)</f>
        <v>9430.7999999999993</v>
      </c>
      <c r="H33" s="16"/>
      <c r="I33" s="784">
        <f>ROUND(SUM(I30:I32),1)</f>
        <v>0</v>
      </c>
      <c r="J33" s="16"/>
      <c r="K33" s="784">
        <f>ROUND(SUM(K30:K32),1)</f>
        <v>9430.7999999999993</v>
      </c>
      <c r="L33" s="16"/>
      <c r="M33" s="785">
        <f>ROUND(SUM(M30:M32),1)</f>
        <v>-1897.2</v>
      </c>
      <c r="O33" s="785">
        <f>ROUND(SUM(O30:O32),1)</f>
        <v>-296.2</v>
      </c>
    </row>
    <row r="34" spans="1:34">
      <c r="B34" s="314" t="s">
        <v>104</v>
      </c>
      <c r="C34" s="783"/>
      <c r="D34" s="325"/>
      <c r="E34" s="783"/>
      <c r="F34" s="325"/>
      <c r="G34" s="783"/>
      <c r="H34" s="325"/>
      <c r="I34" s="325"/>
      <c r="J34" s="325"/>
      <c r="K34" s="325"/>
      <c r="L34" s="325"/>
      <c r="M34" s="783"/>
      <c r="O34" s="783"/>
    </row>
    <row r="35" spans="1:34">
      <c r="A35" s="6" t="s">
        <v>274</v>
      </c>
      <c r="C35" s="325"/>
      <c r="D35" s="325"/>
      <c r="E35" s="325"/>
      <c r="F35" s="325"/>
      <c r="G35" s="325"/>
      <c r="H35" s="325"/>
      <c r="I35" s="325"/>
      <c r="J35" s="325"/>
      <c r="K35" s="325"/>
      <c r="L35" s="325"/>
      <c r="M35" s="325"/>
      <c r="O35" s="325"/>
    </row>
    <row r="36" spans="1:34">
      <c r="A36" s="6" t="s">
        <v>275</v>
      </c>
      <c r="C36" s="325"/>
      <c r="D36" s="325"/>
      <c r="E36" s="325"/>
      <c r="F36" s="325"/>
      <c r="G36" s="325"/>
      <c r="H36" s="325"/>
      <c r="I36" s="325"/>
      <c r="J36" s="325"/>
      <c r="K36" s="325"/>
      <c r="L36" s="325"/>
      <c r="M36" s="325"/>
      <c r="O36" s="325"/>
    </row>
    <row r="37" spans="1:34">
      <c r="A37" s="2006" t="s">
        <v>276</v>
      </c>
      <c r="B37" s="53"/>
      <c r="C37" s="16">
        <f>ROUND(SUM(C27)-SUM(C33),1)</f>
        <v>-1100</v>
      </c>
      <c r="D37" s="16"/>
      <c r="E37" s="16">
        <f>ROUND(SUM(E27)-SUM(E33),1)</f>
        <v>-429</v>
      </c>
      <c r="F37" s="23"/>
      <c r="G37" s="16">
        <f>ROUND(SUM(G27)-SUM(G33),1)</f>
        <v>-413.3</v>
      </c>
      <c r="H37" s="23"/>
      <c r="I37" s="23">
        <v>0</v>
      </c>
      <c r="J37" s="23"/>
      <c r="K37" s="16">
        <f>ROUND(SUM(K27)-SUM(K33),1)</f>
        <v>-413.3</v>
      </c>
      <c r="L37" s="23"/>
      <c r="M37" s="16">
        <f>K37-C37</f>
        <v>686.7</v>
      </c>
      <c r="O37" s="16">
        <f>ROUND(SUM(O27)-SUM(O33),1)</f>
        <v>15.7</v>
      </c>
    </row>
    <row r="38" spans="1:34">
      <c r="C38" s="325"/>
      <c r="D38" s="16"/>
      <c r="E38" s="325"/>
      <c r="F38" s="325"/>
      <c r="G38" s="325"/>
      <c r="H38" s="325"/>
      <c r="I38" s="325"/>
      <c r="J38" s="325"/>
      <c r="K38" s="325"/>
      <c r="L38" s="325"/>
      <c r="M38" s="325"/>
      <c r="O38" s="325"/>
    </row>
    <row r="39" spans="1:34">
      <c r="A39" s="2006" t="str">
        <f>+'Exh D-Governmental  '!A49</f>
        <v>Fund Balances (Deficits) at April 1</v>
      </c>
      <c r="B39" s="488" t="s">
        <v>104</v>
      </c>
      <c r="C39" s="34">
        <v>-1594</v>
      </c>
      <c r="D39" s="16"/>
      <c r="E39" s="34">
        <f>'Exh D Captl Projects State Fed'!E39+'Exh D Captl Projects State Fed'!O39</f>
        <v>-1594</v>
      </c>
      <c r="F39" s="325"/>
      <c r="G39" s="16">
        <f>'Exhibit I'!E15</f>
        <v>-1594.5</v>
      </c>
      <c r="H39" s="325"/>
      <c r="I39" s="16">
        <v>0</v>
      </c>
      <c r="J39" s="325"/>
      <c r="K39" s="786">
        <f>+G39+I39</f>
        <v>-1594.5</v>
      </c>
      <c r="L39" s="325"/>
      <c r="M39" s="16">
        <f>K39-C39</f>
        <v>-0.5</v>
      </c>
      <c r="O39" s="16">
        <f>+K39-E39</f>
        <v>-0.5</v>
      </c>
      <c r="T39" s="314"/>
      <c r="U39" s="314"/>
      <c r="V39" s="314"/>
      <c r="W39" s="314"/>
      <c r="X39" s="314"/>
      <c r="Y39" s="314"/>
      <c r="Z39" s="314"/>
      <c r="AA39" s="314"/>
      <c r="AB39" s="314"/>
      <c r="AC39" s="314"/>
      <c r="AD39" s="314"/>
      <c r="AE39" s="314"/>
      <c r="AF39" s="314"/>
      <c r="AG39" s="314"/>
      <c r="AH39" s="314"/>
    </row>
    <row r="40" spans="1:34" ht="16" thickBot="1">
      <c r="A40" s="2006" t="str">
        <f>+'Exh D-Governmental  '!A50</f>
        <v xml:space="preserve">Fund Balances (Deficits) at November 30, 2023 </v>
      </c>
      <c r="B40" s="54" t="s">
        <v>104</v>
      </c>
      <c r="C40" s="843">
        <f>ROUND(SUM(C37:C39),1)</f>
        <v>-2694</v>
      </c>
      <c r="D40" s="26"/>
      <c r="E40" s="843">
        <f>ROUND(SUM(E37:E39),1)</f>
        <v>-2023</v>
      </c>
      <c r="F40" s="55"/>
      <c r="G40" s="843">
        <f>ROUND(SUM(G37:G39),1)</f>
        <v>-2007.8</v>
      </c>
      <c r="H40" s="55"/>
      <c r="I40" s="843">
        <f>ROUND(SUM(I37:I39),1)</f>
        <v>0</v>
      </c>
      <c r="J40" s="55"/>
      <c r="K40" s="843">
        <f>ROUND(SUM(K37:K39),1)</f>
        <v>-2007.8</v>
      </c>
      <c r="L40" s="55"/>
      <c r="M40" s="843">
        <f>ROUND(SUM(M37:M39),1)</f>
        <v>686.2</v>
      </c>
      <c r="O40" s="843">
        <f>ROUND(SUM(O37:O39),1)</f>
        <v>15.2</v>
      </c>
      <c r="T40" s="314"/>
      <c r="U40" s="314"/>
      <c r="V40" s="314"/>
      <c r="W40" s="314"/>
      <c r="X40" s="314"/>
      <c r="Y40" s="314"/>
      <c r="Z40" s="314"/>
      <c r="AA40" s="314"/>
      <c r="AB40" s="314"/>
      <c r="AC40" s="314"/>
      <c r="AD40" s="314"/>
      <c r="AE40" s="314"/>
      <c r="AF40" s="314"/>
      <c r="AG40" s="314"/>
      <c r="AH40" s="314"/>
    </row>
    <row r="41" spans="1:34" ht="16" thickTop="1">
      <c r="C41" s="314"/>
      <c r="E41" s="314"/>
      <c r="G41" s="329"/>
    </row>
    <row r="42" spans="1:34">
      <c r="A42" s="868" t="str">
        <f>'Exh D-Governmental  '!A52</f>
        <v xml:space="preserve">(*)    Source: 2023-24 Enacted Financial Plan dated June 9, 2023. </v>
      </c>
    </row>
    <row r="43" spans="1:34">
      <c r="A43" s="489" t="str">
        <f>'Exh D-Governmental  '!A53</f>
        <v>(**)   Source: 2023-24 Mid Year Update dated October 30, 2023.</v>
      </c>
      <c r="G43" s="484"/>
      <c r="M43" s="484"/>
      <c r="O43" s="492"/>
    </row>
    <row r="44" spans="1:34">
      <c r="A44" s="427"/>
    </row>
    <row r="45" spans="1:34">
      <c r="A45" s="427"/>
    </row>
    <row r="46" spans="1:34">
      <c r="A46" s="525"/>
    </row>
    <row r="47" spans="1:34">
      <c r="A47" s="57"/>
    </row>
  </sheetData>
  <mergeCells count="1">
    <mergeCell ref="A5:E5"/>
  </mergeCells>
  <pageMargins left="0.7" right="0.7" top="0.75" bottom="0.75" header="0.3" footer="0.3"/>
  <pageSetup scale="60" firstPageNumber="13" orientation="landscape" useFirstPageNumber="1" r:id="rId1"/>
  <headerFooter scaleWithDoc="0" alignWithMargins="0">
    <oddFooter>&amp;C&amp;8&amp;P</oddFooter>
  </headerFooter>
  <customProperties>
    <customPr name="SheetOptions" r:id="rId2"/>
  </customPropertie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5">
    <pageSetUpPr fitToPage="1"/>
  </sheetPr>
  <dimension ref="A1:AV52"/>
  <sheetViews>
    <sheetView showGridLines="0" zoomScale="90" zoomScaleNormal="110" workbookViewId="0"/>
  </sheetViews>
  <sheetFormatPr defaultColWidth="8.84375" defaultRowHeight="15.5"/>
  <cols>
    <col min="1" max="1" width="51.84375" style="353" customWidth="1"/>
    <col min="2" max="2" width="2.07421875" style="314" customWidth="1"/>
    <col min="3" max="3" width="15.84375" style="179" customWidth="1"/>
    <col min="4" max="4" width="1.07421875" style="314" customWidth="1"/>
    <col min="5" max="5" width="15.84375" style="179" customWidth="1"/>
    <col min="6" max="6" width="1.07421875" style="314" customWidth="1"/>
    <col min="7" max="7" width="15.84375" style="314" customWidth="1"/>
    <col min="8" max="8" width="0.84375" style="314" customWidth="1"/>
    <col min="9" max="9" width="19.4609375" style="314" customWidth="1"/>
    <col min="10" max="10" width="1.07421875" style="314" customWidth="1"/>
    <col min="11" max="11" width="19.4609375" style="314" customWidth="1"/>
    <col min="12" max="12" width="1.07421875" style="314" customWidth="1"/>
    <col min="13" max="13" width="15.84375" style="314" customWidth="1"/>
    <col min="14" max="14" width="1.07421875" style="314" customWidth="1"/>
    <col min="15" max="15" width="15.84375" style="314" customWidth="1"/>
    <col min="16" max="16" width="1.07421875" style="314" customWidth="1"/>
    <col min="17" max="17" width="15.84375" style="314" customWidth="1"/>
    <col min="18" max="18" width="1.07421875" style="314" customWidth="1"/>
    <col min="19" max="19" width="15.84375" style="314" customWidth="1"/>
    <col min="20" max="20" width="1.84375" style="314" customWidth="1"/>
    <col min="21" max="21" width="15.84375" style="179" customWidth="1"/>
    <col min="22" max="22" width="0.84375" style="314" customWidth="1"/>
    <col min="23" max="23" width="15.84375" style="179" customWidth="1"/>
    <col min="24" max="24" width="1.07421875" style="314" customWidth="1"/>
    <col min="25" max="25" width="15.84375" style="314" customWidth="1"/>
    <col min="26" max="26" width="1" style="314" customWidth="1"/>
    <col min="27" max="27" width="15.84375" style="314" customWidth="1"/>
    <col min="28" max="28" width="3.84375" style="314" bestFit="1" customWidth="1"/>
    <col min="29" max="33" width="8.84375" style="314"/>
    <col min="34" max="16384" width="8.84375" style="353"/>
  </cols>
  <sheetData>
    <row r="1" spans="1:48">
      <c r="A1" s="490" t="s">
        <v>98</v>
      </c>
    </row>
    <row r="2" spans="1:48" ht="16.5">
      <c r="A2" s="59"/>
      <c r="B2" s="60"/>
      <c r="C2" s="175"/>
      <c r="D2" s="60"/>
      <c r="E2" s="175"/>
      <c r="F2" s="60"/>
      <c r="G2" s="60"/>
      <c r="H2" s="60"/>
      <c r="I2" s="60"/>
      <c r="J2" s="60"/>
      <c r="K2" s="60"/>
      <c r="L2" s="60"/>
      <c r="M2" s="60"/>
      <c r="N2" s="60"/>
      <c r="O2" s="60"/>
      <c r="P2" s="60"/>
      <c r="Q2" s="60"/>
      <c r="R2" s="60"/>
      <c r="S2" s="60"/>
      <c r="T2" s="60"/>
      <c r="U2" s="175"/>
      <c r="V2" s="60"/>
      <c r="W2" s="175"/>
      <c r="X2" s="60"/>
      <c r="Y2" s="60"/>
      <c r="Z2" s="60"/>
      <c r="AA2" s="60"/>
    </row>
    <row r="3" spans="1:48" ht="18">
      <c r="A3" s="62" t="s">
        <v>99</v>
      </c>
      <c r="B3" s="40"/>
      <c r="C3" s="176"/>
      <c r="D3" s="40"/>
      <c r="E3" s="176"/>
      <c r="F3" s="40"/>
      <c r="G3" s="40"/>
      <c r="H3" s="40"/>
      <c r="I3" s="40"/>
      <c r="J3" s="40"/>
      <c r="K3" s="40"/>
      <c r="L3" s="40"/>
      <c r="M3" s="40"/>
      <c r="N3" s="40"/>
      <c r="O3" s="40"/>
      <c r="P3" s="40"/>
      <c r="Q3" s="40"/>
      <c r="R3" s="40"/>
      <c r="S3" s="429"/>
      <c r="T3" s="40"/>
      <c r="U3" s="429" t="s">
        <v>247</v>
      </c>
      <c r="V3" s="40"/>
      <c r="W3" s="176"/>
      <c r="X3" s="40"/>
      <c r="Y3" s="40"/>
      <c r="Z3" s="40"/>
      <c r="AA3" s="429"/>
    </row>
    <row r="4" spans="1:48" ht="18">
      <c r="A4" s="62" t="s">
        <v>309</v>
      </c>
      <c r="B4" s="40"/>
      <c r="C4" s="176"/>
      <c r="D4" s="40"/>
      <c r="E4" s="176"/>
      <c r="F4" s="40"/>
      <c r="G4" s="40"/>
      <c r="H4" s="40"/>
      <c r="I4" s="40"/>
      <c r="J4" s="40"/>
      <c r="K4" s="40"/>
      <c r="L4" s="40"/>
      <c r="M4" s="40"/>
      <c r="N4" s="40"/>
      <c r="O4" s="40"/>
      <c r="P4" s="40"/>
      <c r="Q4" s="40"/>
      <c r="R4" s="40"/>
      <c r="S4" s="430"/>
      <c r="T4" s="40"/>
      <c r="U4" s="430"/>
      <c r="V4" s="40"/>
      <c r="W4" s="176"/>
      <c r="X4" s="40"/>
      <c r="Y4" s="40"/>
      <c r="Z4" s="40"/>
      <c r="AA4" s="430"/>
    </row>
    <row r="5" spans="1:48" ht="18">
      <c r="A5" s="2221" t="str">
        <f>'Exh D-Governmental  '!A5:E5</f>
        <v>FISCAL YEAR 2023-2024</v>
      </c>
      <c r="B5" s="2222"/>
      <c r="C5" s="2222"/>
      <c r="D5" s="2222"/>
      <c r="E5" s="2222"/>
      <c r="F5" s="40"/>
      <c r="G5" s="40"/>
      <c r="H5" s="40"/>
      <c r="I5" s="40"/>
      <c r="J5" s="40"/>
      <c r="K5" s="40"/>
      <c r="L5" s="40"/>
      <c r="M5" s="40"/>
      <c r="N5" s="40"/>
      <c r="O5" s="40"/>
      <c r="P5" s="40"/>
      <c r="Q5" s="40"/>
      <c r="R5" s="40"/>
      <c r="S5" s="40"/>
      <c r="T5" s="40"/>
      <c r="U5" s="176"/>
      <c r="V5" s="40"/>
      <c r="W5" s="176"/>
      <c r="X5" s="40"/>
      <c r="Y5" s="40"/>
      <c r="Z5" s="40"/>
      <c r="AA5" s="40"/>
    </row>
    <row r="6" spans="1:48" ht="18">
      <c r="A6" s="668" t="str">
        <f>'Exh D-Governmental  '!A6</f>
        <v>FOR EIGHT MONTHS ENDED NOVEMBER 30, 2023</v>
      </c>
      <c r="B6" s="40"/>
      <c r="C6" s="176"/>
      <c r="D6" s="40"/>
      <c r="E6" s="176"/>
      <c r="F6" s="40"/>
      <c r="G6" s="40"/>
      <c r="H6" s="40"/>
      <c r="I6" s="40"/>
      <c r="J6" s="40"/>
      <c r="K6" s="40"/>
      <c r="L6" s="40"/>
      <c r="M6" s="40"/>
      <c r="N6" s="40"/>
      <c r="O6" s="40"/>
      <c r="P6" s="40"/>
      <c r="Q6" s="40"/>
      <c r="R6" s="40"/>
      <c r="S6" s="40"/>
      <c r="T6" s="40"/>
      <c r="U6" s="176"/>
      <c r="V6" s="40"/>
      <c r="W6" s="176"/>
      <c r="X6" s="40"/>
      <c r="Y6" s="40"/>
      <c r="Z6" s="40"/>
      <c r="AA6" s="40"/>
      <c r="AB6" s="40"/>
      <c r="AC6" s="40"/>
      <c r="AD6" s="40"/>
      <c r="AE6" s="40"/>
      <c r="AF6" s="40"/>
      <c r="AG6" s="40"/>
      <c r="AH6" s="40"/>
      <c r="AI6" s="40"/>
      <c r="AJ6" s="40"/>
      <c r="AK6" s="40"/>
      <c r="AL6" s="40"/>
      <c r="AM6" s="40"/>
      <c r="AN6" s="40"/>
      <c r="AO6" s="40"/>
      <c r="AP6" s="40"/>
      <c r="AQ6" s="314"/>
      <c r="AR6" s="314"/>
      <c r="AS6" s="314"/>
      <c r="AT6" s="314"/>
      <c r="AU6" s="314"/>
      <c r="AV6" s="314"/>
    </row>
    <row r="7" spans="1:48" ht="18">
      <c r="A7" s="62" t="s">
        <v>250</v>
      </c>
      <c r="B7" s="40"/>
      <c r="C7" s="176"/>
      <c r="D7" s="40"/>
      <c r="E7" s="176"/>
      <c r="F7" s="40"/>
      <c r="G7" s="40"/>
      <c r="H7" s="40"/>
      <c r="I7" s="40"/>
      <c r="J7" s="40"/>
      <c r="K7" s="40"/>
      <c r="L7" s="40"/>
      <c r="M7" s="40"/>
      <c r="N7" s="40"/>
      <c r="O7" s="40"/>
      <c r="P7" s="40"/>
      <c r="Q7" s="40"/>
      <c r="R7" s="40"/>
      <c r="S7" s="40"/>
      <c r="T7" s="40"/>
      <c r="U7" s="176"/>
      <c r="V7" s="40"/>
      <c r="W7" s="176"/>
      <c r="X7" s="40"/>
      <c r="Y7" s="40"/>
      <c r="Z7" s="40"/>
      <c r="AA7" s="40"/>
    </row>
    <row r="8" spans="1:48" ht="17.5">
      <c r="A8" s="45"/>
      <c r="B8" s="40"/>
      <c r="C8" s="176"/>
      <c r="D8" s="40"/>
      <c r="E8" s="176"/>
      <c r="F8" s="40"/>
      <c r="G8" s="40"/>
      <c r="H8" s="40"/>
      <c r="I8" s="40"/>
      <c r="J8" s="40"/>
      <c r="K8" s="40"/>
      <c r="L8" s="40"/>
      <c r="M8" s="40"/>
      <c r="N8" s="40"/>
      <c r="O8" s="40"/>
      <c r="P8" s="40"/>
      <c r="Q8" s="40"/>
      <c r="R8" s="40"/>
      <c r="S8" s="40"/>
      <c r="T8" s="40"/>
      <c r="U8" s="176"/>
      <c r="V8" s="40"/>
      <c r="W8" s="176"/>
      <c r="X8" s="40"/>
      <c r="Y8" s="40"/>
      <c r="Z8" s="40"/>
      <c r="AA8" s="40"/>
    </row>
    <row r="9" spans="1:48">
      <c r="A9" s="46"/>
      <c r="B9" s="40"/>
      <c r="C9" s="176"/>
      <c r="D9" s="40"/>
      <c r="E9" s="176"/>
      <c r="F9" s="40"/>
      <c r="G9" s="40"/>
      <c r="H9" s="40"/>
      <c r="I9" s="40"/>
      <c r="J9" s="40"/>
      <c r="K9" s="40"/>
      <c r="L9" s="40"/>
      <c r="M9" s="40"/>
      <c r="N9" s="40"/>
      <c r="O9" s="40"/>
      <c r="P9" s="40"/>
      <c r="Q9" s="40"/>
      <c r="R9" s="40"/>
      <c r="S9" s="40"/>
      <c r="T9" s="40"/>
      <c r="U9" s="176"/>
      <c r="V9" s="40"/>
      <c r="W9" s="176"/>
      <c r="X9" s="40"/>
      <c r="Y9" s="40"/>
      <c r="Z9" s="40"/>
      <c r="AA9" s="40"/>
    </row>
    <row r="10" spans="1:48">
      <c r="A10" s="46"/>
      <c r="B10" s="40"/>
      <c r="C10" s="176"/>
      <c r="D10" s="40"/>
      <c r="E10" s="176"/>
      <c r="F10" s="40"/>
      <c r="G10" s="40"/>
      <c r="H10" s="40"/>
      <c r="I10" s="40"/>
      <c r="J10" s="40"/>
      <c r="K10" s="40"/>
      <c r="L10" s="40"/>
      <c r="M10" s="176"/>
      <c r="N10" s="40"/>
      <c r="O10" s="176"/>
      <c r="P10" s="40"/>
      <c r="Q10" s="40"/>
      <c r="R10" s="40"/>
      <c r="S10" s="40"/>
      <c r="T10" s="40"/>
      <c r="U10" s="176"/>
      <c r="V10" s="40"/>
      <c r="W10" s="176"/>
      <c r="X10" s="40"/>
      <c r="Y10" s="40"/>
      <c r="Z10" s="40"/>
      <c r="AA10" s="40"/>
    </row>
    <row r="11" spans="1:48">
      <c r="B11" s="47"/>
      <c r="C11" s="2217" t="s">
        <v>310</v>
      </c>
      <c r="D11" s="2217"/>
      <c r="E11" s="2217"/>
      <c r="F11" s="2217"/>
      <c r="G11" s="2217"/>
      <c r="H11" s="2217"/>
      <c r="I11" s="2217"/>
      <c r="J11" s="2007"/>
      <c r="K11" s="2007"/>
      <c r="L11" s="64"/>
      <c r="M11" s="2217" t="s">
        <v>311</v>
      </c>
      <c r="N11" s="2217"/>
      <c r="O11" s="2217"/>
      <c r="P11" s="2217"/>
      <c r="Q11" s="2217"/>
      <c r="R11" s="2217"/>
      <c r="S11" s="2217"/>
      <c r="T11" s="1485"/>
      <c r="U11" s="2007"/>
      <c r="V11" s="2007"/>
      <c r="W11" s="66"/>
      <c r="X11" s="66"/>
      <c r="Y11" s="66"/>
      <c r="Z11" s="66"/>
      <c r="AA11" s="66"/>
    </row>
    <row r="12" spans="1:48">
      <c r="B12" s="47"/>
      <c r="C12" s="178"/>
      <c r="D12" s="47"/>
      <c r="E12" s="178"/>
      <c r="F12" s="47"/>
      <c r="G12" s="47"/>
      <c r="H12" s="47"/>
      <c r="I12" s="66" t="s">
        <v>252</v>
      </c>
      <c r="J12" s="66"/>
      <c r="K12" s="66" t="s">
        <v>252</v>
      </c>
      <c r="L12" s="2033"/>
      <c r="M12" s="178"/>
      <c r="N12" s="47"/>
      <c r="O12" s="178"/>
      <c r="P12" s="47"/>
      <c r="Q12" s="47"/>
      <c r="R12" s="47"/>
      <c r="S12" s="66" t="s">
        <v>252</v>
      </c>
      <c r="T12" s="47"/>
      <c r="U12" s="66" t="s">
        <v>252</v>
      </c>
      <c r="V12" s="47"/>
      <c r="W12" s="178"/>
      <c r="X12" s="47"/>
      <c r="Y12" s="47"/>
      <c r="Z12" s="47"/>
      <c r="AA12" s="66"/>
    </row>
    <row r="13" spans="1:48">
      <c r="B13" s="47"/>
      <c r="C13" s="178"/>
      <c r="D13" s="47"/>
      <c r="E13" s="178"/>
      <c r="F13" s="47"/>
      <c r="G13" s="47"/>
      <c r="H13" s="47"/>
      <c r="I13" s="48" t="s">
        <v>253</v>
      </c>
      <c r="J13" s="48"/>
      <c r="K13" s="48" t="s">
        <v>253</v>
      </c>
      <c r="L13" s="2033"/>
      <c r="M13" s="178"/>
      <c r="N13" s="47"/>
      <c r="O13" s="178"/>
      <c r="P13" s="47"/>
      <c r="Q13" s="47"/>
      <c r="R13" s="47"/>
      <c r="S13" s="48" t="s">
        <v>253</v>
      </c>
      <c r="T13" s="47"/>
      <c r="U13" s="48" t="s">
        <v>253</v>
      </c>
      <c r="V13" s="47"/>
      <c r="W13" s="178"/>
      <c r="X13" s="47"/>
      <c r="Y13" s="47"/>
      <c r="Z13" s="47"/>
      <c r="AA13" s="48"/>
    </row>
    <row r="14" spans="1:48" ht="15.75" customHeight="1">
      <c r="B14" s="47"/>
      <c r="C14" s="49" t="s">
        <v>255</v>
      </c>
      <c r="D14" s="353"/>
      <c r="E14" s="49" t="s">
        <v>256</v>
      </c>
      <c r="F14" s="47"/>
      <c r="G14" s="47"/>
      <c r="H14" s="47"/>
      <c r="I14" s="48" t="s">
        <v>257</v>
      </c>
      <c r="J14" s="48"/>
      <c r="K14" s="48" t="s">
        <v>257</v>
      </c>
      <c r="L14" s="2033"/>
      <c r="M14" s="49" t="s">
        <v>255</v>
      </c>
      <c r="N14" s="353"/>
      <c r="O14" s="49" t="s">
        <v>256</v>
      </c>
      <c r="P14" s="47"/>
      <c r="Q14" s="47"/>
      <c r="R14" s="47"/>
      <c r="S14" s="48" t="s">
        <v>257</v>
      </c>
      <c r="T14" s="68"/>
      <c r="U14" s="48" t="s">
        <v>257</v>
      </c>
      <c r="V14" s="353"/>
      <c r="W14" s="49"/>
      <c r="X14" s="47"/>
      <c r="Y14" s="47"/>
      <c r="Z14" s="47"/>
      <c r="AA14" s="48"/>
    </row>
    <row r="15" spans="1:48" ht="15.75" customHeight="1">
      <c r="B15" s="47"/>
      <c r="C15" s="48" t="s">
        <v>258</v>
      </c>
      <c r="D15" s="47"/>
      <c r="E15" s="48" t="s">
        <v>258</v>
      </c>
      <c r="F15" s="47"/>
      <c r="G15" s="47"/>
      <c r="H15" s="47"/>
      <c r="I15" s="48" t="s">
        <v>255</v>
      </c>
      <c r="J15" s="49"/>
      <c r="K15" s="49" t="s">
        <v>256</v>
      </c>
      <c r="L15" s="2033"/>
      <c r="M15" s="48" t="s">
        <v>258</v>
      </c>
      <c r="N15" s="47"/>
      <c r="O15" s="48" t="s">
        <v>258</v>
      </c>
      <c r="P15" s="47"/>
      <c r="Q15" s="47"/>
      <c r="R15" s="47"/>
      <c r="S15" s="48" t="s">
        <v>255</v>
      </c>
      <c r="T15" s="68"/>
      <c r="U15" s="49" t="s">
        <v>256</v>
      </c>
      <c r="V15" s="47"/>
      <c r="W15" s="48"/>
      <c r="X15" s="47"/>
      <c r="Y15" s="47"/>
      <c r="Z15" s="47"/>
      <c r="AA15" s="49"/>
    </row>
    <row r="16" spans="1:48">
      <c r="B16" s="47"/>
      <c r="C16" s="48" t="s">
        <v>259</v>
      </c>
      <c r="D16" s="47"/>
      <c r="E16" s="48" t="s">
        <v>1486</v>
      </c>
      <c r="F16" s="47"/>
      <c r="G16" s="49" t="s">
        <v>252</v>
      </c>
      <c r="H16" s="47"/>
      <c r="I16" s="48" t="s">
        <v>260</v>
      </c>
      <c r="J16" s="48"/>
      <c r="K16" s="48" t="s">
        <v>260</v>
      </c>
      <c r="L16" s="2033"/>
      <c r="M16" s="48" t="s">
        <v>259</v>
      </c>
      <c r="N16" s="47"/>
      <c r="O16" s="48" t="s">
        <v>1486</v>
      </c>
      <c r="P16" s="47"/>
      <c r="Q16" s="49" t="s">
        <v>252</v>
      </c>
      <c r="R16" s="47"/>
      <c r="S16" s="48" t="s">
        <v>260</v>
      </c>
      <c r="T16" s="48"/>
      <c r="U16" s="48" t="s">
        <v>260</v>
      </c>
      <c r="V16" s="47"/>
      <c r="W16" s="48"/>
      <c r="X16" s="47"/>
      <c r="Y16" s="49"/>
      <c r="Z16" s="47"/>
      <c r="AA16" s="48"/>
    </row>
    <row r="17" spans="1:48">
      <c r="A17" s="50"/>
      <c r="B17" s="40"/>
      <c r="C17" s="1483"/>
      <c r="D17" s="40"/>
      <c r="E17" s="1483"/>
      <c r="F17" s="40"/>
      <c r="G17" s="1483"/>
      <c r="H17" s="40"/>
      <c r="I17" s="1483"/>
      <c r="J17" s="40"/>
      <c r="K17" s="1483"/>
      <c r="L17" s="2034"/>
      <c r="M17" s="1483"/>
      <c r="N17" s="40"/>
      <c r="O17" s="1483"/>
      <c r="P17" s="40"/>
      <c r="Q17" s="1483"/>
      <c r="R17" s="40"/>
      <c r="S17" s="1483"/>
      <c r="T17" s="40"/>
      <c r="U17" s="1483"/>
      <c r="V17" s="40"/>
      <c r="W17" s="40"/>
      <c r="X17" s="40"/>
      <c r="Y17" s="40"/>
      <c r="Z17" s="40"/>
      <c r="AA17" s="40"/>
    </row>
    <row r="18" spans="1:48">
      <c r="A18" s="6" t="s">
        <v>115</v>
      </c>
      <c r="C18" s="314"/>
      <c r="E18" s="314"/>
      <c r="G18" s="329" t="s">
        <v>104</v>
      </c>
      <c r="L18" s="2035"/>
      <c r="Q18" s="314" t="s">
        <v>104</v>
      </c>
      <c r="U18" s="314"/>
      <c r="W18" s="314"/>
    </row>
    <row r="19" spans="1:48">
      <c r="A19" s="427" t="s">
        <v>261</v>
      </c>
      <c r="B19" s="482" t="s">
        <v>104</v>
      </c>
      <c r="C19" s="335"/>
      <c r="D19" s="337"/>
      <c r="E19" s="335"/>
      <c r="F19" s="337"/>
      <c r="G19" s="335"/>
      <c r="H19" s="337"/>
      <c r="I19" s="335"/>
      <c r="J19" s="335"/>
      <c r="K19" s="335"/>
      <c r="L19" s="2036"/>
      <c r="M19" s="335"/>
      <c r="N19" s="335"/>
      <c r="O19" s="335"/>
      <c r="P19" s="335"/>
      <c r="Q19" s="493"/>
      <c r="R19" s="337"/>
      <c r="S19" s="335"/>
      <c r="T19" s="337"/>
      <c r="U19" s="335"/>
      <c r="V19" s="335"/>
      <c r="W19" s="335"/>
      <c r="X19" s="335"/>
      <c r="Y19" s="493"/>
      <c r="Z19" s="337"/>
      <c r="AA19" s="335"/>
      <c r="AH19" s="314"/>
      <c r="AI19" s="314"/>
      <c r="AJ19" s="314"/>
      <c r="AK19" s="314"/>
      <c r="AL19" s="314"/>
      <c r="AM19" s="314"/>
      <c r="AN19" s="314"/>
      <c r="AO19" s="314"/>
      <c r="AP19" s="314"/>
      <c r="AQ19" s="314"/>
      <c r="AR19" s="314"/>
      <c r="AS19" s="314"/>
      <c r="AT19" s="314"/>
      <c r="AU19" s="314"/>
      <c r="AV19" s="314"/>
    </row>
    <row r="20" spans="1:48">
      <c r="A20" s="427" t="s">
        <v>263</v>
      </c>
      <c r="B20" s="314" t="s">
        <v>104</v>
      </c>
      <c r="C20" s="338">
        <v>407</v>
      </c>
      <c r="D20" s="335"/>
      <c r="E20" s="338">
        <v>409</v>
      </c>
      <c r="F20" s="335"/>
      <c r="G20" s="491">
        <f>'Exhibit I State'!AD22</f>
        <v>414.2</v>
      </c>
      <c r="H20" s="335"/>
      <c r="I20" s="335">
        <f>G20-C20</f>
        <v>7.1999999999999886</v>
      </c>
      <c r="J20" s="335"/>
      <c r="K20" s="335">
        <f>G20-E20</f>
        <v>5.1999999999999886</v>
      </c>
      <c r="L20" s="2036"/>
      <c r="M20" s="338">
        <v>0</v>
      </c>
      <c r="N20" s="338"/>
      <c r="O20" s="338">
        <v>0</v>
      </c>
      <c r="P20" s="338"/>
      <c r="Q20" s="491">
        <v>0</v>
      </c>
      <c r="R20" s="338"/>
      <c r="S20" s="335">
        <f>Q20-M20</f>
        <v>0</v>
      </c>
      <c r="T20" s="335"/>
      <c r="U20" s="335">
        <f t="shared" ref="U20:U26" si="0">+Q20-O20</f>
        <v>0</v>
      </c>
      <c r="V20" s="338"/>
      <c r="W20" s="491"/>
      <c r="X20" s="338"/>
      <c r="Y20" s="491"/>
      <c r="Z20" s="338"/>
      <c r="AA20" s="335"/>
      <c r="AH20" s="314"/>
      <c r="AI20" s="314"/>
      <c r="AJ20" s="314"/>
      <c r="AK20" s="314"/>
      <c r="AL20" s="314"/>
      <c r="AM20" s="314"/>
      <c r="AN20" s="314"/>
      <c r="AO20" s="314"/>
      <c r="AP20" s="314"/>
      <c r="AQ20" s="314"/>
      <c r="AR20" s="314"/>
      <c r="AS20" s="314"/>
      <c r="AT20" s="314"/>
      <c r="AU20" s="314"/>
      <c r="AV20" s="314"/>
    </row>
    <row r="21" spans="1:48">
      <c r="A21" s="427" t="s">
        <v>264</v>
      </c>
      <c r="B21" s="482" t="s">
        <v>104</v>
      </c>
      <c r="C21" s="336">
        <v>422</v>
      </c>
      <c r="D21" s="348"/>
      <c r="E21" s="336">
        <v>430</v>
      </c>
      <c r="F21" s="348"/>
      <c r="G21" s="350">
        <f>'Exhibit I State'!AD27</f>
        <v>441.5</v>
      </c>
      <c r="H21" s="348"/>
      <c r="I21" s="325">
        <f>G21-C21</f>
        <v>19.5</v>
      </c>
      <c r="J21" s="325"/>
      <c r="K21" s="325">
        <f>G21-E21</f>
        <v>11.5</v>
      </c>
      <c r="L21" s="2025"/>
      <c r="M21" s="336">
        <v>0</v>
      </c>
      <c r="N21" s="336"/>
      <c r="O21" s="336">
        <v>0</v>
      </c>
      <c r="P21" s="336"/>
      <c r="Q21" s="350">
        <v>0</v>
      </c>
      <c r="R21" s="336"/>
      <c r="S21" s="325">
        <f t="shared" ref="S21:S26" si="1">ROUND(SUM(Q21)-SUM(M21),1)</f>
        <v>0</v>
      </c>
      <c r="T21" s="348"/>
      <c r="U21" s="325">
        <f t="shared" si="0"/>
        <v>0</v>
      </c>
      <c r="V21" s="336"/>
      <c r="W21" s="350"/>
      <c r="X21" s="336"/>
      <c r="Y21" s="350"/>
      <c r="Z21" s="336"/>
      <c r="AA21" s="325"/>
      <c r="AB21" s="482"/>
      <c r="AE21" s="482"/>
      <c r="AG21" s="482"/>
      <c r="AH21" s="314"/>
      <c r="AI21" s="314"/>
      <c r="AJ21" s="482"/>
      <c r="AK21" s="314"/>
      <c r="AL21" s="314"/>
      <c r="AM21" s="482"/>
      <c r="AN21" s="69"/>
      <c r="AO21" s="482"/>
      <c r="AP21" s="314"/>
      <c r="AQ21" s="314"/>
      <c r="AR21" s="314"/>
      <c r="AS21" s="314"/>
      <c r="AT21" s="314"/>
      <c r="AU21" s="314"/>
      <c r="AV21" s="314"/>
    </row>
    <row r="22" spans="1:48">
      <c r="A22" s="427" t="s">
        <v>265</v>
      </c>
      <c r="B22" s="314" t="s">
        <v>104</v>
      </c>
      <c r="C22" s="336">
        <v>156</v>
      </c>
      <c r="D22" s="325"/>
      <c r="E22" s="336">
        <v>155</v>
      </c>
      <c r="F22" s="325"/>
      <c r="G22" s="350">
        <f>'Exhibit I State'!AD30</f>
        <v>154.4</v>
      </c>
      <c r="H22" s="325"/>
      <c r="I22" s="325">
        <f>G22-C22</f>
        <v>-1.5999999999999943</v>
      </c>
      <c r="J22" s="325"/>
      <c r="K22" s="325">
        <f t="shared" ref="K22:K26" si="2">G22-E22</f>
        <v>-0.59999999999999432</v>
      </c>
      <c r="L22" s="2025"/>
      <c r="M22" s="336">
        <v>0</v>
      </c>
      <c r="N22" s="336"/>
      <c r="O22" s="336">
        <v>0</v>
      </c>
      <c r="P22" s="336"/>
      <c r="Q22" s="350">
        <v>0</v>
      </c>
      <c r="R22" s="336"/>
      <c r="S22" s="325">
        <f t="shared" si="1"/>
        <v>0</v>
      </c>
      <c r="T22" s="325"/>
      <c r="U22" s="325">
        <f t="shared" si="0"/>
        <v>0</v>
      </c>
      <c r="V22" s="336"/>
      <c r="W22" s="350"/>
      <c r="X22" s="336"/>
      <c r="Y22" s="350"/>
      <c r="Z22" s="336"/>
      <c r="AA22" s="325"/>
      <c r="AH22" s="314"/>
      <c r="AI22" s="314"/>
      <c r="AJ22" s="314"/>
      <c r="AK22" s="314"/>
      <c r="AL22" s="314"/>
      <c r="AM22" s="314"/>
      <c r="AN22" s="314"/>
      <c r="AO22" s="314"/>
      <c r="AP22" s="314"/>
      <c r="AQ22" s="314"/>
      <c r="AR22" s="314"/>
      <c r="AS22" s="314"/>
      <c r="AT22" s="314"/>
      <c r="AU22" s="314"/>
      <c r="AV22" s="314"/>
    </row>
    <row r="23" spans="1:48">
      <c r="A23" s="427" t="s">
        <v>120</v>
      </c>
      <c r="B23" s="314" t="s">
        <v>104</v>
      </c>
      <c r="C23" s="336">
        <v>4615</v>
      </c>
      <c r="D23" s="325"/>
      <c r="E23" s="336">
        <v>3804</v>
      </c>
      <c r="F23" s="325"/>
      <c r="G23" s="350">
        <f>'Exhibit I State'!AD60</f>
        <v>3696.6</v>
      </c>
      <c r="H23" s="325"/>
      <c r="I23" s="325">
        <f>G23-C23</f>
        <v>-918.40000000000009</v>
      </c>
      <c r="J23" s="325"/>
      <c r="K23" s="325">
        <f t="shared" si="2"/>
        <v>-107.40000000000009</v>
      </c>
      <c r="L23" s="2025"/>
      <c r="M23" s="336">
        <v>134</v>
      </c>
      <c r="N23" s="325"/>
      <c r="O23" s="336">
        <v>0</v>
      </c>
      <c r="P23" s="325"/>
      <c r="Q23" s="325">
        <f>'Exhibit I Federal'!AD42</f>
        <v>0</v>
      </c>
      <c r="R23" s="325"/>
      <c r="S23" s="325">
        <f t="shared" si="1"/>
        <v>-134</v>
      </c>
      <c r="T23" s="325"/>
      <c r="U23" s="325">
        <f t="shared" si="0"/>
        <v>0</v>
      </c>
      <c r="V23" s="325"/>
      <c r="W23" s="350"/>
      <c r="X23" s="325"/>
      <c r="Y23" s="350"/>
      <c r="Z23" s="325"/>
      <c r="AA23" s="325"/>
    </row>
    <row r="24" spans="1:48">
      <c r="A24" s="427" t="s">
        <v>121</v>
      </c>
      <c r="B24" s="314" t="s">
        <v>104</v>
      </c>
      <c r="C24" s="336">
        <v>2</v>
      </c>
      <c r="D24" s="325"/>
      <c r="E24" s="336">
        <v>2</v>
      </c>
      <c r="F24" s="325"/>
      <c r="G24" s="350">
        <f>'Exhibit I State'!AD62</f>
        <v>2.4</v>
      </c>
      <c r="H24" s="325"/>
      <c r="I24" s="325">
        <f t="shared" ref="I24:I25" si="3">ROUND(SUM(G24)-SUM(C24),1)</f>
        <v>0.4</v>
      </c>
      <c r="J24" s="325"/>
      <c r="K24" s="325">
        <f t="shared" si="2"/>
        <v>0.39999999999999991</v>
      </c>
      <c r="L24" s="2025"/>
      <c r="M24" s="336">
        <v>2278</v>
      </c>
      <c r="N24" s="325"/>
      <c r="O24" s="336">
        <v>1940</v>
      </c>
      <c r="P24" s="325"/>
      <c r="Q24" s="325">
        <f>'Exhibit I Federal'!AD46</f>
        <v>1885.5</v>
      </c>
      <c r="R24" s="325"/>
      <c r="S24" s="325">
        <f t="shared" si="1"/>
        <v>-392.5</v>
      </c>
      <c r="T24" s="325"/>
      <c r="U24" s="325">
        <f t="shared" si="0"/>
        <v>-54.5</v>
      </c>
      <c r="V24" s="325"/>
      <c r="W24" s="350"/>
      <c r="X24" s="325"/>
      <c r="Y24" s="350"/>
      <c r="Z24" s="325"/>
      <c r="AA24" s="325"/>
    </row>
    <row r="25" spans="1:48">
      <c r="A25" s="427" t="s">
        <v>271</v>
      </c>
      <c r="B25" s="314" t="s">
        <v>104</v>
      </c>
      <c r="C25" s="336">
        <v>0</v>
      </c>
      <c r="D25" s="325"/>
      <c r="E25" s="336">
        <v>0</v>
      </c>
      <c r="F25" s="325"/>
      <c r="G25" s="350">
        <v>504.98107589999995</v>
      </c>
      <c r="H25" s="325"/>
      <c r="I25" s="325">
        <f t="shared" si="3"/>
        <v>505</v>
      </c>
      <c r="J25" s="325"/>
      <c r="K25" s="325">
        <f t="shared" si="2"/>
        <v>504.98107589999995</v>
      </c>
      <c r="L25" s="2037"/>
      <c r="M25" s="336">
        <v>0</v>
      </c>
      <c r="N25" s="325"/>
      <c r="O25" s="336">
        <v>0</v>
      </c>
      <c r="P25" s="325"/>
      <c r="Q25" s="336">
        <v>0</v>
      </c>
      <c r="R25" s="325"/>
      <c r="S25" s="325">
        <f t="shared" si="1"/>
        <v>0</v>
      </c>
      <c r="T25" s="348"/>
      <c r="U25" s="325">
        <f t="shared" si="0"/>
        <v>0</v>
      </c>
      <c r="V25" s="325"/>
      <c r="W25" s="350"/>
      <c r="X25" s="325"/>
      <c r="Y25" s="350"/>
      <c r="Z25" s="325"/>
      <c r="AA25" s="325"/>
    </row>
    <row r="26" spans="1:48">
      <c r="A26" s="427" t="s">
        <v>149</v>
      </c>
      <c r="B26" s="314" t="s">
        <v>104</v>
      </c>
      <c r="C26" s="336">
        <v>2196</v>
      </c>
      <c r="D26" s="325"/>
      <c r="E26" s="336">
        <v>2558</v>
      </c>
      <c r="F26" s="325"/>
      <c r="G26" s="348">
        <f>'Exhibit I State'!AD92</f>
        <v>1917.9</v>
      </c>
      <c r="H26" s="325"/>
      <c r="I26" s="325">
        <f>G26-C26</f>
        <v>-278.09999999999991</v>
      </c>
      <c r="J26" s="325"/>
      <c r="K26" s="325">
        <f t="shared" si="2"/>
        <v>-640.09999999999991</v>
      </c>
      <c r="L26" s="2025"/>
      <c r="M26" s="336">
        <v>18</v>
      </c>
      <c r="N26" s="325"/>
      <c r="O26" s="336">
        <v>0</v>
      </c>
      <c r="P26" s="325"/>
      <c r="Q26" s="348">
        <v>0</v>
      </c>
      <c r="R26" s="325"/>
      <c r="S26" s="325">
        <f t="shared" si="1"/>
        <v>-18</v>
      </c>
      <c r="T26" s="348"/>
      <c r="U26" s="325">
        <f t="shared" si="0"/>
        <v>0</v>
      </c>
      <c r="V26" s="325"/>
      <c r="W26" s="350"/>
      <c r="X26" s="325"/>
      <c r="Y26" s="350"/>
      <c r="Z26" s="325"/>
      <c r="AA26" s="325"/>
    </row>
    <row r="27" spans="1:48" ht="18" customHeight="1">
      <c r="A27" s="2006" t="s">
        <v>287</v>
      </c>
      <c r="B27" s="47" t="s">
        <v>104</v>
      </c>
      <c r="C27" s="785">
        <f>ROUND(SUM(C20:C26),1)</f>
        <v>7798</v>
      </c>
      <c r="D27" s="16"/>
      <c r="E27" s="785">
        <f>ROUND(SUM(E20:E26),1)</f>
        <v>7358</v>
      </c>
      <c r="F27" s="16"/>
      <c r="G27" s="785">
        <f>ROUND(SUM(G20:G26),1)</f>
        <v>7132</v>
      </c>
      <c r="H27" s="16"/>
      <c r="I27" s="785">
        <f>ROUND(SUM(I20:I26),1)</f>
        <v>-666</v>
      </c>
      <c r="J27" s="16"/>
      <c r="K27" s="785">
        <f>ROUND(SUM(K20:K26),1)</f>
        <v>-226</v>
      </c>
      <c r="L27" s="2038"/>
      <c r="M27" s="785">
        <f>ROUND(SUM(M20:M26),1)</f>
        <v>2430</v>
      </c>
      <c r="N27" s="16"/>
      <c r="O27" s="785">
        <f>ROUND(SUM(O20:O26),1)</f>
        <v>1940</v>
      </c>
      <c r="P27" s="16"/>
      <c r="Q27" s="785">
        <f>ROUND(SUM(Q20:Q26),1)</f>
        <v>1885.5</v>
      </c>
      <c r="R27" s="16"/>
      <c r="S27" s="785">
        <f>ROUND(SUM(S20:S26),1)</f>
        <v>-544.5</v>
      </c>
      <c r="T27" s="16"/>
      <c r="U27" s="785">
        <f>ROUND(SUM(U20:U26),1)</f>
        <v>-54.5</v>
      </c>
      <c r="V27" s="16"/>
      <c r="W27" s="16"/>
      <c r="X27" s="16"/>
      <c r="Y27" s="16"/>
      <c r="Z27" s="16"/>
      <c r="AA27" s="16"/>
    </row>
    <row r="28" spans="1:48">
      <c r="B28" s="314" t="s">
        <v>104</v>
      </c>
      <c r="C28" s="783"/>
      <c r="D28" s="325"/>
      <c r="E28" s="783"/>
      <c r="F28" s="325"/>
      <c r="G28" s="783"/>
      <c r="H28" s="325"/>
      <c r="I28" s="783"/>
      <c r="J28" s="325"/>
      <c r="K28" s="783"/>
      <c r="L28" s="2025"/>
      <c r="M28" s="783"/>
      <c r="N28" s="325"/>
      <c r="O28" s="783"/>
      <c r="P28" s="325"/>
      <c r="Q28" s="783"/>
      <c r="R28" s="325"/>
      <c r="S28" s="783" t="s">
        <v>104</v>
      </c>
      <c r="T28" s="325"/>
      <c r="U28" s="783"/>
      <c r="V28" s="325"/>
      <c r="W28" s="325"/>
      <c r="X28" s="325"/>
      <c r="Y28" s="325"/>
      <c r="Z28" s="325"/>
      <c r="AA28" s="325"/>
    </row>
    <row r="29" spans="1:48">
      <c r="A29" s="6" t="s">
        <v>123</v>
      </c>
      <c r="B29" s="314" t="s">
        <v>104</v>
      </c>
      <c r="C29" s="325"/>
      <c r="D29" s="325"/>
      <c r="E29" s="325"/>
      <c r="F29" s="325"/>
      <c r="G29" s="325"/>
      <c r="H29" s="325"/>
      <c r="I29" s="325"/>
      <c r="J29" s="325"/>
      <c r="K29" s="325"/>
      <c r="L29" s="2025"/>
      <c r="M29" s="325"/>
      <c r="N29" s="325"/>
      <c r="O29" s="325"/>
      <c r="P29" s="325"/>
      <c r="Q29" s="325"/>
      <c r="R29" s="325"/>
      <c r="S29" s="325"/>
      <c r="T29" s="325"/>
      <c r="U29" s="325"/>
      <c r="V29" s="325"/>
      <c r="W29" s="325"/>
      <c r="X29" s="325"/>
      <c r="Y29" s="325"/>
      <c r="Z29" s="325"/>
      <c r="AA29" s="325"/>
    </row>
    <row r="30" spans="1:48">
      <c r="A30" s="427" t="s">
        <v>267</v>
      </c>
      <c r="B30" s="314" t="s">
        <v>104</v>
      </c>
      <c r="C30" s="336">
        <v>2497</v>
      </c>
      <c r="D30" s="325"/>
      <c r="E30" s="336">
        <v>2594</v>
      </c>
      <c r="F30" s="325"/>
      <c r="G30" s="336">
        <f>'Exhibit I State'!AD78</f>
        <v>2984.3</v>
      </c>
      <c r="H30" s="325"/>
      <c r="I30" s="325">
        <f>G30-C30</f>
        <v>487.30000000000018</v>
      </c>
      <c r="J30" s="325"/>
      <c r="K30" s="325">
        <f t="shared" ref="K30:K32" si="4">G30-E30</f>
        <v>390.30000000000018</v>
      </c>
      <c r="L30" s="2025"/>
      <c r="M30" s="336">
        <v>719</v>
      </c>
      <c r="N30" s="325"/>
      <c r="O30" s="336">
        <v>652</v>
      </c>
      <c r="P30" s="325"/>
      <c r="Q30" s="325">
        <f>'Exhibit I Federal'!AD60</f>
        <v>645.1</v>
      </c>
      <c r="R30" s="325"/>
      <c r="S30" s="325">
        <f>Q30-M30</f>
        <v>-73.899999999999977</v>
      </c>
      <c r="T30" s="325"/>
      <c r="U30" s="325">
        <f t="shared" ref="U30:U31" si="5">+Q30-O30</f>
        <v>-6.8999999999999773</v>
      </c>
      <c r="V30" s="325"/>
      <c r="W30" s="350"/>
      <c r="X30" s="325"/>
      <c r="Y30" s="350"/>
      <c r="Z30" s="325"/>
      <c r="AA30" s="325"/>
    </row>
    <row r="31" spans="1:48">
      <c r="A31" s="427" t="s">
        <v>142</v>
      </c>
      <c r="B31" s="314" t="s">
        <v>104</v>
      </c>
      <c r="C31" s="336">
        <v>6197</v>
      </c>
      <c r="D31" s="325"/>
      <c r="E31" s="336">
        <v>4932</v>
      </c>
      <c r="F31" s="325"/>
      <c r="G31" s="336">
        <f>'Exhibit I State'!AD83</f>
        <v>4430.0999999999995</v>
      </c>
      <c r="H31" s="325"/>
      <c r="I31" s="325">
        <f>G31-C31</f>
        <v>-1766.9000000000005</v>
      </c>
      <c r="J31" s="325"/>
      <c r="K31" s="325">
        <f t="shared" si="4"/>
        <v>-501.90000000000055</v>
      </c>
      <c r="L31" s="2037"/>
      <c r="M31" s="336">
        <v>1632</v>
      </c>
      <c r="N31" s="325"/>
      <c r="O31" s="336">
        <v>1462</v>
      </c>
      <c r="P31" s="325"/>
      <c r="Q31" s="325">
        <f>'Exhibit I Federal'!AD65</f>
        <v>1300.2</v>
      </c>
      <c r="R31" s="325"/>
      <c r="S31" s="325">
        <f t="shared" ref="S31:S32" si="6">Q31-M31</f>
        <v>-331.79999999999995</v>
      </c>
      <c r="T31" s="325"/>
      <c r="U31" s="325">
        <f t="shared" si="5"/>
        <v>-161.79999999999995</v>
      </c>
      <c r="V31" s="325"/>
      <c r="W31" s="350"/>
      <c r="X31" s="325"/>
      <c r="Y31" s="350"/>
      <c r="Z31" s="325"/>
      <c r="AA31" s="325"/>
    </row>
    <row r="32" spans="1:48">
      <c r="A32" s="427" t="s">
        <v>272</v>
      </c>
      <c r="B32" s="314" t="s">
        <v>104</v>
      </c>
      <c r="C32" s="336">
        <v>283</v>
      </c>
      <c r="D32" s="325"/>
      <c r="E32" s="336">
        <v>87</v>
      </c>
      <c r="F32" s="325"/>
      <c r="G32" s="348">
        <f>-'Exhibit I State'!AD93</f>
        <v>70.900000000000006</v>
      </c>
      <c r="H32" s="325"/>
      <c r="I32" s="325">
        <f>G32-C32</f>
        <v>-212.1</v>
      </c>
      <c r="J32" s="325"/>
      <c r="K32" s="325">
        <f t="shared" si="4"/>
        <v>-16.099999999999994</v>
      </c>
      <c r="L32" s="2025"/>
      <c r="M32" s="336">
        <v>0</v>
      </c>
      <c r="N32" s="325"/>
      <c r="O32" s="336">
        <v>0</v>
      </c>
      <c r="P32" s="325"/>
      <c r="Q32" s="348">
        <v>0.23094999999999999</v>
      </c>
      <c r="R32" s="325"/>
      <c r="S32" s="325">
        <f t="shared" si="6"/>
        <v>0.23094999999999999</v>
      </c>
      <c r="T32" s="348"/>
      <c r="U32" s="325">
        <f>+Q32-O32</f>
        <v>0.23094999999999999</v>
      </c>
      <c r="V32" s="325"/>
      <c r="W32" s="350"/>
      <c r="X32" s="325"/>
      <c r="Y32" s="350"/>
      <c r="Z32" s="325"/>
      <c r="AA32" s="325"/>
    </row>
    <row r="33" spans="1:48" ht="18" customHeight="1">
      <c r="A33" s="2006" t="s">
        <v>296</v>
      </c>
      <c r="B33" s="47" t="s">
        <v>104</v>
      </c>
      <c r="C33" s="785">
        <f>ROUND(SUM(C30:C32),1)</f>
        <v>8977</v>
      </c>
      <c r="D33" s="16"/>
      <c r="E33" s="785">
        <f>ROUND(SUM(E30:E32),1)</f>
        <v>7613</v>
      </c>
      <c r="F33" s="16"/>
      <c r="G33" s="785">
        <f>ROUND(SUM(G30:G32),1)</f>
        <v>7485.3</v>
      </c>
      <c r="H33" s="16"/>
      <c r="I33" s="785">
        <f>ROUND(SUM(I30:I32),1)</f>
        <v>-1491.7</v>
      </c>
      <c r="J33" s="16"/>
      <c r="K33" s="785">
        <f>ROUND(SUM(K30:K32),1)</f>
        <v>-127.7</v>
      </c>
      <c r="L33" s="2038"/>
      <c r="M33" s="785">
        <f>ROUND(SUM(M30:M32),1)</f>
        <v>2351</v>
      </c>
      <c r="N33" s="16"/>
      <c r="O33" s="785">
        <f>ROUND(SUM(O30:O32),1)</f>
        <v>2114</v>
      </c>
      <c r="P33" s="16"/>
      <c r="Q33" s="785">
        <f>ROUND(SUM(Q30:Q32),1)</f>
        <v>1945.5</v>
      </c>
      <c r="R33" s="16"/>
      <c r="S33" s="785">
        <f>ROUND(SUM(S30:S32),1)</f>
        <v>-405.5</v>
      </c>
      <c r="T33" s="16"/>
      <c r="U33" s="785">
        <f>ROUND(SUM(U30:U32),1)</f>
        <v>-168.5</v>
      </c>
      <c r="V33" s="16"/>
      <c r="W33" s="16"/>
      <c r="X33" s="16"/>
      <c r="Y33" s="16"/>
      <c r="Z33" s="16"/>
      <c r="AA33" s="16"/>
    </row>
    <row r="34" spans="1:48">
      <c r="B34" s="314" t="s">
        <v>104</v>
      </c>
      <c r="C34" s="783"/>
      <c r="D34" s="325"/>
      <c r="E34" s="783"/>
      <c r="F34" s="325"/>
      <c r="G34" s="783"/>
      <c r="H34" s="325"/>
      <c r="I34" s="783"/>
      <c r="J34" s="325"/>
      <c r="K34" s="783"/>
      <c r="L34" s="2025"/>
      <c r="M34" s="783"/>
      <c r="N34" s="325"/>
      <c r="O34" s="783"/>
      <c r="P34" s="325"/>
      <c r="Q34" s="783"/>
      <c r="R34" s="325"/>
      <c r="S34" s="783"/>
      <c r="T34" s="325"/>
      <c r="U34" s="783"/>
      <c r="V34" s="325"/>
      <c r="W34" s="325"/>
      <c r="X34" s="325"/>
      <c r="Y34" s="325"/>
      <c r="Z34" s="325"/>
      <c r="AA34" s="325"/>
    </row>
    <row r="35" spans="1:48">
      <c r="A35" s="6" t="s">
        <v>274</v>
      </c>
      <c r="C35" s="325"/>
      <c r="D35" s="325"/>
      <c r="E35" s="325"/>
      <c r="F35" s="325"/>
      <c r="G35" s="325"/>
      <c r="H35" s="325"/>
      <c r="I35" s="325"/>
      <c r="J35" s="325"/>
      <c r="K35" s="325"/>
      <c r="L35" s="2025"/>
      <c r="M35" s="325"/>
      <c r="N35" s="325"/>
      <c r="O35" s="325"/>
      <c r="P35" s="325"/>
      <c r="Q35" s="325"/>
      <c r="R35" s="325"/>
      <c r="S35" s="325"/>
      <c r="T35" s="325"/>
      <c r="U35" s="325"/>
      <c r="V35" s="325"/>
      <c r="W35" s="325"/>
      <c r="X35" s="325"/>
      <c r="Y35" s="325"/>
      <c r="Z35" s="325"/>
      <c r="AA35" s="325"/>
    </row>
    <row r="36" spans="1:48">
      <c r="A36" s="6" t="s">
        <v>275</v>
      </c>
      <c r="C36" s="325"/>
      <c r="D36" s="325"/>
      <c r="E36" s="325"/>
      <c r="F36" s="325"/>
      <c r="G36" s="325"/>
      <c r="H36" s="325"/>
      <c r="I36" s="325"/>
      <c r="J36" s="325"/>
      <c r="K36" s="325"/>
      <c r="L36" s="2025"/>
      <c r="M36" s="325"/>
      <c r="N36" s="325"/>
      <c r="O36" s="325"/>
      <c r="P36" s="325"/>
      <c r="Q36" s="325"/>
      <c r="R36" s="325"/>
      <c r="S36" s="325"/>
      <c r="T36" s="325"/>
      <c r="U36" s="325"/>
      <c r="V36" s="325"/>
      <c r="W36" s="325"/>
      <c r="X36" s="325"/>
      <c r="Y36" s="325"/>
      <c r="Z36" s="325"/>
      <c r="AA36" s="325"/>
    </row>
    <row r="37" spans="1:48">
      <c r="A37" s="2006" t="s">
        <v>276</v>
      </c>
      <c r="B37" s="53" t="s">
        <v>104</v>
      </c>
      <c r="C37" s="16">
        <f>ROUND(SUM(C27)-SUM(C33),1)</f>
        <v>-1179</v>
      </c>
      <c r="D37" s="23"/>
      <c r="E37" s="16">
        <f>ROUND(SUM(E27)-SUM(E33),1)</f>
        <v>-255</v>
      </c>
      <c r="F37" s="23"/>
      <c r="G37" s="16">
        <f>ROUND(SUM(G27)-SUM(G33),1)</f>
        <v>-353.3</v>
      </c>
      <c r="H37" s="23"/>
      <c r="I37" s="16">
        <f>G37-C37</f>
        <v>825.7</v>
      </c>
      <c r="J37" s="16"/>
      <c r="K37" s="16">
        <f>ROUND(SUM(K27)-SUM(K33),1)</f>
        <v>-98.3</v>
      </c>
      <c r="L37" s="2038"/>
      <c r="M37" s="16">
        <f>ROUND(SUM(M27)-SUM(M33),1)</f>
        <v>79</v>
      </c>
      <c r="N37" s="23"/>
      <c r="O37" s="16">
        <f>ROUND(SUM(O27)-SUM(O33),1)</f>
        <v>-174</v>
      </c>
      <c r="P37" s="23"/>
      <c r="Q37" s="16">
        <f>ROUND(SUM(Q27)-SUM(Q33),1)</f>
        <v>-60</v>
      </c>
      <c r="R37" s="23"/>
      <c r="S37" s="16">
        <f>Q37-M37</f>
        <v>-139</v>
      </c>
      <c r="T37" s="16"/>
      <c r="U37" s="16">
        <f>ROUND(SUM(U27)-SUM(U33),1)</f>
        <v>114</v>
      </c>
      <c r="V37" s="23"/>
      <c r="W37" s="16"/>
      <c r="X37" s="23"/>
      <c r="Y37" s="16"/>
      <c r="Z37" s="23"/>
      <c r="AA37" s="16"/>
    </row>
    <row r="38" spans="1:48">
      <c r="C38" s="325"/>
      <c r="D38" s="325"/>
      <c r="E38" s="325"/>
      <c r="F38" s="325"/>
      <c r="G38" s="325"/>
      <c r="H38" s="325"/>
      <c r="I38" s="325"/>
      <c r="J38" s="325"/>
      <c r="K38" s="16"/>
      <c r="L38" s="2038"/>
      <c r="M38" s="325"/>
      <c r="N38" s="325"/>
      <c r="O38" s="325"/>
      <c r="P38" s="325"/>
      <c r="Q38" s="325"/>
      <c r="R38" s="325"/>
      <c r="S38" s="325"/>
      <c r="T38" s="325"/>
      <c r="U38" s="325"/>
      <c r="V38" s="325"/>
      <c r="W38" s="325"/>
      <c r="X38" s="325"/>
      <c r="Y38" s="325"/>
      <c r="Z38" s="325"/>
      <c r="AA38" s="325"/>
    </row>
    <row r="39" spans="1:48">
      <c r="A39" s="2006" t="s">
        <v>277</v>
      </c>
      <c r="B39" s="488" t="s">
        <v>104</v>
      </c>
      <c r="C39" s="16">
        <v>-1114</v>
      </c>
      <c r="D39" s="325"/>
      <c r="E39" s="16">
        <f>C39</f>
        <v>-1114</v>
      </c>
      <c r="F39" s="325"/>
      <c r="G39" s="16">
        <v>-1114.7061766190006</v>
      </c>
      <c r="H39" s="325"/>
      <c r="I39" s="16">
        <f>G39-C39</f>
        <v>-0.70617661900064377</v>
      </c>
      <c r="J39" s="21"/>
      <c r="K39" s="16">
        <f>G39-E39</f>
        <v>-0.70617661900064377</v>
      </c>
      <c r="L39" s="2038"/>
      <c r="M39" s="16">
        <v>-480</v>
      </c>
      <c r="N39" s="325"/>
      <c r="O39" s="16">
        <f>M39</f>
        <v>-480</v>
      </c>
      <c r="P39" s="325"/>
      <c r="Q39" s="16">
        <v>-479.82211009500008</v>
      </c>
      <c r="R39" s="325"/>
      <c r="S39" s="16">
        <f>Q39-M39</f>
        <v>0.17788990499991542</v>
      </c>
      <c r="T39" s="325"/>
      <c r="U39" s="16">
        <f>Q39-O39</f>
        <v>0.17788990499991542</v>
      </c>
      <c r="V39" s="325"/>
      <c r="W39" s="16"/>
      <c r="X39" s="325"/>
      <c r="Y39" s="16"/>
      <c r="Z39" s="325"/>
      <c r="AA39" s="21"/>
      <c r="AH39" s="314"/>
      <c r="AI39" s="314"/>
      <c r="AJ39" s="314"/>
      <c r="AK39" s="314"/>
      <c r="AL39" s="314"/>
      <c r="AM39" s="314"/>
      <c r="AN39" s="314"/>
      <c r="AO39" s="314"/>
      <c r="AP39" s="314"/>
      <c r="AQ39" s="314"/>
      <c r="AR39" s="314"/>
      <c r="AS39" s="314"/>
      <c r="AT39" s="314"/>
      <c r="AU39" s="314"/>
      <c r="AV39" s="314"/>
    </row>
    <row r="40" spans="1:48" ht="16" thickBot="1">
      <c r="A40" s="2006" t="str">
        <f>+'Exh D-Governmental  '!A50</f>
        <v xml:space="preserve">Fund Balances (Deficits) at November 30, 2023 </v>
      </c>
      <c r="B40" s="54" t="s">
        <v>104</v>
      </c>
      <c r="C40" s="843">
        <f>ROUND(SUM(C37:C39),1)</f>
        <v>-2293</v>
      </c>
      <c r="D40" s="55"/>
      <c r="E40" s="843">
        <f>ROUND(SUM(E37:E39),1)</f>
        <v>-1369</v>
      </c>
      <c r="F40" s="55"/>
      <c r="G40" s="843">
        <f>ROUND(SUM(G37:G39),1)</f>
        <v>-1468</v>
      </c>
      <c r="H40" s="55"/>
      <c r="I40" s="843">
        <f>ROUND(SUM(I37:I39),1)</f>
        <v>825</v>
      </c>
      <c r="J40" s="26"/>
      <c r="K40" s="843">
        <f>ROUND(SUM(K37:K39),1)</f>
        <v>-99</v>
      </c>
      <c r="L40" s="2039"/>
      <c r="M40" s="843">
        <f>ROUND(SUM(M37:M39),1)</f>
        <v>-401</v>
      </c>
      <c r="N40" s="55"/>
      <c r="O40" s="843">
        <f>ROUND(SUM(O37:O39),1)</f>
        <v>-654</v>
      </c>
      <c r="P40" s="55"/>
      <c r="Q40" s="843">
        <f>ROUND(SUM(Q37:Q39),1)</f>
        <v>-539.79999999999995</v>
      </c>
      <c r="R40" s="55"/>
      <c r="S40" s="843">
        <f>ROUND(SUM(S37:S39),1)</f>
        <v>-138.80000000000001</v>
      </c>
      <c r="T40" s="55"/>
      <c r="U40" s="843">
        <f>ROUND(SUM(U37:U39),1)</f>
        <v>114.2</v>
      </c>
      <c r="V40" s="55"/>
      <c r="W40" s="26"/>
      <c r="X40" s="55"/>
      <c r="Y40" s="26"/>
      <c r="Z40" s="55"/>
      <c r="AA40" s="26"/>
      <c r="AH40" s="314"/>
      <c r="AI40" s="314"/>
      <c r="AJ40" s="314"/>
      <c r="AK40" s="314"/>
      <c r="AL40" s="314"/>
      <c r="AM40" s="314"/>
      <c r="AN40" s="314"/>
      <c r="AO40" s="314"/>
      <c r="AP40" s="314"/>
      <c r="AQ40" s="314"/>
      <c r="AR40" s="314"/>
      <c r="AS40" s="314"/>
      <c r="AT40" s="314"/>
      <c r="AU40" s="314"/>
      <c r="AV40" s="314"/>
    </row>
    <row r="41" spans="1:48" ht="16" thickTop="1">
      <c r="Q41" s="329"/>
      <c r="U41" s="314"/>
      <c r="W41" s="314"/>
      <c r="Y41" s="329"/>
    </row>
    <row r="42" spans="1:48">
      <c r="A42" s="489" t="str">
        <f>'Exh D-Governmental  '!A52</f>
        <v xml:space="preserve">(*)    Source: 2023-24 Enacted Financial Plan dated June 9, 2023. </v>
      </c>
      <c r="S42" s="658"/>
    </row>
    <row r="43" spans="1:48">
      <c r="A43" s="489" t="str">
        <f>'Exh D-Governmental  '!A53</f>
        <v>(**)   Source: 2023-24 Mid Year Update dated October 30, 2023.</v>
      </c>
      <c r="L43" s="179"/>
      <c r="U43" s="314"/>
      <c r="W43" s="314"/>
      <c r="AH43" s="314"/>
      <c r="AI43" s="314"/>
      <c r="AJ43" s="314"/>
      <c r="AK43" s="314"/>
    </row>
    <row r="44" spans="1:48">
      <c r="A44" s="427"/>
      <c r="Y44" s="484"/>
      <c r="AA44" s="484"/>
      <c r="AC44" s="492"/>
    </row>
    <row r="45" spans="1:48">
      <c r="A45" s="427"/>
    </row>
    <row r="46" spans="1:48">
      <c r="A46" s="525"/>
    </row>
    <row r="47" spans="1:48">
      <c r="A47" s="57"/>
    </row>
    <row r="52" spans="7:7">
      <c r="G52" s="329"/>
    </row>
  </sheetData>
  <mergeCells count="3">
    <mergeCell ref="A5:E5"/>
    <mergeCell ref="C11:I11"/>
    <mergeCell ref="M11:S11"/>
  </mergeCells>
  <pageMargins left="0.2" right="0.2" top="0.75" bottom="0.75" header="0.3" footer="0.3"/>
  <pageSetup scale="49" firstPageNumber="14" orientation="landscape" useFirstPageNumber="1" r:id="rId1"/>
  <headerFooter scaleWithDoc="0" alignWithMargins="0">
    <oddFooter>&amp;C&amp;8&amp;P</oddFooter>
  </headerFooter>
  <customProperties>
    <customPr name="SheetOptions" r:id="rId2"/>
  </customPropertie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ransitionEntry="1" codeName="Sheet42">
    <pageSetUpPr fitToPage="1"/>
  </sheetPr>
  <dimension ref="A1:AL65"/>
  <sheetViews>
    <sheetView showGridLines="0" zoomScale="80" zoomScaleNormal="80" workbookViewId="0"/>
  </sheetViews>
  <sheetFormatPr defaultColWidth="9.84375" defaultRowHeight="12.5"/>
  <cols>
    <col min="1" max="1" width="32.07421875" style="1030" customWidth="1"/>
    <col min="2" max="2" width="10.84375" style="1030" customWidth="1"/>
    <col min="3" max="3" width="3.4609375" style="1030" customWidth="1"/>
    <col min="4" max="4" width="12.07421875" style="1030" customWidth="1"/>
    <col min="5" max="5" width="1.84375" style="1030" customWidth="1"/>
    <col min="6" max="6" width="17" style="1030" bestFit="1" customWidth="1"/>
    <col min="7" max="7" width="1.84375" style="1030" customWidth="1"/>
    <col min="8" max="8" width="12.07421875" style="1030" customWidth="1"/>
    <col min="9" max="9" width="1.84375" style="1030" customWidth="1"/>
    <col min="10" max="10" width="12.07421875" style="1030" customWidth="1"/>
    <col min="11" max="11" width="1.84375" style="1030" customWidth="1"/>
    <col min="12" max="12" width="12.07421875" style="1030" customWidth="1"/>
    <col min="13" max="13" width="1.84375" style="1030" customWidth="1"/>
    <col min="14" max="14" width="13" style="1030" customWidth="1"/>
    <col min="15" max="15" width="1.84375" style="1030" customWidth="1"/>
    <col min="16" max="16" width="12.07421875" style="1030" customWidth="1"/>
    <col min="17" max="17" width="1.84375" style="1030" customWidth="1"/>
    <col min="18" max="18" width="12.07421875" style="1030" customWidth="1"/>
    <col min="19" max="19" width="1.84375" style="1030" customWidth="1"/>
    <col min="20" max="20" width="1" style="1030" customWidth="1"/>
    <col min="21" max="21" width="1.84375" style="1030" customWidth="1"/>
    <col min="22" max="22" width="15.53515625" style="1030" customWidth="1"/>
    <col min="23" max="23" width="1.84375" style="1030" customWidth="1"/>
    <col min="24" max="24" width="17" style="1030" bestFit="1" customWidth="1"/>
    <col min="25" max="25" width="1.84375" style="1030" customWidth="1"/>
    <col min="26" max="26" width="1" style="1030" customWidth="1"/>
    <col min="27" max="27" width="1.84375" style="1030" customWidth="1"/>
    <col min="28" max="28" width="17.07421875" style="1030" customWidth="1"/>
    <col min="29" max="29" width="2" style="1030" customWidth="1"/>
    <col min="30" max="30" width="16.07421875" style="1030" customWidth="1"/>
    <col min="31" max="31" width="1.53515625" style="1030" customWidth="1"/>
    <col min="32" max="32" width="0.4609375" style="1030" customWidth="1"/>
    <col min="33" max="33" width="1.53515625" style="1030" customWidth="1"/>
    <col min="34" max="34" width="14.53515625" style="1030" bestFit="1" customWidth="1"/>
    <col min="35" max="35" width="1.84375" style="1030" customWidth="1"/>
    <col min="36" max="36" width="13.07421875" style="1030" customWidth="1"/>
    <col min="37" max="37" width="2.07421875" style="1030" customWidth="1"/>
    <col min="38" max="38" width="1.84375" style="1030" customWidth="1"/>
    <col min="39" max="16384" width="9.84375" style="1030"/>
  </cols>
  <sheetData>
    <row r="1" spans="1:38" s="1022" customFormat="1" ht="15.5">
      <c r="A1" s="345" t="s">
        <v>98</v>
      </c>
    </row>
    <row r="2" spans="1:38" s="1025" customFormat="1">
      <c r="A2" s="1023"/>
      <c r="B2" s="1024"/>
      <c r="C2" s="1024"/>
      <c r="D2" s="1022"/>
      <c r="E2" s="1024"/>
      <c r="F2" s="1024"/>
      <c r="G2" s="1024"/>
      <c r="H2" s="1024"/>
      <c r="I2" s="1024"/>
      <c r="J2" s="1024"/>
      <c r="K2" s="1024"/>
      <c r="L2" s="1024"/>
      <c r="M2" s="1024"/>
      <c r="N2" s="1024"/>
      <c r="O2" s="1024"/>
      <c r="P2" s="1024"/>
      <c r="Q2" s="1024"/>
      <c r="R2" s="1024"/>
      <c r="S2" s="1024"/>
      <c r="T2" s="1024"/>
      <c r="U2" s="1024"/>
      <c r="V2" s="1024"/>
      <c r="W2" s="1024"/>
      <c r="X2" s="1024"/>
      <c r="Y2" s="1024"/>
      <c r="Z2" s="1024"/>
      <c r="AA2" s="1024"/>
      <c r="AB2" s="1024"/>
      <c r="AC2" s="1024"/>
      <c r="AD2" s="1024"/>
      <c r="AE2" s="1024"/>
      <c r="AF2" s="1024"/>
      <c r="AG2" s="1024"/>
      <c r="AH2" s="1024"/>
    </row>
    <row r="3" spans="1:38" ht="18">
      <c r="A3" s="1026" t="s">
        <v>99</v>
      </c>
      <c r="B3" s="1027"/>
      <c r="C3" s="1027"/>
      <c r="D3" s="1022"/>
      <c r="E3" s="1027"/>
      <c r="F3" s="1027"/>
      <c r="G3" s="1027"/>
      <c r="H3" s="1027"/>
      <c r="I3" s="1027"/>
      <c r="J3" s="1027"/>
      <c r="K3" s="1027"/>
      <c r="L3" s="1028"/>
      <c r="M3" s="1028"/>
      <c r="N3" s="1028"/>
      <c r="O3" s="1028"/>
      <c r="P3" s="1027"/>
      <c r="Q3" s="1027"/>
      <c r="R3" s="1027"/>
      <c r="S3" s="1028"/>
      <c r="T3" s="1027"/>
      <c r="U3" s="1028"/>
      <c r="V3" s="1028"/>
      <c r="W3" s="1028"/>
      <c r="X3" s="1028"/>
      <c r="Y3" s="1028"/>
      <c r="Z3" s="1028"/>
      <c r="AA3" s="1028"/>
      <c r="AB3" s="1028"/>
      <c r="AC3" s="1028"/>
      <c r="AD3" s="1028"/>
      <c r="AE3" s="1028"/>
      <c r="AF3" s="1027"/>
      <c r="AG3" s="1027"/>
      <c r="AH3" s="1029"/>
      <c r="AI3" s="1029"/>
    </row>
    <row r="4" spans="1:38" ht="18">
      <c r="A4" s="1031" t="s">
        <v>101</v>
      </c>
      <c r="B4" s="1027"/>
      <c r="C4" s="1027"/>
      <c r="D4" s="1022"/>
      <c r="E4" s="1027"/>
      <c r="F4" s="1027"/>
      <c r="G4" s="1027"/>
      <c r="H4" s="1027"/>
      <c r="I4" s="1027"/>
      <c r="J4" s="1027"/>
      <c r="K4" s="1027"/>
      <c r="L4" s="1028"/>
      <c r="M4" s="1028"/>
      <c r="N4" s="1028"/>
      <c r="O4" s="1028"/>
      <c r="P4" s="1027"/>
      <c r="Q4" s="1027"/>
      <c r="R4" s="1027"/>
      <c r="S4" s="1028"/>
      <c r="T4" s="1027"/>
      <c r="U4" s="1028"/>
      <c r="V4" s="1028"/>
      <c r="W4" s="1028"/>
      <c r="X4" s="1028"/>
      <c r="Y4" s="1028"/>
      <c r="Z4" s="1028"/>
      <c r="AA4" s="1028"/>
      <c r="AB4" s="1028"/>
      <c r="AC4" s="1028"/>
      <c r="AD4" s="1028"/>
      <c r="AE4" s="1028"/>
      <c r="AF4" s="1027"/>
      <c r="AG4" s="1027"/>
      <c r="AH4" s="1029"/>
      <c r="AI4" s="1029"/>
    </row>
    <row r="5" spans="1:38" ht="18">
      <c r="A5" s="1026" t="s">
        <v>312</v>
      </c>
      <c r="B5" s="1027"/>
      <c r="C5" s="1027"/>
      <c r="D5" s="1022"/>
      <c r="E5" s="1027"/>
      <c r="F5" s="1027"/>
      <c r="G5" s="1027"/>
      <c r="H5" s="1028"/>
      <c r="I5" s="1028"/>
      <c r="J5" s="1028"/>
      <c r="K5" s="1027"/>
      <c r="L5" s="1028"/>
      <c r="M5" s="1028"/>
      <c r="N5" s="1028" t="s">
        <v>104</v>
      </c>
      <c r="O5" s="1028"/>
      <c r="P5" s="1027"/>
      <c r="Q5" s="1027"/>
      <c r="R5" s="1027"/>
      <c r="S5" s="1028"/>
      <c r="T5" s="1027"/>
      <c r="U5" s="1028"/>
      <c r="V5" s="1028"/>
      <c r="W5" s="1028"/>
      <c r="X5" s="1028"/>
      <c r="Y5" s="1028"/>
      <c r="Z5" s="1028"/>
      <c r="AA5" s="1028"/>
      <c r="AB5" s="1028"/>
      <c r="AC5" s="1028"/>
      <c r="AD5" s="1028"/>
      <c r="AE5" s="1028"/>
      <c r="AF5" s="1027"/>
      <c r="AG5" s="1027"/>
      <c r="AH5" s="1029"/>
      <c r="AI5" s="1029"/>
    </row>
    <row r="6" spans="1:38" ht="18">
      <c r="A6" s="1026" t="s">
        <v>103</v>
      </c>
      <c r="B6" s="1027"/>
      <c r="C6" s="1027"/>
      <c r="D6" s="1022"/>
      <c r="E6" s="1027"/>
      <c r="F6" s="1027"/>
      <c r="G6" s="1027"/>
      <c r="H6" s="1027"/>
      <c r="I6" s="1027"/>
      <c r="J6" s="1027"/>
      <c r="K6" s="1027"/>
      <c r="L6" s="1028"/>
      <c r="M6" s="1028"/>
      <c r="N6" s="1028"/>
      <c r="O6" s="1028"/>
      <c r="P6" s="1027"/>
      <c r="Q6" s="1027"/>
      <c r="R6" s="1027"/>
      <c r="S6" s="1028"/>
      <c r="T6" s="1027"/>
      <c r="U6" s="1028"/>
      <c r="V6" s="1028"/>
      <c r="W6" s="1028"/>
      <c r="X6" s="1028"/>
      <c r="Y6" s="1028"/>
      <c r="Z6" s="1028"/>
      <c r="AA6" s="1028"/>
      <c r="AB6" s="1028"/>
      <c r="AC6" s="1028"/>
      <c r="AD6" s="1028"/>
      <c r="AE6" s="1028"/>
      <c r="AF6" s="1027"/>
      <c r="AG6" s="1027"/>
      <c r="AH6" s="1029"/>
      <c r="AI6" s="1029"/>
    </row>
    <row r="7" spans="1:38" ht="18">
      <c r="A7" s="1027"/>
      <c r="B7" s="1027"/>
      <c r="C7" s="1027"/>
      <c r="D7" s="1022"/>
      <c r="E7" s="1027"/>
      <c r="F7" s="1027"/>
      <c r="G7" s="1027"/>
      <c r="H7" s="1027"/>
      <c r="I7" s="1027"/>
      <c r="J7" s="1027"/>
      <c r="K7" s="1027"/>
      <c r="L7" s="1028"/>
      <c r="M7" s="1028"/>
      <c r="N7" s="1028"/>
      <c r="O7" s="1028"/>
      <c r="P7" s="1028"/>
      <c r="Q7" s="1028"/>
      <c r="R7" s="1028"/>
      <c r="S7" s="1028"/>
      <c r="T7" s="1028"/>
      <c r="U7" s="1028"/>
      <c r="V7" s="1028"/>
      <c r="W7" s="1028"/>
      <c r="X7" s="1028"/>
      <c r="Y7" s="1028"/>
      <c r="Z7" s="1028"/>
      <c r="AA7" s="1028"/>
      <c r="AB7" s="1161"/>
      <c r="AC7" s="1161"/>
      <c r="AD7" s="1161"/>
      <c r="AE7" s="1161"/>
      <c r="AF7" s="1027"/>
      <c r="AG7" s="1027"/>
      <c r="AH7" s="1029"/>
      <c r="AI7" s="1029"/>
      <c r="AJ7" s="1032" t="s">
        <v>313</v>
      </c>
    </row>
    <row r="8" spans="1:38" ht="15.5">
      <c r="A8" s="345"/>
      <c r="B8" s="345"/>
      <c r="C8" s="345"/>
      <c r="D8" s="1022"/>
      <c r="E8" s="345"/>
      <c r="F8" s="345"/>
      <c r="G8" s="345"/>
      <c r="H8" s="345"/>
      <c r="I8" s="345"/>
      <c r="J8" s="345"/>
      <c r="K8" s="345"/>
      <c r="L8" s="346"/>
      <c r="M8" s="346"/>
      <c r="N8" s="346"/>
      <c r="O8" s="346"/>
      <c r="P8" s="346"/>
      <c r="Q8" s="346"/>
      <c r="R8" s="346"/>
      <c r="S8" s="346"/>
      <c r="T8" s="346"/>
      <c r="U8" s="346"/>
      <c r="V8" s="346"/>
      <c r="W8" s="346"/>
      <c r="X8" s="346"/>
      <c r="Y8" s="346"/>
      <c r="Z8" s="346"/>
      <c r="AA8" s="346"/>
      <c r="AB8" s="346"/>
      <c r="AC8" s="346"/>
      <c r="AD8" s="346"/>
      <c r="AE8" s="346"/>
      <c r="AF8" s="345"/>
      <c r="AG8" s="345"/>
      <c r="AH8" s="1029"/>
      <c r="AI8" s="1029"/>
    </row>
    <row r="9" spans="1:38" ht="15.5">
      <c r="A9" s="345"/>
      <c r="B9" s="345"/>
      <c r="C9" s="345"/>
      <c r="D9" s="1022"/>
      <c r="E9" s="346"/>
      <c r="F9" s="346"/>
      <c r="G9" s="346"/>
      <c r="H9" s="346"/>
      <c r="I9" s="346"/>
      <c r="J9" s="346"/>
      <c r="K9" s="346"/>
      <c r="L9" s="346"/>
      <c r="M9" s="346"/>
      <c r="N9" s="346"/>
      <c r="O9" s="346"/>
      <c r="P9" s="346"/>
      <c r="Q9" s="346"/>
      <c r="R9" s="346"/>
      <c r="S9" s="346"/>
      <c r="T9" s="346"/>
      <c r="U9" s="346"/>
      <c r="V9" s="1028"/>
      <c r="W9" s="1028"/>
      <c r="X9" s="1028"/>
      <c r="Y9" s="1028"/>
      <c r="Z9" s="1028"/>
      <c r="AA9" s="1028"/>
      <c r="AB9" s="1028"/>
      <c r="AC9" s="1028"/>
      <c r="AD9" s="1028"/>
      <c r="AE9" s="1028"/>
      <c r="AF9" s="346"/>
      <c r="AG9" s="346"/>
      <c r="AH9" s="1033"/>
      <c r="AI9" s="1033"/>
    </row>
    <row r="10" spans="1:38" ht="4.4000000000000004" customHeight="1">
      <c r="A10" s="345"/>
      <c r="B10" s="345"/>
      <c r="C10" s="345"/>
      <c r="D10" s="345"/>
      <c r="E10" s="345"/>
      <c r="F10" s="345"/>
      <c r="G10" s="345"/>
      <c r="H10" s="345"/>
      <c r="I10" s="345"/>
      <c r="J10" s="345"/>
      <c r="K10" s="345"/>
      <c r="L10" s="345"/>
      <c r="M10" s="345"/>
      <c r="N10" s="345"/>
      <c r="O10" s="345"/>
      <c r="P10" s="345"/>
      <c r="Q10" s="345"/>
      <c r="R10" s="345"/>
      <c r="S10" s="345"/>
      <c r="T10" s="345"/>
      <c r="U10" s="345"/>
      <c r="V10" s="345"/>
      <c r="W10" s="345"/>
      <c r="X10" s="345"/>
      <c r="Y10" s="345"/>
      <c r="Z10" s="345"/>
      <c r="AA10" s="345"/>
      <c r="AB10" s="345"/>
      <c r="AC10" s="345"/>
      <c r="AD10" s="345"/>
      <c r="AE10" s="345"/>
      <c r="AF10" s="345"/>
      <c r="AG10" s="345"/>
      <c r="AH10" s="1029"/>
      <c r="AI10" s="1029"/>
    </row>
    <row r="11" spans="1:38" ht="15" customHeight="1">
      <c r="A11" s="345"/>
      <c r="B11" s="345"/>
      <c r="C11" s="345"/>
      <c r="D11" s="1034" t="s">
        <v>105</v>
      </c>
      <c r="E11" s="1034"/>
      <c r="F11" s="1034"/>
      <c r="G11" s="345"/>
      <c r="H11" s="1034" t="s">
        <v>314</v>
      </c>
      <c r="I11" s="1034"/>
      <c r="J11" s="1034"/>
      <c r="K11" s="345"/>
      <c r="L11" s="1034" t="s">
        <v>107</v>
      </c>
      <c r="M11" s="1034"/>
      <c r="N11" s="1034"/>
      <c r="O11" s="345"/>
      <c r="P11" s="1034" t="s">
        <v>315</v>
      </c>
      <c r="Q11" s="1034"/>
      <c r="R11" s="1034"/>
      <c r="S11" s="345"/>
      <c r="T11" s="345"/>
      <c r="U11" s="345"/>
      <c r="V11" s="1187" t="s">
        <v>316</v>
      </c>
      <c r="W11" s="1034"/>
      <c r="X11" s="1034"/>
      <c r="Y11" s="1034"/>
      <c r="Z11" s="1035"/>
      <c r="AA11" s="1035"/>
      <c r="AB11" s="1034"/>
      <c r="AC11" s="1034"/>
      <c r="AD11" s="1034"/>
      <c r="AE11" s="1185"/>
      <c r="AF11" s="1186"/>
      <c r="AG11" s="346"/>
      <c r="AH11" s="1187" t="s">
        <v>227</v>
      </c>
      <c r="AI11" s="1034"/>
      <c r="AJ11" s="1034"/>
    </row>
    <row r="12" spans="1:38" ht="15.5">
      <c r="A12" s="345"/>
      <c r="B12" s="345"/>
      <c r="C12" s="345"/>
      <c r="D12" s="1491" t="s">
        <v>110</v>
      </c>
      <c r="E12" s="1491"/>
      <c r="F12" s="1492" t="str">
        <f>'Exhibit A'!F11</f>
        <v>8 MOS. ENDED</v>
      </c>
      <c r="G12" s="346"/>
      <c r="H12" s="1491" t="s">
        <v>110</v>
      </c>
      <c r="I12" s="1493"/>
      <c r="J12" s="1491" t="str">
        <f>F12</f>
        <v>8 MOS. ENDED</v>
      </c>
      <c r="K12" s="346"/>
      <c r="L12" s="1491" t="s">
        <v>110</v>
      </c>
      <c r="M12" s="1493"/>
      <c r="N12" s="1491" t="str">
        <f>F12</f>
        <v>8 MOS. ENDED</v>
      </c>
      <c r="O12" s="346"/>
      <c r="P12" s="1491" t="s">
        <v>110</v>
      </c>
      <c r="Q12" s="1493"/>
      <c r="R12" s="1491" t="str">
        <f>F12</f>
        <v>8 MOS. ENDED</v>
      </c>
      <c r="S12" s="346"/>
      <c r="T12" s="346"/>
      <c r="U12" s="346"/>
      <c r="V12" s="1491" t="s">
        <v>110</v>
      </c>
      <c r="W12" s="1491"/>
      <c r="X12" s="1491" t="str">
        <f>F12</f>
        <v>8 MOS. ENDED</v>
      </c>
      <c r="Y12" s="1491"/>
      <c r="Z12" s="679"/>
      <c r="AA12" s="679"/>
      <c r="AB12" s="1491" t="s">
        <v>110</v>
      </c>
      <c r="AC12" s="1491"/>
      <c r="AD12" s="1491" t="str">
        <f>F12</f>
        <v>8 MOS. ENDED</v>
      </c>
      <c r="AE12" s="679"/>
      <c r="AF12" s="679"/>
      <c r="AG12" s="1494"/>
      <c r="AH12" s="1492" t="s">
        <v>111</v>
      </c>
      <c r="AI12" s="1493"/>
      <c r="AJ12" s="1492" t="s">
        <v>112</v>
      </c>
      <c r="AK12" s="1036"/>
      <c r="AL12" s="1029"/>
    </row>
    <row r="13" spans="1:38" ht="15.5">
      <c r="A13" s="345"/>
      <c r="B13" s="345"/>
      <c r="C13" s="345"/>
      <c r="D13" s="680" t="str">
        <f>'Exhibit A'!D12</f>
        <v>NOV. 2023</v>
      </c>
      <c r="E13" s="682"/>
      <c r="F13" s="680" t="str">
        <f>'Exhibit A'!F12</f>
        <v>NOV. 30, 2023</v>
      </c>
      <c r="G13" s="346"/>
      <c r="H13" s="680" t="str">
        <f>D13</f>
        <v>NOV. 2023</v>
      </c>
      <c r="I13" s="682"/>
      <c r="J13" s="680" t="str">
        <f>F13</f>
        <v>NOV. 30, 2023</v>
      </c>
      <c r="K13" s="346"/>
      <c r="L13" s="680" t="str">
        <f>D13</f>
        <v>NOV. 2023</v>
      </c>
      <c r="M13" s="682"/>
      <c r="N13" s="680" t="str">
        <f>F13</f>
        <v>NOV. 30, 2023</v>
      </c>
      <c r="O13" s="346"/>
      <c r="P13" s="680" t="str">
        <f>D13</f>
        <v>NOV. 2023</v>
      </c>
      <c r="Q13" s="682"/>
      <c r="R13" s="680" t="str">
        <f>F13</f>
        <v>NOV. 30, 2023</v>
      </c>
      <c r="S13" s="346"/>
      <c r="T13" s="346"/>
      <c r="U13" s="346"/>
      <c r="V13" s="681" t="str">
        <f>D13</f>
        <v>NOV. 2023</v>
      </c>
      <c r="W13" s="681"/>
      <c r="X13" s="681" t="str">
        <f>'Exhibit A'!V12</f>
        <v>NOV. 2023</v>
      </c>
      <c r="Y13" s="681"/>
      <c r="Z13" s="679"/>
      <c r="AA13" s="679"/>
      <c r="AB13" s="682" t="str">
        <f>'Exhibit A'!AB12</f>
        <v>NOV. 2022</v>
      </c>
      <c r="AC13" s="682"/>
      <c r="AD13" s="682" t="str">
        <f>'Exhibit A'!AD12</f>
        <v>NOV. 30, 2022</v>
      </c>
      <c r="AE13" s="682"/>
      <c r="AF13" s="679"/>
      <c r="AG13" s="681"/>
      <c r="AH13" s="680" t="s">
        <v>113</v>
      </c>
      <c r="AI13" s="682"/>
      <c r="AJ13" s="680" t="s">
        <v>114</v>
      </c>
      <c r="AK13" s="1036"/>
      <c r="AL13" s="1029"/>
    </row>
    <row r="14" spans="1:38" ht="15.5">
      <c r="A14" s="345"/>
      <c r="B14" s="345"/>
      <c r="C14" s="345"/>
      <c r="D14" s="345"/>
      <c r="E14" s="345"/>
      <c r="F14" s="345"/>
      <c r="G14" s="345"/>
      <c r="H14" s="345"/>
      <c r="I14" s="345"/>
      <c r="J14" s="345"/>
      <c r="K14" s="345"/>
      <c r="L14" s="345"/>
      <c r="M14" s="345"/>
      <c r="N14" s="345"/>
      <c r="O14" s="345"/>
      <c r="P14" s="345"/>
      <c r="Q14" s="345"/>
      <c r="R14" s="345"/>
      <c r="S14" s="345"/>
      <c r="T14" s="1037"/>
      <c r="U14" s="1037"/>
      <c r="V14" s="1495"/>
      <c r="W14" s="345"/>
      <c r="X14" s="1495"/>
      <c r="Y14" s="345"/>
      <c r="Z14" s="1038"/>
      <c r="AA14" s="345"/>
      <c r="AB14" s="1495"/>
      <c r="AC14" s="345"/>
      <c r="AD14" s="1495"/>
      <c r="AE14" s="345"/>
      <c r="AF14" s="1223"/>
      <c r="AG14" s="345"/>
      <c r="AH14" s="345"/>
      <c r="AI14" s="345"/>
      <c r="AK14" s="1029"/>
      <c r="AL14" s="1029"/>
    </row>
    <row r="15" spans="1:38" ht="18" customHeight="1">
      <c r="A15" s="1039" t="s">
        <v>317</v>
      </c>
      <c r="B15" s="403"/>
      <c r="C15" s="403"/>
      <c r="D15" s="345"/>
      <c r="E15" s="345"/>
      <c r="F15" s="345"/>
      <c r="G15" s="345"/>
      <c r="H15" s="345"/>
      <c r="I15" s="345"/>
      <c r="J15" s="345"/>
      <c r="K15" s="345"/>
      <c r="L15" s="345"/>
      <c r="M15" s="345"/>
      <c r="N15" s="345"/>
      <c r="O15" s="345"/>
      <c r="P15" s="345"/>
      <c r="Q15" s="345"/>
      <c r="R15" s="345"/>
      <c r="S15" s="345"/>
      <c r="T15" s="1037"/>
      <c r="U15" s="1037"/>
      <c r="V15" s="345"/>
      <c r="W15" s="345"/>
      <c r="X15" s="345"/>
      <c r="Y15" s="345"/>
      <c r="Z15" s="1038"/>
      <c r="AA15" s="345"/>
      <c r="AB15" s="345"/>
      <c r="AC15" s="345"/>
      <c r="AD15" s="345"/>
      <c r="AE15" s="345"/>
      <c r="AF15" s="1223"/>
      <c r="AG15" s="345"/>
      <c r="AH15" s="345"/>
      <c r="AI15" s="345"/>
      <c r="AK15" s="1029"/>
      <c r="AL15" s="1029"/>
    </row>
    <row r="16" spans="1:38" ht="18" customHeight="1">
      <c r="A16" s="403" t="s">
        <v>318</v>
      </c>
      <c r="B16" s="403"/>
      <c r="C16" s="900"/>
      <c r="D16" s="634">
        <f>'Exhibit F'!R17</f>
        <v>4086.7000000000007</v>
      </c>
      <c r="E16" s="634"/>
      <c r="F16" s="634">
        <f>'Exhibit F'!AC17</f>
        <v>30769.3</v>
      </c>
      <c r="G16" s="634"/>
      <c r="H16" s="764">
        <v>0</v>
      </c>
      <c r="I16" s="634"/>
      <c r="J16" s="764">
        <v>0</v>
      </c>
      <c r="K16" s="634"/>
      <c r="L16" s="764">
        <v>0</v>
      </c>
      <c r="M16" s="634"/>
      <c r="N16" s="764">
        <v>0</v>
      </c>
      <c r="O16" s="634"/>
      <c r="P16" s="764">
        <v>0</v>
      </c>
      <c r="Q16" s="634"/>
      <c r="R16" s="764">
        <v>0</v>
      </c>
      <c r="S16" s="634"/>
      <c r="T16" s="2183"/>
      <c r="U16" s="2184"/>
      <c r="V16" s="770">
        <f>SUM(D16)+SUM(H16)+SUM(L16)+SUM(P16)</f>
        <v>4086.7000000000007</v>
      </c>
      <c r="W16" s="634"/>
      <c r="X16" s="770">
        <f>SUM(F16)+SUM(J16)+SUM(N16)+SUM(R16)</f>
        <v>30769.3</v>
      </c>
      <c r="Y16" s="764"/>
      <c r="Z16" s="1040"/>
      <c r="AA16" s="634"/>
      <c r="AB16" s="1416">
        <v>4016.3</v>
      </c>
      <c r="AC16" s="634"/>
      <c r="AD16" s="770">
        <f>'Cashflow Governmental'!AE21</f>
        <v>29799.3</v>
      </c>
      <c r="AE16" s="770"/>
      <c r="AF16" s="1223"/>
      <c r="AG16" s="764"/>
      <c r="AH16" s="770">
        <f>ROUND(SUM(X16)-SUM(AD16),1)</f>
        <v>970</v>
      </c>
      <c r="AI16" s="311"/>
      <c r="AJ16" s="771">
        <f>ROUND(AH16/AD16,3)</f>
        <v>3.3000000000000002E-2</v>
      </c>
      <c r="AK16" s="683"/>
      <c r="AL16" s="1029"/>
    </row>
    <row r="17" spans="1:38" ht="18" customHeight="1">
      <c r="A17" s="1041" t="s">
        <v>319</v>
      </c>
      <c r="B17" s="403"/>
      <c r="C17" s="1042"/>
      <c r="D17" s="309">
        <f>'Exhibit F'!R18</f>
        <v>91</v>
      </c>
      <c r="E17" s="309"/>
      <c r="F17" s="309">
        <f>'Exhibit F'!AC18</f>
        <v>8181.2</v>
      </c>
      <c r="G17" s="309"/>
      <c r="H17" s="312">
        <v>0</v>
      </c>
      <c r="I17" s="762"/>
      <c r="J17" s="312">
        <v>0</v>
      </c>
      <c r="K17" s="309"/>
      <c r="L17" s="312">
        <v>0</v>
      </c>
      <c r="M17" s="762"/>
      <c r="N17" s="312">
        <v>0</v>
      </c>
      <c r="O17" s="309"/>
      <c r="P17" s="312">
        <v>0</v>
      </c>
      <c r="Q17" s="762"/>
      <c r="R17" s="312">
        <v>0</v>
      </c>
      <c r="S17" s="309"/>
      <c r="T17" s="2185"/>
      <c r="U17" s="2185"/>
      <c r="V17" s="762">
        <f t="shared" ref="V17:V20" si="0">SUM(D17)+SUM(H17)+SUM(L17)+SUM(P17)</f>
        <v>91</v>
      </c>
      <c r="W17" s="309"/>
      <c r="X17" s="762">
        <f t="shared" ref="X17:X23" si="1">SUM(F17)+SUM(J17)+SUM(N17)+SUM(R17)</f>
        <v>8181.2</v>
      </c>
      <c r="Y17" s="1043"/>
      <c r="Z17" s="1044"/>
      <c r="AA17" s="309"/>
      <c r="AB17" s="635">
        <v>97.8</v>
      </c>
      <c r="AC17" s="309"/>
      <c r="AD17" s="762">
        <f>'Cashflow Governmental'!AE22</f>
        <v>15432.6</v>
      </c>
      <c r="AE17" s="762"/>
      <c r="AF17" s="1223"/>
      <c r="AG17" s="1043"/>
      <c r="AH17" s="762">
        <f>ROUND(SUM(X17)-SUM(AD17),1)</f>
        <v>-7251.4</v>
      </c>
      <c r="AI17" s="1045"/>
      <c r="AJ17" s="683">
        <f>ROUND(AH17/AD17,3)</f>
        <v>-0.47</v>
      </c>
      <c r="AK17" s="683"/>
      <c r="AL17" s="1029"/>
    </row>
    <row r="18" spans="1:38" ht="18" customHeight="1">
      <c r="A18" s="403" t="s">
        <v>320</v>
      </c>
      <c r="B18" s="403" t="s">
        <v>104</v>
      </c>
      <c r="C18" s="403"/>
      <c r="D18" s="309">
        <f>'Exhibit F'!R19</f>
        <v>71.799999999999727</v>
      </c>
      <c r="E18" s="309"/>
      <c r="F18" s="309">
        <f>'Exhibit F'!AC19</f>
        <v>3361.7</v>
      </c>
      <c r="G18" s="309"/>
      <c r="H18" s="312">
        <v>0</v>
      </c>
      <c r="I18" s="762"/>
      <c r="J18" s="312">
        <v>0</v>
      </c>
      <c r="K18" s="309"/>
      <c r="L18" s="312">
        <v>0</v>
      </c>
      <c r="M18" s="762"/>
      <c r="N18" s="312">
        <v>0</v>
      </c>
      <c r="O18" s="309"/>
      <c r="P18" s="312">
        <v>0</v>
      </c>
      <c r="Q18" s="762"/>
      <c r="R18" s="312">
        <v>0</v>
      </c>
      <c r="S18" s="309"/>
      <c r="T18" s="2185"/>
      <c r="U18" s="2185"/>
      <c r="V18" s="762">
        <f t="shared" si="0"/>
        <v>71.799999999999727</v>
      </c>
      <c r="W18" s="309"/>
      <c r="X18" s="762">
        <f t="shared" si="1"/>
        <v>3361.7</v>
      </c>
      <c r="Y18" s="1043"/>
      <c r="Z18" s="1044"/>
      <c r="AA18" s="309"/>
      <c r="AB18" s="635">
        <v>87.5</v>
      </c>
      <c r="AC18" s="309"/>
      <c r="AD18" s="762">
        <f>'Cashflow Governmental'!AE23</f>
        <v>5028.1000000000004</v>
      </c>
      <c r="AE18" s="762"/>
      <c r="AF18" s="1223"/>
      <c r="AG18" s="1043"/>
      <c r="AH18" s="762">
        <f>ROUND(SUM(X18)-SUM(AD18),1)</f>
        <v>-1666.4</v>
      </c>
      <c r="AI18" s="1045"/>
      <c r="AJ18" s="683">
        <f>ROUND(AH18/AD18,3)</f>
        <v>-0.33100000000000002</v>
      </c>
      <c r="AK18" s="683"/>
      <c r="AL18" s="1029"/>
    </row>
    <row r="19" spans="1:38" ht="18" customHeight="1">
      <c r="A19" s="1041" t="s">
        <v>321</v>
      </c>
      <c r="B19" s="403"/>
      <c r="C19" s="403"/>
      <c r="D19" s="309">
        <f>'Exhibit F'!R20</f>
        <v>121.59999999999991</v>
      </c>
      <c r="E19" s="309"/>
      <c r="F19" s="309">
        <f>'Exhibit F'!AC20</f>
        <v>-1194.4000000000001</v>
      </c>
      <c r="G19" s="309"/>
      <c r="H19" s="312">
        <v>0</v>
      </c>
      <c r="I19" s="762"/>
      <c r="J19" s="312">
        <v>0</v>
      </c>
      <c r="K19" s="309"/>
      <c r="L19" s="312">
        <v>0</v>
      </c>
      <c r="M19" s="762"/>
      <c r="N19" s="312">
        <v>0</v>
      </c>
      <c r="O19" s="309"/>
      <c r="P19" s="312">
        <v>0</v>
      </c>
      <c r="Q19" s="762"/>
      <c r="R19" s="312">
        <v>0</v>
      </c>
      <c r="S19" s="309"/>
      <c r="T19" s="2185"/>
      <c r="U19" s="2185"/>
      <c r="V19" s="762">
        <f t="shared" si="0"/>
        <v>121.59999999999991</v>
      </c>
      <c r="W19" s="309"/>
      <c r="X19" s="762">
        <f t="shared" si="1"/>
        <v>-1194.4000000000001</v>
      </c>
      <c r="Y19" s="1043"/>
      <c r="Z19" s="1044"/>
      <c r="AA19" s="309"/>
      <c r="AB19" s="635">
        <v>-157.5</v>
      </c>
      <c r="AC19" s="309"/>
      <c r="AD19" s="762">
        <f>'Cashflow Governmental'!AE24</f>
        <v>-1841.1</v>
      </c>
      <c r="AE19" s="762"/>
      <c r="AF19" s="1223"/>
      <c r="AG19" s="1043"/>
      <c r="AH19" s="762">
        <f>-ROUND(SUM(X19)-SUM(AD19),1)</f>
        <v>-646.70000000000005</v>
      </c>
      <c r="AI19" s="1045"/>
      <c r="AJ19" s="683">
        <f>-ROUND(AH19/AD19,3)</f>
        <v>-0.35099999999999998</v>
      </c>
      <c r="AK19" s="683"/>
      <c r="AL19" s="1029"/>
    </row>
    <row r="20" spans="1:38" ht="18" customHeight="1">
      <c r="A20" s="1041" t="s">
        <v>322</v>
      </c>
      <c r="B20" s="403" t="s">
        <v>104</v>
      </c>
      <c r="C20" s="403"/>
      <c r="D20" s="309">
        <f>'Exhibit F'!R21</f>
        <v>113.80000000000004</v>
      </c>
      <c r="E20" s="309"/>
      <c r="F20" s="309">
        <f>'Exhibit F'!AC21</f>
        <v>1120.4000000000001</v>
      </c>
      <c r="G20" s="309"/>
      <c r="H20" s="312">
        <v>0</v>
      </c>
      <c r="I20" s="762"/>
      <c r="J20" s="312">
        <v>0</v>
      </c>
      <c r="K20" s="309"/>
      <c r="L20" s="312">
        <v>0</v>
      </c>
      <c r="M20" s="762"/>
      <c r="N20" s="312">
        <v>0</v>
      </c>
      <c r="O20" s="309"/>
      <c r="P20" s="312">
        <v>0</v>
      </c>
      <c r="Q20" s="762"/>
      <c r="R20" s="312">
        <v>0</v>
      </c>
      <c r="S20" s="309"/>
      <c r="T20" s="2185"/>
      <c r="U20" s="2185"/>
      <c r="V20" s="762">
        <f t="shared" si="0"/>
        <v>113.80000000000004</v>
      </c>
      <c r="W20" s="309"/>
      <c r="X20" s="762">
        <f t="shared" si="1"/>
        <v>1120.4000000000001</v>
      </c>
      <c r="Y20" s="1043"/>
      <c r="Z20" s="1044"/>
      <c r="AA20" s="309"/>
      <c r="AB20" s="635">
        <v>136.5</v>
      </c>
      <c r="AC20" s="309"/>
      <c r="AD20" s="762">
        <f>'Cashflow Governmental'!AE25</f>
        <v>1115</v>
      </c>
      <c r="AE20" s="762"/>
      <c r="AF20" s="1223"/>
      <c r="AG20" s="1043"/>
      <c r="AH20" s="762">
        <f>ROUND(SUM(X20)-SUM(AD20),1)</f>
        <v>5.4</v>
      </c>
      <c r="AI20" s="1045"/>
      <c r="AJ20" s="1214">
        <f>ROUND(AH20/AD20,3)</f>
        <v>5.0000000000000001E-3</v>
      </c>
      <c r="AK20" s="683"/>
      <c r="AL20" s="1029"/>
    </row>
    <row r="21" spans="1:38" s="1050" customFormat="1" ht="18" customHeight="1">
      <c r="A21" s="1039" t="s">
        <v>323</v>
      </c>
      <c r="B21" s="1039"/>
      <c r="C21" s="1039"/>
      <c r="D21" s="765">
        <f>ROUND(SUM(D16:D20),1)</f>
        <v>4484.8999999999996</v>
      </c>
      <c r="E21" s="4"/>
      <c r="F21" s="765">
        <f>ROUND(SUM(F16:F20),1)</f>
        <v>42238.2</v>
      </c>
      <c r="G21" s="4"/>
      <c r="H21" s="765">
        <f>ROUND(SUM(H16:H20),1)</f>
        <v>0</v>
      </c>
      <c r="I21" s="1046"/>
      <c r="J21" s="765">
        <f>ROUND(SUM(J16:J20),1)</f>
        <v>0</v>
      </c>
      <c r="K21" s="4"/>
      <c r="L21" s="765">
        <f>ROUND(SUM(L16:L20),1)</f>
        <v>0</v>
      </c>
      <c r="M21" s="1046"/>
      <c r="N21" s="765">
        <f>ROUND(SUM(N16:N20),1)</f>
        <v>0</v>
      </c>
      <c r="O21" s="4"/>
      <c r="P21" s="765">
        <f>ROUND(SUM(P16:P20),1)</f>
        <v>0</v>
      </c>
      <c r="Q21" s="1046"/>
      <c r="R21" s="765">
        <f>ROUND(SUM(R16:R20),1)</f>
        <v>0</v>
      </c>
      <c r="S21" s="4"/>
      <c r="T21" s="2186"/>
      <c r="U21" s="2186"/>
      <c r="V21" s="1496">
        <f>ROUND(SUM(V16:V20),1)</f>
        <v>4484.8999999999996</v>
      </c>
      <c r="W21" s="4"/>
      <c r="X21" s="1496">
        <f>ROUND(SUM(X16:X20),1)</f>
        <v>42238.2</v>
      </c>
      <c r="Y21" s="1047"/>
      <c r="Z21" s="904"/>
      <c r="AA21" s="4"/>
      <c r="AB21" s="100">
        <f>ROUND(SUM(AB16:AB20),1)</f>
        <v>4180.6000000000004</v>
      </c>
      <c r="AC21" s="4"/>
      <c r="AD21" s="1497">
        <f>ROUND(SUM(AD16:AD20),1)</f>
        <v>49533.9</v>
      </c>
      <c r="AE21" s="1046"/>
      <c r="AF21" s="1223"/>
      <c r="AG21" s="1047"/>
      <c r="AH21" s="1497">
        <f>ROUND(SUM(X21)-SUM(AD21),1)</f>
        <v>-7295.7</v>
      </c>
      <c r="AI21" s="3"/>
      <c r="AJ21" s="1498">
        <f>ROUND(AH21/AD21,3)</f>
        <v>-0.14699999999999999</v>
      </c>
      <c r="AK21" s="1048"/>
      <c r="AL21" s="1049"/>
    </row>
    <row r="22" spans="1:38" ht="18" customHeight="1">
      <c r="A22" s="1041" t="s">
        <v>324</v>
      </c>
      <c r="B22" s="403"/>
      <c r="C22" s="403"/>
      <c r="D22" s="635">
        <f>'Exhibit F'!R23</f>
        <v>-0.1</v>
      </c>
      <c r="E22" s="762"/>
      <c r="F22" s="635">
        <f>'Exhibit F'!AC23</f>
        <v>-0.1</v>
      </c>
      <c r="G22" s="309"/>
      <c r="H22" s="309">
        <f>'Exhibit G'!R17</f>
        <v>0.1</v>
      </c>
      <c r="I22" s="762"/>
      <c r="J22" s="635">
        <f>'Exhibit G'!AD17</f>
        <v>0.1</v>
      </c>
      <c r="K22" s="309"/>
      <c r="L22" s="1499">
        <v>0</v>
      </c>
      <c r="M22" s="762"/>
      <c r="N22" s="1499">
        <v>0</v>
      </c>
      <c r="O22" s="309"/>
      <c r="P22" s="1499">
        <v>0</v>
      </c>
      <c r="Q22" s="762"/>
      <c r="R22" s="1499">
        <v>0</v>
      </c>
      <c r="S22" s="309"/>
      <c r="T22" s="2185"/>
      <c r="U22" s="2185"/>
      <c r="V22" s="2187">
        <f>SUM(D22)+SUM(H22)+SUM(L22)+SUM(P22)</f>
        <v>0</v>
      </c>
      <c r="W22" s="309"/>
      <c r="X22" s="2187">
        <f t="shared" si="1"/>
        <v>0</v>
      </c>
      <c r="Y22" s="1043"/>
      <c r="Z22" s="1044"/>
      <c r="AA22" s="309"/>
      <c r="AB22" s="635">
        <v>0</v>
      </c>
      <c r="AC22" s="309"/>
      <c r="AD22" s="762">
        <f>'Cashflow Governmental'!AE27</f>
        <v>0</v>
      </c>
      <c r="AE22" s="312"/>
      <c r="AF22" s="1223"/>
      <c r="AG22" s="1043"/>
      <c r="AH22" s="312">
        <f>ROUND(SUM(X22)-SUM(AD22),1)</f>
        <v>0</v>
      </c>
      <c r="AI22" s="1045"/>
      <c r="AJ22" s="327">
        <f>ROUND(IF(AD22=0,0,AH22/(AD22)),3)</f>
        <v>0</v>
      </c>
      <c r="AK22" s="1051"/>
      <c r="AL22" s="1029"/>
    </row>
    <row r="23" spans="1:38" ht="18" customHeight="1">
      <c r="A23" s="1041" t="s">
        <v>325</v>
      </c>
      <c r="B23" s="403"/>
      <c r="C23" s="403"/>
      <c r="D23" s="1697">
        <f>'Exhibit F'!R24</f>
        <v>-1685.4000000000024</v>
      </c>
      <c r="E23" s="309"/>
      <c r="F23" s="635">
        <f>'Exhibit F'!AC24</f>
        <v>-15818.2</v>
      </c>
      <c r="G23" s="309"/>
      <c r="H23" s="312">
        <v>0</v>
      </c>
      <c r="I23" s="762"/>
      <c r="J23" s="312">
        <v>0</v>
      </c>
      <c r="K23" s="309"/>
      <c r="L23" s="762">
        <f>'Exhibit H'!P16</f>
        <v>1685.4000000000024</v>
      </c>
      <c r="M23" s="762"/>
      <c r="N23" s="762">
        <f>'Exhibit H'!AA16</f>
        <v>15818.2</v>
      </c>
      <c r="O23" s="309"/>
      <c r="P23" s="312">
        <v>0</v>
      </c>
      <c r="Q23" s="762"/>
      <c r="R23" s="312">
        <v>0</v>
      </c>
      <c r="S23" s="309"/>
      <c r="T23" s="2185"/>
      <c r="U23" s="2185"/>
      <c r="V23" s="762">
        <f>ROUND(SUM(D23)+SUM(H23)+SUM(L23)+SUM(P23),1)</f>
        <v>0</v>
      </c>
      <c r="W23" s="309"/>
      <c r="X23" s="762">
        <f t="shared" si="1"/>
        <v>0</v>
      </c>
      <c r="Y23" s="1043"/>
      <c r="Z23" s="1044"/>
      <c r="AA23" s="309"/>
      <c r="AB23" s="635">
        <v>0</v>
      </c>
      <c r="AC23" s="309"/>
      <c r="AD23" s="762">
        <f>'Cashflow Governmental'!AE28</f>
        <v>0</v>
      </c>
      <c r="AE23" s="312"/>
      <c r="AF23" s="1223"/>
      <c r="AG23" s="1043"/>
      <c r="AH23" s="312">
        <f>ROUND(SUM(X23)-SUM(AD23),1)</f>
        <v>0</v>
      </c>
      <c r="AI23" s="1045"/>
      <c r="AJ23" s="327">
        <f>ROUND(IF(AD23=0,0,AH23/(AD23)),3)</f>
        <v>0</v>
      </c>
      <c r="AK23" s="1051"/>
      <c r="AL23" s="1029"/>
    </row>
    <row r="24" spans="1:38" ht="18" customHeight="1">
      <c r="A24" s="403" t="s">
        <v>326</v>
      </c>
      <c r="B24" s="403"/>
      <c r="C24" s="403"/>
      <c r="D24" s="1697">
        <f>'Exhibit F'!R25</f>
        <v>-1114.0999999999985</v>
      </c>
      <c r="E24" s="309"/>
      <c r="F24" s="635">
        <f>'Exhibit F'!AC25</f>
        <v>-10601.8</v>
      </c>
      <c r="G24" s="309"/>
      <c r="H24" s="312">
        <v>0</v>
      </c>
      <c r="I24" s="762"/>
      <c r="J24" s="312">
        <v>0</v>
      </c>
      <c r="K24" s="309"/>
      <c r="L24" s="312">
        <v>0</v>
      </c>
      <c r="M24" s="762"/>
      <c r="N24" s="312">
        <v>0</v>
      </c>
      <c r="O24" s="309"/>
      <c r="P24" s="312">
        <v>0</v>
      </c>
      <c r="Q24" s="762"/>
      <c r="R24" s="312">
        <v>0</v>
      </c>
      <c r="S24" s="309"/>
      <c r="T24" s="2185"/>
      <c r="U24" s="2185"/>
      <c r="V24" s="762">
        <f>SUM(D24)+SUM(H24)+SUM(L24)+SUM(P24)</f>
        <v>-1114.0999999999985</v>
      </c>
      <c r="W24" s="309"/>
      <c r="X24" s="762">
        <f>SUM(F24)+SUM(J24)+SUM(N24)+SUM(R24)</f>
        <v>-10601.8</v>
      </c>
      <c r="Y24" s="1043"/>
      <c r="Z24" s="1044"/>
      <c r="AA24" s="309"/>
      <c r="AB24" s="635">
        <v>-1465.3</v>
      </c>
      <c r="AC24" s="309"/>
      <c r="AD24" s="762">
        <f>'Cashflow Governmental'!AE29</f>
        <v>-11696.8</v>
      </c>
      <c r="AE24" s="762"/>
      <c r="AF24" s="1223"/>
      <c r="AG24" s="1043"/>
      <c r="AH24" s="762">
        <f>-ROUND(SUM(X24)-SUM(AD24),1)</f>
        <v>-1095</v>
      </c>
      <c r="AI24" s="1045"/>
      <c r="AJ24" s="772">
        <f>-ROUND(AH24/AD24,3)</f>
        <v>-9.4E-2</v>
      </c>
      <c r="AK24" s="683"/>
      <c r="AL24" s="1029"/>
    </row>
    <row r="25" spans="1:38" ht="18" customHeight="1">
      <c r="A25" s="1052" t="s">
        <v>327</v>
      </c>
      <c r="B25" s="403"/>
      <c r="C25" s="403"/>
      <c r="D25" s="1698">
        <f>ROUND(SUM(D21:D24),1)</f>
        <v>1685.3</v>
      </c>
      <c r="E25" s="4"/>
      <c r="F25" s="1698">
        <f>ROUND(SUM(F21:F24),1)</f>
        <v>15818.1</v>
      </c>
      <c r="G25" s="4"/>
      <c r="H25" s="1500">
        <f>ROUND(SUM(H21:H24),1)</f>
        <v>0.1</v>
      </c>
      <c r="I25" s="1046"/>
      <c r="J25" s="1500">
        <f>ROUND(SUM(J21:J24),1)</f>
        <v>0.1</v>
      </c>
      <c r="K25" s="4"/>
      <c r="L25" s="1500">
        <f>ROUND(SUM(L21:L24),1)</f>
        <v>1685.4</v>
      </c>
      <c r="M25" s="1046"/>
      <c r="N25" s="1500">
        <f>ROUND(SUM(N21:N24),1)</f>
        <v>15818.2</v>
      </c>
      <c r="O25" s="4"/>
      <c r="P25" s="1500">
        <f>ROUND(SUM(P21:P24),1)</f>
        <v>0</v>
      </c>
      <c r="Q25" s="1046"/>
      <c r="R25" s="1500">
        <f>ROUND(SUM(R21:R24),1)</f>
        <v>0</v>
      </c>
      <c r="S25" s="4"/>
      <c r="T25" s="2186"/>
      <c r="U25" s="2186"/>
      <c r="V25" s="1496">
        <f>ROUND(SUM(V21:V24),1)</f>
        <v>3370.8</v>
      </c>
      <c r="W25" s="4"/>
      <c r="X25" s="1496">
        <f>ROUND(SUM(X21:X24),1)</f>
        <v>31636.400000000001</v>
      </c>
      <c r="Y25" s="2040"/>
      <c r="Z25" s="904"/>
      <c r="AA25" s="4"/>
      <c r="AB25" s="2081">
        <f>ROUND(SUM(AB21:AB24),1)</f>
        <v>2715.3</v>
      </c>
      <c r="AC25" s="4"/>
      <c r="AD25" s="1496">
        <f>ROUND(SUM(AD21:AD24),1)</f>
        <v>37837.1</v>
      </c>
      <c r="AE25" s="4" t="s">
        <v>104</v>
      </c>
      <c r="AF25" s="1223"/>
      <c r="AG25" s="1047"/>
      <c r="AH25" s="1422">
        <f>ROUND(SUM(X25)-SUM(AD25),1)</f>
        <v>-6200.7</v>
      </c>
      <c r="AI25" s="3"/>
      <c r="AJ25" s="1215">
        <f>ROUND(AH25/AD25,3)</f>
        <v>-0.16400000000000001</v>
      </c>
      <c r="AK25" s="1048"/>
      <c r="AL25" s="1049"/>
    </row>
    <row r="26" spans="1:38" ht="18" customHeight="1">
      <c r="A26" s="403"/>
      <c r="B26" s="403"/>
      <c r="C26" s="403"/>
      <c r="D26" s="1501"/>
      <c r="E26" s="309"/>
      <c r="F26" s="1501" t="s">
        <v>104</v>
      </c>
      <c r="G26" s="309"/>
      <c r="H26" s="1501"/>
      <c r="I26" s="309"/>
      <c r="J26" s="1501" t="s">
        <v>254</v>
      </c>
      <c r="K26" s="309"/>
      <c r="L26" s="1501" t="s">
        <v>104</v>
      </c>
      <c r="M26" s="309"/>
      <c r="N26" s="1501" t="s">
        <v>104</v>
      </c>
      <c r="O26" s="309"/>
      <c r="P26" s="1501"/>
      <c r="Q26" s="309"/>
      <c r="R26" s="1501"/>
      <c r="S26" s="309"/>
      <c r="T26" s="2185"/>
      <c r="U26" s="2185"/>
      <c r="V26" s="1501"/>
      <c r="W26" s="309"/>
      <c r="X26" s="1501"/>
      <c r="Y26" s="309"/>
      <c r="Z26" s="1044"/>
      <c r="AA26" s="309"/>
      <c r="AB26" s="1501"/>
      <c r="AC26" s="309"/>
      <c r="AD26" s="1501"/>
      <c r="AE26" s="309"/>
      <c r="AF26" s="1223"/>
      <c r="AG26" s="309"/>
      <c r="AH26" s="309"/>
      <c r="AI26" s="311"/>
      <c r="AJ26" s="1053"/>
      <c r="AK26" s="1051"/>
      <c r="AL26" s="1029"/>
    </row>
    <row r="27" spans="1:38" ht="18" customHeight="1">
      <c r="A27" s="1052" t="s">
        <v>328</v>
      </c>
      <c r="B27" s="403"/>
      <c r="C27" s="1042"/>
      <c r="D27" s="2123"/>
      <c r="E27" s="309"/>
      <c r="F27" s="309"/>
      <c r="G27" s="309"/>
      <c r="H27" s="309"/>
      <c r="I27" s="309"/>
      <c r="J27" s="309"/>
      <c r="K27" s="309"/>
      <c r="L27" s="309"/>
      <c r="M27" s="309"/>
      <c r="N27" s="309"/>
      <c r="O27" s="309"/>
      <c r="P27" s="309"/>
      <c r="Q27" s="309"/>
      <c r="R27" s="309"/>
      <c r="S27" s="309"/>
      <c r="T27" s="2185"/>
      <c r="U27" s="2185"/>
      <c r="V27" s="309"/>
      <c r="W27" s="309"/>
      <c r="X27" s="309"/>
      <c r="Y27" s="309"/>
      <c r="Z27" s="1044"/>
      <c r="AA27" s="309"/>
      <c r="AB27" s="309"/>
      <c r="AC27" s="309"/>
      <c r="AD27" s="309"/>
      <c r="AE27" s="309"/>
      <c r="AF27" s="1223"/>
      <c r="AG27" s="309"/>
      <c r="AH27" s="309"/>
      <c r="AI27" s="311"/>
      <c r="AJ27" s="1053"/>
      <c r="AK27" s="1051"/>
      <c r="AL27" s="1029"/>
    </row>
    <row r="28" spans="1:38" ht="18" customHeight="1">
      <c r="A28" s="403" t="s">
        <v>329</v>
      </c>
      <c r="B28" s="403"/>
      <c r="C28" s="403"/>
      <c r="D28" s="309">
        <f>'Exhibit F'!R28</f>
        <v>727.40000000000032</v>
      </c>
      <c r="E28" s="309"/>
      <c r="F28" s="309">
        <f>'Exhibit F'!AC28</f>
        <v>6113.1</v>
      </c>
      <c r="G28" s="309"/>
      <c r="H28" s="309">
        <f>'Exhibit G'!R20</f>
        <v>100.00000000000003</v>
      </c>
      <c r="I28" s="309"/>
      <c r="J28" s="309">
        <f>'Exhibit G'!AD20</f>
        <v>894.3</v>
      </c>
      <c r="K28" s="309"/>
      <c r="L28" s="762">
        <f>'Exhibit H'!P19</f>
        <v>726.99999999999977</v>
      </c>
      <c r="M28" s="762"/>
      <c r="N28" s="762">
        <f>'Exhibit H'!AA19</f>
        <v>6108.4</v>
      </c>
      <c r="O28" s="309"/>
      <c r="P28" s="312">
        <v>0</v>
      </c>
      <c r="Q28" s="762"/>
      <c r="R28" s="312">
        <v>0</v>
      </c>
      <c r="S28" s="309"/>
      <c r="T28" s="2185"/>
      <c r="U28" s="2185"/>
      <c r="V28" s="762">
        <f t="shared" ref="V28:V34" si="2">SUM(D28)+SUM(H28)+SUM(L28)+SUM(P28)</f>
        <v>1554.4</v>
      </c>
      <c r="W28" s="309"/>
      <c r="X28" s="762">
        <f t="shared" ref="X28:X35" si="3">SUM(F28)+SUM(J28)+SUM(N28)+SUM(R28)</f>
        <v>13115.8</v>
      </c>
      <c r="Y28" s="309"/>
      <c r="Z28" s="1044"/>
      <c r="AA28" s="309"/>
      <c r="AB28" s="635">
        <v>1465.6999999999998</v>
      </c>
      <c r="AC28" s="309"/>
      <c r="AD28" s="762">
        <f>'Cashflow Governmental'!AE32</f>
        <v>12416.8</v>
      </c>
      <c r="AE28" s="762"/>
      <c r="AF28" s="1223"/>
      <c r="AG28" s="309"/>
      <c r="AH28" s="309">
        <f t="shared" ref="AH28:AH38" si="4">ROUND(SUM(X28)-SUM(AD28),1)</f>
        <v>699</v>
      </c>
      <c r="AI28" s="1045"/>
      <c r="AJ28" s="683">
        <f t="shared" ref="AJ28:AJ38" si="5">ROUND(AH28/AD28,3)</f>
        <v>5.6000000000000001E-2</v>
      </c>
      <c r="AK28" s="683"/>
      <c r="AL28" s="1029"/>
    </row>
    <row r="29" spans="1:38" ht="18" customHeight="1">
      <c r="A29" s="1041" t="s">
        <v>330</v>
      </c>
      <c r="B29" s="403"/>
      <c r="C29" s="347"/>
      <c r="D29" s="309">
        <f>'Exhibit F'!R29</f>
        <v>0</v>
      </c>
      <c r="E29" s="762"/>
      <c r="F29" s="309">
        <f>'Exhibit F'!AC29</f>
        <v>0</v>
      </c>
      <c r="G29" s="309"/>
      <c r="H29" s="309">
        <f>'Exhibit G'!R21</f>
        <v>0</v>
      </c>
      <c r="I29" s="762"/>
      <c r="J29" s="309">
        <f>'Exhibit G'!AD21</f>
        <v>18.899999999999999</v>
      </c>
      <c r="K29" s="309"/>
      <c r="L29" s="312">
        <v>0</v>
      </c>
      <c r="M29" s="762"/>
      <c r="N29" s="312">
        <v>0</v>
      </c>
      <c r="O29" s="309"/>
      <c r="P29" s="635">
        <f>'Exhibit I'!S20</f>
        <v>0</v>
      </c>
      <c r="Q29" s="309"/>
      <c r="R29" s="635">
        <f>'Exhibit I'!AF20</f>
        <v>61.6</v>
      </c>
      <c r="S29" s="309"/>
      <c r="T29" s="2185"/>
      <c r="U29" s="2185"/>
      <c r="V29" s="762">
        <f t="shared" si="2"/>
        <v>0</v>
      </c>
      <c r="W29" s="309"/>
      <c r="X29" s="762">
        <f t="shared" si="3"/>
        <v>80.5</v>
      </c>
      <c r="Y29" s="1043"/>
      <c r="Z29" s="1044"/>
      <c r="AA29" s="309"/>
      <c r="AB29" s="635">
        <v>0</v>
      </c>
      <c r="AC29" s="309"/>
      <c r="AD29" s="762">
        <f>'Cashflow Governmental'!AE33</f>
        <v>77.7</v>
      </c>
      <c r="AE29" s="762"/>
      <c r="AF29" s="1223"/>
      <c r="AG29" s="1043"/>
      <c r="AH29" s="762">
        <f t="shared" si="4"/>
        <v>2.8</v>
      </c>
      <c r="AI29" s="1054"/>
      <c r="AJ29" s="683">
        <f t="shared" si="5"/>
        <v>3.5999999999999997E-2</v>
      </c>
      <c r="AK29" s="683"/>
      <c r="AL29" s="1029"/>
    </row>
    <row r="30" spans="1:38" ht="18" customHeight="1">
      <c r="A30" s="403" t="s">
        <v>331</v>
      </c>
      <c r="B30" s="403"/>
      <c r="C30" s="403"/>
      <c r="D30" s="309">
        <f>'Exhibit F'!R30</f>
        <v>23.600000000000019</v>
      </c>
      <c r="E30" s="309"/>
      <c r="F30" s="309">
        <f>'Exhibit F'!AC30</f>
        <v>188.8</v>
      </c>
      <c r="G30" s="309"/>
      <c r="H30" s="309">
        <f>'Exhibit G'!R22</f>
        <v>54.299999999999969</v>
      </c>
      <c r="I30" s="762"/>
      <c r="J30" s="309">
        <f>'Exhibit G'!AD22</f>
        <v>417.9</v>
      </c>
      <c r="K30" s="309"/>
      <c r="L30" s="312">
        <v>0</v>
      </c>
      <c r="M30" s="762"/>
      <c r="N30" s="312">
        <v>0</v>
      </c>
      <c r="O30" s="309"/>
      <c r="P30" s="312">
        <v>0</v>
      </c>
      <c r="Q30" s="762"/>
      <c r="R30" s="312">
        <v>0</v>
      </c>
      <c r="S30" s="309"/>
      <c r="T30" s="2185"/>
      <c r="U30" s="2185"/>
      <c r="V30" s="762">
        <f t="shared" si="2"/>
        <v>77.899999999999991</v>
      </c>
      <c r="W30" s="309"/>
      <c r="X30" s="762">
        <f t="shared" si="3"/>
        <v>606.70000000000005</v>
      </c>
      <c r="Y30" s="1043"/>
      <c r="Z30" s="1044"/>
      <c r="AA30" s="309"/>
      <c r="AB30" s="635">
        <v>73.099999999999994</v>
      </c>
      <c r="AC30" s="309"/>
      <c r="AD30" s="762">
        <f>'Cashflow Governmental'!AE34</f>
        <v>632.79999999999995</v>
      </c>
      <c r="AE30" s="635"/>
      <c r="AF30" s="1224"/>
      <c r="AG30" s="1043"/>
      <c r="AH30" s="762">
        <f t="shared" si="4"/>
        <v>-26.1</v>
      </c>
      <c r="AI30" s="1045"/>
      <c r="AJ30" s="683">
        <f t="shared" si="5"/>
        <v>-4.1000000000000002E-2</v>
      </c>
      <c r="AK30" s="683"/>
      <c r="AL30" s="1029"/>
    </row>
    <row r="31" spans="1:38" ht="18" customHeight="1">
      <c r="A31" s="403" t="s">
        <v>332</v>
      </c>
      <c r="B31" s="309"/>
      <c r="C31" s="403"/>
      <c r="D31" s="309">
        <v>0</v>
      </c>
      <c r="E31" s="309"/>
      <c r="F31" s="309">
        <v>0</v>
      </c>
      <c r="G31" s="309"/>
      <c r="H31" s="309">
        <f>'Exhibit G'!R23</f>
        <v>1.1000000000000014</v>
      </c>
      <c r="I31" s="762"/>
      <c r="J31" s="309">
        <f>'Exhibit G'!AD23</f>
        <v>15.7</v>
      </c>
      <c r="K31" s="309"/>
      <c r="L31" s="312">
        <v>0</v>
      </c>
      <c r="M31" s="762"/>
      <c r="N31" s="312">
        <v>0</v>
      </c>
      <c r="O31" s="309"/>
      <c r="P31" s="312">
        <v>0</v>
      </c>
      <c r="Q31" s="762"/>
      <c r="R31" s="312">
        <v>0</v>
      </c>
      <c r="S31" s="309"/>
      <c r="T31" s="2185"/>
      <c r="U31" s="2185"/>
      <c r="V31" s="762">
        <f>SUM(D31)+SUM(H31)+SUM(L31)+SUM(P31)</f>
        <v>1.1000000000000014</v>
      </c>
      <c r="W31" s="309"/>
      <c r="X31" s="762">
        <f>SUM(F31)+SUM(J31)+SUM(N31)+SUM(R31)</f>
        <v>15.7</v>
      </c>
      <c r="Y31" s="1043"/>
      <c r="Z31" s="1044"/>
      <c r="AA31" s="309"/>
      <c r="AB31" s="635">
        <v>0.9</v>
      </c>
      <c r="AC31" s="309"/>
      <c r="AD31" s="762">
        <f>'Cashflow Governmental'!AE35</f>
        <v>7.9</v>
      </c>
      <c r="AE31" s="635"/>
      <c r="AF31" s="1224"/>
      <c r="AG31" s="1043"/>
      <c r="AH31" s="762">
        <f>ROUND(SUM(X31)-SUM(AD31),1)</f>
        <v>7.8</v>
      </c>
      <c r="AI31" s="1045"/>
      <c r="AJ31" s="327">
        <f>ROUND(IF(AD31=0,0,AH31/(AD31)),3)</f>
        <v>0.98699999999999999</v>
      </c>
      <c r="AK31" s="683"/>
      <c r="AL31" s="1029"/>
    </row>
    <row r="32" spans="1:38" ht="18" customHeight="1">
      <c r="A32" s="403" t="s">
        <v>333</v>
      </c>
      <c r="B32" s="403"/>
      <c r="C32" s="403"/>
      <c r="D32" s="309">
        <f>'Exhibit F'!R31</f>
        <v>0</v>
      </c>
      <c r="E32" s="762"/>
      <c r="F32" s="309">
        <f>'Exhibit F'!AC31</f>
        <v>0</v>
      </c>
      <c r="G32" s="309"/>
      <c r="H32" s="309">
        <f>'Exhibit G'!R24</f>
        <v>9</v>
      </c>
      <c r="I32" s="762"/>
      <c r="J32" s="309">
        <f>'Exhibit G'!AD24</f>
        <v>71.3</v>
      </c>
      <c r="K32" s="309"/>
      <c r="L32" s="312">
        <v>0</v>
      </c>
      <c r="M32" s="762"/>
      <c r="N32" s="312">
        <v>0</v>
      </c>
      <c r="O32" s="309"/>
      <c r="P32" s="309">
        <f>'Exhibit I'!S21</f>
        <v>33.10000000000003</v>
      </c>
      <c r="Q32" s="762"/>
      <c r="R32" s="309">
        <f>'Exhibit I'!AF21</f>
        <v>262.10000000000002</v>
      </c>
      <c r="S32" s="309"/>
      <c r="T32" s="2185"/>
      <c r="U32" s="2185"/>
      <c r="V32" s="762">
        <f t="shared" si="2"/>
        <v>42.10000000000003</v>
      </c>
      <c r="W32" s="309"/>
      <c r="X32" s="762">
        <f t="shared" si="3"/>
        <v>333.40000000000003</v>
      </c>
      <c r="Y32" s="309"/>
      <c r="Z32" s="1044"/>
      <c r="AA32" s="309"/>
      <c r="AB32" s="635">
        <v>-2</v>
      </c>
      <c r="AC32" s="309"/>
      <c r="AD32" s="762">
        <f>'Cashflow Governmental'!AE36</f>
        <v>77.2</v>
      </c>
      <c r="AE32" s="762"/>
      <c r="AF32" s="1224"/>
      <c r="AG32" s="309"/>
      <c r="AH32" s="762">
        <f t="shared" si="4"/>
        <v>256.2</v>
      </c>
      <c r="AI32" s="311"/>
      <c r="AJ32" s="683">
        <f t="shared" si="5"/>
        <v>3.319</v>
      </c>
      <c r="AK32" s="683"/>
      <c r="AL32" s="1029"/>
    </row>
    <row r="33" spans="1:38" ht="18" customHeight="1">
      <c r="A33" s="534" t="s">
        <v>334</v>
      </c>
      <c r="B33" s="403"/>
      <c r="C33" s="403"/>
      <c r="D33" s="309">
        <f>'Exhibit F'!R32</f>
        <v>0</v>
      </c>
      <c r="E33" s="762"/>
      <c r="F33" s="309">
        <f>'Exhibit F'!AC32</f>
        <v>-0.6</v>
      </c>
      <c r="G33" s="309"/>
      <c r="H33" s="309">
        <f>'Exhibit G'!R25</f>
        <v>0</v>
      </c>
      <c r="I33" s="762"/>
      <c r="J33" s="309">
        <f>'Exhibit G'!AD25</f>
        <v>0.3</v>
      </c>
      <c r="K33" s="309"/>
      <c r="L33" s="312">
        <v>0</v>
      </c>
      <c r="M33" s="762"/>
      <c r="N33" s="312">
        <v>0</v>
      </c>
      <c r="O33" s="309"/>
      <c r="P33" s="309">
        <v>0</v>
      </c>
      <c r="Q33" s="762"/>
      <c r="R33" s="309">
        <v>0</v>
      </c>
      <c r="S33" s="309"/>
      <c r="T33" s="2185"/>
      <c r="U33" s="2185"/>
      <c r="V33" s="762">
        <f t="shared" si="2"/>
        <v>0</v>
      </c>
      <c r="W33" s="309"/>
      <c r="X33" s="762">
        <f t="shared" si="3"/>
        <v>-0.3</v>
      </c>
      <c r="Y33" s="309"/>
      <c r="Z33" s="1044"/>
      <c r="AA33" s="309"/>
      <c r="AB33" s="635">
        <v>0</v>
      </c>
      <c r="AC33" s="309"/>
      <c r="AD33" s="762">
        <f>'Cashflow Governmental'!AE37</f>
        <v>0</v>
      </c>
      <c r="AE33" s="762"/>
      <c r="AF33" s="1224"/>
      <c r="AG33" s="309"/>
      <c r="AH33" s="762">
        <f t="shared" ref="AH33" si="6">ROUND(SUM(X33)-SUM(AD33),1)</f>
        <v>-0.3</v>
      </c>
      <c r="AI33" s="311"/>
      <c r="AJ33" s="327">
        <f>-ROUND(IF(AD33=0,1,AH33/(AD33)),3)</f>
        <v>-1</v>
      </c>
      <c r="AK33" s="683"/>
      <c r="AL33" s="1029"/>
    </row>
    <row r="34" spans="1:38" ht="18" customHeight="1">
      <c r="A34" s="403" t="s">
        <v>335</v>
      </c>
      <c r="B34" s="403"/>
      <c r="C34" s="403"/>
      <c r="D34" s="309">
        <f>'Exhibit F'!R33</f>
        <v>22.699999999999978</v>
      </c>
      <c r="E34" s="309"/>
      <c r="F34" s="309">
        <f>'Exhibit F'!AC33</f>
        <v>186.6</v>
      </c>
      <c r="G34" s="309"/>
      <c r="H34" s="309">
        <f>'Exhibit G'!R26</f>
        <v>0</v>
      </c>
      <c r="I34" s="762"/>
      <c r="J34" s="309">
        <f>'Exhibit G'!AD26</f>
        <v>0</v>
      </c>
      <c r="K34" s="309"/>
      <c r="L34" s="312">
        <v>0</v>
      </c>
      <c r="M34" s="762"/>
      <c r="N34" s="312">
        <v>0</v>
      </c>
      <c r="O34" s="309"/>
      <c r="P34" s="312">
        <v>0</v>
      </c>
      <c r="Q34" s="762"/>
      <c r="R34" s="312">
        <v>0</v>
      </c>
      <c r="S34" s="309"/>
      <c r="T34" s="2185"/>
      <c r="U34" s="2185"/>
      <c r="V34" s="762">
        <f t="shared" si="2"/>
        <v>22.699999999999978</v>
      </c>
      <c r="W34" s="309"/>
      <c r="X34" s="762">
        <f t="shared" si="3"/>
        <v>186.6</v>
      </c>
      <c r="Y34" s="1043"/>
      <c r="Z34" s="1044"/>
      <c r="AA34" s="309"/>
      <c r="AB34" s="635">
        <v>21.8</v>
      </c>
      <c r="AC34" s="309"/>
      <c r="AD34" s="762">
        <f>'Cashflow Governmental'!AE38</f>
        <v>192.5</v>
      </c>
      <c r="AE34" s="762"/>
      <c r="AF34" s="1224"/>
      <c r="AG34" s="1043"/>
      <c r="AH34" s="762">
        <f t="shared" si="4"/>
        <v>-5.9</v>
      </c>
      <c r="AI34" s="1045"/>
      <c r="AJ34" s="683">
        <f t="shared" si="5"/>
        <v>-3.1E-2</v>
      </c>
      <c r="AK34" s="683"/>
      <c r="AL34" s="1029"/>
    </row>
    <row r="35" spans="1:38" ht="18" customHeight="1">
      <c r="A35" s="403" t="s">
        <v>336</v>
      </c>
      <c r="B35" s="403"/>
      <c r="C35" s="403"/>
      <c r="D35" s="309">
        <f>'Exhibit F'!R34</f>
        <v>0</v>
      </c>
      <c r="E35" s="762"/>
      <c r="F35" s="309">
        <f>'Exhibit F'!AC34</f>
        <v>0</v>
      </c>
      <c r="G35" s="309"/>
      <c r="H35" s="309">
        <f>'Exhibit G'!R27</f>
        <v>0</v>
      </c>
      <c r="I35" s="762"/>
      <c r="J35" s="309">
        <f>'Exhibit G'!AD27</f>
        <v>0.4</v>
      </c>
      <c r="K35" s="309"/>
      <c r="L35" s="312">
        <v>0</v>
      </c>
      <c r="M35" s="762"/>
      <c r="N35" s="312">
        <v>0</v>
      </c>
      <c r="O35" s="309"/>
      <c r="P35" s="309">
        <f>'Exhibit I'!S22</f>
        <v>10.000000000000007</v>
      </c>
      <c r="Q35" s="762"/>
      <c r="R35" s="309">
        <f>'Exhibit I'!AF22</f>
        <v>90.5</v>
      </c>
      <c r="S35" s="309"/>
      <c r="T35" s="2185"/>
      <c r="U35" s="2185"/>
      <c r="V35" s="762">
        <f>SUM(D35)+SUM(H35)+SUM(L35)+SUM(P35)</f>
        <v>10.000000000000007</v>
      </c>
      <c r="W35" s="309"/>
      <c r="X35" s="762">
        <f t="shared" si="3"/>
        <v>90.9</v>
      </c>
      <c r="Y35" s="1043"/>
      <c r="Z35" s="1044"/>
      <c r="AA35" s="309"/>
      <c r="AB35" s="635">
        <v>11.2</v>
      </c>
      <c r="AC35" s="309"/>
      <c r="AD35" s="762">
        <f>'Cashflow Governmental'!AE39</f>
        <v>89.5</v>
      </c>
      <c r="AE35" s="635"/>
      <c r="AF35" s="1224"/>
      <c r="AG35" s="1043"/>
      <c r="AH35" s="312">
        <f t="shared" si="4"/>
        <v>1.4</v>
      </c>
      <c r="AI35" s="1054"/>
      <c r="AJ35" s="683">
        <f>ROUND(AH35/AD35,3)</f>
        <v>1.6E-2</v>
      </c>
      <c r="AK35" s="683"/>
      <c r="AL35" s="1029"/>
    </row>
    <row r="36" spans="1:38" ht="18" customHeight="1">
      <c r="A36" s="403" t="s">
        <v>337</v>
      </c>
      <c r="B36" s="403"/>
      <c r="C36" s="403"/>
      <c r="D36" s="309">
        <f>'Exhibit F'!R35</f>
        <v>0</v>
      </c>
      <c r="E36" s="762"/>
      <c r="F36" s="309">
        <f>'Exhibit F'!AC35</f>
        <v>0</v>
      </c>
      <c r="G36" s="309"/>
      <c r="H36" s="309">
        <f>'Exhibit G'!R28</f>
        <v>0.19999999999999929</v>
      </c>
      <c r="I36" s="762"/>
      <c r="J36" s="309">
        <f>'Exhibit G'!AD28</f>
        <v>13.6</v>
      </c>
      <c r="K36" s="309"/>
      <c r="L36" s="312">
        <v>0</v>
      </c>
      <c r="M36" s="762"/>
      <c r="N36" s="312">
        <v>0</v>
      </c>
      <c r="O36" s="309"/>
      <c r="P36" s="309">
        <v>0</v>
      </c>
      <c r="Q36" s="762"/>
      <c r="R36" s="309">
        <v>0</v>
      </c>
      <c r="S36" s="309"/>
      <c r="T36" s="2185"/>
      <c r="U36" s="2185"/>
      <c r="V36" s="762">
        <f>SUM(D36)+SUM(H36)+SUM(L36)+SUM(P36)</f>
        <v>0.19999999999999929</v>
      </c>
      <c r="W36" s="309"/>
      <c r="X36" s="762">
        <f>SUM(F36)+SUM(J36)+SUM(N36)+SUM(R36)</f>
        <v>13.6</v>
      </c>
      <c r="Y36" s="1043"/>
      <c r="Z36" s="1044"/>
      <c r="AA36" s="309"/>
      <c r="AB36" s="635">
        <v>0</v>
      </c>
      <c r="AC36" s="309"/>
      <c r="AD36" s="762">
        <f>'Cashflow Governmental'!AE40</f>
        <v>12.7</v>
      </c>
      <c r="AE36" s="635"/>
      <c r="AF36" s="1224"/>
      <c r="AG36" s="1043"/>
      <c r="AH36" s="312">
        <f>ROUND(SUM(X36)-SUM(AD36),1)</f>
        <v>0.9</v>
      </c>
      <c r="AI36" s="1054"/>
      <c r="AJ36" s="327">
        <f>ROUND(IF(AD36=0,1,AH36/(AD36)),3)</f>
        <v>7.0999999999999994E-2</v>
      </c>
      <c r="AK36" s="683"/>
      <c r="AL36" s="1029"/>
    </row>
    <row r="37" spans="1:38" ht="18" customHeight="1">
      <c r="A37" s="403" t="s">
        <v>338</v>
      </c>
      <c r="B37" s="403"/>
      <c r="C37" s="403"/>
      <c r="D37" s="309">
        <f>'Exhibit F'!R36</f>
        <v>0</v>
      </c>
      <c r="E37" s="762"/>
      <c r="F37" s="309">
        <f>'Exhibit F'!AC36</f>
        <v>16.8</v>
      </c>
      <c r="G37" s="309"/>
      <c r="H37" s="309">
        <v>0</v>
      </c>
      <c r="I37" s="762"/>
      <c r="J37" s="309">
        <v>0</v>
      </c>
      <c r="K37" s="309"/>
      <c r="L37" s="312">
        <v>0</v>
      </c>
      <c r="M37" s="762"/>
      <c r="N37" s="312">
        <v>0</v>
      </c>
      <c r="O37" s="309"/>
      <c r="P37" s="309">
        <v>0</v>
      </c>
      <c r="Q37" s="762"/>
      <c r="R37" s="309">
        <v>0</v>
      </c>
      <c r="S37" s="309"/>
      <c r="T37" s="2185"/>
      <c r="U37" s="2185"/>
      <c r="V37" s="762">
        <f>SUM(D37)+SUM(H37)+SUM(L37)+SUM(P37)</f>
        <v>0</v>
      </c>
      <c r="W37" s="309"/>
      <c r="X37" s="762">
        <f t="shared" ref="X37" si="7">SUM(F37)+SUM(J37)+SUM(N37)+SUM(R37)</f>
        <v>16.8</v>
      </c>
      <c r="Y37" s="1043"/>
      <c r="Z37" s="1044"/>
      <c r="AA37" s="309"/>
      <c r="AB37" s="635">
        <v>0.1</v>
      </c>
      <c r="AC37" s="309"/>
      <c r="AD37" s="762">
        <f>'Cashflow Governmental'!AE41</f>
        <v>19.600000000000001</v>
      </c>
      <c r="AE37" s="635"/>
      <c r="AF37" s="1224"/>
      <c r="AG37" s="1043"/>
      <c r="AH37" s="312">
        <f t="shared" ref="AH37" si="8">ROUND(SUM(X37)-SUM(AD37),1)</f>
        <v>-2.8</v>
      </c>
      <c r="AI37" s="1054"/>
      <c r="AJ37" s="327">
        <f>ROUND(IF(AD37=0,1,AH37/(AD37)),3)</f>
        <v>-0.14299999999999999</v>
      </c>
      <c r="AK37" s="683"/>
      <c r="AL37" s="1029"/>
    </row>
    <row r="38" spans="1:38" ht="18" customHeight="1">
      <c r="A38" s="1039" t="s">
        <v>339</v>
      </c>
      <c r="B38" s="403"/>
      <c r="C38" s="403"/>
      <c r="D38" s="1500">
        <f>ROUND(SUM(D28:D37),1)</f>
        <v>773.7</v>
      </c>
      <c r="E38" s="4"/>
      <c r="F38" s="1500">
        <f>ROUND(SUM(F28:F37),1)</f>
        <v>6504.7</v>
      </c>
      <c r="G38" s="4"/>
      <c r="H38" s="1500">
        <f>ROUND(SUM(H28:H37),1)</f>
        <v>164.6</v>
      </c>
      <c r="I38" s="4"/>
      <c r="J38" s="1500">
        <f>ROUND(SUM(J28:J37),1)</f>
        <v>1432.4</v>
      </c>
      <c r="K38" s="4"/>
      <c r="L38" s="1500">
        <f>ROUND(SUM(L28:L37),1)</f>
        <v>727</v>
      </c>
      <c r="M38" s="4"/>
      <c r="N38" s="1500">
        <f>ROUND(SUM(N28:N37),1)</f>
        <v>6108.4</v>
      </c>
      <c r="O38" s="4"/>
      <c r="P38" s="1500">
        <f>ROUND(SUM(P28:P37),1)</f>
        <v>43.1</v>
      </c>
      <c r="Q38" s="4"/>
      <c r="R38" s="1500">
        <f>ROUND(SUM(R28:R37),1)</f>
        <v>414.2</v>
      </c>
      <c r="S38" s="4"/>
      <c r="T38" s="2186"/>
      <c r="U38" s="2186"/>
      <c r="V38" s="1500">
        <f>ROUND(SUM(V28:V37),1)</f>
        <v>1708.4</v>
      </c>
      <c r="W38" s="4"/>
      <c r="X38" s="1500">
        <f>ROUND(SUM(X28:X37),1)</f>
        <v>14459.7</v>
      </c>
      <c r="Y38" s="2143"/>
      <c r="Z38" s="904"/>
      <c r="AA38" s="4"/>
      <c r="AB38" s="1500">
        <f>ROUND(SUM(AB28:AB37),1)</f>
        <v>1570.8</v>
      </c>
      <c r="AC38" s="4"/>
      <c r="AD38" s="1500">
        <f>ROUND(SUM(AD28:AD37),1)</f>
        <v>13526.7</v>
      </c>
      <c r="AE38" s="4"/>
      <c r="AF38" s="1225"/>
      <c r="AG38" s="4"/>
      <c r="AH38" s="1422">
        <f t="shared" si="4"/>
        <v>933</v>
      </c>
      <c r="AI38" s="899"/>
      <c r="AJ38" s="1215">
        <f t="shared" si="5"/>
        <v>6.9000000000000006E-2</v>
      </c>
      <c r="AK38" s="1048"/>
      <c r="AL38" s="1049"/>
    </row>
    <row r="39" spans="1:38" ht="18" customHeight="1">
      <c r="A39" s="403"/>
      <c r="B39" s="403"/>
      <c r="C39" s="403"/>
      <c r="D39" s="1501"/>
      <c r="E39" s="309"/>
      <c r="F39" s="1501"/>
      <c r="G39" s="309"/>
      <c r="H39" s="1501"/>
      <c r="I39" s="309"/>
      <c r="J39" s="1501"/>
      <c r="K39" s="309"/>
      <c r="L39" s="1501"/>
      <c r="M39" s="309"/>
      <c r="N39" s="1501"/>
      <c r="O39" s="309"/>
      <c r="P39" s="1501"/>
      <c r="Q39" s="309"/>
      <c r="R39" s="1501"/>
      <c r="S39" s="309"/>
      <c r="T39" s="2185"/>
      <c r="U39" s="2185"/>
      <c r="V39" s="1501"/>
      <c r="W39" s="309"/>
      <c r="X39" s="1501"/>
      <c r="Y39" s="309"/>
      <c r="Z39" s="1044"/>
      <c r="AA39" s="309"/>
      <c r="AB39" s="1501"/>
      <c r="AC39" s="309"/>
      <c r="AD39" s="1501"/>
      <c r="AE39" s="309"/>
      <c r="AF39" s="1224"/>
      <c r="AG39" s="309"/>
      <c r="AH39" s="309"/>
      <c r="AI39" s="311"/>
      <c r="AJ39" s="1053"/>
      <c r="AK39" s="1051"/>
      <c r="AL39" s="1029"/>
    </row>
    <row r="40" spans="1:38" ht="18" customHeight="1">
      <c r="A40" s="1039" t="s">
        <v>340</v>
      </c>
      <c r="B40" s="403"/>
      <c r="C40" s="403"/>
      <c r="D40" s="309"/>
      <c r="E40" s="309"/>
      <c r="F40" s="309"/>
      <c r="G40" s="309"/>
      <c r="H40" s="309"/>
      <c r="I40" s="309"/>
      <c r="J40" s="309"/>
      <c r="K40" s="309"/>
      <c r="L40" s="309"/>
      <c r="M40" s="309"/>
      <c r="N40" s="309"/>
      <c r="O40" s="309"/>
      <c r="P40" s="309"/>
      <c r="Q40" s="309"/>
      <c r="R40" s="309"/>
      <c r="S40" s="309"/>
      <c r="T40" s="2185"/>
      <c r="U40" s="2185"/>
      <c r="V40" s="309"/>
      <c r="W40" s="309"/>
      <c r="X40" s="309"/>
      <c r="Y40" s="309"/>
      <c r="Z40" s="1044"/>
      <c r="AA40" s="309"/>
      <c r="AB40" s="659"/>
      <c r="AC40" s="309"/>
      <c r="AD40" s="659"/>
      <c r="AE40" s="309"/>
      <c r="AF40" s="1224"/>
      <c r="AG40" s="309"/>
      <c r="AH40" s="309"/>
      <c r="AI40" s="311"/>
      <c r="AJ40" s="683"/>
      <c r="AK40" s="1051"/>
      <c r="AL40" s="1029"/>
    </row>
    <row r="41" spans="1:38" ht="18" customHeight="1">
      <c r="A41" s="403" t="s">
        <v>341</v>
      </c>
      <c r="B41" s="403"/>
      <c r="C41" s="403"/>
      <c r="D41" s="309">
        <f>'Exhibit F'!R39</f>
        <v>52.599999999999454</v>
      </c>
      <c r="E41" s="309"/>
      <c r="F41" s="309">
        <f>'Exhibit F'!AC39</f>
        <v>4191.5</v>
      </c>
      <c r="G41" s="309"/>
      <c r="H41" s="309">
        <f>'Exhibit G'!R31</f>
        <v>42.600000000000136</v>
      </c>
      <c r="I41" s="309"/>
      <c r="J41" s="309">
        <f>'Exhibit G'!AD31</f>
        <v>1033.2</v>
      </c>
      <c r="K41" s="309"/>
      <c r="L41" s="312">
        <v>0</v>
      </c>
      <c r="M41" s="762"/>
      <c r="N41" s="312">
        <v>0</v>
      </c>
      <c r="O41" s="309"/>
      <c r="P41" s="312">
        <f>'Exhibit I'!S25</f>
        <v>0</v>
      </c>
      <c r="Q41" s="762"/>
      <c r="R41" s="312">
        <f>'Exhibit I'!AF25</f>
        <v>0</v>
      </c>
      <c r="S41" s="309"/>
      <c r="T41" s="2185"/>
      <c r="U41" s="2185"/>
      <c r="V41" s="762">
        <f t="shared" ref="V41:V46" si="9">SUM(D41)+SUM(H41)+SUM(L41)+SUM(P41)</f>
        <v>95.199999999999591</v>
      </c>
      <c r="W41" s="309"/>
      <c r="X41" s="762">
        <f t="shared" ref="X41:X46" si="10">SUM(F41)+SUM(J41)+SUM(N41)+SUM(R41)</f>
        <v>5224.7</v>
      </c>
      <c r="Y41" s="309"/>
      <c r="Z41" s="1044"/>
      <c r="AA41" s="309"/>
      <c r="AB41" s="635">
        <v>186.6</v>
      </c>
      <c r="AC41" s="309"/>
      <c r="AD41" s="635">
        <f>'Cashflow Governmental'!AE44</f>
        <v>5082.1000000000004</v>
      </c>
      <c r="AE41" s="762"/>
      <c r="AF41" s="1224"/>
      <c r="AG41" s="309"/>
      <c r="AH41" s="762">
        <f t="shared" ref="AH41:AH47" si="11">ROUND(SUM(X41)-SUM(AD41),1)</f>
        <v>142.6</v>
      </c>
      <c r="AI41" s="1045"/>
      <c r="AJ41" s="683">
        <f t="shared" ref="AJ41:AJ47" si="12">ROUND(AH41/AD41,3)</f>
        <v>2.8000000000000001E-2</v>
      </c>
      <c r="AK41" s="683"/>
      <c r="AL41" s="1029"/>
    </row>
    <row r="42" spans="1:38" ht="18" customHeight="1">
      <c r="A42" s="403" t="s">
        <v>342</v>
      </c>
      <c r="B42" s="403"/>
      <c r="C42" s="403"/>
      <c r="D42" s="309">
        <f>'Exhibit F'!R40</f>
        <v>10.799999999999983</v>
      </c>
      <c r="E42" s="309"/>
      <c r="F42" s="309">
        <f>'Exhibit F'!AC40</f>
        <v>183.1</v>
      </c>
      <c r="G42" s="309"/>
      <c r="H42" s="309">
        <f>'Exhibit G'!R32</f>
        <v>6.7000000000000028</v>
      </c>
      <c r="I42" s="309"/>
      <c r="J42" s="762">
        <f>'Exhibit G'!AD32</f>
        <v>69.900000000000006</v>
      </c>
      <c r="K42" s="309"/>
      <c r="L42" s="312">
        <v>0</v>
      </c>
      <c r="M42" s="762"/>
      <c r="N42" s="312">
        <v>0</v>
      </c>
      <c r="O42" s="309"/>
      <c r="P42" s="309">
        <f>'Exhibit I'!S26</f>
        <v>0.40000000000000036</v>
      </c>
      <c r="Q42" s="762"/>
      <c r="R42" s="309">
        <f>'Exhibit I'!AF26</f>
        <v>9.1</v>
      </c>
      <c r="S42" s="309"/>
      <c r="T42" s="2185"/>
      <c r="U42" s="2185"/>
      <c r="V42" s="762">
        <f t="shared" si="9"/>
        <v>17.899999999999984</v>
      </c>
      <c r="W42" s="309"/>
      <c r="X42" s="762">
        <f t="shared" si="10"/>
        <v>262.10000000000002</v>
      </c>
      <c r="Y42" s="309"/>
      <c r="Z42" s="1044"/>
      <c r="AA42" s="309"/>
      <c r="AB42" s="635">
        <v>35.200000000000003</v>
      </c>
      <c r="AC42" s="309"/>
      <c r="AD42" s="635">
        <f>'Cashflow Governmental'!AE45</f>
        <v>234.4</v>
      </c>
      <c r="AE42" s="762"/>
      <c r="AF42" s="1224"/>
      <c r="AG42" s="309"/>
      <c r="AH42" s="762">
        <f t="shared" si="11"/>
        <v>27.7</v>
      </c>
      <c r="AI42" s="1045"/>
      <c r="AJ42" s="1323">
        <f t="shared" si="12"/>
        <v>0.11799999999999999</v>
      </c>
      <c r="AK42" s="683"/>
      <c r="AL42" s="1029"/>
    </row>
    <row r="43" spans="1:38" ht="18" customHeight="1">
      <c r="A43" s="403" t="s">
        <v>343</v>
      </c>
      <c r="B43" s="403"/>
      <c r="C43" s="403"/>
      <c r="D43" s="309">
        <f>'Exhibit F'!R41</f>
        <v>10.099999999999909</v>
      </c>
      <c r="E43" s="309"/>
      <c r="F43" s="309">
        <f>'Exhibit F'!AC41</f>
        <v>1090.8</v>
      </c>
      <c r="G43" s="309"/>
      <c r="H43" s="309">
        <f>'Exhibit G'!R33</f>
        <v>1.6000000000000227</v>
      </c>
      <c r="I43" s="309"/>
      <c r="J43" s="309">
        <f>'Exhibit G'!AD33</f>
        <v>141.80000000000001</v>
      </c>
      <c r="K43" s="309"/>
      <c r="L43" s="312">
        <v>0</v>
      </c>
      <c r="M43" s="762"/>
      <c r="N43" s="312">
        <v>0</v>
      </c>
      <c r="O43" s="309"/>
      <c r="P43" s="312">
        <v>0</v>
      </c>
      <c r="Q43" s="762"/>
      <c r="R43" s="312">
        <v>0</v>
      </c>
      <c r="S43" s="309"/>
      <c r="T43" s="2185"/>
      <c r="U43" s="2185"/>
      <c r="V43" s="762">
        <f t="shared" si="9"/>
        <v>11.699999999999932</v>
      </c>
      <c r="W43" s="309"/>
      <c r="X43" s="762">
        <f t="shared" si="10"/>
        <v>1232.5999999999999</v>
      </c>
      <c r="Y43" s="309"/>
      <c r="Z43" s="1044"/>
      <c r="AA43" s="309"/>
      <c r="AB43" s="635">
        <v>-6</v>
      </c>
      <c r="AC43" s="309"/>
      <c r="AD43" s="635">
        <f>'Cashflow Governmental'!AE46</f>
        <v>1225.2</v>
      </c>
      <c r="AE43" s="762"/>
      <c r="AF43" s="1224"/>
      <c r="AG43" s="309"/>
      <c r="AH43" s="762">
        <f t="shared" si="11"/>
        <v>7.4</v>
      </c>
      <c r="AI43" s="1045"/>
      <c r="AJ43" s="683">
        <f>ROUND(AH43/AD43,3)</f>
        <v>6.0000000000000001E-3</v>
      </c>
      <c r="AK43" s="683"/>
      <c r="AL43" s="1029"/>
    </row>
    <row r="44" spans="1:38" ht="18" customHeight="1">
      <c r="A44" s="403" t="s">
        <v>344</v>
      </c>
      <c r="B44" s="403"/>
      <c r="C44" s="403"/>
      <c r="D44" s="309">
        <f>'Exhibit F'!R42</f>
        <v>0</v>
      </c>
      <c r="E44" s="309"/>
      <c r="F44" s="309">
        <f>'Exhibit F'!AC42</f>
        <v>0.2</v>
      </c>
      <c r="G44" s="309"/>
      <c r="H44" s="309">
        <f>'Exhibit G'!R34</f>
        <v>0</v>
      </c>
      <c r="I44" s="309"/>
      <c r="J44" s="309">
        <f>'Exhibit G'!AD34</f>
        <v>0.8</v>
      </c>
      <c r="K44" s="309"/>
      <c r="L44" s="312">
        <v>0</v>
      </c>
      <c r="M44" s="762"/>
      <c r="N44" s="312">
        <v>0</v>
      </c>
      <c r="O44" s="309"/>
      <c r="P44" s="312">
        <v>0</v>
      </c>
      <c r="Q44" s="762"/>
      <c r="R44" s="312">
        <v>0</v>
      </c>
      <c r="S44" s="309"/>
      <c r="T44" s="2185"/>
      <c r="U44" s="2185"/>
      <c r="V44" s="762">
        <f>ROUND(SUM(D44)+SUM(H44)+SUM(L44)+SUM(P44),1)</f>
        <v>0</v>
      </c>
      <c r="W44" s="309"/>
      <c r="X44" s="762">
        <f t="shared" si="10"/>
        <v>1</v>
      </c>
      <c r="Y44" s="309"/>
      <c r="Z44" s="1044"/>
      <c r="AA44" s="309"/>
      <c r="AB44" s="635">
        <v>0</v>
      </c>
      <c r="AC44" s="309"/>
      <c r="AD44" s="635">
        <f>'Cashflow Governmental'!AE47</f>
        <v>-4.0999999999999996</v>
      </c>
      <c r="AE44" s="762"/>
      <c r="AF44" s="1224"/>
      <c r="AG44" s="309"/>
      <c r="AH44" s="762">
        <f>ROUND(SUM(X44)-SUM(AD44),1)</f>
        <v>5.0999999999999996</v>
      </c>
      <c r="AI44" s="1045"/>
      <c r="AJ44" s="327">
        <f>ROUND(IF(AD44=0,1,-AH44/(AD44)),3)</f>
        <v>1.244</v>
      </c>
      <c r="AK44" s="683"/>
      <c r="AL44" s="1029"/>
    </row>
    <row r="45" spans="1:38" ht="18" customHeight="1">
      <c r="A45" s="403" t="s">
        <v>345</v>
      </c>
      <c r="B45" s="403"/>
      <c r="C45" s="403"/>
      <c r="D45" s="309">
        <f>'Exhibit F'!R43</f>
        <v>24.600000000000364</v>
      </c>
      <c r="E45" s="309"/>
      <c r="F45" s="309">
        <f>'Exhibit F'!AC43</f>
        <v>2431.8000000000002</v>
      </c>
      <c r="G45" s="309"/>
      <c r="H45" s="309">
        <v>0</v>
      </c>
      <c r="I45" s="309"/>
      <c r="J45" s="309">
        <v>0</v>
      </c>
      <c r="K45" s="309"/>
      <c r="L45" s="312">
        <f>'Exhibit H'!P22</f>
        <v>24.600000000000364</v>
      </c>
      <c r="M45" s="762"/>
      <c r="N45" s="312">
        <f>'Exhibit H'!AA22</f>
        <v>2431.8000000000002</v>
      </c>
      <c r="O45" s="309"/>
      <c r="P45" s="312">
        <v>0</v>
      </c>
      <c r="Q45" s="762"/>
      <c r="R45" s="312">
        <v>0</v>
      </c>
      <c r="S45" s="309"/>
      <c r="T45" s="2185"/>
      <c r="U45" s="2185"/>
      <c r="V45" s="762">
        <f t="shared" si="9"/>
        <v>49.200000000000728</v>
      </c>
      <c r="W45" s="309"/>
      <c r="X45" s="762">
        <f t="shared" si="10"/>
        <v>4863.6000000000004</v>
      </c>
      <c r="Y45" s="309"/>
      <c r="Z45" s="1044"/>
      <c r="AA45" s="309"/>
      <c r="AB45" s="635">
        <v>30.2</v>
      </c>
      <c r="AC45" s="309"/>
      <c r="AD45" s="635">
        <f>'Cashflow Governmental'!AE48</f>
        <v>5687.6</v>
      </c>
      <c r="AE45" s="762"/>
      <c r="AF45" s="1224"/>
      <c r="AG45" s="309"/>
      <c r="AH45" s="762">
        <f>ROUND(SUM(X45)-SUM(AD45),1)</f>
        <v>-824</v>
      </c>
      <c r="AI45" s="1045"/>
      <c r="AJ45" s="327">
        <f>ROUND(IF(AD45=0,1,AH45/(AD45)),3)</f>
        <v>-0.14499999999999999</v>
      </c>
      <c r="AK45" s="683"/>
      <c r="AL45" s="1029"/>
    </row>
    <row r="46" spans="1:38" ht="18" customHeight="1">
      <c r="A46" s="403" t="s">
        <v>346</v>
      </c>
      <c r="B46" s="403"/>
      <c r="C46" s="403"/>
      <c r="D46" s="309">
        <f>'Exhibit F'!R44</f>
        <v>0</v>
      </c>
      <c r="E46" s="762"/>
      <c r="F46" s="309">
        <f>'Exhibit F'!AC44</f>
        <v>0</v>
      </c>
      <c r="G46" s="309"/>
      <c r="H46" s="309">
        <f>'Exhibit G'!R35</f>
        <v>41.4</v>
      </c>
      <c r="I46" s="762"/>
      <c r="J46" s="309">
        <f>'Exhibit G'!AD35</f>
        <v>338.2</v>
      </c>
      <c r="K46" s="309"/>
      <c r="L46" s="312">
        <v>0</v>
      </c>
      <c r="M46" s="762"/>
      <c r="N46" s="312">
        <v>0</v>
      </c>
      <c r="O46" s="309"/>
      <c r="P46" s="309">
        <f>'Exhibit I'!S27</f>
        <v>52.899999999999963</v>
      </c>
      <c r="Q46" s="762"/>
      <c r="R46" s="309">
        <f>'Exhibit I'!AF27</f>
        <v>432.4</v>
      </c>
      <c r="S46" s="309"/>
      <c r="T46" s="2185"/>
      <c r="U46" s="2185"/>
      <c r="V46" s="762">
        <f t="shared" si="9"/>
        <v>94.299999999999955</v>
      </c>
      <c r="W46" s="309"/>
      <c r="X46" s="762">
        <f t="shared" si="10"/>
        <v>770.59999999999991</v>
      </c>
      <c r="Y46" s="309"/>
      <c r="Z46" s="1044"/>
      <c r="AA46" s="309"/>
      <c r="AB46" s="635">
        <v>89.800000000000011</v>
      </c>
      <c r="AC46" s="309"/>
      <c r="AD46" s="635">
        <f>'Cashflow Governmental'!AE49</f>
        <v>734</v>
      </c>
      <c r="AE46" s="762"/>
      <c r="AF46" s="1224"/>
      <c r="AG46" s="309"/>
      <c r="AH46" s="762">
        <f t="shared" si="11"/>
        <v>36.6</v>
      </c>
      <c r="AI46" s="1054"/>
      <c r="AJ46" s="683">
        <f t="shared" si="12"/>
        <v>0.05</v>
      </c>
      <c r="AK46" s="683"/>
      <c r="AL46" s="1029"/>
    </row>
    <row r="47" spans="1:38" ht="18" customHeight="1">
      <c r="A47" s="1039" t="s">
        <v>339</v>
      </c>
      <c r="B47" s="403"/>
      <c r="C47" s="403"/>
      <c r="D47" s="1500">
        <f>ROUND(SUM(D41:D46),1)</f>
        <v>98.1</v>
      </c>
      <c r="E47" s="4"/>
      <c r="F47" s="1500">
        <f>ROUND(SUM(F41:F46),1)</f>
        <v>7897.4</v>
      </c>
      <c r="G47" s="4"/>
      <c r="H47" s="1500">
        <f>ROUND(SUM(H41:H46),1)</f>
        <v>92.3</v>
      </c>
      <c r="I47" s="4"/>
      <c r="J47" s="1500">
        <f>ROUND(SUM(J41:J46),1)</f>
        <v>1583.9</v>
      </c>
      <c r="K47" s="4"/>
      <c r="L47" s="2188">
        <f>ROUND(SUM(L41:L46),1)</f>
        <v>24.6</v>
      </c>
      <c r="M47" s="1046"/>
      <c r="N47" s="2188">
        <f>ROUND(SUM(N41:N46),1)</f>
        <v>2431.8000000000002</v>
      </c>
      <c r="O47" s="4"/>
      <c r="P47" s="1500">
        <f>ROUND(SUM(P41:P46),1)</f>
        <v>53.3</v>
      </c>
      <c r="Q47" s="4"/>
      <c r="R47" s="1500">
        <f>ROUND(SUM(R41:R46),1)</f>
        <v>441.5</v>
      </c>
      <c r="S47" s="4"/>
      <c r="T47" s="2186"/>
      <c r="U47" s="2186"/>
      <c r="V47" s="1500">
        <f>ROUND(SUM(V41:V46),1)</f>
        <v>268.3</v>
      </c>
      <c r="W47" s="4"/>
      <c r="X47" s="1500">
        <f>ROUND(SUM(X41:X46),1)</f>
        <v>12354.6</v>
      </c>
      <c r="Y47" s="2143"/>
      <c r="Z47" s="904"/>
      <c r="AA47" s="4"/>
      <c r="AB47" s="1500">
        <f>ROUND(SUM(AB41:AB46),1)</f>
        <v>335.8</v>
      </c>
      <c r="AC47" s="4"/>
      <c r="AD47" s="1500">
        <f>ROUND(SUM(AD41:AD46),1)</f>
        <v>12959.2</v>
      </c>
      <c r="AE47" s="4"/>
      <c r="AF47" s="1225"/>
      <c r="AG47" s="4"/>
      <c r="AH47" s="1237">
        <f t="shared" si="11"/>
        <v>-604.6</v>
      </c>
      <c r="AI47" s="899"/>
      <c r="AJ47" s="1215">
        <f t="shared" si="12"/>
        <v>-4.7E-2</v>
      </c>
      <c r="AK47" s="1048"/>
      <c r="AL47" s="1049"/>
    </row>
    <row r="48" spans="1:38" ht="18" customHeight="1">
      <c r="A48" s="403"/>
      <c r="B48" s="403"/>
      <c r="C48" s="403"/>
      <c r="D48" s="1501"/>
      <c r="E48" s="309"/>
      <c r="F48" s="1501"/>
      <c r="G48" s="309"/>
      <c r="H48" s="1501"/>
      <c r="I48" s="309"/>
      <c r="J48" s="1501" t="s">
        <v>104</v>
      </c>
      <c r="K48" s="309"/>
      <c r="L48" s="1501"/>
      <c r="M48" s="309"/>
      <c r="N48" s="1501"/>
      <c r="O48" s="309"/>
      <c r="P48" s="1501"/>
      <c r="Q48" s="309"/>
      <c r="R48" s="1501"/>
      <c r="S48" s="309"/>
      <c r="T48" s="2185"/>
      <c r="U48" s="2185"/>
      <c r="V48" s="1501"/>
      <c r="W48" s="309"/>
      <c r="X48" s="1501" t="s">
        <v>104</v>
      </c>
      <c r="Y48" s="309"/>
      <c r="Z48" s="1044"/>
      <c r="AA48" s="309"/>
      <c r="AB48" s="1501"/>
      <c r="AC48" s="309"/>
      <c r="AD48" s="1501"/>
      <c r="AE48" s="309"/>
      <c r="AF48" s="1224"/>
      <c r="AG48" s="309"/>
      <c r="AH48" s="309"/>
      <c r="AI48" s="311"/>
      <c r="AJ48" s="1053"/>
      <c r="AK48" s="1051"/>
      <c r="AL48" s="1029"/>
    </row>
    <row r="49" spans="1:38" ht="18" customHeight="1">
      <c r="A49" s="1052" t="s">
        <v>347</v>
      </c>
      <c r="B49" s="403"/>
      <c r="C49" s="403"/>
      <c r="D49" s="309"/>
      <c r="E49" s="309"/>
      <c r="F49" s="309"/>
      <c r="G49" s="309"/>
      <c r="H49" s="309" t="s">
        <v>104</v>
      </c>
      <c r="I49" s="309"/>
      <c r="J49" s="309"/>
      <c r="K49" s="309"/>
      <c r="L49" s="309"/>
      <c r="M49" s="309"/>
      <c r="N49" s="309"/>
      <c r="O49" s="309"/>
      <c r="P49" s="309"/>
      <c r="Q49" s="309"/>
      <c r="R49" s="309"/>
      <c r="S49" s="309"/>
      <c r="T49" s="2185"/>
      <c r="U49" s="2185"/>
      <c r="V49" s="309"/>
      <c r="W49" s="309"/>
      <c r="X49" s="309"/>
      <c r="Y49" s="309"/>
      <c r="Z49" s="1044"/>
      <c r="AA49" s="309"/>
      <c r="AB49" s="309"/>
      <c r="AC49" s="309"/>
      <c r="AD49" s="309"/>
      <c r="AE49" s="309"/>
      <c r="AF49" s="1224"/>
      <c r="AG49" s="309"/>
      <c r="AH49" s="309"/>
      <c r="AI49" s="311"/>
      <c r="AJ49" s="683"/>
      <c r="AK49" s="1051"/>
      <c r="AL49" s="1029"/>
    </row>
    <row r="50" spans="1:38" ht="18" customHeight="1">
      <c r="A50" s="403" t="s">
        <v>348</v>
      </c>
      <c r="B50" s="403"/>
      <c r="C50" s="403"/>
      <c r="D50" s="312">
        <f>'Exhibit F'!R47</f>
        <v>0</v>
      </c>
      <c r="E50" s="309"/>
      <c r="F50" s="309">
        <f>'Exhibit F'!AC47</f>
        <v>0</v>
      </c>
      <c r="G50" s="309"/>
      <c r="H50" s="312">
        <v>0</v>
      </c>
      <c r="I50" s="762"/>
      <c r="J50" s="312">
        <v>0</v>
      </c>
      <c r="K50" s="309"/>
      <c r="L50" s="312">
        <v>0</v>
      </c>
      <c r="M50" s="312"/>
      <c r="N50" s="312">
        <v>0</v>
      </c>
      <c r="O50" s="309"/>
      <c r="P50" s="312">
        <v>0</v>
      </c>
      <c r="Q50" s="762"/>
      <c r="R50" s="312">
        <v>0</v>
      </c>
      <c r="S50" s="309"/>
      <c r="T50" s="2185"/>
      <c r="U50" s="2185"/>
      <c r="V50" s="312">
        <f t="shared" ref="V50:V54" si="13">SUM(D50)+SUM(H50)+SUM(L50)+SUM(P50)</f>
        <v>0</v>
      </c>
      <c r="W50" s="309"/>
      <c r="X50" s="762">
        <f t="shared" ref="X50:X54" si="14">SUM(F50)+SUM(J50)+SUM(N50)+SUM(R50)</f>
        <v>0</v>
      </c>
      <c r="Y50" s="1043"/>
      <c r="Z50" s="1044"/>
      <c r="AA50" s="309"/>
      <c r="AB50" s="635">
        <v>0</v>
      </c>
      <c r="AC50" s="309"/>
      <c r="AD50" s="635">
        <f>'Cashflow Governmental'!AE52</f>
        <v>0</v>
      </c>
      <c r="AE50" s="762"/>
      <c r="AF50" s="1224"/>
      <c r="AG50" s="1043"/>
      <c r="AH50" s="762">
        <f t="shared" ref="AH50:AH56" si="15">ROUND(SUM(X50)-SUM(AD50),1)</f>
        <v>0</v>
      </c>
      <c r="AI50" s="1045"/>
      <c r="AJ50" s="327">
        <f>ROUND(IF(AD50=0,0,-AH50/(AD50)),3)</f>
        <v>0</v>
      </c>
      <c r="AK50" s="683"/>
      <c r="AL50" s="1029"/>
    </row>
    <row r="51" spans="1:38" ht="18" customHeight="1">
      <c r="A51" s="403" t="s">
        <v>349</v>
      </c>
      <c r="B51" s="403"/>
      <c r="C51" s="403"/>
      <c r="D51" s="312">
        <f>'Exhibit F'!R48</f>
        <v>141.89999999999986</v>
      </c>
      <c r="E51" s="309"/>
      <c r="F51" s="309">
        <f>'Exhibit F'!AC48</f>
        <v>1522.3</v>
      </c>
      <c r="G51" s="309"/>
      <c r="H51" s="312">
        <v>0</v>
      </c>
      <c r="I51" s="762"/>
      <c r="J51" s="312">
        <v>0</v>
      </c>
      <c r="K51" s="309"/>
      <c r="L51" s="312">
        <v>0</v>
      </c>
      <c r="M51" s="312"/>
      <c r="N51" s="312">
        <v>0</v>
      </c>
      <c r="O51" s="309"/>
      <c r="P51" s="312">
        <v>0</v>
      </c>
      <c r="Q51" s="762"/>
      <c r="R51" s="312">
        <v>0</v>
      </c>
      <c r="S51" s="309"/>
      <c r="T51" s="2185"/>
      <c r="U51" s="2185"/>
      <c r="V51" s="762">
        <f t="shared" si="13"/>
        <v>141.89999999999986</v>
      </c>
      <c r="W51" s="309"/>
      <c r="X51" s="762">
        <f t="shared" si="14"/>
        <v>1522.3</v>
      </c>
      <c r="Y51" s="1043"/>
      <c r="Z51" s="1044"/>
      <c r="AA51" s="309"/>
      <c r="AB51" s="635">
        <v>257.40000000000003</v>
      </c>
      <c r="AC51" s="309"/>
      <c r="AD51" s="635">
        <f>'Cashflow Governmental'!AE53</f>
        <v>1576.1999999999998</v>
      </c>
      <c r="AE51" s="635"/>
      <c r="AF51" s="1224"/>
      <c r="AG51" s="1043"/>
      <c r="AH51" s="762">
        <f t="shared" si="15"/>
        <v>-53.9</v>
      </c>
      <c r="AI51" s="1045"/>
      <c r="AJ51" s="683">
        <f>ROUND(AH51/AD51,3)</f>
        <v>-3.4000000000000002E-2</v>
      </c>
      <c r="AK51" s="683"/>
      <c r="AL51" s="1029"/>
    </row>
    <row r="52" spans="1:38" ht="18" customHeight="1">
      <c r="A52" s="403" t="s">
        <v>350</v>
      </c>
      <c r="B52" s="403"/>
      <c r="C52" s="403"/>
      <c r="D52" s="312">
        <f>'Exhibit F'!R49</f>
        <v>0.80000000000000071</v>
      </c>
      <c r="E52" s="309"/>
      <c r="F52" s="309">
        <f>'Exhibit F'!AC49</f>
        <v>10</v>
      </c>
      <c r="G52" s="309"/>
      <c r="H52" s="312">
        <v>0</v>
      </c>
      <c r="I52" s="762"/>
      <c r="J52" s="312">
        <v>0</v>
      </c>
      <c r="K52" s="309"/>
      <c r="L52" s="312">
        <v>0</v>
      </c>
      <c r="M52" s="312"/>
      <c r="N52" s="312">
        <v>0</v>
      </c>
      <c r="O52" s="309"/>
      <c r="P52" s="312">
        <v>0</v>
      </c>
      <c r="Q52" s="762"/>
      <c r="R52" s="312">
        <v>0</v>
      </c>
      <c r="S52" s="309"/>
      <c r="T52" s="2185"/>
      <c r="U52" s="2185"/>
      <c r="V52" s="762">
        <f t="shared" si="13"/>
        <v>0.80000000000000071</v>
      </c>
      <c r="W52" s="309"/>
      <c r="X52" s="762">
        <f t="shared" si="14"/>
        <v>10</v>
      </c>
      <c r="Y52" s="1043"/>
      <c r="Z52" s="1044"/>
      <c r="AA52" s="309"/>
      <c r="AB52" s="635">
        <v>0.9</v>
      </c>
      <c r="AC52" s="309"/>
      <c r="AD52" s="635">
        <f>'Cashflow Governmental'!AE54</f>
        <v>10.8</v>
      </c>
      <c r="AE52" s="635"/>
      <c r="AF52" s="1224"/>
      <c r="AG52" s="1043"/>
      <c r="AH52" s="762">
        <f t="shared" si="15"/>
        <v>-0.8</v>
      </c>
      <c r="AI52" s="1045"/>
      <c r="AJ52" s="683">
        <f>ROUND(AH52/AD52,3)</f>
        <v>-7.3999999999999996E-2</v>
      </c>
      <c r="AK52" s="683"/>
      <c r="AL52" s="1029"/>
    </row>
    <row r="53" spans="1:38" ht="18" customHeight="1">
      <c r="A53" s="403" t="s">
        <v>351</v>
      </c>
      <c r="B53" s="403"/>
      <c r="C53" s="403"/>
      <c r="D53" s="312">
        <f>'Exhibit F'!R50</f>
        <v>0</v>
      </c>
      <c r="E53" s="762"/>
      <c r="F53" s="309">
        <f>'Exhibit F'!AC50</f>
        <v>0</v>
      </c>
      <c r="G53" s="309"/>
      <c r="H53" s="312">
        <v>0</v>
      </c>
      <c r="I53" s="762"/>
      <c r="J53" s="312">
        <v>0</v>
      </c>
      <c r="K53" s="309"/>
      <c r="L53" s="762">
        <f>'Exhibit H'!P25</f>
        <v>71.600000000000023</v>
      </c>
      <c r="M53" s="762"/>
      <c r="N53" s="762">
        <f>'Exhibit H'!AA25</f>
        <v>659.2</v>
      </c>
      <c r="O53" s="309"/>
      <c r="P53" s="635">
        <f>'Exhibit I'!S30</f>
        <v>25.700000000000035</v>
      </c>
      <c r="Q53" s="762"/>
      <c r="R53" s="635">
        <f>'Exhibit I'!AF30</f>
        <v>154.4</v>
      </c>
      <c r="S53" s="309"/>
      <c r="T53" s="2185"/>
      <c r="U53" s="2185"/>
      <c r="V53" s="762">
        <f t="shared" si="13"/>
        <v>97.300000000000054</v>
      </c>
      <c r="W53" s="309"/>
      <c r="X53" s="762">
        <f t="shared" si="14"/>
        <v>813.6</v>
      </c>
      <c r="Y53" s="1043"/>
      <c r="Z53" s="1044"/>
      <c r="AA53" s="309"/>
      <c r="AB53" s="635">
        <v>106.9</v>
      </c>
      <c r="AC53" s="309"/>
      <c r="AD53" s="635">
        <f>'Cashflow Governmental'!AE55</f>
        <v>1112.1000000000001</v>
      </c>
      <c r="AE53" s="762"/>
      <c r="AF53" s="1224"/>
      <c r="AG53" s="1043"/>
      <c r="AH53" s="762">
        <f t="shared" si="15"/>
        <v>-298.5</v>
      </c>
      <c r="AI53" s="1055"/>
      <c r="AJ53" s="683">
        <f>ROUND(AH53/AD53,3)</f>
        <v>-0.26800000000000002</v>
      </c>
      <c r="AK53" s="683"/>
      <c r="AL53" s="1029"/>
    </row>
    <row r="54" spans="1:38" ht="18" customHeight="1">
      <c r="A54" s="403" t="s">
        <v>352</v>
      </c>
      <c r="B54" s="403"/>
      <c r="C54" s="403"/>
      <c r="D54" s="312">
        <f>'Exhibit F'!R51</f>
        <v>1.0999999999999999</v>
      </c>
      <c r="E54" s="309"/>
      <c r="F54" s="309">
        <f>'Exhibit F'!AC51</f>
        <v>1.3</v>
      </c>
      <c r="G54" s="309"/>
      <c r="H54" s="312">
        <v>0</v>
      </c>
      <c r="I54" s="762"/>
      <c r="J54" s="312">
        <v>0</v>
      </c>
      <c r="K54" s="309"/>
      <c r="L54" s="312">
        <v>0</v>
      </c>
      <c r="M54" s="312"/>
      <c r="N54" s="312">
        <v>0</v>
      </c>
      <c r="O54" s="309"/>
      <c r="P54" s="312">
        <v>0</v>
      </c>
      <c r="Q54" s="762"/>
      <c r="R54" s="312">
        <v>0</v>
      </c>
      <c r="S54" s="309"/>
      <c r="T54" s="2185"/>
      <c r="U54" s="2185"/>
      <c r="V54" s="762">
        <f t="shared" si="13"/>
        <v>1.0999999999999999</v>
      </c>
      <c r="W54" s="309"/>
      <c r="X54" s="762">
        <f t="shared" si="14"/>
        <v>1.3</v>
      </c>
      <c r="Y54" s="1043"/>
      <c r="Z54" s="1044"/>
      <c r="AA54" s="309"/>
      <c r="AB54" s="635">
        <v>1</v>
      </c>
      <c r="AC54" s="309"/>
      <c r="AD54" s="635">
        <f>'Cashflow Governmental'!AE56</f>
        <v>1.9</v>
      </c>
      <c r="AE54" s="762"/>
      <c r="AF54" s="1224"/>
      <c r="AG54" s="1043"/>
      <c r="AH54" s="762">
        <f t="shared" si="15"/>
        <v>-0.6</v>
      </c>
      <c r="AI54" s="1055"/>
      <c r="AJ54" s="683">
        <f>ROUND(AH54/AD54,3)</f>
        <v>-0.316</v>
      </c>
      <c r="AK54" s="683"/>
      <c r="AL54" s="1029"/>
    </row>
    <row r="55" spans="1:38" ht="18" customHeight="1">
      <c r="A55" s="533" t="s">
        <v>353</v>
      </c>
      <c r="B55" s="403"/>
      <c r="C55" s="403"/>
      <c r="D55" s="312">
        <f>'Exhibit F'!R52</f>
        <v>0.19999999999999968</v>
      </c>
      <c r="E55" s="309"/>
      <c r="F55" s="309">
        <f>'Exhibit F'!AC52</f>
        <v>1.9</v>
      </c>
      <c r="G55" s="309"/>
      <c r="H55" s="309">
        <v>0</v>
      </c>
      <c r="I55" s="762"/>
      <c r="J55" s="762">
        <v>0</v>
      </c>
      <c r="K55" s="309"/>
      <c r="L55" s="312">
        <f>'Exhibit H'!P26</f>
        <v>0.19999999999999968</v>
      </c>
      <c r="M55" s="762"/>
      <c r="N55" s="312">
        <f>'Exhibit H'!AA26</f>
        <v>1.9</v>
      </c>
      <c r="O55" s="309"/>
      <c r="P55" s="312">
        <v>0</v>
      </c>
      <c r="Q55" s="762"/>
      <c r="R55" s="312">
        <v>0</v>
      </c>
      <c r="S55" s="309"/>
      <c r="T55" s="2185"/>
      <c r="U55" s="2185"/>
      <c r="V55" s="762">
        <f t="shared" ref="V55" si="16">SUM(D55)+SUM(H55)+SUM(L55)+SUM(P55)</f>
        <v>0.39999999999999936</v>
      </c>
      <c r="W55" s="309"/>
      <c r="X55" s="762">
        <f t="shared" ref="X55" si="17">SUM(F55)+SUM(J55)+SUM(N55)+SUM(R55)</f>
        <v>3.8</v>
      </c>
      <c r="Y55" s="1043"/>
      <c r="Z55" s="1044"/>
      <c r="AA55" s="309"/>
      <c r="AB55" s="635">
        <v>0.4</v>
      </c>
      <c r="AC55" s="309"/>
      <c r="AD55" s="635">
        <f>'Cashflow Governmental'!AE57</f>
        <v>3</v>
      </c>
      <c r="AE55" s="762"/>
      <c r="AF55" s="1224"/>
      <c r="AG55" s="1043"/>
      <c r="AH55" s="312">
        <f t="shared" ref="AH55" si="18">ROUND(SUM(X55)-SUM(AD55),1)</f>
        <v>0.8</v>
      </c>
      <c r="AI55" s="1055"/>
      <c r="AJ55" s="327">
        <f>ROUND(IF(AD55=0,1,AH55/(AD55)),3)</f>
        <v>0.26700000000000002</v>
      </c>
      <c r="AK55" s="683"/>
      <c r="AL55" s="1029"/>
    </row>
    <row r="56" spans="1:38" ht="18" customHeight="1">
      <c r="A56" s="1039" t="s">
        <v>339</v>
      </c>
      <c r="B56" s="403"/>
      <c r="C56" s="403"/>
      <c r="D56" s="1500">
        <f>ROUND(SUM(D50:D55),1)</f>
        <v>144</v>
      </c>
      <c r="E56" s="4"/>
      <c r="F56" s="1500">
        <f>ROUND(SUM(F50:F55),1)</f>
        <v>1535.5</v>
      </c>
      <c r="G56" s="4"/>
      <c r="H56" s="1496">
        <f>ROUND(SUM(H50:H55),1)</f>
        <v>0</v>
      </c>
      <c r="I56" s="1046"/>
      <c r="J56" s="1496">
        <f>ROUND(SUM(J50:J55),1)</f>
        <v>0</v>
      </c>
      <c r="K56" s="4"/>
      <c r="L56" s="1500">
        <f>ROUND(SUM(L50:L55),1)</f>
        <v>71.8</v>
      </c>
      <c r="M56" s="4"/>
      <c r="N56" s="1500">
        <f>ROUND(SUM(N50:N55),1)</f>
        <v>661.1</v>
      </c>
      <c r="O56" s="4" t="s">
        <v>104</v>
      </c>
      <c r="P56" s="1500">
        <f>ROUND(SUM(P50:P55),1)</f>
        <v>25.7</v>
      </c>
      <c r="Q56" s="4"/>
      <c r="R56" s="1500">
        <f>ROUND(SUM(R50:R55),1)</f>
        <v>154.4</v>
      </c>
      <c r="S56" s="4"/>
      <c r="T56" s="2186"/>
      <c r="U56" s="2186"/>
      <c r="V56" s="1496">
        <f>ROUND(SUM(V50:V55),1)</f>
        <v>241.5</v>
      </c>
      <c r="W56" s="4"/>
      <c r="X56" s="1496">
        <f>ROUND(SUM(X50:X55),1)</f>
        <v>2351</v>
      </c>
      <c r="Y56" s="2040"/>
      <c r="Z56" s="904"/>
      <c r="AA56" s="4"/>
      <c r="AB56" s="1496">
        <f>ROUND(SUM(AB50:AB55),1)</f>
        <v>366.6</v>
      </c>
      <c r="AC56" s="4"/>
      <c r="AD56" s="1496">
        <f>ROUND(SUM(AD50:AD55),1)</f>
        <v>2704</v>
      </c>
      <c r="AE56" s="1046"/>
      <c r="AF56" s="1225"/>
      <c r="AG56" s="1047"/>
      <c r="AH56" s="1422">
        <f t="shared" si="15"/>
        <v>-353</v>
      </c>
      <c r="AI56" s="899"/>
      <c r="AJ56" s="1215">
        <f>ROUND(AH56/AD56,3)</f>
        <v>-0.13100000000000001</v>
      </c>
      <c r="AK56" s="1048"/>
      <c r="AL56" s="1049"/>
    </row>
    <row r="57" spans="1:38" ht="18" customHeight="1">
      <c r="A57" s="403"/>
      <c r="B57" s="403"/>
      <c r="C57" s="403"/>
      <c r="D57" s="1502"/>
      <c r="E57" s="899"/>
      <c r="F57" s="1502"/>
      <c r="G57" s="346"/>
      <c r="H57" s="1502"/>
      <c r="I57" s="899"/>
      <c r="J57" s="1502"/>
      <c r="K57" s="346"/>
      <c r="L57" s="1502"/>
      <c r="M57" s="899"/>
      <c r="N57" s="1502"/>
      <c r="O57" s="346"/>
      <c r="P57" s="1502"/>
      <c r="Q57" s="899"/>
      <c r="R57" s="1502"/>
      <c r="S57" s="346"/>
      <c r="T57" s="2189"/>
      <c r="U57" s="2189"/>
      <c r="V57" s="1502"/>
      <c r="W57" s="346"/>
      <c r="X57" s="1502"/>
      <c r="Y57" s="899"/>
      <c r="Z57" s="2144"/>
      <c r="AA57" s="346"/>
      <c r="AB57" s="1502"/>
      <c r="AC57" s="346"/>
      <c r="AD57" s="1502"/>
      <c r="AE57" s="899"/>
      <c r="AF57" s="1226"/>
      <c r="AG57" s="899"/>
      <c r="AH57" s="1503"/>
      <c r="AI57" s="899"/>
      <c r="AJ57" s="1504"/>
      <c r="AK57" s="1049"/>
      <c r="AL57" s="1049"/>
    </row>
    <row r="58" spans="1:38" ht="18" customHeight="1" thickBot="1">
      <c r="A58" s="1039" t="s">
        <v>354</v>
      </c>
      <c r="B58" s="403"/>
      <c r="C58" s="403"/>
      <c r="D58" s="1290">
        <f>ROUND(SUM(D25)+SUM(D38)+SUM(D47)+SUM(D56),1)</f>
        <v>2701.1</v>
      </c>
      <c r="E58" s="905"/>
      <c r="F58" s="1290">
        <f>ROUND(SUM(F25)+SUM(F38)+SUM(F47)+SUM(F56),1)</f>
        <v>31755.7</v>
      </c>
      <c r="G58" s="2190"/>
      <c r="H58" s="1290">
        <f>ROUND(SUM(H25)+SUM(H38)+SUM(H47)+SUM(H56),1)</f>
        <v>257</v>
      </c>
      <c r="I58" s="905"/>
      <c r="J58" s="1290">
        <f>ROUND(SUM(J25)+SUM(J38)+SUM(J47)+SUM(J56),1)</f>
        <v>3016.4</v>
      </c>
      <c r="K58" s="905"/>
      <c r="L58" s="1290">
        <f>ROUND(SUM(L25)+SUM(L38)+SUM(L47)+SUM(L56),1)</f>
        <v>2508.8000000000002</v>
      </c>
      <c r="M58" s="905"/>
      <c r="N58" s="1290">
        <f>ROUND(SUM(N25)+SUM(N38)+SUM(N47)+SUM(N56),1)</f>
        <v>25019.5</v>
      </c>
      <c r="O58" s="905"/>
      <c r="P58" s="1290">
        <f>ROUND(SUM(P25)+SUM(P38)+SUM(P47)+SUM(P56),1)</f>
        <v>122.1</v>
      </c>
      <c r="Q58" s="905"/>
      <c r="R58" s="1290">
        <f>ROUND(SUM(R25)+SUM(R38)+SUM(R47)+SUM(R56),1)</f>
        <v>1010.1</v>
      </c>
      <c r="S58" s="905"/>
      <c r="T58" s="2191"/>
      <c r="U58" s="905"/>
      <c r="V58" s="1982">
        <f>ROUND(SUM(V25)+SUM(V38)+SUM(V47)+SUM(V56),1)</f>
        <v>5589</v>
      </c>
      <c r="W58" s="905"/>
      <c r="X58" s="1982">
        <f>ROUND(SUM(X25)+SUM(X38)+SUM(X47)+SUM(X56),1)</f>
        <v>60801.7</v>
      </c>
      <c r="Y58" s="2041"/>
      <c r="Z58" s="906"/>
      <c r="AA58" s="905"/>
      <c r="AB58" s="1982">
        <f>ROUND(SUM(AB25)+SUM(AB38)+SUM(AB47)+SUM(AB56),1)</f>
        <v>4988.5</v>
      </c>
      <c r="AC58" s="905"/>
      <c r="AD58" s="1982">
        <f>ROUND(SUM(AD25)+SUM(AD38)+SUM(AD47)+SUM(AD56),1)</f>
        <v>67027</v>
      </c>
      <c r="AE58" s="905"/>
      <c r="AF58" s="1227"/>
      <c r="AG58" s="905"/>
      <c r="AH58" s="1290">
        <f>ROUND(SUM(X58)-SUM(AD58),1)</f>
        <v>-6225.3</v>
      </c>
      <c r="AI58" s="899"/>
      <c r="AJ58" s="1505">
        <f>ROUND(AH58/AD58,3)</f>
        <v>-9.2999999999999999E-2</v>
      </c>
      <c r="AK58" s="1048"/>
      <c r="AL58" s="1049"/>
    </row>
    <row r="59" spans="1:38" ht="15" customHeight="1" thickTop="1">
      <c r="F59" s="1030" t="s">
        <v>104</v>
      </c>
      <c r="N59" s="1030" t="s">
        <v>104</v>
      </c>
      <c r="R59" s="1030" t="s">
        <v>104</v>
      </c>
    </row>
    <row r="60" spans="1:38" ht="15" customHeight="1">
      <c r="F60" s="1030" t="s">
        <v>104</v>
      </c>
    </row>
    <row r="61" spans="1:38">
      <c r="H61" s="1030" t="s">
        <v>104</v>
      </c>
      <c r="V61" s="1030" t="s">
        <v>104</v>
      </c>
    </row>
    <row r="62" spans="1:38">
      <c r="H62" s="1030" t="s">
        <v>104</v>
      </c>
    </row>
    <row r="63" spans="1:38">
      <c r="H63" s="1030" t="s">
        <v>104</v>
      </c>
    </row>
    <row r="65" ht="15" customHeight="1"/>
  </sheetData>
  <pageMargins left="0.4" right="0.25" top="0.5" bottom="0.40277777777777801" header="0" footer="0.25"/>
  <pageSetup scale="40" firstPageNumber="15" orientation="landscape" useFirstPageNumber="1" r:id="rId1"/>
  <headerFooter scaleWithDoc="0" alignWithMargins="0">
    <oddFooter>&amp;C&amp;8&amp;P</oddFooter>
  </headerFooter>
  <customProperties>
    <customPr name="SheetOptions" r:id="rId2"/>
  </customProperties>
  <ignoredErrors>
    <ignoredError sqref="F38 R38 F47 AJ50 AJ22:AJ23" unlockedFormula="1"/>
    <ignoredError sqref="AH24 AJ19 AH19 V31 V21:X22 AJ21 V23 V44 AJ33 AJ55" formula="1"/>
    <ignoredError sqref="AJ31" formula="1" unlockedFormula="1"/>
    <ignoredError sqref="AC21 AC23:AD23 AC22:AD22 AB26:AD27 AB39:AD40 AB47:AD49 AC46:AD46 AB57:AD57 AC17:AD17 J44 H47:I47 K47 O47:Q47 X44 V47:X47 V57:X58 E54:R54 D58:E58 G58:I58 D57:R57 E50:R52 E53:K53 M53:O53 Q53:R53 V50:X54 E56 G56 I56 K56 M56 O56 Q56 W56 AC56 AC34:AD35 AC50:AD54 AC24:AD25 AC58:AD58 AC16 AC42:AD42 M47 AC19:AD20 AC18 AC29:AD31 AC38:AD38 AC28 AC32 AC41 AC44:AD44 AC43 K58:Q58" evalError="1"/>
    <ignoredError sqref="R47 N47 J47 R58 F58" evalError="1" unlockedFormula="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autoPageBreaks="0"/>
  </sheetPr>
  <dimension ref="A1:BG163"/>
  <sheetViews>
    <sheetView showGridLines="0" zoomScale="80" zoomScaleNormal="70" workbookViewId="0"/>
  </sheetViews>
  <sheetFormatPr defaultColWidth="8.84375" defaultRowHeight="16.5" customHeight="1"/>
  <cols>
    <col min="1" max="1" width="43.84375" style="73" customWidth="1"/>
    <col min="2" max="2" width="1.84375" style="73" customWidth="1"/>
    <col min="3" max="3" width="13.4609375" style="73" customWidth="1"/>
    <col min="4" max="4" width="1.84375" style="73" customWidth="1"/>
    <col min="5" max="5" width="13.07421875" style="73" customWidth="1"/>
    <col min="6" max="6" width="1.84375" style="73" customWidth="1"/>
    <col min="7" max="7" width="15.07421875" style="73" customWidth="1"/>
    <col min="8" max="8" width="1.84375" style="73" customWidth="1"/>
    <col min="9" max="9" width="14.84375" style="73" customWidth="1"/>
    <col min="10" max="10" width="1.84375" style="73" customWidth="1"/>
    <col min="11" max="11" width="13.07421875" style="73" customWidth="1"/>
    <col min="12" max="12" width="1.84375" style="73" customWidth="1"/>
    <col min="13" max="13" width="13.07421875" style="73" customWidth="1"/>
    <col min="14" max="14" width="1.84375" style="73" customWidth="1"/>
    <col min="15" max="15" width="13.07421875" style="73" customWidth="1"/>
    <col min="16" max="16" width="1.84375" style="73" customWidth="1"/>
    <col min="17" max="17" width="13.4609375" style="73" customWidth="1"/>
    <col min="18" max="18" width="1.84375" style="73" customWidth="1"/>
    <col min="19" max="19" width="13.07421875" style="73" customWidth="1"/>
    <col min="20" max="20" width="1.84375" style="73" customWidth="1"/>
    <col min="21" max="21" width="13" style="73" customWidth="1"/>
    <col min="22" max="22" width="1.84375" style="73" customWidth="1"/>
    <col min="23" max="23" width="13.84375" style="73" customWidth="1"/>
    <col min="24" max="24" width="1.84375" style="73" customWidth="1"/>
    <col min="25" max="25" width="12.84375" style="73" customWidth="1"/>
    <col min="26" max="27" width="1.84375" style="73" customWidth="1"/>
    <col min="28" max="28" width="15.07421875" style="73" customWidth="1"/>
    <col min="29" max="30" width="1.84375" style="73" customWidth="1"/>
    <col min="31" max="31" width="17.4609375" style="73" customWidth="1"/>
    <col min="32" max="32" width="0.84375" style="73" customWidth="1"/>
    <col min="33" max="33" width="1.84375" style="73" customWidth="1"/>
    <col min="34" max="34" width="12.84375" style="73" bestFit="1" customWidth="1"/>
    <col min="35" max="35" width="1.07421875" style="73" customWidth="1"/>
    <col min="36" max="36" width="11.07421875" style="73" customWidth="1"/>
    <col min="37" max="16384" width="8.84375" style="73"/>
  </cols>
  <sheetData>
    <row r="1" spans="1:37" ht="16.5" customHeight="1">
      <c r="A1" s="326" t="s">
        <v>98</v>
      </c>
    </row>
    <row r="2" spans="1:37" ht="16.5" customHeight="1">
      <c r="A2" s="431"/>
    </row>
    <row r="3" spans="1:37" ht="23.15" customHeight="1">
      <c r="A3" s="76" t="s">
        <v>99</v>
      </c>
      <c r="B3" s="79"/>
      <c r="C3" s="79"/>
      <c r="D3" s="79"/>
      <c r="E3" s="79"/>
      <c r="F3" s="79"/>
      <c r="G3" s="79"/>
      <c r="H3" s="79"/>
      <c r="I3" s="79"/>
      <c r="J3" s="79"/>
      <c r="K3" s="79"/>
      <c r="L3" s="79"/>
      <c r="M3" s="79"/>
      <c r="N3" s="79"/>
      <c r="O3" s="79"/>
      <c r="P3" s="79"/>
      <c r="Q3" s="79"/>
      <c r="R3" s="79"/>
      <c r="S3" s="79"/>
      <c r="T3" s="79"/>
      <c r="U3" s="79"/>
      <c r="V3" s="79"/>
      <c r="W3" s="79"/>
      <c r="X3" s="79"/>
      <c r="Y3" s="79"/>
      <c r="Z3" s="79"/>
      <c r="AA3" s="79"/>
      <c r="AB3" s="79"/>
      <c r="AC3" s="79"/>
      <c r="AD3" s="79"/>
      <c r="AE3" s="79"/>
      <c r="AF3" s="79"/>
      <c r="AG3" s="79"/>
      <c r="AI3" s="79"/>
    </row>
    <row r="4" spans="1:37" ht="23.25" customHeight="1">
      <c r="A4" s="76" t="s">
        <v>355</v>
      </c>
      <c r="B4" s="79"/>
      <c r="C4" s="79"/>
      <c r="D4" s="79"/>
      <c r="E4" s="79"/>
      <c r="F4" s="79"/>
      <c r="G4" s="79"/>
      <c r="H4" s="79"/>
      <c r="I4" s="79" t="s">
        <v>104</v>
      </c>
      <c r="J4" s="79"/>
      <c r="K4" s="79"/>
      <c r="L4" s="79"/>
      <c r="M4" s="79"/>
      <c r="N4" s="79"/>
      <c r="O4" s="79"/>
      <c r="P4" s="79"/>
      <c r="Q4" s="79"/>
      <c r="R4" s="79"/>
      <c r="S4" s="79"/>
      <c r="T4" s="79"/>
      <c r="U4" s="79"/>
      <c r="V4" s="79"/>
      <c r="W4" s="79"/>
      <c r="X4" s="79"/>
      <c r="Y4" s="79" t="s">
        <v>104</v>
      </c>
      <c r="Z4" s="79"/>
      <c r="AA4" s="79"/>
      <c r="AB4" s="79"/>
      <c r="AC4" s="79"/>
      <c r="AD4" s="79"/>
      <c r="AE4" s="79"/>
      <c r="AF4" s="79"/>
      <c r="AG4" s="79"/>
      <c r="AI4" s="79"/>
    </row>
    <row r="5" spans="1:37" ht="23.25" customHeight="1">
      <c r="A5" s="78" t="s">
        <v>356</v>
      </c>
      <c r="B5" s="79"/>
      <c r="C5" s="79"/>
      <c r="D5" s="79"/>
      <c r="E5" s="79"/>
      <c r="F5" s="79"/>
      <c r="G5" s="79"/>
      <c r="H5" s="79"/>
      <c r="I5" s="79"/>
      <c r="J5" s="79"/>
      <c r="K5" s="79"/>
      <c r="L5" s="79"/>
      <c r="M5" s="79"/>
      <c r="N5" s="79"/>
      <c r="O5" s="79"/>
      <c r="P5" s="79"/>
      <c r="Q5" s="79"/>
      <c r="R5" s="79"/>
      <c r="S5" s="79"/>
      <c r="T5" s="79"/>
      <c r="U5" s="79"/>
      <c r="V5" s="79"/>
      <c r="W5" s="79"/>
      <c r="X5" s="79"/>
      <c r="Y5" s="79"/>
      <c r="Z5" s="79"/>
      <c r="AA5" s="79"/>
      <c r="AC5" s="2223"/>
      <c r="AD5" s="2224"/>
      <c r="AE5" s="2224"/>
      <c r="AF5" s="2224"/>
      <c r="AG5" s="2224"/>
      <c r="AH5" s="2224"/>
      <c r="AI5" s="2224"/>
      <c r="AJ5" s="2224"/>
    </row>
    <row r="6" spans="1:37" ht="23.25" customHeight="1">
      <c r="A6" s="78" t="s">
        <v>249</v>
      </c>
      <c r="B6" s="79"/>
      <c r="C6" s="79"/>
      <c r="D6" s="79"/>
      <c r="E6" s="79"/>
      <c r="F6" s="79"/>
      <c r="G6" s="79"/>
      <c r="H6" s="79"/>
      <c r="I6" s="79"/>
      <c r="J6" s="79"/>
      <c r="K6" s="79"/>
      <c r="L6" s="79"/>
      <c r="M6" s="79"/>
      <c r="N6" s="79"/>
      <c r="O6" s="79"/>
      <c r="P6" s="79"/>
      <c r="Q6" s="79"/>
      <c r="R6" s="79"/>
      <c r="S6" s="79"/>
      <c r="T6" s="79"/>
      <c r="U6" s="79"/>
      <c r="V6" s="79"/>
      <c r="W6" s="79"/>
      <c r="X6" s="79"/>
      <c r="Y6" s="79"/>
      <c r="Z6" s="79"/>
      <c r="AA6" s="79"/>
      <c r="AB6" s="79"/>
      <c r="AC6" s="79"/>
      <c r="AD6" s="79"/>
      <c r="AE6" s="79"/>
      <c r="AF6" s="79"/>
      <c r="AG6" s="79"/>
      <c r="AI6" s="79"/>
    </row>
    <row r="7" spans="1:37" ht="23.25" customHeight="1">
      <c r="A7" s="76" t="s">
        <v>103</v>
      </c>
      <c r="B7" s="79"/>
      <c r="C7" s="79"/>
      <c r="D7" s="79"/>
      <c r="E7" s="79"/>
      <c r="F7" s="79"/>
      <c r="G7" s="79"/>
      <c r="H7" s="79"/>
      <c r="I7" s="79"/>
      <c r="J7" s="79"/>
      <c r="K7" s="79"/>
      <c r="L7" s="79"/>
      <c r="M7" s="79"/>
      <c r="N7" s="79"/>
      <c r="O7" s="79"/>
      <c r="P7" s="79"/>
      <c r="Q7" s="79"/>
      <c r="R7" s="79"/>
      <c r="S7" s="79"/>
      <c r="T7" s="79"/>
      <c r="U7" s="79"/>
      <c r="V7" s="79"/>
      <c r="W7" s="79"/>
      <c r="X7" s="79"/>
      <c r="Y7" s="79"/>
      <c r="Z7" s="79"/>
      <c r="AA7" s="79"/>
      <c r="AB7" s="79"/>
      <c r="AC7" s="79"/>
      <c r="AD7" s="79"/>
      <c r="AE7" s="79"/>
      <c r="AF7" s="79"/>
      <c r="AG7" s="79"/>
      <c r="AI7" s="79"/>
    </row>
    <row r="8" spans="1:37" ht="16.5" customHeight="1">
      <c r="A8" s="79"/>
      <c r="B8" s="79"/>
      <c r="C8" s="79"/>
      <c r="D8" s="79"/>
      <c r="E8" s="79"/>
      <c r="F8" s="79"/>
      <c r="G8" s="79"/>
      <c r="H8" s="79"/>
      <c r="I8" s="79"/>
      <c r="J8" s="79"/>
      <c r="K8" s="79"/>
      <c r="L8" s="79"/>
      <c r="M8" s="79"/>
      <c r="N8" s="79"/>
      <c r="O8" s="79"/>
      <c r="P8" s="79"/>
      <c r="Q8" s="79"/>
      <c r="R8" s="79"/>
      <c r="S8" s="79"/>
      <c r="T8" s="79"/>
      <c r="U8" s="79"/>
      <c r="V8" s="79"/>
      <c r="W8" s="79"/>
      <c r="X8" s="79"/>
      <c r="Y8" s="79"/>
      <c r="Z8" s="79"/>
      <c r="AA8" s="79"/>
      <c r="AB8" s="79"/>
      <c r="AC8" s="79"/>
      <c r="AD8" s="79"/>
      <c r="AE8" s="79"/>
      <c r="AF8" s="79"/>
      <c r="AG8" s="79"/>
      <c r="AI8" s="79"/>
    </row>
    <row r="9" spans="1:37" ht="16.5" customHeight="1">
      <c r="A9" s="79"/>
      <c r="B9" s="79"/>
      <c r="C9" s="79"/>
      <c r="D9" s="79"/>
      <c r="E9" s="79"/>
      <c r="F9" s="79"/>
      <c r="G9" s="79"/>
      <c r="H9" s="79"/>
      <c r="I9" s="79"/>
      <c r="J9" s="79"/>
      <c r="K9" s="79"/>
      <c r="L9" s="79"/>
      <c r="M9" s="79"/>
      <c r="N9" s="79"/>
      <c r="O9" s="79"/>
      <c r="P9" s="79"/>
      <c r="Q9" s="79"/>
      <c r="R9" s="79"/>
      <c r="S9" s="79"/>
      <c r="T9" s="79"/>
      <c r="U9" s="79"/>
      <c r="V9" s="79"/>
      <c r="W9" s="79"/>
      <c r="X9" s="79"/>
      <c r="Y9" s="79"/>
      <c r="Z9" s="79"/>
      <c r="AA9" s="79"/>
      <c r="AB9" s="79"/>
      <c r="AC9" s="79"/>
      <c r="AD9" s="79"/>
      <c r="AE9" s="79"/>
      <c r="AF9" s="79"/>
      <c r="AG9" s="79"/>
      <c r="AI9" s="79"/>
    </row>
    <row r="10" spans="1:37" ht="16.5" customHeight="1">
      <c r="A10" s="79"/>
      <c r="B10" s="79"/>
      <c r="C10" s="79"/>
      <c r="D10" s="79"/>
      <c r="E10" s="79"/>
      <c r="F10" s="79"/>
      <c r="G10" s="79"/>
      <c r="H10" s="79"/>
      <c r="I10" s="79"/>
      <c r="J10" s="79"/>
      <c r="K10" s="79"/>
      <c r="L10" s="79"/>
      <c r="M10" s="79"/>
      <c r="N10" s="79"/>
      <c r="O10" s="79"/>
      <c r="P10" s="79"/>
      <c r="Q10" s="79"/>
      <c r="R10" s="79"/>
      <c r="S10" s="79"/>
      <c r="T10" s="79"/>
      <c r="U10" s="79"/>
      <c r="V10" s="79"/>
      <c r="W10" s="79"/>
      <c r="X10" s="79"/>
      <c r="Y10" s="79"/>
      <c r="Z10" s="79"/>
      <c r="AA10" s="79"/>
      <c r="AB10" s="79"/>
      <c r="AC10" s="79"/>
      <c r="AD10" s="79"/>
      <c r="AE10" s="79"/>
      <c r="AF10" s="79"/>
      <c r="AG10" s="79"/>
      <c r="AI10" s="79"/>
    </row>
    <row r="11" spans="1:37" ht="16.5" customHeight="1">
      <c r="A11" s="79"/>
      <c r="B11" s="79"/>
      <c r="C11" s="79"/>
      <c r="D11" s="79"/>
      <c r="E11" s="79"/>
      <c r="F11" s="79"/>
      <c r="G11" s="79"/>
      <c r="H11" s="79"/>
      <c r="I11" s="79"/>
      <c r="J11" s="79"/>
      <c r="K11" s="79"/>
      <c r="L11" s="79"/>
      <c r="M11" s="79"/>
      <c r="N11" s="79"/>
      <c r="O11" s="79"/>
      <c r="P11" s="79"/>
      <c r="Q11" s="79"/>
      <c r="R11" s="79"/>
      <c r="S11" s="79"/>
      <c r="T11" s="79"/>
      <c r="U11" s="79"/>
      <c r="V11" s="79"/>
      <c r="W11" s="79"/>
      <c r="X11" s="79"/>
      <c r="Y11" s="79"/>
      <c r="Z11" s="79"/>
      <c r="AA11" s="79"/>
      <c r="AC11" s="79"/>
      <c r="AD11" s="79"/>
      <c r="AE11" s="79"/>
      <c r="AF11" s="79"/>
      <c r="AG11" s="79"/>
      <c r="AI11" s="79"/>
    </row>
    <row r="12" spans="1:37" ht="16.5" customHeight="1">
      <c r="A12" s="79"/>
      <c r="B12" s="79"/>
      <c r="C12" s="79" t="s">
        <v>104</v>
      </c>
      <c r="D12" s="79" t="s">
        <v>104</v>
      </c>
      <c r="E12" s="79"/>
      <c r="F12" s="79"/>
      <c r="G12" s="79"/>
      <c r="H12" s="79"/>
      <c r="I12" s="79"/>
      <c r="J12" s="79"/>
      <c r="K12" s="79"/>
      <c r="L12" s="79"/>
      <c r="M12" s="79"/>
      <c r="N12" s="79"/>
      <c r="O12" s="79"/>
      <c r="P12" s="79"/>
      <c r="Q12" s="79"/>
      <c r="R12" s="79"/>
      <c r="S12" s="79"/>
      <c r="T12" s="79"/>
      <c r="U12" s="79"/>
      <c r="V12" s="79"/>
      <c r="W12" s="79"/>
      <c r="X12" s="79"/>
      <c r="Z12" s="79"/>
      <c r="AA12" s="240"/>
      <c r="AB12" s="2225" t="s">
        <v>1590</v>
      </c>
      <c r="AC12" s="2226"/>
      <c r="AD12" s="2226"/>
      <c r="AE12" s="2226"/>
      <c r="AF12" s="2226"/>
      <c r="AG12" s="2226"/>
      <c r="AH12" s="2226"/>
      <c r="AI12" s="2226"/>
      <c r="AJ12" s="2226"/>
    </row>
    <row r="13" spans="1:37" ht="16.5" customHeight="1">
      <c r="A13" s="79"/>
      <c r="B13" s="79"/>
      <c r="C13" s="695" t="s">
        <v>357</v>
      </c>
      <c r="D13" s="238"/>
      <c r="E13" s="238"/>
      <c r="F13" s="238"/>
      <c r="G13" s="238"/>
      <c r="H13" s="238"/>
      <c r="I13" s="238"/>
      <c r="J13" s="238"/>
      <c r="K13" s="238"/>
      <c r="L13" s="238"/>
      <c r="M13" s="238"/>
      <c r="N13" s="238"/>
      <c r="O13" s="238"/>
      <c r="P13" s="238"/>
      <c r="Q13" s="238"/>
      <c r="R13" s="238"/>
      <c r="S13" s="238"/>
      <c r="T13" s="238"/>
      <c r="U13" s="695">
        <v>2024</v>
      </c>
      <c r="V13" s="238"/>
      <c r="W13" s="238"/>
      <c r="X13" s="238"/>
      <c r="Y13" s="238"/>
      <c r="Z13" s="238"/>
      <c r="AA13" s="238"/>
      <c r="AB13" s="238"/>
      <c r="AC13" s="238"/>
      <c r="AD13" s="238"/>
      <c r="AE13" s="238"/>
      <c r="AF13" s="238"/>
      <c r="AG13" s="238"/>
      <c r="AH13" s="387" t="s">
        <v>111</v>
      </c>
      <c r="AI13" s="1170"/>
      <c r="AJ13" s="387" t="s">
        <v>112</v>
      </c>
    </row>
    <row r="14" spans="1:37" ht="16.5" customHeight="1">
      <c r="A14" s="79"/>
      <c r="B14" s="79"/>
      <c r="C14" s="387" t="s">
        <v>358</v>
      </c>
      <c r="D14" s="238"/>
      <c r="E14" s="387" t="s">
        <v>359</v>
      </c>
      <c r="F14" s="238"/>
      <c r="G14" s="387" t="s">
        <v>360</v>
      </c>
      <c r="H14" s="238"/>
      <c r="I14" s="387" t="s">
        <v>361</v>
      </c>
      <c r="J14" s="238"/>
      <c r="K14" s="387" t="s">
        <v>362</v>
      </c>
      <c r="L14" s="238"/>
      <c r="M14" s="387" t="s">
        <v>363</v>
      </c>
      <c r="N14" s="238"/>
      <c r="O14" s="387" t="s">
        <v>364</v>
      </c>
      <c r="P14" s="238"/>
      <c r="Q14" s="387" t="s">
        <v>365</v>
      </c>
      <c r="R14" s="238"/>
      <c r="S14" s="387" t="s">
        <v>366</v>
      </c>
      <c r="T14" s="238"/>
      <c r="U14" s="387" t="s">
        <v>367</v>
      </c>
      <c r="V14" s="238"/>
      <c r="W14" s="387" t="s">
        <v>368</v>
      </c>
      <c r="X14" s="238"/>
      <c r="Y14" s="387" t="s">
        <v>369</v>
      </c>
      <c r="Z14" s="238"/>
      <c r="AA14" s="238"/>
      <c r="AB14" s="1162">
        <v>2023</v>
      </c>
      <c r="AC14" s="238"/>
      <c r="AD14" s="238"/>
      <c r="AE14" s="1162">
        <v>2022</v>
      </c>
      <c r="AF14" s="238"/>
      <c r="AG14" s="238"/>
      <c r="AH14" s="1182" t="s">
        <v>113</v>
      </c>
      <c r="AI14" s="1170"/>
      <c r="AJ14" s="1182" t="s">
        <v>114</v>
      </c>
    </row>
    <row r="15" spans="1:37" ht="6" customHeight="1">
      <c r="A15" s="79"/>
      <c r="B15" s="79"/>
      <c r="C15" s="1506"/>
      <c r="D15" s="79"/>
      <c r="E15" s="1506"/>
      <c r="F15" s="79"/>
      <c r="G15" s="1506"/>
      <c r="H15" s="79"/>
      <c r="I15" s="1506"/>
      <c r="J15" s="79"/>
      <c r="K15" s="1506"/>
      <c r="L15" s="79"/>
      <c r="M15" s="1506"/>
      <c r="N15" s="79"/>
      <c r="O15" s="1506" t="s">
        <v>104</v>
      </c>
      <c r="P15" s="79"/>
      <c r="Q15" s="1506"/>
      <c r="R15" s="79"/>
      <c r="S15" s="1506"/>
      <c r="T15" s="79"/>
      <c r="U15" s="1506" t="s">
        <v>104</v>
      </c>
      <c r="V15" s="79"/>
      <c r="W15" s="1506"/>
      <c r="X15" s="79"/>
      <c r="Y15" s="1506"/>
      <c r="Z15" s="79"/>
      <c r="AA15" s="79"/>
      <c r="AB15" s="1506"/>
      <c r="AC15" s="79"/>
      <c r="AD15" s="79"/>
      <c r="AE15" s="1506"/>
      <c r="AF15" s="79"/>
      <c r="AG15" s="79"/>
      <c r="AI15" s="79"/>
    </row>
    <row r="16" spans="1:37" ht="16.5" customHeight="1">
      <c r="A16" s="239" t="s">
        <v>370</v>
      </c>
      <c r="B16" s="79"/>
      <c r="C16" s="241">
        <f>'Exhibit F'!D12+'Exhibit G'!D13+'Exhibit H'!B12+'Exhibit I'!E15</f>
        <v>65955.699999999983</v>
      </c>
      <c r="D16" s="241"/>
      <c r="E16" s="241">
        <f>C149</f>
        <v>71888.2</v>
      </c>
      <c r="F16" s="241"/>
      <c r="G16" s="241">
        <f t="shared" ref="G16:Q16" si="0">E149</f>
        <v>62748.9</v>
      </c>
      <c r="H16" s="241"/>
      <c r="I16" s="241">
        <f t="shared" si="0"/>
        <v>70773.7</v>
      </c>
      <c r="J16" s="241"/>
      <c r="K16" s="241">
        <f t="shared" si="0"/>
        <v>71732.899999999994</v>
      </c>
      <c r="L16" s="241"/>
      <c r="M16" s="241">
        <f t="shared" si="0"/>
        <v>69774.5</v>
      </c>
      <c r="N16" s="241"/>
      <c r="O16" s="241">
        <f t="shared" si="0"/>
        <v>73205</v>
      </c>
      <c r="P16" s="241"/>
      <c r="Q16" s="241">
        <f t="shared" si="0"/>
        <v>72062.899999999994</v>
      </c>
      <c r="R16" s="241"/>
      <c r="S16" s="241"/>
      <c r="T16" s="241"/>
      <c r="U16" s="241"/>
      <c r="V16" s="241"/>
      <c r="W16" s="241"/>
      <c r="X16" s="241"/>
      <c r="Y16" s="241"/>
      <c r="Z16" s="241"/>
      <c r="AA16" s="242"/>
      <c r="AB16" s="241">
        <f>C16</f>
        <v>65955.699999999983</v>
      </c>
      <c r="AC16" s="241"/>
      <c r="AD16" s="1171"/>
      <c r="AE16" s="241">
        <f>'Exhibit F'!AF12+'Exhibit G'!AG13+'Exhibit H'!AD12+'Exhibit I'!AI15</f>
        <v>53548.999999999993</v>
      </c>
      <c r="AF16" s="241"/>
      <c r="AG16" s="241"/>
      <c r="AH16" s="241">
        <f>ROUND(SUM(AB16-AE16),1)</f>
        <v>12406.7</v>
      </c>
      <c r="AI16" s="238"/>
      <c r="AJ16" s="107">
        <f>ROUND(SUM(AH16/AE16),3)</f>
        <v>0.23200000000000001</v>
      </c>
      <c r="AK16" s="180"/>
    </row>
    <row r="17" spans="1:37" ht="16.5" customHeight="1">
      <c r="A17" s="79"/>
      <c r="B17" s="79"/>
      <c r="C17" s="79" t="s">
        <v>104</v>
      </c>
      <c r="D17" s="79"/>
      <c r="E17" s="243"/>
      <c r="F17" s="243"/>
      <c r="G17" s="243"/>
      <c r="H17" s="79"/>
      <c r="I17" s="243"/>
      <c r="J17" s="79"/>
      <c r="K17" s="243"/>
      <c r="L17" s="79"/>
      <c r="M17" s="243"/>
      <c r="N17" s="79"/>
      <c r="O17" s="243"/>
      <c r="P17" s="79"/>
      <c r="Q17" s="243"/>
      <c r="R17" s="79"/>
      <c r="S17" s="243"/>
      <c r="T17" s="79"/>
      <c r="U17" s="243"/>
      <c r="V17" s="79"/>
      <c r="W17" s="243"/>
      <c r="X17" s="79"/>
      <c r="Y17" s="243"/>
      <c r="Z17" s="79"/>
      <c r="AA17" s="244"/>
      <c r="AB17" s="79" t="s">
        <v>104</v>
      </c>
      <c r="AC17" s="79"/>
      <c r="AD17" s="1172"/>
      <c r="AE17" s="79" t="s">
        <v>104</v>
      </c>
      <c r="AF17" s="79"/>
      <c r="AG17" s="79"/>
      <c r="AH17" s="329"/>
      <c r="AI17" s="79"/>
      <c r="AJ17" s="329"/>
    </row>
    <row r="18" spans="1:37" ht="16.5" customHeight="1">
      <c r="A18" s="51" t="s">
        <v>115</v>
      </c>
      <c r="B18" s="79"/>
      <c r="C18" s="79"/>
      <c r="D18" s="79"/>
      <c r="E18" s="243"/>
      <c r="F18" s="243"/>
      <c r="G18" s="243"/>
      <c r="H18" s="79"/>
      <c r="I18" s="243"/>
      <c r="J18" s="79"/>
      <c r="K18" s="243"/>
      <c r="L18" s="79"/>
      <c r="M18" s="243"/>
      <c r="N18" s="79"/>
      <c r="O18" s="243"/>
      <c r="P18" s="79"/>
      <c r="Q18" s="243"/>
      <c r="R18" s="79"/>
      <c r="S18" s="243"/>
      <c r="T18" s="79"/>
      <c r="U18" s="243"/>
      <c r="V18" s="79"/>
      <c r="W18" s="243"/>
      <c r="X18" s="79"/>
      <c r="Y18" s="243"/>
      <c r="Z18" s="79"/>
      <c r="AA18" s="244"/>
      <c r="AB18" s="79"/>
      <c r="AC18" s="79"/>
      <c r="AD18" s="1172"/>
      <c r="AE18" s="79"/>
      <c r="AF18" s="79"/>
      <c r="AG18" s="79"/>
      <c r="AH18" s="329"/>
      <c r="AI18" s="79"/>
      <c r="AJ18" s="329"/>
    </row>
    <row r="19" spans="1:37" ht="16.5" customHeight="1">
      <c r="A19" s="2006" t="s">
        <v>371</v>
      </c>
      <c r="B19" s="79"/>
      <c r="C19" s="79"/>
      <c r="D19" s="79"/>
      <c r="E19" s="243"/>
      <c r="F19" s="243"/>
      <c r="G19" s="243"/>
      <c r="H19" s="79"/>
      <c r="I19" s="243"/>
      <c r="J19" s="79"/>
      <c r="K19" s="243"/>
      <c r="L19" s="79"/>
      <c r="M19" s="243"/>
      <c r="N19" s="79"/>
      <c r="O19" s="243"/>
      <c r="P19" s="79"/>
      <c r="Q19" s="243"/>
      <c r="R19" s="79"/>
      <c r="S19" s="243"/>
      <c r="T19" s="79"/>
      <c r="U19" s="243"/>
      <c r="V19" s="79"/>
      <c r="W19" s="243"/>
      <c r="X19" s="79"/>
      <c r="Y19" s="243"/>
      <c r="Z19" s="79"/>
      <c r="AA19" s="244"/>
      <c r="AB19" s="79"/>
      <c r="AC19" s="79"/>
      <c r="AD19" s="1172"/>
      <c r="AE19" s="79"/>
      <c r="AF19" s="79"/>
      <c r="AG19" s="79"/>
      <c r="AH19" s="329"/>
      <c r="AI19" s="79"/>
      <c r="AJ19" s="329"/>
    </row>
    <row r="20" spans="1:37" ht="16.5" customHeight="1">
      <c r="A20" s="525" t="s">
        <v>372</v>
      </c>
      <c r="B20" s="345"/>
      <c r="C20" s="310"/>
      <c r="D20" s="310"/>
      <c r="E20" s="310"/>
      <c r="F20" s="310"/>
      <c r="G20" s="310"/>
      <c r="H20" s="79"/>
      <c r="I20" s="243"/>
      <c r="J20" s="79"/>
      <c r="K20" s="243"/>
      <c r="L20" s="79"/>
      <c r="M20" s="243"/>
      <c r="N20" s="79"/>
      <c r="O20" s="243"/>
      <c r="P20" s="79"/>
      <c r="Q20" s="243"/>
      <c r="R20" s="79"/>
      <c r="S20" s="243"/>
      <c r="T20" s="79"/>
      <c r="U20" s="243"/>
      <c r="V20" s="79"/>
      <c r="W20" s="243"/>
      <c r="X20" s="79"/>
      <c r="Y20" s="243"/>
      <c r="Z20" s="79"/>
      <c r="AA20" s="494"/>
      <c r="AB20" s="79"/>
      <c r="AC20" s="79"/>
      <c r="AD20" s="1172"/>
      <c r="AE20" s="79"/>
      <c r="AF20" s="79"/>
      <c r="AG20" s="79"/>
      <c r="AH20" s="329"/>
      <c r="AI20" s="79"/>
      <c r="AJ20" s="329"/>
    </row>
    <row r="21" spans="1:37" ht="16.5" customHeight="1">
      <c r="A21" s="345" t="s">
        <v>373</v>
      </c>
      <c r="B21" s="345"/>
      <c r="C21" s="142">
        <f>+'Exhibit F'!D17</f>
        <v>3783.8</v>
      </c>
      <c r="D21" s="142"/>
      <c r="E21" s="142">
        <f>+'Exhibit F'!F17</f>
        <v>3939.7000000000003</v>
      </c>
      <c r="F21" s="142"/>
      <c r="G21" s="142">
        <f>+'Exhibit F'!H17</f>
        <v>4133.5</v>
      </c>
      <c r="H21" s="245"/>
      <c r="I21" s="142">
        <f>+'Exhibit F'!J17</f>
        <v>3618.8999999999978</v>
      </c>
      <c r="J21" s="245"/>
      <c r="K21" s="142">
        <f>+'Exhibit F'!L17</f>
        <v>4079.7000000000007</v>
      </c>
      <c r="L21" s="79"/>
      <c r="M21" s="142">
        <f>+'Exhibit F'!N17</f>
        <v>3450.4000000000015</v>
      </c>
      <c r="N21" s="79"/>
      <c r="O21" s="142">
        <f>+'Exhibit F'!P17</f>
        <v>3676.5999999999985</v>
      </c>
      <c r="P21" s="79"/>
      <c r="Q21" s="142">
        <f>+'Exhibit F'!R17</f>
        <v>4086.7000000000007</v>
      </c>
      <c r="R21" s="142"/>
      <c r="S21" s="142"/>
      <c r="T21" s="142"/>
      <c r="U21" s="142"/>
      <c r="V21" s="142"/>
      <c r="W21" s="142"/>
      <c r="X21" s="142"/>
      <c r="Y21" s="142"/>
      <c r="Z21" s="79"/>
      <c r="AA21" s="494"/>
      <c r="AB21" s="245">
        <f>ROUND(SUM(C21:Y21),1)</f>
        <v>30769.3</v>
      </c>
      <c r="AC21" s="79"/>
      <c r="AD21" s="1172"/>
      <c r="AE21" s="142">
        <f>+'Exhibit F'!AF17</f>
        <v>29799.3</v>
      </c>
      <c r="AF21" s="79"/>
      <c r="AG21" s="79"/>
      <c r="AH21" s="325">
        <f>ROUND(SUM(+AB21-AE21),1)</f>
        <v>970</v>
      </c>
      <c r="AI21" s="95"/>
      <c r="AJ21" s="477">
        <f>ROUND(IF(AE21=0,0,AH21/ABS(AE21)),3)</f>
        <v>3.3000000000000002E-2</v>
      </c>
    </row>
    <row r="22" spans="1:37" ht="16.5" customHeight="1">
      <c r="A22" s="345" t="s">
        <v>374</v>
      </c>
      <c r="B22" s="347"/>
      <c r="C22" s="142">
        <f>+'Exhibit F'!D18</f>
        <v>4875.8999999999996</v>
      </c>
      <c r="D22" s="142"/>
      <c r="E22" s="142">
        <f>+'Exhibit F'!F18</f>
        <v>110.4</v>
      </c>
      <c r="F22" s="142"/>
      <c r="G22" s="142">
        <f>+'Exhibit F'!H18</f>
        <v>1299.5999999999999</v>
      </c>
      <c r="H22" s="245"/>
      <c r="I22" s="142">
        <f>+'Exhibit F'!J18</f>
        <v>85.800000000000182</v>
      </c>
      <c r="J22" s="245"/>
      <c r="K22" s="142">
        <f>+'Exhibit F'!L18</f>
        <v>85.5</v>
      </c>
      <c r="L22" s="79"/>
      <c r="M22" s="142">
        <f>+'Exhibit F'!N18</f>
        <v>1473.4000000000005</v>
      </c>
      <c r="N22" s="79"/>
      <c r="O22" s="142">
        <f>+'Exhibit F'!P18</f>
        <v>159.59999999999945</v>
      </c>
      <c r="P22" s="79"/>
      <c r="Q22" s="142">
        <f>+'Exhibit F'!R18</f>
        <v>91</v>
      </c>
      <c r="R22" s="79"/>
      <c r="S22" s="142"/>
      <c r="T22" s="79"/>
      <c r="U22" s="142"/>
      <c r="V22" s="142"/>
      <c r="W22" s="142"/>
      <c r="X22" s="142"/>
      <c r="Y22" s="142"/>
      <c r="Z22" s="79"/>
      <c r="AA22" s="494"/>
      <c r="AB22" s="245">
        <f>ROUND(SUM(C22:Y22),1)</f>
        <v>8181.2</v>
      </c>
      <c r="AC22" s="79"/>
      <c r="AD22" s="1172"/>
      <c r="AE22" s="142">
        <f>+'Exhibit F'!AF18</f>
        <v>15432.6</v>
      </c>
      <c r="AF22" s="79"/>
      <c r="AG22" s="79"/>
      <c r="AH22" s="325">
        <f>ROUND(SUM(+AB22-AE22),1)</f>
        <v>-7251.4</v>
      </c>
      <c r="AI22" s="95"/>
      <c r="AJ22" s="1173">
        <f>ROUND(IF(AE22=0,0,AH22/ABS(AE22)),3)</f>
        <v>-0.47</v>
      </c>
    </row>
    <row r="23" spans="1:37" ht="16.5" customHeight="1">
      <c r="A23" s="345" t="s">
        <v>375</v>
      </c>
      <c r="B23" s="345"/>
      <c r="C23" s="142">
        <f>+'Exhibit F'!D19</f>
        <v>2097.1</v>
      </c>
      <c r="D23" s="142"/>
      <c r="E23" s="142">
        <f>+'Exhibit F'!F19</f>
        <v>131</v>
      </c>
      <c r="F23" s="142"/>
      <c r="G23" s="142">
        <f>+'Exhibit F'!H19</f>
        <v>85.5</v>
      </c>
      <c r="H23" s="245"/>
      <c r="I23" s="142">
        <f>+'Exhibit F'!J19</f>
        <v>61</v>
      </c>
      <c r="J23" s="245"/>
      <c r="K23" s="142">
        <f>+'Exhibit F'!L19</f>
        <v>63.099999999999909</v>
      </c>
      <c r="L23" s="79"/>
      <c r="M23" s="142">
        <f>+'Exhibit F'!N19</f>
        <v>87.800000000000182</v>
      </c>
      <c r="N23" s="79"/>
      <c r="O23" s="142">
        <f>+'Exhibit F'!P19</f>
        <v>764.40000000000009</v>
      </c>
      <c r="P23" s="79"/>
      <c r="Q23" s="142">
        <f>+'Exhibit F'!R19</f>
        <v>71.799999999999727</v>
      </c>
      <c r="R23" s="79"/>
      <c r="S23" s="142"/>
      <c r="T23" s="79"/>
      <c r="U23" s="142"/>
      <c r="V23" s="142"/>
      <c r="W23" s="142"/>
      <c r="X23" s="142"/>
      <c r="Y23" s="142"/>
      <c r="Z23" s="79"/>
      <c r="AA23" s="494"/>
      <c r="AB23" s="245">
        <f>ROUND(SUM(C23:Y23),1)</f>
        <v>3361.7</v>
      </c>
      <c r="AC23" s="79"/>
      <c r="AD23" s="1172"/>
      <c r="AE23" s="142">
        <f>+'Exhibit F'!AF19</f>
        <v>5028.1000000000004</v>
      </c>
      <c r="AF23" s="79"/>
      <c r="AG23" s="79"/>
      <c r="AH23" s="325">
        <f>ROUND(SUM(+AB23-AE23),1)</f>
        <v>-1666.4</v>
      </c>
      <c r="AI23" s="95"/>
      <c r="AJ23" s="477">
        <f>ROUND(IF(AE23=0,0,AH23/ABS(AE23)),3)</f>
        <v>-0.33100000000000002</v>
      </c>
    </row>
    <row r="24" spans="1:37" ht="16.5" customHeight="1">
      <c r="A24" s="533" t="s">
        <v>376</v>
      </c>
      <c r="B24" s="345"/>
      <c r="C24" s="142">
        <f>+'Exhibit F'!D20</f>
        <v>-509.9</v>
      </c>
      <c r="D24" s="142"/>
      <c r="E24" s="142">
        <f>+'Exhibit F'!F20</f>
        <v>-69.2</v>
      </c>
      <c r="F24" s="142"/>
      <c r="G24" s="142">
        <f>+'Exhibit F'!H20</f>
        <v>-49.4</v>
      </c>
      <c r="H24" s="245"/>
      <c r="I24" s="142">
        <f>+'Exhibit F'!J20</f>
        <v>-46.199999999999953</v>
      </c>
      <c r="J24" s="245"/>
      <c r="K24" s="142">
        <f>+'Exhibit F'!L20</f>
        <v>-98.000000000000114</v>
      </c>
      <c r="L24" s="79"/>
      <c r="M24" s="142">
        <f>+'Exhibit F'!N20</f>
        <v>-119.69999999999996</v>
      </c>
      <c r="N24" s="79"/>
      <c r="O24" s="142">
        <f>+'Exhibit F'!P20</f>
        <v>-423.6</v>
      </c>
      <c r="P24" s="79"/>
      <c r="Q24" s="142">
        <f>+'Exhibit F'!R20</f>
        <v>121.59999999999991</v>
      </c>
      <c r="R24" s="79"/>
      <c r="S24" s="142"/>
      <c r="T24" s="79"/>
      <c r="U24" s="142"/>
      <c r="V24" s="142"/>
      <c r="W24" s="142"/>
      <c r="X24" s="142"/>
      <c r="Y24" s="142"/>
      <c r="Z24" s="79"/>
      <c r="AA24" s="494"/>
      <c r="AB24" s="245">
        <f t="shared" ref="AB24:AB29" si="1">ROUND(SUM(C24:Y24),1)</f>
        <v>-1194.4000000000001</v>
      </c>
      <c r="AC24" s="79"/>
      <c r="AD24" s="1172"/>
      <c r="AE24" s="142">
        <f>+'Exhibit F'!AF20</f>
        <v>-1841.1</v>
      </c>
      <c r="AF24" s="79"/>
      <c r="AG24" s="79"/>
      <c r="AH24" s="325">
        <f>-ROUND(SUM(+AB24-AE24),1)</f>
        <v>-646.70000000000005</v>
      </c>
      <c r="AI24" s="95"/>
      <c r="AJ24" s="327">
        <f>ROUND(IF(AE24=0,0,AH24/ABS(AE24)),3)</f>
        <v>-0.35099999999999998</v>
      </c>
    </row>
    <row r="25" spans="1:37" ht="16.5" customHeight="1">
      <c r="A25" s="533" t="s">
        <v>377</v>
      </c>
      <c r="B25" s="345"/>
      <c r="C25" s="142">
        <f>+'Exhibit F'!D21</f>
        <v>242.1</v>
      </c>
      <c r="D25" s="142"/>
      <c r="E25" s="142">
        <f>+'Exhibit F'!F21</f>
        <v>174.6</v>
      </c>
      <c r="F25" s="142"/>
      <c r="G25" s="142">
        <f>+'Exhibit F'!H21</f>
        <v>128.30000000000001</v>
      </c>
      <c r="H25" s="245"/>
      <c r="I25" s="142">
        <f>+'Exhibit F'!J21</f>
        <v>109.70000000000002</v>
      </c>
      <c r="J25" s="245"/>
      <c r="K25" s="142">
        <f>+'Exhibit F'!L21</f>
        <v>100.6999999999999</v>
      </c>
      <c r="L25" s="79"/>
      <c r="M25" s="142">
        <f>+'Exhibit F'!N21</f>
        <v>113.30000000000007</v>
      </c>
      <c r="N25" s="79"/>
      <c r="O25" s="142">
        <f>+'Exhibit F'!P21</f>
        <v>137.9</v>
      </c>
      <c r="P25" s="79"/>
      <c r="Q25" s="142">
        <f>+'Exhibit F'!R21</f>
        <v>113.80000000000004</v>
      </c>
      <c r="R25" s="79"/>
      <c r="S25" s="142"/>
      <c r="T25" s="79"/>
      <c r="U25" s="142"/>
      <c r="V25" s="142"/>
      <c r="W25" s="142"/>
      <c r="X25" s="142"/>
      <c r="Y25" s="142"/>
      <c r="Z25" s="79"/>
      <c r="AA25" s="494"/>
      <c r="AB25" s="245">
        <f t="shared" si="1"/>
        <v>1120.4000000000001</v>
      </c>
      <c r="AC25" s="79"/>
      <c r="AD25" s="1172"/>
      <c r="AE25" s="142">
        <f>+'Exhibit F'!AF21</f>
        <v>1115</v>
      </c>
      <c r="AF25" s="79"/>
      <c r="AG25" s="79"/>
      <c r="AH25" s="325">
        <f>ROUND(SUM(+AB25-AE25),1)</f>
        <v>5.4</v>
      </c>
      <c r="AI25" s="95"/>
      <c r="AJ25" s="327">
        <f t="shared" ref="AJ25:AJ30" si="2">ROUND(IF(AE25=0,0,AH25/ABS(AE25)),3)</f>
        <v>5.0000000000000001E-3</v>
      </c>
    </row>
    <row r="26" spans="1:37" ht="16.5" customHeight="1">
      <c r="A26" s="346" t="s">
        <v>378</v>
      </c>
      <c r="B26" s="346"/>
      <c r="C26" s="1500">
        <f>ROUND(SUM(C21:C25),1)</f>
        <v>10489</v>
      </c>
      <c r="D26" s="4"/>
      <c r="E26" s="1500">
        <f>ROUND(SUM(E21:E25),1)</f>
        <v>4286.5</v>
      </c>
      <c r="F26" s="4"/>
      <c r="G26" s="1500">
        <f>ROUND(SUM(G21:G25),1)</f>
        <v>5597.5</v>
      </c>
      <c r="H26" s="79"/>
      <c r="I26" s="1507">
        <f>ROUND(SUM(I21:I25),1)</f>
        <v>3829.2</v>
      </c>
      <c r="J26" s="79"/>
      <c r="K26" s="1507">
        <f>ROUND(SUM(K21:K25),1)</f>
        <v>4231</v>
      </c>
      <c r="L26" s="79"/>
      <c r="M26" s="1507">
        <f>ROUND(SUM(M21:M25),1)</f>
        <v>5005.2</v>
      </c>
      <c r="N26" s="79"/>
      <c r="O26" s="1507">
        <f>ROUND(SUM(O21:O25),1)</f>
        <v>4314.8999999999996</v>
      </c>
      <c r="P26" s="79"/>
      <c r="Q26" s="1507">
        <f>ROUND(SUM(Q21:Q25),1)</f>
        <v>4484.8999999999996</v>
      </c>
      <c r="R26" s="79"/>
      <c r="S26" s="1507">
        <f>ROUND(SUM(S21:S25),1)</f>
        <v>0</v>
      </c>
      <c r="T26" s="79"/>
      <c r="U26" s="1507">
        <f>ROUND(SUM(U21:U25),1)</f>
        <v>0</v>
      </c>
      <c r="V26" s="79"/>
      <c r="W26" s="1507">
        <f>ROUND(SUM(W21:W25),1)</f>
        <v>0</v>
      </c>
      <c r="X26" s="79"/>
      <c r="Y26" s="1507">
        <f>ROUND(SUM(Y21:Y25),1)</f>
        <v>0</v>
      </c>
      <c r="Z26" s="79"/>
      <c r="AA26" s="494"/>
      <c r="AB26" s="1508">
        <f>ROUND(SUM(C26:Y26),1)</f>
        <v>42238.2</v>
      </c>
      <c r="AC26" s="79"/>
      <c r="AD26" s="1172"/>
      <c r="AE26" s="1507">
        <f>ROUND(SUM(AE21:AE25),1)</f>
        <v>49533.9</v>
      </c>
      <c r="AF26" s="79"/>
      <c r="AG26" s="79"/>
      <c r="AH26" s="842">
        <f>ROUND(SUM(AB26-AE26),1)</f>
        <v>-7295.7</v>
      </c>
      <c r="AI26" s="95"/>
      <c r="AJ26" s="1423">
        <f t="shared" si="2"/>
        <v>-0.14699999999999999</v>
      </c>
      <c r="AK26" s="73" t="s">
        <v>104</v>
      </c>
    </row>
    <row r="27" spans="1:37" ht="16.5" customHeight="1">
      <c r="A27" s="533" t="s">
        <v>379</v>
      </c>
      <c r="B27" s="345"/>
      <c r="C27" s="1499">
        <v>0</v>
      </c>
      <c r="D27" s="1499"/>
      <c r="E27" s="1499">
        <v>0</v>
      </c>
      <c r="F27" s="1499"/>
      <c r="G27" s="1499">
        <v>0</v>
      </c>
      <c r="H27" s="245"/>
      <c r="I27" s="1499">
        <v>0</v>
      </c>
      <c r="J27" s="245"/>
      <c r="K27" s="1499">
        <v>0</v>
      </c>
      <c r="L27" s="79"/>
      <c r="M27" s="1499">
        <v>0</v>
      </c>
      <c r="N27" s="79"/>
      <c r="O27" s="1499">
        <v>0</v>
      </c>
      <c r="P27" s="79"/>
      <c r="Q27" s="1499">
        <v>0</v>
      </c>
      <c r="R27" s="312"/>
      <c r="S27" s="1499"/>
      <c r="T27" s="312"/>
      <c r="U27" s="312"/>
      <c r="V27" s="312"/>
      <c r="W27" s="312"/>
      <c r="X27" s="312"/>
      <c r="Y27" s="312"/>
      <c r="Z27" s="79"/>
      <c r="AA27" s="494"/>
      <c r="AB27" s="245">
        <f t="shared" si="1"/>
        <v>0</v>
      </c>
      <c r="AC27" s="79"/>
      <c r="AD27" s="1172"/>
      <c r="AE27" s="1499">
        <f>+'Exhibit F'!AF23+'Exhibit G'!AG17</f>
        <v>0</v>
      </c>
      <c r="AF27" s="79"/>
      <c r="AG27" s="79"/>
      <c r="AH27" s="325">
        <f>ROUND(SUM(+AB27-AE27),1)</f>
        <v>0</v>
      </c>
      <c r="AI27" s="95"/>
      <c r="AJ27" s="327">
        <f t="shared" si="2"/>
        <v>0</v>
      </c>
    </row>
    <row r="28" spans="1:37" ht="16.5" customHeight="1">
      <c r="A28" s="533" t="s">
        <v>380</v>
      </c>
      <c r="B28" s="345"/>
      <c r="C28" s="312">
        <f>'Exhibit F'!D24+'Exhibit H'!B16</f>
        <v>0</v>
      </c>
      <c r="D28" s="312"/>
      <c r="E28" s="312">
        <f>'Exhibit F'!F24+'Exhibit H'!D16</f>
        <v>0</v>
      </c>
      <c r="F28" s="312"/>
      <c r="G28" s="312">
        <f>'Exhibit F'!H24+'Exhibit H'!F16</f>
        <v>0</v>
      </c>
      <c r="H28" s="245"/>
      <c r="I28" s="312">
        <f>'Exhibit F'!J24+'Exhibit H'!H16</f>
        <v>0</v>
      </c>
      <c r="J28" s="245"/>
      <c r="K28" s="312">
        <f>+'Exhibit F'!L24+'Exhibit H'!J16</f>
        <v>0</v>
      </c>
      <c r="L28" s="79"/>
      <c r="M28" s="312">
        <f>+'Exhibit F'!N24+'Exhibit H'!L16</f>
        <v>0</v>
      </c>
      <c r="N28" s="79"/>
      <c r="O28" s="312">
        <f>+'Exhibit F'!P24+'Exhibit H'!N16</f>
        <v>0</v>
      </c>
      <c r="P28" s="79"/>
      <c r="Q28" s="312">
        <f>+'Exhibit F'!R24+'Exhibit H'!P16</f>
        <v>0</v>
      </c>
      <c r="R28" s="312"/>
      <c r="S28" s="312"/>
      <c r="T28" s="312"/>
      <c r="U28" s="312"/>
      <c r="V28" s="312"/>
      <c r="W28" s="312"/>
      <c r="X28" s="312"/>
      <c r="Y28" s="312"/>
      <c r="Z28" s="79"/>
      <c r="AA28" s="494"/>
      <c r="AB28" s="245">
        <f>ROUND(SUM(C28:Y28),1)</f>
        <v>0</v>
      </c>
      <c r="AC28" s="79"/>
      <c r="AD28" s="1172"/>
      <c r="AE28" s="312">
        <f>+'Exhibit F'!AF24+'Exhibit H'!AD16</f>
        <v>0</v>
      </c>
      <c r="AF28" s="79"/>
      <c r="AG28" s="79"/>
      <c r="AH28" s="325">
        <f>ROUND(SUM(+AB28-AE28),1)</f>
        <v>0</v>
      </c>
      <c r="AI28" s="95"/>
      <c r="AJ28" s="327">
        <f>ROUND(IF(AE28=0,0,AH28/ABS(AE28)),3)</f>
        <v>0</v>
      </c>
    </row>
    <row r="29" spans="1:37" ht="16.5" customHeight="1">
      <c r="A29" s="345" t="s">
        <v>381</v>
      </c>
      <c r="B29" s="345"/>
      <c r="C29" s="142">
        <f>+'Exhibit F'!D25</f>
        <v>-3034.6</v>
      </c>
      <c r="D29" s="142"/>
      <c r="E29" s="142">
        <f>+'Exhibit F'!F25</f>
        <v>-2197.9</v>
      </c>
      <c r="F29" s="142"/>
      <c r="G29" s="142">
        <f>+'Exhibit F'!H25</f>
        <v>-602.89999999999964</v>
      </c>
      <c r="H29" s="245"/>
      <c r="I29" s="142">
        <f>+'Exhibit F'!J25</f>
        <v>-403.30000000000018</v>
      </c>
      <c r="J29" s="245"/>
      <c r="K29" s="142">
        <f>+'Exhibit F'!L25</f>
        <v>-530.69999999999982</v>
      </c>
      <c r="L29" s="79"/>
      <c r="M29" s="142">
        <f>+'Exhibit F'!N25</f>
        <v>-687.99999999999955</v>
      </c>
      <c r="N29" s="79"/>
      <c r="O29" s="142">
        <f>+'Exhibit F'!P25</f>
        <v>-2030.3000000000015</v>
      </c>
      <c r="P29" s="79"/>
      <c r="Q29" s="142">
        <f>+'Exhibit F'!R25</f>
        <v>-1114.0999999999985</v>
      </c>
      <c r="R29" s="142"/>
      <c r="S29" s="142"/>
      <c r="T29" s="142"/>
      <c r="U29" s="142"/>
      <c r="V29" s="79"/>
      <c r="W29" s="142"/>
      <c r="X29" s="142"/>
      <c r="Y29" s="142"/>
      <c r="Z29" s="79"/>
      <c r="AA29" s="494"/>
      <c r="AB29" s="245">
        <f t="shared" si="1"/>
        <v>-10601.8</v>
      </c>
      <c r="AC29" s="79"/>
      <c r="AD29" s="1172"/>
      <c r="AE29" s="142">
        <f>+'Exhibit F'!AF25</f>
        <v>-11696.8</v>
      </c>
      <c r="AF29" s="79"/>
      <c r="AG29" s="79"/>
      <c r="AH29" s="325">
        <f>-ROUND(SUM(+AB29-AE29),1)</f>
        <v>-1095</v>
      </c>
      <c r="AI29" s="95"/>
      <c r="AJ29" s="327">
        <f t="shared" si="2"/>
        <v>-9.4E-2</v>
      </c>
    </row>
    <row r="30" spans="1:37" ht="16.5" customHeight="1">
      <c r="A30" s="118" t="s">
        <v>382</v>
      </c>
      <c r="B30" s="345"/>
      <c r="C30" s="1507">
        <f>ROUND(SUM(C26)+SUM(C27)+SUM(C28)+SUM(C29),1)</f>
        <v>7454.4</v>
      </c>
      <c r="D30" s="4"/>
      <c r="E30" s="1507">
        <f>ROUND(SUM(E26)+SUM(E27)+SUM(E28)+SUM(E29),1)</f>
        <v>2088.6</v>
      </c>
      <c r="F30" s="4"/>
      <c r="G30" s="1507">
        <f>ROUND(SUM(G26)+SUM(G27)+SUM(G28)+SUM(G29),1)</f>
        <v>4994.6000000000004</v>
      </c>
      <c r="H30" s="79"/>
      <c r="I30" s="1507">
        <f>ROUND(SUM(I26)+SUM(I27)+SUM(I28)+SUM(I29),1)</f>
        <v>3425.9</v>
      </c>
      <c r="J30" s="79"/>
      <c r="K30" s="1507">
        <f>ROUND(SUM(K26)+SUM(K27)+SUM(K28)+SUM(K29),1)</f>
        <v>3700.3</v>
      </c>
      <c r="L30" s="79"/>
      <c r="M30" s="1507">
        <f>ROUND(SUM(M26)+SUM(M27)+SUM(M28)+SUM(M29),1)</f>
        <v>4317.2</v>
      </c>
      <c r="N30" s="79"/>
      <c r="O30" s="1507">
        <f>ROUND(SUM(O26)+SUM(O27)+SUM(O28)+SUM(O29),1)</f>
        <v>2284.6</v>
      </c>
      <c r="P30" s="79"/>
      <c r="Q30" s="1507">
        <f>ROUND(SUM(Q26)+SUM(Q27)+SUM(Q28)+SUM(Q29),1)</f>
        <v>3370.8</v>
      </c>
      <c r="R30" s="79"/>
      <c r="S30" s="1507">
        <f>ROUND(SUM(S26)+SUM(S27)+SUM(S28)+SUM(S29),1)</f>
        <v>0</v>
      </c>
      <c r="T30" s="79"/>
      <c r="U30" s="1507">
        <f>ROUND(SUM(U26)+SUM(U27)+SUM(U28)+SUM(U29),1)</f>
        <v>0</v>
      </c>
      <c r="V30" s="79"/>
      <c r="W30" s="1507">
        <f>ROUND(SUM(W26)+SUM(W27)+SUM(W28)+SUM(W29),1)</f>
        <v>0</v>
      </c>
      <c r="X30" s="79"/>
      <c r="Y30" s="1507">
        <f>ROUND(SUM(Y26)+SUM(Y27)+SUM(Y28)+SUM(Y29),1)</f>
        <v>0</v>
      </c>
      <c r="Z30" s="79"/>
      <c r="AA30" s="494"/>
      <c r="AB30" s="1508">
        <f>ROUND(SUM(C30:Y30),1)</f>
        <v>31636.400000000001</v>
      </c>
      <c r="AC30" s="79"/>
      <c r="AD30" s="1172"/>
      <c r="AE30" s="1507">
        <f>ROUND(SUM(AE26)+SUM(AE27)+SUM(AE28)+SUM(AE29),1)</f>
        <v>37837.1</v>
      </c>
      <c r="AF30" s="79"/>
      <c r="AG30" s="79"/>
      <c r="AH30" s="842">
        <f>ROUND(SUM(AH26+AH27+AH28-AH29),1)</f>
        <v>-6200.7</v>
      </c>
      <c r="AI30" s="325"/>
      <c r="AJ30" s="1423">
        <f t="shared" si="2"/>
        <v>-0.16400000000000001</v>
      </c>
      <c r="AK30" s="73" t="s">
        <v>104</v>
      </c>
    </row>
    <row r="31" spans="1:37" ht="16.5" customHeight="1">
      <c r="A31" s="525" t="s">
        <v>383</v>
      </c>
      <c r="B31" s="347"/>
      <c r="C31" s="309"/>
      <c r="D31" s="309"/>
      <c r="E31" s="309"/>
      <c r="F31" s="309"/>
      <c r="G31" s="309"/>
      <c r="H31" s="79"/>
      <c r="I31" s="309"/>
      <c r="J31" s="79"/>
      <c r="K31" s="309"/>
      <c r="L31" s="79"/>
      <c r="M31" s="309"/>
      <c r="N31" s="79"/>
      <c r="O31" s="309"/>
      <c r="P31" s="79"/>
      <c r="Q31" s="309"/>
      <c r="R31" s="79"/>
      <c r="S31" s="309"/>
      <c r="T31" s="79"/>
      <c r="U31" s="309"/>
      <c r="V31" s="79"/>
      <c r="W31" s="309"/>
      <c r="X31" s="79"/>
      <c r="Y31" s="309"/>
      <c r="Z31" s="79"/>
      <c r="AA31" s="494"/>
      <c r="AB31" s="79"/>
      <c r="AC31" s="79"/>
      <c r="AD31" s="1172"/>
      <c r="AE31" s="243"/>
      <c r="AF31" s="79"/>
      <c r="AG31" s="79"/>
      <c r="AH31" s="16"/>
      <c r="AI31" s="325"/>
      <c r="AJ31" s="107"/>
    </row>
    <row r="32" spans="1:37" ht="16.5" customHeight="1">
      <c r="A32" s="345" t="s">
        <v>384</v>
      </c>
      <c r="B32" s="347"/>
      <c r="C32" s="142">
        <f>+'Exhibit F'!D28+'Exhibit G'!D20+'Exhibit H'!B19</f>
        <v>1512.3</v>
      </c>
      <c r="D32" s="142"/>
      <c r="E32" s="142">
        <f>+'Exhibit F'!F28+'Exhibit G'!F20+'Exhibit H'!D19</f>
        <v>1469.9</v>
      </c>
      <c r="F32" s="142"/>
      <c r="G32" s="142">
        <f>+'Exhibit F'!H28+'Exhibit G'!H20+'Exhibit H'!F19</f>
        <v>1963.8</v>
      </c>
      <c r="H32" s="245"/>
      <c r="I32" s="142">
        <f>+'Exhibit F'!J28+'Exhibit G'!J20+'Exhibit H'!H19</f>
        <v>1578.8000000000002</v>
      </c>
      <c r="J32" s="245"/>
      <c r="K32" s="142">
        <f>+'Exhibit F'!L28+'Exhibit G'!L20+'Exhibit H'!J19</f>
        <v>1535.099999999999</v>
      </c>
      <c r="L32" s="79"/>
      <c r="M32" s="142">
        <f>+'Exhibit F'!N28+'Exhibit G'!N20+'Exhibit H'!L19</f>
        <v>1958.1000000000001</v>
      </c>
      <c r="N32" s="79"/>
      <c r="O32" s="142">
        <f>+'Exhibit F'!P28+'Exhibit G'!P20+'Exhibit H'!N19</f>
        <v>1543.4</v>
      </c>
      <c r="P32" s="79"/>
      <c r="Q32" s="142">
        <f>+'Exhibit F'!R28+'Exhibit G'!R20+'Exhibit H'!P19</f>
        <v>1554.4</v>
      </c>
      <c r="R32" s="142"/>
      <c r="S32" s="142"/>
      <c r="T32" s="142"/>
      <c r="U32" s="142"/>
      <c r="V32" s="142"/>
      <c r="W32" s="142"/>
      <c r="X32" s="142"/>
      <c r="Y32" s="142"/>
      <c r="Z32" s="79"/>
      <c r="AA32" s="494"/>
      <c r="AB32" s="245">
        <f t="shared" ref="AB32:AB41" si="3">ROUND(SUM(C32:Y32),1)</f>
        <v>13115.8</v>
      </c>
      <c r="AC32" s="79"/>
      <c r="AD32" s="1172"/>
      <c r="AE32" s="142">
        <f>+'Exhibit F'!AF28+'Exhibit G'!AG20+'Exhibit H'!AD19</f>
        <v>12416.8</v>
      </c>
      <c r="AF32" s="79"/>
      <c r="AG32" s="79"/>
      <c r="AH32" s="325">
        <f t="shared" ref="AH32:AH39" si="4">ROUND(SUM(+AB32-AE32),1)</f>
        <v>699</v>
      </c>
      <c r="AI32" s="325"/>
      <c r="AJ32" s="477">
        <f t="shared" ref="AJ32:AJ42" si="5">ROUND(IF(AE32=0,0,AH32/ABS(AE32)),3)</f>
        <v>5.6000000000000001E-2</v>
      </c>
    </row>
    <row r="33" spans="1:38" ht="16.5" customHeight="1">
      <c r="A33" s="345" t="s">
        <v>385</v>
      </c>
      <c r="B33" s="347"/>
      <c r="C33" s="142">
        <f>+'Exhibit F'!D29+'Exhibit G'!D21+'Exhibit I'!E20</f>
        <v>11.4</v>
      </c>
      <c r="D33" s="142"/>
      <c r="E33" s="142">
        <f>+'Exhibit F'!F29+'Exhibit G'!F21+'Exhibit I'!G20</f>
        <v>9.9999999999999645E-2</v>
      </c>
      <c r="F33" s="142"/>
      <c r="G33" s="142">
        <f>+'Exhibit F'!H29+'Exhibit G'!H21+'Exhibit I'!I20</f>
        <v>28.5</v>
      </c>
      <c r="H33" s="245"/>
      <c r="I33" s="142">
        <f>+'Exhibit F'!J29+'Exhibit G'!J21+'Exhibit I'!K20</f>
        <v>0.10000000000000142</v>
      </c>
      <c r="J33" s="245"/>
      <c r="K33" s="142">
        <f>+'Exhibit F'!L29+'Exhibit G'!L21+'Exhibit I'!M20</f>
        <v>0</v>
      </c>
      <c r="L33" s="79"/>
      <c r="M33" s="142">
        <f>+'Exhibit F'!N29+'Exhibit G'!N21+'Exhibit I'!O20</f>
        <v>40.4</v>
      </c>
      <c r="N33" s="79"/>
      <c r="O33" s="142">
        <f>+'Exhibit F'!P29+'Exhibit G'!P21+'Exhibit I'!Q20</f>
        <v>0</v>
      </c>
      <c r="P33" s="79"/>
      <c r="Q33" s="142">
        <f>+'Exhibit F'!R29+'Exhibit G'!R21+'Exhibit I'!S20</f>
        <v>0</v>
      </c>
      <c r="R33" s="142"/>
      <c r="S33" s="142"/>
      <c r="T33" s="142"/>
      <c r="U33" s="142"/>
      <c r="V33" s="142"/>
      <c r="W33" s="142"/>
      <c r="X33" s="142"/>
      <c r="Y33" s="142"/>
      <c r="Z33" s="79"/>
      <c r="AA33" s="494"/>
      <c r="AB33" s="245">
        <f>ROUND(SUM(C33:Y33),1)</f>
        <v>80.5</v>
      </c>
      <c r="AC33" s="79"/>
      <c r="AD33" s="1172"/>
      <c r="AE33" s="142">
        <f>+'Exhibit F'!AF29+'Exhibit G'!AG21+'Exhibit I'!AI20</f>
        <v>77.7</v>
      </c>
      <c r="AF33" s="79"/>
      <c r="AG33" s="79"/>
      <c r="AH33" s="325">
        <f t="shared" si="4"/>
        <v>2.8</v>
      </c>
      <c r="AI33" s="325"/>
      <c r="AJ33" s="477">
        <f t="shared" si="5"/>
        <v>3.5999999999999997E-2</v>
      </c>
    </row>
    <row r="34" spans="1:38" ht="16.5" customHeight="1">
      <c r="A34" s="345" t="s">
        <v>386</v>
      </c>
      <c r="B34" s="345"/>
      <c r="C34" s="142">
        <f>+'Exhibit F'!D30+'Exhibit G'!D22</f>
        <v>76.099999999999994</v>
      </c>
      <c r="D34" s="142"/>
      <c r="E34" s="142">
        <f>+'Exhibit F'!F30+'Exhibit G'!F22</f>
        <v>73.2</v>
      </c>
      <c r="F34" s="142"/>
      <c r="G34" s="142">
        <f>+'Exhibit F'!H30+'Exhibit G'!H22</f>
        <v>71.000000000000014</v>
      </c>
      <c r="H34" s="245"/>
      <c r="I34" s="142">
        <f>+'Exhibit F'!J30+'Exhibit G'!J22</f>
        <v>73.799999999999983</v>
      </c>
      <c r="J34" s="245"/>
      <c r="K34" s="142">
        <f>+'Exhibit F'!L30+'Exhibit G'!L22</f>
        <v>73.900000000000034</v>
      </c>
      <c r="L34" s="79"/>
      <c r="M34" s="142">
        <f>+'Exhibit F'!N30+'Exhibit G'!N22</f>
        <v>72.299999999999955</v>
      </c>
      <c r="N34" s="79"/>
      <c r="O34" s="142">
        <f>+'Exhibit F'!P30+'Exhibit G'!P22</f>
        <v>88.5</v>
      </c>
      <c r="P34" s="79"/>
      <c r="Q34" s="142">
        <f>+'Exhibit F'!R30+'Exhibit G'!R22</f>
        <v>77.899999999999991</v>
      </c>
      <c r="R34" s="142"/>
      <c r="S34" s="142"/>
      <c r="T34" s="142"/>
      <c r="U34" s="142"/>
      <c r="V34" s="142"/>
      <c r="W34" s="142"/>
      <c r="X34" s="142"/>
      <c r="Y34" s="142"/>
      <c r="Z34" s="79"/>
      <c r="AA34" s="494"/>
      <c r="AB34" s="245">
        <f t="shared" si="3"/>
        <v>606.70000000000005</v>
      </c>
      <c r="AC34" s="79"/>
      <c r="AD34" s="1172"/>
      <c r="AE34" s="142">
        <f>+'Exhibit F'!AF30+'Exhibit G'!AG22</f>
        <v>632.79999999999995</v>
      </c>
      <c r="AF34" s="79"/>
      <c r="AG34" s="79"/>
      <c r="AH34" s="325">
        <f t="shared" si="4"/>
        <v>-26.1</v>
      </c>
      <c r="AI34" s="325"/>
      <c r="AJ34" s="477">
        <f t="shared" si="5"/>
        <v>-4.1000000000000002E-2</v>
      </c>
    </row>
    <row r="35" spans="1:38" ht="16.5" customHeight="1">
      <c r="A35" s="345" t="s">
        <v>387</v>
      </c>
      <c r="B35" s="345"/>
      <c r="C35" s="142">
        <f>+'Exhibit G'!D23</f>
        <v>0.9</v>
      </c>
      <c r="D35" s="142"/>
      <c r="E35" s="142">
        <f>+'Exhibit G'!F23</f>
        <v>0.79999999999999993</v>
      </c>
      <c r="F35" s="142"/>
      <c r="G35" s="142">
        <f>+'Exhibit G'!H23</f>
        <v>3.5999999999999996</v>
      </c>
      <c r="H35" s="245"/>
      <c r="I35" s="142">
        <f>+'Exhibit G'!J23</f>
        <v>0.90000000000000036</v>
      </c>
      <c r="J35" s="245"/>
      <c r="K35" s="142">
        <f>+'Exhibit G'!L23</f>
        <v>0.29999999999999982</v>
      </c>
      <c r="L35" s="79"/>
      <c r="M35" s="142">
        <f>+'Exhibit G'!N23</f>
        <v>6.9999999999999991</v>
      </c>
      <c r="N35" s="79"/>
      <c r="O35" s="142">
        <f>+'Exhibit G'!P23</f>
        <v>1.0999999999999988</v>
      </c>
      <c r="P35" s="79"/>
      <c r="Q35" s="142">
        <f>+'Exhibit G'!R23</f>
        <v>1.1000000000000014</v>
      </c>
      <c r="R35" s="142"/>
      <c r="S35" s="142"/>
      <c r="T35" s="142"/>
      <c r="U35" s="142"/>
      <c r="V35" s="142"/>
      <c r="W35" s="142"/>
      <c r="X35" s="142"/>
      <c r="Y35" s="142"/>
      <c r="Z35" s="79"/>
      <c r="AA35" s="494"/>
      <c r="AB35" s="245">
        <f>ROUND(SUM(C35:Y35),1)</f>
        <v>15.7</v>
      </c>
      <c r="AC35" s="79"/>
      <c r="AD35" s="1172"/>
      <c r="AE35" s="142">
        <f>'Exhibit G'!AG23</f>
        <v>7.9</v>
      </c>
      <c r="AF35" s="79"/>
      <c r="AG35" s="79"/>
      <c r="AH35" s="325">
        <f>ROUND(SUM(+AB35-AE35),1)</f>
        <v>7.8</v>
      </c>
      <c r="AI35" s="325"/>
      <c r="AJ35" s="477">
        <f>ROUND(IF(AE35=0,0,AH35/ABS(AE35)),3)</f>
        <v>0.98699999999999999</v>
      </c>
    </row>
    <row r="36" spans="1:38" ht="16.5" customHeight="1">
      <c r="A36" s="345" t="s">
        <v>388</v>
      </c>
      <c r="B36" s="345"/>
      <c r="C36" s="142">
        <f>+'Exhibit F'!D31+'Exhibit G'!D24+'Exhibit I'!E21</f>
        <v>36.200000000000003</v>
      </c>
      <c r="D36" s="142"/>
      <c r="E36" s="142">
        <f>+'Exhibit F'!F31+'Exhibit G'!F24+'Exhibit I'!G21</f>
        <v>43.5</v>
      </c>
      <c r="F36" s="142"/>
      <c r="G36" s="142">
        <f>+'Exhibit F'!H31+'Exhibit G'!H24+'Exhibit I'!I21</f>
        <v>38.600000000000009</v>
      </c>
      <c r="H36" s="245"/>
      <c r="I36" s="142">
        <f>+'Exhibit F'!J31+'Exhibit G'!J24+'Exhibit I'!K21</f>
        <v>43.499999999999993</v>
      </c>
      <c r="J36" s="245"/>
      <c r="K36" s="142">
        <f>+'Exhibit F'!L31+'Exhibit G'!L24+'Exhibit I'!M21</f>
        <v>43.199999999999989</v>
      </c>
      <c r="L36" s="79"/>
      <c r="M36" s="142">
        <f>+'Exhibit F'!N31+'Exhibit G'!N24+'Exhibit I'!O21</f>
        <v>45.000000000000007</v>
      </c>
      <c r="N36" s="79"/>
      <c r="O36" s="142">
        <f>+'Exhibit F'!P31+'Exhibit G'!P24+'Exhibit I'!Q21</f>
        <v>41.299999999999983</v>
      </c>
      <c r="P36" s="79"/>
      <c r="Q36" s="142">
        <f>+'Exhibit F'!R31+'Exhibit G'!R24+'Exhibit I'!S21</f>
        <v>42.10000000000003</v>
      </c>
      <c r="R36" s="142"/>
      <c r="S36" s="142"/>
      <c r="T36" s="142"/>
      <c r="U36" s="142"/>
      <c r="V36" s="142"/>
      <c r="W36" s="142"/>
      <c r="X36" s="142"/>
      <c r="Y36" s="142"/>
      <c r="Z36" s="79"/>
      <c r="AA36" s="494"/>
      <c r="AB36" s="245">
        <f t="shared" si="3"/>
        <v>333.4</v>
      </c>
      <c r="AC36" s="79"/>
      <c r="AD36" s="1172"/>
      <c r="AE36" s="142">
        <f>+'Exhibit F'!AF31+'Exhibit G'!AG24+'Exhibit I'!AI21</f>
        <v>77.2</v>
      </c>
      <c r="AF36" s="79"/>
      <c r="AG36" s="79"/>
      <c r="AH36" s="325">
        <f t="shared" si="4"/>
        <v>256.2</v>
      </c>
      <c r="AI36" s="325"/>
      <c r="AJ36" s="477">
        <f t="shared" si="5"/>
        <v>3.319</v>
      </c>
    </row>
    <row r="37" spans="1:38" ht="16.5" customHeight="1">
      <c r="A37" s="534" t="s">
        <v>389</v>
      </c>
      <c r="B37" s="345"/>
      <c r="C37" s="142">
        <f>+'Exhibit F'!D32+'Exhibit G'!D25</f>
        <v>-1.2999999999999998</v>
      </c>
      <c r="D37" s="142"/>
      <c r="E37" s="142">
        <f>+'Exhibit F'!F32+'Exhibit G'!F25</f>
        <v>0</v>
      </c>
      <c r="F37" s="142"/>
      <c r="G37" s="142">
        <f>+'Exhibit F'!H32+'Exhibit G'!H25</f>
        <v>0.49999999999999989</v>
      </c>
      <c r="H37" s="245"/>
      <c r="I37" s="142">
        <f>+'Exhibit F'!J32+'Exhibit G'!J25</f>
        <v>0</v>
      </c>
      <c r="J37" s="245"/>
      <c r="K37" s="142">
        <f>+'Exhibit F'!L32+'Exhibit G'!L25</f>
        <v>0</v>
      </c>
      <c r="L37" s="79"/>
      <c r="M37" s="142">
        <f>+'Exhibit F'!N32+'Exhibit G'!N25</f>
        <v>0.5</v>
      </c>
      <c r="N37" s="79"/>
      <c r="O37" s="142">
        <f>+'Exhibit F'!P32+'Exhibit G'!P25</f>
        <v>0</v>
      </c>
      <c r="P37" s="79"/>
      <c r="Q37" s="142">
        <f>+'Exhibit F'!R32+'Exhibit G'!R25</f>
        <v>0</v>
      </c>
      <c r="R37" s="142"/>
      <c r="S37" s="142"/>
      <c r="T37" s="142"/>
      <c r="U37" s="142"/>
      <c r="V37" s="142"/>
      <c r="W37" s="142"/>
      <c r="X37" s="142"/>
      <c r="Y37" s="142"/>
      <c r="Z37" s="79"/>
      <c r="AA37" s="494"/>
      <c r="AB37" s="245">
        <f t="shared" ref="AB37" si="6">ROUND(SUM(C37:Y37),1)</f>
        <v>-0.3</v>
      </c>
      <c r="AC37" s="79"/>
      <c r="AD37" s="1172"/>
      <c r="AE37" s="142">
        <f>+'Exhibit F'!AF32+'Exhibit G'!AG25</f>
        <v>0</v>
      </c>
      <c r="AF37" s="79"/>
      <c r="AG37" s="79"/>
      <c r="AH37" s="325">
        <f t="shared" si="4"/>
        <v>-0.3</v>
      </c>
      <c r="AI37" s="325"/>
      <c r="AJ37" s="327">
        <f>-ROUND(IF(AE37=0,1,AH37/ABS(AE37)),3)</f>
        <v>-1</v>
      </c>
    </row>
    <row r="38" spans="1:38" ht="16.5" customHeight="1">
      <c r="A38" s="345" t="s">
        <v>390</v>
      </c>
      <c r="B38" s="345"/>
      <c r="C38" s="142">
        <f>+'Exhibit F'!D33+'Exhibit G'!D26</f>
        <v>21.8</v>
      </c>
      <c r="D38" s="142"/>
      <c r="E38" s="142">
        <f>+'Exhibit F'!F33+'Exhibit G'!F26</f>
        <v>20.3</v>
      </c>
      <c r="F38" s="142"/>
      <c r="G38" s="142">
        <f>+'Exhibit F'!H33+'Exhibit G'!H26</f>
        <v>25.999999999999996</v>
      </c>
      <c r="H38" s="245"/>
      <c r="I38" s="142">
        <f>+'Exhibit F'!J33+'Exhibit G'!J26</f>
        <v>27.300000000000015</v>
      </c>
      <c r="J38" s="245"/>
      <c r="K38" s="142">
        <f>+'Exhibit F'!L33+'Exhibit G'!L26</f>
        <v>21.799999999999979</v>
      </c>
      <c r="L38" s="79"/>
      <c r="M38" s="142">
        <f>+'Exhibit F'!N33+'Exhibit G'!N26</f>
        <v>26.600000000000026</v>
      </c>
      <c r="N38" s="79"/>
      <c r="O38" s="142">
        <f>+'Exhibit F'!P33+'Exhibit G'!P26</f>
        <v>20.099999999999977</v>
      </c>
      <c r="P38" s="79"/>
      <c r="Q38" s="142">
        <f>+'Exhibit F'!R33+'Exhibit G'!R26</f>
        <v>22.699999999999978</v>
      </c>
      <c r="R38" s="142"/>
      <c r="S38" s="142"/>
      <c r="T38" s="142"/>
      <c r="U38" s="142"/>
      <c r="V38" s="142"/>
      <c r="W38" s="142"/>
      <c r="X38" s="142"/>
      <c r="Y38" s="142"/>
      <c r="Z38" s="79"/>
      <c r="AA38" s="494"/>
      <c r="AB38" s="245">
        <f t="shared" si="3"/>
        <v>186.6</v>
      </c>
      <c r="AC38" s="79"/>
      <c r="AD38" s="1172"/>
      <c r="AE38" s="142">
        <f>+'Exhibit F'!AF33+'Exhibit G'!AG26</f>
        <v>192.5</v>
      </c>
      <c r="AF38" s="79"/>
      <c r="AG38" s="79"/>
      <c r="AH38" s="325">
        <f t="shared" si="4"/>
        <v>-5.9</v>
      </c>
      <c r="AI38" s="325"/>
      <c r="AJ38" s="477">
        <f t="shared" si="5"/>
        <v>-3.1E-2</v>
      </c>
    </row>
    <row r="39" spans="1:38" ht="16.5" customHeight="1">
      <c r="A39" s="345" t="s">
        <v>391</v>
      </c>
      <c r="B39" s="345"/>
      <c r="C39" s="142">
        <f>+'Exhibit F'!D34+'Exhibit G'!D27+'Exhibit I'!E22</f>
        <v>12.6</v>
      </c>
      <c r="D39" s="142"/>
      <c r="E39" s="142">
        <f>+'Exhibit F'!F34+'Exhibit G'!F27+'Exhibit I'!G22</f>
        <v>11.600000000000001</v>
      </c>
      <c r="F39" s="142"/>
      <c r="G39" s="142">
        <f>+'Exhibit F'!H34+'Exhibit G'!H27+'Exhibit I'!I22</f>
        <v>10.1</v>
      </c>
      <c r="H39" s="245"/>
      <c r="I39" s="142">
        <f>+'Exhibit F'!J34+'Exhibit G'!J27+'Exhibit I'!K22</f>
        <v>11.699999999999996</v>
      </c>
      <c r="J39" s="245"/>
      <c r="K39" s="142">
        <f>+'Exhibit F'!L34+'Exhibit G'!L27+'Exhibit I'!M22</f>
        <v>11.200000000000001</v>
      </c>
      <c r="L39" s="79"/>
      <c r="M39" s="142">
        <f>+'Exhibit F'!N34+'Exhibit G'!N27+'Exhibit I'!O22</f>
        <v>10.300000000000004</v>
      </c>
      <c r="N39" s="79"/>
      <c r="O39" s="142">
        <f>+'Exhibit F'!P34+'Exhibit G'!P27+'Exhibit I'!Q22</f>
        <v>13.399999999999997</v>
      </c>
      <c r="P39" s="79"/>
      <c r="Q39" s="142">
        <f>+'Exhibit F'!R34+'Exhibit G'!R27+'Exhibit I'!S22</f>
        <v>10.000000000000007</v>
      </c>
      <c r="R39" s="142"/>
      <c r="S39" s="142"/>
      <c r="T39" s="142"/>
      <c r="U39" s="142"/>
      <c r="V39" s="142"/>
      <c r="W39" s="142"/>
      <c r="X39" s="142"/>
      <c r="Y39" s="142"/>
      <c r="Z39" s="79"/>
      <c r="AA39" s="494"/>
      <c r="AB39" s="245">
        <f t="shared" si="3"/>
        <v>90.9</v>
      </c>
      <c r="AC39" s="79"/>
      <c r="AD39" s="1172"/>
      <c r="AE39" s="142">
        <f>+'Exhibit F'!AF34+'Exhibit G'!AG27+'Exhibit I'!AI22</f>
        <v>89.5</v>
      </c>
      <c r="AF39" s="79"/>
      <c r="AG39" s="79"/>
      <c r="AH39" s="325">
        <f t="shared" si="4"/>
        <v>1.4</v>
      </c>
      <c r="AI39" s="325"/>
      <c r="AJ39" s="1173">
        <f t="shared" si="5"/>
        <v>1.6E-2</v>
      </c>
    </row>
    <row r="40" spans="1:38" ht="16.5" customHeight="1">
      <c r="A40" s="345" t="s">
        <v>392</v>
      </c>
      <c r="B40" s="345"/>
      <c r="C40" s="142">
        <f>'Exhibit F'!D35+'Exhibit G'!D28</f>
        <v>0.2</v>
      </c>
      <c r="D40" s="142"/>
      <c r="E40" s="142">
        <f>'Exhibit F'!F35+'Exhibit G'!F28</f>
        <v>0.3</v>
      </c>
      <c r="F40" s="142"/>
      <c r="G40" s="142">
        <f>'Exhibit F'!H35+'Exhibit G'!H28</f>
        <v>6.1</v>
      </c>
      <c r="H40" s="245"/>
      <c r="I40" s="142">
        <f>'Exhibit F'!J35+'Exhibit G'!J28</f>
        <v>0.10000000000000053</v>
      </c>
      <c r="J40" s="245"/>
      <c r="K40" s="142">
        <f>'Exhibit F'!L35+'Exhibit G'!L28</f>
        <v>0</v>
      </c>
      <c r="L40" s="79"/>
      <c r="M40" s="142">
        <f>'Exhibit F'!N35+'Exhibit G'!N28</f>
        <v>6.3999999999999995</v>
      </c>
      <c r="N40" s="79"/>
      <c r="O40" s="142">
        <f>'Exhibit F'!P35+'Exhibit G'!P28</f>
        <v>0.30000000000000071</v>
      </c>
      <c r="P40" s="79"/>
      <c r="Q40" s="142">
        <f>'Exhibit F'!R35+'Exhibit G'!R28</f>
        <v>0.19999999999999929</v>
      </c>
      <c r="R40" s="142"/>
      <c r="S40" s="142"/>
      <c r="T40" s="142"/>
      <c r="U40" s="142"/>
      <c r="V40" s="142"/>
      <c r="W40" s="142"/>
      <c r="X40" s="142"/>
      <c r="Y40" s="142"/>
      <c r="Z40" s="79"/>
      <c r="AA40" s="494"/>
      <c r="AB40" s="245">
        <f>ROUND(SUM(C40:Y40),1)</f>
        <v>13.6</v>
      </c>
      <c r="AC40" s="79"/>
      <c r="AD40" s="1172"/>
      <c r="AE40" s="142">
        <f>+'Exhibit F'!AF35+'Exhibit G'!AG28</f>
        <v>12.7</v>
      </c>
      <c r="AF40" s="79"/>
      <c r="AG40" s="79"/>
      <c r="AH40" s="325">
        <f>ROUND(SUM(+AB40-AE40),1)</f>
        <v>0.9</v>
      </c>
      <c r="AI40" s="325"/>
      <c r="AJ40" s="1173">
        <f>ROUND(IF(AE40=0,1,AH40/ABS(AE40)),3)</f>
        <v>7.0999999999999994E-2</v>
      </c>
    </row>
    <row r="41" spans="1:38" ht="16.5" customHeight="1">
      <c r="A41" s="345" t="s">
        <v>393</v>
      </c>
      <c r="B41" s="345"/>
      <c r="C41" s="142">
        <f>'Exhibit F'!D36</f>
        <v>6</v>
      </c>
      <c r="D41" s="142"/>
      <c r="E41" s="142">
        <f>'Exhibit F'!F36</f>
        <v>0.20000000000000018</v>
      </c>
      <c r="F41" s="142"/>
      <c r="G41" s="142">
        <f>'Exhibit F'!H36</f>
        <v>0.20000000000000018</v>
      </c>
      <c r="H41" s="245"/>
      <c r="I41" s="142">
        <f>'Exhibit F'!J36</f>
        <v>4.2999999999999989</v>
      </c>
      <c r="J41" s="245"/>
      <c r="K41" s="142">
        <f>'Exhibit F'!L36</f>
        <v>0.10000000000000142</v>
      </c>
      <c r="L41" s="79"/>
      <c r="M41" s="142">
        <f>'Exhibit F'!N36</f>
        <v>9.9999999999999645E-2</v>
      </c>
      <c r="N41" s="79"/>
      <c r="O41" s="142">
        <f>'Exhibit F'!P36</f>
        <v>5.9000000000000021</v>
      </c>
      <c r="P41" s="79"/>
      <c r="Q41" s="142">
        <f>'Exhibit F'!R36</f>
        <v>0</v>
      </c>
      <c r="R41" s="142"/>
      <c r="S41" s="142"/>
      <c r="T41" s="142"/>
      <c r="U41" s="142"/>
      <c r="V41" s="142"/>
      <c r="W41" s="142"/>
      <c r="X41" s="142"/>
      <c r="Y41" s="142"/>
      <c r="Z41" s="79"/>
      <c r="AA41" s="244"/>
      <c r="AB41" s="245">
        <f t="shared" si="3"/>
        <v>16.8</v>
      </c>
      <c r="AC41" s="79"/>
      <c r="AD41" s="1172"/>
      <c r="AE41" s="142">
        <f>+'Exhibit F'!AF36</f>
        <v>19.600000000000001</v>
      </c>
      <c r="AF41" s="79"/>
      <c r="AG41" s="79"/>
      <c r="AH41" s="325">
        <f t="shared" ref="AH41" si="7">ROUND(SUM(+AB41-AE41),1)</f>
        <v>-2.8</v>
      </c>
      <c r="AI41" s="325"/>
      <c r="AJ41" s="1173">
        <f>ROUND(IF(AE41=0,1,AH41/ABS(AE41)),3)</f>
        <v>-0.14299999999999999</v>
      </c>
    </row>
    <row r="42" spans="1:38" ht="16.5" customHeight="1">
      <c r="A42" s="118" t="s">
        <v>394</v>
      </c>
      <c r="B42" s="345"/>
      <c r="C42" s="1507">
        <f>ROUND(SUM(C32:C41),1)</f>
        <v>1676.2</v>
      </c>
      <c r="D42" s="4"/>
      <c r="E42" s="1507">
        <f>ROUND(SUM(E32:E41),1)</f>
        <v>1619.9</v>
      </c>
      <c r="F42" s="4"/>
      <c r="G42" s="1507">
        <f>ROUND(SUM(G32:G41),1)</f>
        <v>2148.4</v>
      </c>
      <c r="H42" s="79"/>
      <c r="I42" s="1507">
        <f>ROUND(SUM(I32:I41),1)</f>
        <v>1740.5</v>
      </c>
      <c r="J42" s="79"/>
      <c r="K42" s="1507">
        <f>ROUND(SUM(K32:K41),1)</f>
        <v>1685.6</v>
      </c>
      <c r="L42" s="79"/>
      <c r="M42" s="1507">
        <f>ROUND(SUM(M32:M41),1)</f>
        <v>2166.6999999999998</v>
      </c>
      <c r="N42" s="79"/>
      <c r="O42" s="1507">
        <f>ROUND(SUM(O32:O41),1)</f>
        <v>1714</v>
      </c>
      <c r="P42" s="79"/>
      <c r="Q42" s="1507">
        <f>ROUND(SUM(Q32:Q41),1)</f>
        <v>1708.4</v>
      </c>
      <c r="R42" s="79"/>
      <c r="S42" s="1507">
        <f>ROUND(SUM(S32:S41),1)</f>
        <v>0</v>
      </c>
      <c r="T42" s="79"/>
      <c r="U42" s="1507">
        <f>ROUND(SUM(U32:U41),1)</f>
        <v>0</v>
      </c>
      <c r="V42" s="79"/>
      <c r="W42" s="1507">
        <f>ROUND(SUM(W32:W41),1)</f>
        <v>0</v>
      </c>
      <c r="X42" s="79"/>
      <c r="Y42" s="1507">
        <f>ROUND(SUM(Y32:Y41),1)</f>
        <v>0</v>
      </c>
      <c r="Z42" s="79"/>
      <c r="AA42" s="494"/>
      <c r="AB42" s="1507">
        <f>ROUND(SUM(AB32:AB41),1)</f>
        <v>14459.7</v>
      </c>
      <c r="AC42" s="79"/>
      <c r="AD42" s="1172"/>
      <c r="AE42" s="1507">
        <f>ROUND(SUM(AE32:AE41),1)</f>
        <v>13526.7</v>
      </c>
      <c r="AF42" s="79"/>
      <c r="AG42" s="79"/>
      <c r="AH42" s="842">
        <f>ROUND(SUM(AH32:AH41),1)</f>
        <v>933</v>
      </c>
      <c r="AI42" s="16"/>
      <c r="AJ42" s="1509">
        <f t="shared" si="5"/>
        <v>6.9000000000000006E-2</v>
      </c>
    </row>
    <row r="43" spans="1:38" ht="16.5" customHeight="1">
      <c r="A43" s="525" t="s">
        <v>395</v>
      </c>
      <c r="B43" s="345"/>
      <c r="C43" s="309"/>
      <c r="D43" s="309"/>
      <c r="E43" s="309"/>
      <c r="F43" s="309"/>
      <c r="G43" s="309"/>
      <c r="H43" s="79"/>
      <c r="I43" s="309"/>
      <c r="J43" s="79"/>
      <c r="K43" s="309"/>
      <c r="L43" s="79"/>
      <c r="M43" s="309"/>
      <c r="N43" s="79"/>
      <c r="O43" s="309"/>
      <c r="P43" s="79"/>
      <c r="Q43" s="309"/>
      <c r="R43" s="79"/>
      <c r="S43" s="309"/>
      <c r="T43" s="79"/>
      <c r="U43" s="309"/>
      <c r="V43" s="79"/>
      <c r="W43" s="309"/>
      <c r="X43" s="79"/>
      <c r="Y43" s="309"/>
      <c r="Z43" s="79"/>
      <c r="AA43" s="494"/>
      <c r="AB43" s="79"/>
      <c r="AC43" s="79"/>
      <c r="AD43" s="1172"/>
      <c r="AE43" s="243"/>
      <c r="AF43" s="79"/>
      <c r="AG43" s="79"/>
      <c r="AH43" s="16"/>
      <c r="AI43" s="16"/>
      <c r="AJ43" s="107"/>
    </row>
    <row r="44" spans="1:38" ht="16.5" customHeight="1">
      <c r="A44" s="345" t="s">
        <v>396</v>
      </c>
      <c r="B44" s="345"/>
      <c r="C44" s="142">
        <f>+'Exhibit F'!D39+'Exhibit G'!D31+'Exhibit I'!E25</f>
        <v>1200</v>
      </c>
      <c r="D44" s="142"/>
      <c r="E44" s="142">
        <f>+'Exhibit F'!F39+'Exhibit G'!F31+'Exhibit I'!G25</f>
        <v>87.200000000000045</v>
      </c>
      <c r="F44" s="142"/>
      <c r="G44" s="142">
        <f>+'Exhibit F'!H39+'Exhibit G'!H31+'Exhibit I'!I25</f>
        <v>1589.4</v>
      </c>
      <c r="H44" s="245"/>
      <c r="I44" s="142">
        <f>+'Exhibit F'!J39+'Exhibit G'!J31+'Exhibit I'!K25</f>
        <v>240.99999999999966</v>
      </c>
      <c r="J44" s="245"/>
      <c r="K44" s="142">
        <f>+'Exhibit F'!L39+'Exhibit G'!L31+'Exhibit I'!M25</f>
        <v>78.200000000000045</v>
      </c>
      <c r="L44" s="79"/>
      <c r="M44" s="142">
        <f>+'Exhibit F'!N39+'Exhibit G'!N31+'Exhibit I'!O25</f>
        <v>1675.1</v>
      </c>
      <c r="N44" s="79"/>
      <c r="O44" s="142">
        <f>+'Exhibit F'!P39+'Exhibit G'!P31+'Exhibit I'!Q25</f>
        <v>258.60000000000105</v>
      </c>
      <c r="P44" s="79"/>
      <c r="Q44" s="142">
        <f>+'Exhibit F'!R39+'Exhibit G'!R31+'Exhibit I'!S25</f>
        <v>95.199999999999591</v>
      </c>
      <c r="R44" s="142"/>
      <c r="S44" s="142"/>
      <c r="T44" s="142"/>
      <c r="U44" s="142"/>
      <c r="V44" s="142"/>
      <c r="W44" s="142"/>
      <c r="X44" s="142"/>
      <c r="Y44" s="142"/>
      <c r="Z44" s="79"/>
      <c r="AA44" s="494"/>
      <c r="AB44" s="245">
        <f t="shared" ref="AB44:AB49" si="8">ROUND(SUM(C44:Y44),1)</f>
        <v>5224.7</v>
      </c>
      <c r="AC44" s="79"/>
      <c r="AD44" s="1172"/>
      <c r="AE44" s="142">
        <f>+'Exhibit F'!AF39+'Exhibit G'!AG31+'Exhibit I'!AI25</f>
        <v>5082.1000000000004</v>
      </c>
      <c r="AF44" s="79"/>
      <c r="AG44" s="79"/>
      <c r="AH44" s="325">
        <f t="shared" ref="AH44:AH49" si="9">ROUND(SUM(+AB44-AE44),1)</f>
        <v>142.6</v>
      </c>
      <c r="AI44" s="16"/>
      <c r="AJ44" s="477">
        <f t="shared" ref="AJ44:AJ50" si="10">ROUND(IF(AE44=0,0,AH44/ABS(AE44)),3)</f>
        <v>2.8000000000000001E-2</v>
      </c>
    </row>
    <row r="45" spans="1:38" ht="16.5" customHeight="1">
      <c r="A45" s="345" t="s">
        <v>397</v>
      </c>
      <c r="B45" s="345"/>
      <c r="C45" s="142">
        <f>+'Exhibit F'!D40+'Exhibit G'!D32+'Exhibit I'!E26</f>
        <v>41.9</v>
      </c>
      <c r="D45" s="142"/>
      <c r="E45" s="1973">
        <f>+'Exhibit F'!F40+'Exhibit G'!F32+'Exhibit I'!G26</f>
        <v>0.70000000000000107</v>
      </c>
      <c r="F45" s="142"/>
      <c r="G45" s="142">
        <f>+'Exhibit F'!H40+'Exhibit G'!H32+'Exhibit I'!I26</f>
        <v>78.099999999999994</v>
      </c>
      <c r="H45" s="245"/>
      <c r="I45" s="142">
        <f>+'Exhibit F'!J40+'Exhibit G'!J32+'Exhibit I'!K26</f>
        <v>0.30000000000001137</v>
      </c>
      <c r="J45" s="245"/>
      <c r="K45" s="142">
        <f>+'Exhibit F'!L40+'Exhibit G'!L32+'Exhibit I'!M26</f>
        <v>1.5999999999999934</v>
      </c>
      <c r="L45" s="79"/>
      <c r="M45" s="142">
        <f>+'Exhibit F'!N40+'Exhibit G'!N32+'Exhibit I'!O26</f>
        <v>97.40000000000002</v>
      </c>
      <c r="N45" s="79"/>
      <c r="O45" s="142">
        <f>+'Exhibit F'!P40+'Exhibit G'!P32+'Exhibit I'!Q26</f>
        <v>24.200000000000003</v>
      </c>
      <c r="P45" s="79"/>
      <c r="Q45" s="142">
        <f>+'Exhibit F'!R40+'Exhibit G'!R32+'Exhibit I'!S26</f>
        <v>17.899999999999984</v>
      </c>
      <c r="R45" s="142"/>
      <c r="S45" s="142"/>
      <c r="T45" s="142"/>
      <c r="U45" s="142"/>
      <c r="V45" s="142"/>
      <c r="W45" s="142"/>
      <c r="X45" s="142"/>
      <c r="Y45" s="142"/>
      <c r="Z45" s="79"/>
      <c r="AA45" s="494"/>
      <c r="AB45" s="245">
        <f t="shared" si="8"/>
        <v>262.10000000000002</v>
      </c>
      <c r="AC45" s="79"/>
      <c r="AD45" s="1172"/>
      <c r="AE45" s="142">
        <f>+'Exhibit F'!AF40+'Exhibit G'!AG32+'Exhibit I'!AI26</f>
        <v>234.4</v>
      </c>
      <c r="AF45" s="79"/>
      <c r="AG45" s="79"/>
      <c r="AH45" s="325">
        <f t="shared" si="9"/>
        <v>27.7</v>
      </c>
      <c r="AI45" s="16"/>
      <c r="AJ45" s="1173">
        <f t="shared" si="10"/>
        <v>0.11799999999999999</v>
      </c>
    </row>
    <row r="46" spans="1:38" ht="16.5" customHeight="1">
      <c r="A46" s="345" t="s">
        <v>398</v>
      </c>
      <c r="B46" s="345"/>
      <c r="C46" s="142">
        <f>+'Exhibit F'!D41+'Exhibit G'!D33</f>
        <v>98</v>
      </c>
      <c r="D46" s="142"/>
      <c r="E46" s="1973">
        <f>+'Exhibit F'!F41+'Exhibit G'!F33</f>
        <v>86.800000000000011</v>
      </c>
      <c r="F46" s="142"/>
      <c r="G46" s="142">
        <f>+'Exhibit F'!H41+'Exhibit G'!H33</f>
        <v>485.2</v>
      </c>
      <c r="H46" s="245"/>
      <c r="I46" s="142">
        <f>+'Exhibit F'!J41+'Exhibit G'!J33</f>
        <v>-8.7000000000000171</v>
      </c>
      <c r="J46" s="245"/>
      <c r="K46" s="142">
        <f>+'Exhibit F'!L41+'Exhibit G'!L33</f>
        <v>24.79999999999994</v>
      </c>
      <c r="L46" s="79"/>
      <c r="M46" s="142">
        <f>+'Exhibit F'!N41+'Exhibit G'!N33</f>
        <v>522.1</v>
      </c>
      <c r="N46" s="79"/>
      <c r="O46" s="142">
        <f>+'Exhibit F'!P41+'Exhibit G'!P33</f>
        <v>12.699999999999989</v>
      </c>
      <c r="P46" s="79"/>
      <c r="Q46" s="142">
        <f>+'Exhibit F'!R41+'Exhibit G'!R33</f>
        <v>11.699999999999932</v>
      </c>
      <c r="R46" s="142"/>
      <c r="S46" s="142"/>
      <c r="T46" s="142"/>
      <c r="U46" s="142"/>
      <c r="V46" s="142"/>
      <c r="W46" s="142"/>
      <c r="X46" s="142"/>
      <c r="Y46" s="142"/>
      <c r="Z46" s="79"/>
      <c r="AA46" s="494"/>
      <c r="AB46" s="245">
        <f t="shared" si="8"/>
        <v>1232.5999999999999</v>
      </c>
      <c r="AC46" s="79"/>
      <c r="AD46" s="1172"/>
      <c r="AE46" s="142">
        <f>+'Exhibit F'!AF41+'Exhibit G'!AG33</f>
        <v>1225.2</v>
      </c>
      <c r="AF46" s="79"/>
      <c r="AG46" s="79"/>
      <c r="AH46" s="325">
        <f t="shared" si="9"/>
        <v>7.4</v>
      </c>
      <c r="AI46" s="16"/>
      <c r="AJ46" s="477">
        <f t="shared" si="10"/>
        <v>6.0000000000000001E-3</v>
      </c>
      <c r="AL46" s="73" t="s">
        <v>104</v>
      </c>
    </row>
    <row r="47" spans="1:38" ht="16.5" customHeight="1">
      <c r="A47" s="345" t="s">
        <v>399</v>
      </c>
      <c r="B47" s="345"/>
      <c r="C47" s="142">
        <f>+'Exhibit F'!D42+'Exhibit G'!D34</f>
        <v>2.1999999999999997</v>
      </c>
      <c r="D47" s="142"/>
      <c r="E47" s="142">
        <f>+'Exhibit F'!F42+'Exhibit G'!F34</f>
        <v>0</v>
      </c>
      <c r="F47" s="142"/>
      <c r="G47" s="142">
        <f>+'Exhibit F'!H42+'Exhibit G'!H34</f>
        <v>-0.3999999999999998</v>
      </c>
      <c r="H47" s="245"/>
      <c r="I47" s="142">
        <f>+'Exhibit F'!J42+'Exhibit G'!J34</f>
        <v>0.49999999999999989</v>
      </c>
      <c r="J47" s="245"/>
      <c r="K47" s="142">
        <f>+'Exhibit F'!L42+'Exhibit G'!L34</f>
        <v>-3.1</v>
      </c>
      <c r="L47" s="79"/>
      <c r="M47" s="142">
        <f>ROUND(SUM(+'Exhibit F'!N42+'Exhibit G'!N34),1)</f>
        <v>0</v>
      </c>
      <c r="N47" s="79"/>
      <c r="O47" s="142">
        <f>ROUND(SUM(+'Exhibit F'!P42+'Exhibit G'!P34),1)</f>
        <v>1.8</v>
      </c>
      <c r="P47" s="79"/>
      <c r="Q47" s="142">
        <f>ROUND(SUM(+'Exhibit F'!R42+'Exhibit G'!R34),1)</f>
        <v>0</v>
      </c>
      <c r="R47" s="142"/>
      <c r="S47" s="142"/>
      <c r="T47" s="142"/>
      <c r="U47" s="142"/>
      <c r="V47" s="142"/>
      <c r="W47" s="142"/>
      <c r="X47" s="142"/>
      <c r="Y47" s="142"/>
      <c r="Z47" s="79"/>
      <c r="AA47" s="494"/>
      <c r="AB47" s="245">
        <f t="shared" si="8"/>
        <v>1</v>
      </c>
      <c r="AC47" s="79"/>
      <c r="AD47" s="1172"/>
      <c r="AE47" s="142">
        <f>+'Exhibit F'!AF42+'Exhibit G'!AG34</f>
        <v>-4.0999999999999996</v>
      </c>
      <c r="AF47" s="79"/>
      <c r="AG47" s="79"/>
      <c r="AH47" s="325">
        <f t="shared" si="9"/>
        <v>5.0999999999999996</v>
      </c>
      <c r="AI47" s="16"/>
      <c r="AJ47" s="670">
        <f>ROUND(IF(AE47=0,1,AH47/ABS(AE47)),3)</f>
        <v>1.244</v>
      </c>
      <c r="AL47" s="73" t="s">
        <v>104</v>
      </c>
    </row>
    <row r="48" spans="1:38" ht="16.5" customHeight="1">
      <c r="A48" s="345" t="s">
        <v>400</v>
      </c>
      <c r="B48" s="345"/>
      <c r="C48" s="142">
        <f>+'Exhibit F'!D43+'Exhibit H'!B22</f>
        <v>98.8</v>
      </c>
      <c r="D48" s="142"/>
      <c r="E48" s="142">
        <f>+'Exhibit F'!F43+'Exhibit H'!D22</f>
        <v>131.39999999999998</v>
      </c>
      <c r="F48" s="142"/>
      <c r="G48" s="142">
        <f>+'Exhibit F'!H43+'Exhibit H'!F22</f>
        <v>2538.1999999999998</v>
      </c>
      <c r="H48" s="245"/>
      <c r="I48" s="142">
        <f>+'Exhibit F'!J43+'Exhibit H'!H22</f>
        <v>37</v>
      </c>
      <c r="J48" s="245"/>
      <c r="K48" s="142">
        <f>+'Exhibit F'!L43+'Exhibit H'!J22</f>
        <v>136.79999999999973</v>
      </c>
      <c r="L48" s="79"/>
      <c r="M48" s="142">
        <f>+'Exhibit F'!N43+'Exhibit H'!L22</f>
        <v>2973.2000000000003</v>
      </c>
      <c r="N48" s="79"/>
      <c r="O48" s="142">
        <f>+'Exhibit F'!P43+'Exhibit H'!N22</f>
        <v>-1101</v>
      </c>
      <c r="P48" s="79"/>
      <c r="Q48" s="142">
        <f>+'Exhibit F'!R43+'Exhibit H'!P22</f>
        <v>49.200000000000728</v>
      </c>
      <c r="R48" s="142"/>
      <c r="S48" s="142"/>
      <c r="T48" s="142"/>
      <c r="U48" s="142"/>
      <c r="V48" s="142"/>
      <c r="W48" s="142"/>
      <c r="X48" s="142"/>
      <c r="Y48" s="142"/>
      <c r="Z48" s="79"/>
      <c r="AA48" s="494"/>
      <c r="AB48" s="245">
        <f t="shared" si="8"/>
        <v>4863.6000000000004</v>
      </c>
      <c r="AC48" s="79"/>
      <c r="AD48" s="1172"/>
      <c r="AE48" s="142">
        <f>+'Exhibit F'!AF43+'Exhibit H'!AD22</f>
        <v>5687.6</v>
      </c>
      <c r="AF48" s="79"/>
      <c r="AG48" s="79"/>
      <c r="AH48" s="325">
        <f t="shared" si="9"/>
        <v>-824</v>
      </c>
      <c r="AI48" s="16"/>
      <c r="AJ48" s="670">
        <f>ROUND(IF(AE48=0,1,AH48/ABS(AE48)),3)</f>
        <v>-0.14499999999999999</v>
      </c>
    </row>
    <row r="49" spans="1:36" ht="16.5" customHeight="1">
      <c r="A49" s="345" t="s">
        <v>401</v>
      </c>
      <c r="B49" s="345"/>
      <c r="C49" s="142">
        <f>+'Exhibit F'!D44+'Exhibit G'!D35+'Exhibit I'!E27</f>
        <v>82.1</v>
      </c>
      <c r="D49" s="142"/>
      <c r="E49" s="142">
        <f>+'Exhibit F'!F44+'Exhibit G'!F35+'Exhibit I'!G27</f>
        <v>97.6</v>
      </c>
      <c r="F49" s="142"/>
      <c r="G49" s="142">
        <f>+'Exhibit F'!H44+'Exhibit G'!H35+'Exhibit I'!I27</f>
        <v>95.4</v>
      </c>
      <c r="H49" s="245"/>
      <c r="I49" s="142">
        <f>+'Exhibit F'!J44+'Exhibit G'!J35+'Exhibit I'!K27</f>
        <v>97.5</v>
      </c>
      <c r="J49" s="245"/>
      <c r="K49" s="142">
        <f>+'Exhibit F'!L44+'Exhibit G'!L35+'Exhibit I'!M27</f>
        <v>98.600000000000023</v>
      </c>
      <c r="L49" s="79"/>
      <c r="M49" s="142">
        <f>+'Exhibit F'!N44+'Exhibit G'!N35+'Exhibit I'!O27</f>
        <v>106.6</v>
      </c>
      <c r="N49" s="79"/>
      <c r="O49" s="142">
        <f>+'Exhibit F'!P44+'Exhibit G'!P35+'Exhibit I'!Q27</f>
        <v>98.5</v>
      </c>
      <c r="P49" s="79"/>
      <c r="Q49" s="142">
        <f>+'Exhibit F'!R44+'Exhibit G'!R35+'Exhibit I'!S27</f>
        <v>94.299999999999955</v>
      </c>
      <c r="R49" s="142"/>
      <c r="S49" s="142"/>
      <c r="T49" s="142"/>
      <c r="U49" s="142"/>
      <c r="V49" s="142"/>
      <c r="W49" s="142"/>
      <c r="X49" s="142"/>
      <c r="Y49" s="142"/>
      <c r="Z49" s="79"/>
      <c r="AA49" s="494"/>
      <c r="AB49" s="245">
        <f t="shared" si="8"/>
        <v>770.6</v>
      </c>
      <c r="AC49" s="79"/>
      <c r="AD49" s="1172"/>
      <c r="AE49" s="142">
        <f>+'Exhibit F'!AF44+'Exhibit G'!AG35+'Exhibit I'!AI27</f>
        <v>734</v>
      </c>
      <c r="AF49" s="79"/>
      <c r="AG49" s="79"/>
      <c r="AH49" s="325">
        <f t="shared" si="9"/>
        <v>36.6</v>
      </c>
      <c r="AI49" s="16"/>
      <c r="AJ49" s="477">
        <f t="shared" si="10"/>
        <v>0.05</v>
      </c>
    </row>
    <row r="50" spans="1:36" ht="16.5" customHeight="1">
      <c r="A50" s="118" t="s">
        <v>402</v>
      </c>
      <c r="B50" s="345"/>
      <c r="C50" s="1507">
        <f>ROUND(SUM(C44:C49),1)</f>
        <v>1523</v>
      </c>
      <c r="D50" s="4"/>
      <c r="E50" s="1507">
        <f>ROUND(SUM(E44:E49),1)</f>
        <v>403.7</v>
      </c>
      <c r="F50" s="4"/>
      <c r="G50" s="1507">
        <f>ROUND(SUM(G44:G49),1)</f>
        <v>4785.8999999999996</v>
      </c>
      <c r="H50" s="79"/>
      <c r="I50" s="1507">
        <f>ROUND(SUM(I44:I49),1)</f>
        <v>367.6</v>
      </c>
      <c r="J50" s="79"/>
      <c r="K50" s="1507">
        <f>ROUND(SUM(K44:K49),1)</f>
        <v>336.9</v>
      </c>
      <c r="L50" s="79"/>
      <c r="M50" s="1507">
        <f>ROUND(SUM(M44:M49),1)</f>
        <v>5374.4</v>
      </c>
      <c r="N50" s="79"/>
      <c r="O50" s="1507">
        <f>ROUND(SUM(O44:O49),1)</f>
        <v>-705.2</v>
      </c>
      <c r="P50" s="79"/>
      <c r="Q50" s="1507">
        <f>ROUND(SUM(Q44:Q49),1)</f>
        <v>268.3</v>
      </c>
      <c r="R50" s="79"/>
      <c r="S50" s="1507">
        <f>ROUND(SUM(S44:S49),1)</f>
        <v>0</v>
      </c>
      <c r="T50" s="79"/>
      <c r="U50" s="1507">
        <f>ROUND(SUM(U44:U49),1)</f>
        <v>0</v>
      </c>
      <c r="V50" s="79"/>
      <c r="W50" s="1507">
        <f>ROUND(SUM(W44:W49),1)</f>
        <v>0</v>
      </c>
      <c r="X50" s="79"/>
      <c r="Y50" s="1507">
        <f>ROUND(SUM(Y44:Y49),1)</f>
        <v>0</v>
      </c>
      <c r="Z50" s="79"/>
      <c r="AA50" s="494"/>
      <c r="AB50" s="1507">
        <f>ROUND(SUM(AB44:AB49),1)</f>
        <v>12354.6</v>
      </c>
      <c r="AC50" s="79"/>
      <c r="AD50" s="1172"/>
      <c r="AE50" s="1507">
        <f>ROUND(SUM(AE44:AE49),1)</f>
        <v>12959.2</v>
      </c>
      <c r="AF50" s="79"/>
      <c r="AG50" s="79"/>
      <c r="AH50" s="1507">
        <f>ROUND(SUM(AH44:AH49),1)</f>
        <v>-604.6</v>
      </c>
      <c r="AI50" s="16"/>
      <c r="AJ50" s="1509">
        <f t="shared" si="10"/>
        <v>-4.7E-2</v>
      </c>
    </row>
    <row r="51" spans="1:36" ht="16.5" customHeight="1">
      <c r="A51" s="525" t="s">
        <v>403</v>
      </c>
      <c r="B51" s="345"/>
      <c r="C51" s="309"/>
      <c r="D51" s="309"/>
      <c r="E51" s="309"/>
      <c r="F51" s="309"/>
      <c r="G51" s="309"/>
      <c r="H51" s="79"/>
      <c r="I51" s="309"/>
      <c r="J51" s="79"/>
      <c r="K51" s="309"/>
      <c r="L51" s="79"/>
      <c r="M51" s="309"/>
      <c r="N51" s="79"/>
      <c r="O51" s="309"/>
      <c r="P51" s="79"/>
      <c r="Q51" s="309"/>
      <c r="R51" s="79"/>
      <c r="S51" s="309"/>
      <c r="T51" s="79"/>
      <c r="U51" s="309"/>
      <c r="V51" s="79"/>
      <c r="W51" s="309"/>
      <c r="X51" s="79"/>
      <c r="Y51" s="309"/>
      <c r="Z51" s="79"/>
      <c r="AA51" s="494"/>
      <c r="AB51" s="79"/>
      <c r="AC51" s="79"/>
      <c r="AD51" s="1172"/>
      <c r="AE51" s="243"/>
      <c r="AF51" s="79"/>
      <c r="AG51" s="79"/>
      <c r="AH51" s="16"/>
      <c r="AI51" s="16"/>
      <c r="AJ51" s="107"/>
    </row>
    <row r="52" spans="1:36" ht="16.5" customHeight="1">
      <c r="A52" s="345" t="s">
        <v>404</v>
      </c>
      <c r="B52" s="345"/>
      <c r="C52" s="635">
        <f>+'Exhibit F'!D47</f>
        <v>0</v>
      </c>
      <c r="D52" s="635"/>
      <c r="E52" s="635">
        <f>+'Exhibit F'!F47</f>
        <v>0</v>
      </c>
      <c r="F52" s="635"/>
      <c r="G52" s="635">
        <f>+'Exhibit F'!H47</f>
        <v>0</v>
      </c>
      <c r="H52" s="245"/>
      <c r="I52" s="635">
        <f>+'Exhibit F'!J47</f>
        <v>0</v>
      </c>
      <c r="J52" s="245"/>
      <c r="K52" s="635">
        <f>+'Exhibit F'!L47</f>
        <v>0</v>
      </c>
      <c r="L52" s="79"/>
      <c r="M52" s="635">
        <f>+'Exhibit F'!N47</f>
        <v>0</v>
      </c>
      <c r="N52" s="79"/>
      <c r="O52" s="635">
        <f>+'Exhibit F'!P47</f>
        <v>0</v>
      </c>
      <c r="P52" s="79"/>
      <c r="Q52" s="635">
        <f>+'Exhibit F'!R47</f>
        <v>0</v>
      </c>
      <c r="R52" s="635"/>
      <c r="S52" s="635"/>
      <c r="T52" s="635"/>
      <c r="U52" s="635"/>
      <c r="V52" s="635"/>
      <c r="W52" s="635"/>
      <c r="X52" s="635"/>
      <c r="Y52" s="635"/>
      <c r="Z52" s="79"/>
      <c r="AA52" s="494"/>
      <c r="AB52" s="245">
        <f t="shared" ref="AB52:AB56" si="11">ROUND(SUM(C52:Y52),1)</f>
        <v>0</v>
      </c>
      <c r="AC52" s="79"/>
      <c r="AD52" s="1172"/>
      <c r="AE52" s="635">
        <f>+'Exhibit F'!AF47</f>
        <v>0</v>
      </c>
      <c r="AF52" s="79"/>
      <c r="AG52" s="79"/>
      <c r="AH52" s="325">
        <f t="shared" ref="AH52:AH56" si="12">ROUND(SUM(+AB52-AE52),1)</f>
        <v>0</v>
      </c>
      <c r="AI52" s="16"/>
      <c r="AJ52" s="327">
        <f>-ROUND(IF(AE52=0,0,AH52/ABS(AE52)),3)</f>
        <v>0</v>
      </c>
    </row>
    <row r="53" spans="1:36" ht="16.5" customHeight="1">
      <c r="A53" s="345" t="s">
        <v>405</v>
      </c>
      <c r="B53" s="345"/>
      <c r="C53" s="142">
        <f>+'Exhibit F'!D48</f>
        <v>168.8</v>
      </c>
      <c r="D53" s="142"/>
      <c r="E53" s="142">
        <f>+'Exhibit F'!F48</f>
        <v>405.7</v>
      </c>
      <c r="F53" s="142"/>
      <c r="G53" s="142">
        <f>+'Exhibit F'!H48</f>
        <v>77.299999999999955</v>
      </c>
      <c r="H53" s="245"/>
      <c r="I53" s="142">
        <f>+'Exhibit F'!J48</f>
        <v>61.800000000000011</v>
      </c>
      <c r="J53" s="245"/>
      <c r="K53" s="142">
        <f>+'Exhibit F'!L48</f>
        <v>175.90000000000009</v>
      </c>
      <c r="L53" s="245"/>
      <c r="M53" s="142">
        <f>+'Exhibit F'!N48</f>
        <v>167.59999999999991</v>
      </c>
      <c r="N53" s="79"/>
      <c r="O53" s="142">
        <f>+'Exhibit F'!P48</f>
        <v>323.30000000000018</v>
      </c>
      <c r="P53" s="79"/>
      <c r="Q53" s="142">
        <f>+'Exhibit F'!R48</f>
        <v>141.89999999999986</v>
      </c>
      <c r="R53" s="142"/>
      <c r="S53" s="142"/>
      <c r="T53" s="142"/>
      <c r="U53" s="142"/>
      <c r="V53" s="142"/>
      <c r="W53" s="142"/>
      <c r="X53" s="142"/>
      <c r="Y53" s="142"/>
      <c r="Z53" s="79"/>
      <c r="AA53" s="494"/>
      <c r="AB53" s="245">
        <f t="shared" si="11"/>
        <v>1522.3</v>
      </c>
      <c r="AC53" s="79"/>
      <c r="AD53" s="1172"/>
      <c r="AE53" s="142">
        <f>+'Exhibit F'!AF48</f>
        <v>1576.1999999999998</v>
      </c>
      <c r="AF53" s="79"/>
      <c r="AG53" s="79"/>
      <c r="AH53" s="325">
        <f t="shared" si="12"/>
        <v>-53.9</v>
      </c>
      <c r="AI53" s="16"/>
      <c r="AJ53" s="477">
        <f t="shared" ref="AJ53:AJ58" si="13">ROUND(IF(AE53=0,0,AH53/ABS(AE53)),3)</f>
        <v>-3.4000000000000002E-2</v>
      </c>
    </row>
    <row r="54" spans="1:36" ht="16.5" customHeight="1">
      <c r="A54" s="345" t="s">
        <v>406</v>
      </c>
      <c r="B54" s="345"/>
      <c r="C54" s="142">
        <f>+'Exhibit F'!D49</f>
        <v>1.4</v>
      </c>
      <c r="D54" s="142"/>
      <c r="E54" s="142">
        <f>+'Exhibit F'!F49</f>
        <v>1</v>
      </c>
      <c r="F54" s="142"/>
      <c r="G54" s="142">
        <f>+'Exhibit F'!H49</f>
        <v>1.3000000000000003</v>
      </c>
      <c r="H54" s="245"/>
      <c r="I54" s="142">
        <f>+'Exhibit F'!J49</f>
        <v>1.2000000000000002</v>
      </c>
      <c r="J54" s="245"/>
      <c r="K54" s="142">
        <f>+'Exhibit F'!L49</f>
        <v>1.8000000000000003</v>
      </c>
      <c r="L54" s="245"/>
      <c r="M54" s="142">
        <f>+'Exhibit F'!N49</f>
        <v>1.6999999999999988</v>
      </c>
      <c r="N54" s="79"/>
      <c r="O54" s="142">
        <f>+'Exhibit F'!P49</f>
        <v>0.79999999999999893</v>
      </c>
      <c r="P54" s="79"/>
      <c r="Q54" s="142">
        <f>+'Exhibit F'!R49</f>
        <v>0.80000000000000071</v>
      </c>
      <c r="R54" s="142"/>
      <c r="S54" s="142"/>
      <c r="T54" s="142"/>
      <c r="U54" s="142"/>
      <c r="V54" s="142"/>
      <c r="W54" s="142"/>
      <c r="X54" s="142"/>
      <c r="Y54" s="142"/>
      <c r="Z54" s="79"/>
      <c r="AA54" s="494"/>
      <c r="AB54" s="245">
        <f t="shared" si="11"/>
        <v>10</v>
      </c>
      <c r="AC54" s="79"/>
      <c r="AD54" s="1172"/>
      <c r="AE54" s="142">
        <f>+'Exhibit F'!AF49</f>
        <v>10.8</v>
      </c>
      <c r="AF54" s="79"/>
      <c r="AG54" s="79"/>
      <c r="AH54" s="325">
        <f t="shared" si="12"/>
        <v>-0.8</v>
      </c>
      <c r="AI54" s="16"/>
      <c r="AJ54" s="477">
        <f t="shared" si="13"/>
        <v>-7.3999999999999996E-2</v>
      </c>
    </row>
    <row r="55" spans="1:36" ht="16.5" customHeight="1">
      <c r="A55" s="345" t="s">
        <v>407</v>
      </c>
      <c r="B55" s="345"/>
      <c r="C55" s="142">
        <f>+'Exhibit F'!D50+'Exhibit H'!B25+'Exhibit I'!E30</f>
        <v>83.4</v>
      </c>
      <c r="D55" s="142"/>
      <c r="E55" s="142">
        <f>+'Exhibit F'!F50+'Exhibit H'!D25+'Exhibit I'!G30</f>
        <v>86.1</v>
      </c>
      <c r="F55" s="142"/>
      <c r="G55" s="142">
        <f>+'Exhibit F'!H50+'Exhibit H'!F25+'Exhibit I'!I30</f>
        <v>109.00000000000001</v>
      </c>
      <c r="H55" s="245"/>
      <c r="I55" s="142">
        <f>+'Exhibit F'!J50+'Exhibit H'!H25+'Exhibit I'!K30</f>
        <v>101.99999999999999</v>
      </c>
      <c r="J55" s="245"/>
      <c r="K55" s="142">
        <f>+'Exhibit F'!L50+'Exhibit H'!J25+'Exhibit I'!M30</f>
        <v>114.60000000000001</v>
      </c>
      <c r="L55" s="245"/>
      <c r="M55" s="142">
        <f>+'Exhibit F'!N50+'Exhibit H'!L25+'Exhibit I'!O30</f>
        <v>115.8</v>
      </c>
      <c r="N55" s="79"/>
      <c r="O55" s="142">
        <f>+'Exhibit F'!P50+'Exhibit H'!N25+'Exhibit I'!Q30</f>
        <v>105.4</v>
      </c>
      <c r="P55" s="79"/>
      <c r="Q55" s="142">
        <f>+'Exhibit F'!R50+'Exhibit H'!P25+'Exhibit I'!S30</f>
        <v>97.300000000000054</v>
      </c>
      <c r="R55" s="142"/>
      <c r="S55" s="142"/>
      <c r="T55" s="142"/>
      <c r="U55" s="142"/>
      <c r="V55" s="142"/>
      <c r="W55" s="142"/>
      <c r="X55" s="142"/>
      <c r="Y55" s="142"/>
      <c r="Z55" s="79"/>
      <c r="AA55" s="494"/>
      <c r="AB55" s="245">
        <f t="shared" si="11"/>
        <v>813.6</v>
      </c>
      <c r="AC55" s="79"/>
      <c r="AD55" s="1172"/>
      <c r="AE55" s="142">
        <f>+'Exhibit F'!AF50+'Exhibit H'!AD25+'Exhibit I'!AI30</f>
        <v>1112.1000000000001</v>
      </c>
      <c r="AF55" s="79"/>
      <c r="AG55" s="79"/>
      <c r="AH55" s="325">
        <f t="shared" si="12"/>
        <v>-298.5</v>
      </c>
      <c r="AI55" s="16"/>
      <c r="AJ55" s="477">
        <f t="shared" si="13"/>
        <v>-0.26800000000000002</v>
      </c>
    </row>
    <row r="56" spans="1:36" ht="16.5" customHeight="1">
      <c r="A56" s="345" t="s">
        <v>408</v>
      </c>
      <c r="B56" s="345"/>
      <c r="C56" s="142">
        <f>+'Exhibit F'!D51</f>
        <v>0</v>
      </c>
      <c r="D56" s="142"/>
      <c r="E56" s="142">
        <f>+'Exhibit F'!F51</f>
        <v>0</v>
      </c>
      <c r="F56" s="142"/>
      <c r="G56" s="142">
        <f>+'Exhibit F'!H51</f>
        <v>0.1</v>
      </c>
      <c r="H56" s="245"/>
      <c r="I56" s="142">
        <f>+'Exhibit F'!J51</f>
        <v>0</v>
      </c>
      <c r="J56" s="245"/>
      <c r="K56" s="142">
        <f>+'Exhibit F'!L51</f>
        <v>0.1</v>
      </c>
      <c r="L56" s="245"/>
      <c r="M56" s="142">
        <f>+'Exhibit F'!N51</f>
        <v>0</v>
      </c>
      <c r="N56" s="79"/>
      <c r="O56" s="142">
        <f>+'Exhibit F'!P51</f>
        <v>0</v>
      </c>
      <c r="P56" s="79"/>
      <c r="Q56" s="142">
        <f>+'Exhibit F'!R51</f>
        <v>1.0999999999999999</v>
      </c>
      <c r="R56" s="142"/>
      <c r="S56" s="142"/>
      <c r="T56" s="142"/>
      <c r="U56" s="142"/>
      <c r="V56" s="142"/>
      <c r="W56" s="142"/>
      <c r="X56" s="142"/>
      <c r="Y56" s="142"/>
      <c r="Z56" s="79"/>
      <c r="AA56" s="494"/>
      <c r="AB56" s="245">
        <f t="shared" si="11"/>
        <v>1.3</v>
      </c>
      <c r="AC56" s="79"/>
      <c r="AD56" s="1172"/>
      <c r="AE56" s="142">
        <f>+'Exhibit F'!AF51</f>
        <v>1.9</v>
      </c>
      <c r="AF56" s="79"/>
      <c r="AG56" s="79"/>
      <c r="AH56" s="325">
        <f t="shared" si="12"/>
        <v>-0.6</v>
      </c>
      <c r="AI56" s="16"/>
      <c r="AJ56" s="327">
        <f>ROUND(IF(AE56=0,0,AH56/ABS(AE56)),3)</f>
        <v>-0.316</v>
      </c>
    </row>
    <row r="57" spans="1:36" ht="16.5" customHeight="1">
      <c r="A57" s="533" t="s">
        <v>409</v>
      </c>
      <c r="B57" s="345"/>
      <c r="C57" s="142">
        <f>+'Exhibit F'!D52+'Exhibit H'!B26</f>
        <v>0.4</v>
      </c>
      <c r="D57" s="142"/>
      <c r="E57" s="142">
        <f>+'Exhibit F'!F52+'Exhibit H'!D26</f>
        <v>0.4</v>
      </c>
      <c r="F57" s="142"/>
      <c r="G57" s="142">
        <f>+'Exhibit F'!H52+'Exhibit H'!F26</f>
        <v>0.19999999999999996</v>
      </c>
      <c r="H57" s="245"/>
      <c r="I57" s="142">
        <f>+'Exhibit F'!J52+'Exhibit H'!H26</f>
        <v>0.6000000000000002</v>
      </c>
      <c r="J57" s="245"/>
      <c r="K57" s="142">
        <f>+'Exhibit F'!L52+'Exhibit H'!J26</f>
        <v>0.6000000000000002</v>
      </c>
      <c r="L57" s="79"/>
      <c r="M57" s="142">
        <f>+'Exhibit F'!N52+'Exhibit H'!L26</f>
        <v>0.3999999999999998</v>
      </c>
      <c r="N57" s="79"/>
      <c r="O57" s="142">
        <f>+'Exhibit F'!P52+'Exhibit H'!N26</f>
        <v>0.80000000000000038</v>
      </c>
      <c r="P57" s="79"/>
      <c r="Q57" s="142">
        <f>+'Exhibit F'!R52+'Exhibit H'!P26</f>
        <v>0.39999999999999936</v>
      </c>
      <c r="R57" s="142"/>
      <c r="S57" s="142"/>
      <c r="T57" s="142"/>
      <c r="U57" s="142"/>
      <c r="V57" s="142"/>
      <c r="W57" s="142"/>
      <c r="X57" s="142"/>
      <c r="Y57" s="142"/>
      <c r="Z57" s="79"/>
      <c r="AA57" s="494"/>
      <c r="AB57" s="245">
        <f t="shared" ref="AB57" si="14">ROUND(SUM(C57:Y57),1)</f>
        <v>3.8</v>
      </c>
      <c r="AC57" s="79"/>
      <c r="AD57" s="1172"/>
      <c r="AE57" s="142">
        <f>+'Exhibit F'!AF52+'Exhibit H'!AD26</f>
        <v>3</v>
      </c>
      <c r="AF57" s="79"/>
      <c r="AG57" s="79"/>
      <c r="AH57" s="325">
        <f>ROUND(SUM(+AB57-AE57),1)</f>
        <v>0.8</v>
      </c>
      <c r="AI57" s="95"/>
      <c r="AJ57" s="661">
        <f>ROUND(IF(AE57=0,1,AH57/ABS(AE57)),3)</f>
        <v>0.26700000000000002</v>
      </c>
    </row>
    <row r="58" spans="1:36" ht="16.5" customHeight="1">
      <c r="A58" s="118" t="s">
        <v>410</v>
      </c>
      <c r="B58" s="345"/>
      <c r="C58" s="1507">
        <f>ROUND(SUM(C52:C57),1)</f>
        <v>254</v>
      </c>
      <c r="D58" s="4"/>
      <c r="E58" s="1507">
        <f>ROUND(SUM(E52:E57),1)</f>
        <v>493.2</v>
      </c>
      <c r="F58" s="4"/>
      <c r="G58" s="1507">
        <f>ROUND(SUM(G52:G57),1)</f>
        <v>187.9</v>
      </c>
      <c r="H58" s="79"/>
      <c r="I58" s="1507">
        <f>ROUND(SUM(I52:I57),1)</f>
        <v>165.6</v>
      </c>
      <c r="J58" s="79"/>
      <c r="K58" s="1507">
        <f>ROUND(SUM(K52:K57),1)</f>
        <v>293</v>
      </c>
      <c r="L58" s="79"/>
      <c r="M58" s="1507">
        <f>ROUND(SUM(M52:M57),1)</f>
        <v>285.5</v>
      </c>
      <c r="N58" s="79"/>
      <c r="O58" s="1507">
        <f>ROUND(SUM(O52:O57),1)</f>
        <v>430.3</v>
      </c>
      <c r="P58" s="79"/>
      <c r="Q58" s="1507">
        <f>ROUND(SUM(Q52:Q57),1)</f>
        <v>241.5</v>
      </c>
      <c r="R58" s="79"/>
      <c r="S58" s="1507">
        <f>ROUND(SUM(S52:S57),1)</f>
        <v>0</v>
      </c>
      <c r="T58" s="79"/>
      <c r="U58" s="1507">
        <f>ROUND(SUM(U52:U57),1)</f>
        <v>0</v>
      </c>
      <c r="V58" s="79"/>
      <c r="W58" s="1507">
        <f>ROUND(SUM(W52:W57),1)</f>
        <v>0</v>
      </c>
      <c r="X58" s="79"/>
      <c r="Y58" s="1507">
        <f>ROUND(SUM(Y52:Y57),1)</f>
        <v>0</v>
      </c>
      <c r="Z58" s="79"/>
      <c r="AA58" s="494"/>
      <c r="AB58" s="1507">
        <f>ROUND(SUM(AB52:AB57),1)</f>
        <v>2351</v>
      </c>
      <c r="AC58" s="79"/>
      <c r="AD58" s="1172"/>
      <c r="AE58" s="1507">
        <f>ROUND(SUM(AE52:AE57),1)</f>
        <v>2704</v>
      </c>
      <c r="AF58" s="79"/>
      <c r="AG58" s="79"/>
      <c r="AH58" s="1507">
        <f>ROUND(SUM(AH52:AH57),1)</f>
        <v>-353</v>
      </c>
      <c r="AI58" s="16"/>
      <c r="AJ58" s="1509">
        <f t="shared" si="13"/>
        <v>-0.13100000000000001</v>
      </c>
    </row>
    <row r="59" spans="1:36" ht="16.5" customHeight="1">
      <c r="A59" s="118"/>
      <c r="B59" s="345"/>
      <c r="C59" s="4"/>
      <c r="D59" s="4"/>
      <c r="E59" s="4"/>
      <c r="F59" s="4"/>
      <c r="G59" s="4"/>
      <c r="H59" s="79"/>
      <c r="I59" s="4"/>
      <c r="J59" s="79"/>
      <c r="K59" s="4"/>
      <c r="L59" s="79"/>
      <c r="M59" s="4"/>
      <c r="N59" s="79"/>
      <c r="O59" s="4"/>
      <c r="P59" s="79"/>
      <c r="Q59" s="4"/>
      <c r="R59" s="79"/>
      <c r="S59" s="4"/>
      <c r="T59" s="79"/>
      <c r="U59" s="4"/>
      <c r="V59" s="79"/>
      <c r="W59" s="4"/>
      <c r="X59" s="79"/>
      <c r="Y59" s="4"/>
      <c r="Z59" s="79"/>
      <c r="AA59" s="244"/>
      <c r="AB59" s="79"/>
      <c r="AC59" s="79"/>
      <c r="AD59" s="1172"/>
      <c r="AE59" s="79"/>
      <c r="AF59" s="79"/>
      <c r="AG59" s="79"/>
      <c r="AH59" s="329"/>
      <c r="AI59" s="79"/>
      <c r="AJ59" s="329"/>
    </row>
    <row r="60" spans="1:36" ht="16.5" customHeight="1">
      <c r="A60" s="118" t="s">
        <v>411</v>
      </c>
      <c r="B60" s="466"/>
      <c r="C60" s="1426">
        <f>ROUND(SUM(C58+C50+C42+C30),1)</f>
        <v>10907.6</v>
      </c>
      <c r="D60" s="325"/>
      <c r="E60" s="1426">
        <f>ROUND(SUM(E58+E50+E42+E30),1)</f>
        <v>4605.3999999999996</v>
      </c>
      <c r="F60" s="325"/>
      <c r="G60" s="1426">
        <f>ROUND(SUM(G58+G50+G42+G30),1)</f>
        <v>12116.8</v>
      </c>
      <c r="H60" s="325"/>
      <c r="I60" s="1426">
        <f>ROUND(SUM(I58+I50+I42+I30),1)</f>
        <v>5699.6</v>
      </c>
      <c r="J60" s="325"/>
      <c r="K60" s="1426">
        <f>ROUND(SUM(K58+K50+K42+K30),1)</f>
        <v>6015.8</v>
      </c>
      <c r="L60" s="325"/>
      <c r="M60" s="1426">
        <f>ROUND(SUM(M58+M50+M42+M30),1)</f>
        <v>12143.8</v>
      </c>
      <c r="N60" s="325"/>
      <c r="O60" s="1426">
        <f>ROUND(SUM(O58+O50+O42+O30),1)</f>
        <v>3723.7</v>
      </c>
      <c r="P60" s="325"/>
      <c r="Q60" s="1426">
        <f>ROUND(SUM(Q58+Q50+Q42+Q30),1)</f>
        <v>5589</v>
      </c>
      <c r="R60" s="325"/>
      <c r="S60" s="1426">
        <f>ROUND(SUM(S58+S50+S42+S30),1)</f>
        <v>0</v>
      </c>
      <c r="T60" s="325"/>
      <c r="U60" s="1426">
        <f>ROUND(SUM(U58+U50+U42+U30),1)</f>
        <v>0</v>
      </c>
      <c r="V60" s="325"/>
      <c r="W60" s="1426">
        <f>ROUND(SUM(W58+W50+W42+W30),1)</f>
        <v>0</v>
      </c>
      <c r="X60" s="329"/>
      <c r="Y60" s="1426">
        <f>ROUND(SUM(Y58+Y50+Y42+Y30),1)</f>
        <v>0</v>
      </c>
      <c r="Z60" s="329"/>
      <c r="AA60" s="1164"/>
      <c r="AB60" s="1510">
        <f>ROUND(+AB58+AB50+AB42+AB30,1)</f>
        <v>60801.7</v>
      </c>
      <c r="AC60" s="325"/>
      <c r="AD60" s="647"/>
      <c r="AE60" s="1510">
        <f>ROUND(+AE58+AE50+AE42+AE30,1)</f>
        <v>67027</v>
      </c>
      <c r="AF60" s="325"/>
      <c r="AG60" s="943"/>
      <c r="AH60" s="1510">
        <f>ROUND(+AH58+AH50+AH42+AH30,1)</f>
        <v>-6225.3</v>
      </c>
      <c r="AI60" s="325"/>
      <c r="AJ60" s="1174">
        <f>ROUND(IF(AE60=0,0,AH60/ABS(AE60)),3)</f>
        <v>-9.2999999999999999E-2</v>
      </c>
    </row>
    <row r="61" spans="1:36" ht="16.5" customHeight="1">
      <c r="A61" s="79"/>
      <c r="B61" s="79"/>
      <c r="C61" s="245"/>
      <c r="D61" s="245"/>
      <c r="E61" s="245"/>
      <c r="F61" s="245"/>
      <c r="G61" s="245"/>
      <c r="H61" s="245"/>
      <c r="I61" s="245"/>
      <c r="J61" s="245"/>
      <c r="K61" s="245"/>
      <c r="L61" s="245"/>
      <c r="M61" s="245"/>
      <c r="N61" s="245"/>
      <c r="O61" s="245"/>
      <c r="P61" s="245"/>
      <c r="Q61" s="245"/>
      <c r="R61" s="245"/>
      <c r="S61" s="245"/>
      <c r="T61" s="245"/>
      <c r="U61" s="245"/>
      <c r="V61" s="245"/>
      <c r="W61" s="245"/>
      <c r="X61" s="245"/>
      <c r="Y61" s="245"/>
      <c r="Z61" s="245"/>
      <c r="AA61" s="246"/>
      <c r="AB61" s="245"/>
      <c r="AC61" s="245"/>
      <c r="AD61" s="1175"/>
      <c r="AE61" s="245"/>
      <c r="AF61" s="245"/>
      <c r="AG61" s="245"/>
      <c r="AH61" s="245"/>
      <c r="AI61" s="79"/>
      <c r="AJ61" s="344"/>
    </row>
    <row r="62" spans="1:36" ht="16.5" customHeight="1">
      <c r="A62" s="2006" t="s">
        <v>412</v>
      </c>
      <c r="B62" s="468"/>
      <c r="C62" s="245"/>
      <c r="D62" s="245"/>
      <c r="E62" s="245"/>
      <c r="F62" s="245"/>
      <c r="G62" s="245"/>
      <c r="H62" s="245"/>
      <c r="I62" s="245" t="s">
        <v>104</v>
      </c>
      <c r="J62" s="245"/>
      <c r="K62" s="245" t="s">
        <v>104</v>
      </c>
      <c r="L62" s="245"/>
      <c r="M62" s="245"/>
      <c r="N62" s="245"/>
      <c r="O62" s="245"/>
      <c r="P62" s="245"/>
      <c r="Q62" s="245"/>
      <c r="R62" s="245"/>
      <c r="S62" s="245"/>
      <c r="T62" s="245"/>
      <c r="U62" s="245"/>
      <c r="V62" s="245"/>
      <c r="W62" s="245"/>
      <c r="X62" s="245"/>
      <c r="Y62" s="245"/>
      <c r="Z62" s="245"/>
      <c r="AA62" s="246"/>
      <c r="AB62" s="245"/>
      <c r="AC62" s="245"/>
      <c r="AD62" s="1175"/>
      <c r="AE62" s="245"/>
      <c r="AF62" s="245"/>
      <c r="AG62" s="245"/>
      <c r="AH62" s="245"/>
      <c r="AI62" s="79"/>
      <c r="AJ62" s="344"/>
    </row>
    <row r="63" spans="1:36" ht="16.5" customHeight="1">
      <c r="A63" s="427" t="s">
        <v>413</v>
      </c>
      <c r="B63" s="468"/>
      <c r="C63" s="245"/>
      <c r="D63" s="245"/>
      <c r="E63" s="245"/>
      <c r="F63" s="245"/>
      <c r="G63" s="245"/>
      <c r="H63" s="245"/>
      <c r="I63" s="245"/>
      <c r="J63" s="245"/>
      <c r="K63" s="245"/>
      <c r="L63" s="245"/>
      <c r="M63" s="245"/>
      <c r="N63" s="245"/>
      <c r="O63" s="245"/>
      <c r="P63" s="245"/>
      <c r="Q63" s="245"/>
      <c r="R63" s="245"/>
      <c r="S63" s="245"/>
      <c r="T63" s="245"/>
      <c r="U63" s="245"/>
      <c r="V63" s="245"/>
      <c r="W63" s="245"/>
      <c r="X63" s="245"/>
      <c r="Y63" s="245"/>
      <c r="Z63" s="245"/>
      <c r="AA63" s="246"/>
      <c r="AB63" s="245"/>
      <c r="AC63" s="245"/>
      <c r="AD63" s="1175"/>
      <c r="AE63" s="245"/>
      <c r="AF63" s="245"/>
      <c r="AG63" s="245"/>
      <c r="AH63" s="245"/>
      <c r="AI63" s="79"/>
      <c r="AJ63" s="344"/>
    </row>
    <row r="64" spans="1:36" ht="16.5" customHeight="1">
      <c r="A64" s="427" t="s">
        <v>414</v>
      </c>
      <c r="B64" s="427"/>
      <c r="C64" s="245">
        <f>+'Exhibit F'!D59+'Exhibit G'!D42</f>
        <v>1.5</v>
      </c>
      <c r="D64" s="245"/>
      <c r="E64" s="245">
        <f>+'Exhibit F'!F59+'Exhibit G'!F42</f>
        <v>0.99999999999999989</v>
      </c>
      <c r="F64" s="245"/>
      <c r="G64" s="245">
        <f>+'Exhibit F'!H59+'Exhibit G'!H42</f>
        <v>0.79999999999999993</v>
      </c>
      <c r="H64" s="245"/>
      <c r="I64" s="245">
        <f>+'Exhibit F'!J59+'Exhibit G'!J42</f>
        <v>1.0000000000000004</v>
      </c>
      <c r="J64" s="245"/>
      <c r="K64" s="245">
        <f>+'Exhibit F'!L59+'Exhibit G'!L42</f>
        <v>11.2</v>
      </c>
      <c r="L64" s="245"/>
      <c r="M64" s="245">
        <f>+'Exhibit F'!N59+'Exhibit G'!N42</f>
        <v>101.6</v>
      </c>
      <c r="N64" s="245"/>
      <c r="O64" s="245">
        <f>+'Exhibit F'!P59+'Exhibit G'!P42</f>
        <v>30.999999999999993</v>
      </c>
      <c r="P64" s="245"/>
      <c r="Q64" s="245">
        <f>ROUND((+'Exhibit F'!R59+'Exhibit G'!R42),1)</f>
        <v>131.19999999999999</v>
      </c>
      <c r="R64" s="245"/>
      <c r="S64" s="245"/>
      <c r="T64" s="245"/>
      <c r="U64" s="245"/>
      <c r="V64" s="245"/>
      <c r="W64" s="245"/>
      <c r="X64" s="245"/>
      <c r="Y64" s="245"/>
      <c r="Z64" s="245"/>
      <c r="AA64" s="246"/>
      <c r="AB64" s="245">
        <f t="shared" ref="AB64:AB105" si="15">ROUND(SUM(C64:Y64),1)</f>
        <v>279.3</v>
      </c>
      <c r="AC64" s="245"/>
      <c r="AD64" s="1175"/>
      <c r="AE64" s="245">
        <f>+'Exhibit F'!AF59+'Exhibit G'!AG42</f>
        <v>279</v>
      </c>
      <c r="AF64" s="245"/>
      <c r="AG64" s="245"/>
      <c r="AH64" s="245">
        <f t="shared" ref="AH64:AH105" si="16">ROUND(SUM(AB64-AE64),1)</f>
        <v>0.3</v>
      </c>
      <c r="AI64" s="79"/>
      <c r="AJ64" s="477">
        <f>ROUND(IF(AE64=0,0,AH64/ABS(AE64)),3)</f>
        <v>1E-3</v>
      </c>
    </row>
    <row r="65" spans="1:36" ht="16.5" customHeight="1">
      <c r="A65" s="427" t="s">
        <v>415</v>
      </c>
      <c r="B65" s="427"/>
      <c r="C65" s="245">
        <f>+'Exhibit F'!D60+'Exhibit I'!E37</f>
        <v>0.4</v>
      </c>
      <c r="D65" s="245"/>
      <c r="E65" s="245">
        <f>+'Exhibit F'!F60+'Exhibit I'!G37</f>
        <v>4</v>
      </c>
      <c r="F65" s="245"/>
      <c r="G65" s="245">
        <f>+'Exhibit F'!H60+'Exhibit I'!I37</f>
        <v>34.799999999999997</v>
      </c>
      <c r="H65" s="245"/>
      <c r="I65" s="245">
        <f>+'Exhibit F'!J60+'Exhibit I'!K37</f>
        <v>0.90000000000000391</v>
      </c>
      <c r="J65" s="245"/>
      <c r="K65" s="245">
        <f>+'Exhibit F'!L60+'Exhibit I'!M37</f>
        <v>9.9999999999997868E-2</v>
      </c>
      <c r="L65" s="245"/>
      <c r="M65" s="245">
        <f>+'Exhibit F'!N60+'Exhibit I'!O37</f>
        <v>39.900000000000006</v>
      </c>
      <c r="N65" s="245"/>
      <c r="O65" s="245">
        <f>+'Exhibit F'!P60+'Exhibit I'!Q37</f>
        <v>0.5</v>
      </c>
      <c r="P65" s="245"/>
      <c r="Q65" s="245">
        <f>+'Exhibit F'!R60+'Exhibit I'!S37</f>
        <v>0.39999999999999147</v>
      </c>
      <c r="R65" s="245"/>
      <c r="S65" s="245"/>
      <c r="T65" s="245"/>
      <c r="U65" s="245"/>
      <c r="V65" s="245"/>
      <c r="W65" s="245"/>
      <c r="X65" s="245"/>
      <c r="Y65" s="245"/>
      <c r="Z65" s="245"/>
      <c r="AA65" s="246"/>
      <c r="AB65" s="245">
        <f t="shared" si="15"/>
        <v>81</v>
      </c>
      <c r="AC65" s="245"/>
      <c r="AD65" s="1175"/>
      <c r="AE65" s="245">
        <f>+'Exhibit F'!AF60+'Exhibit I'!AI37</f>
        <v>71.7</v>
      </c>
      <c r="AF65" s="245"/>
      <c r="AG65" s="245"/>
      <c r="AH65" s="245">
        <f t="shared" si="16"/>
        <v>9.3000000000000007</v>
      </c>
      <c r="AI65" s="79"/>
      <c r="AJ65" s="1173">
        <f>ROUND(IF(AE65=0,0,AH65/ABS(AE65)),3)</f>
        <v>0.13</v>
      </c>
    </row>
    <row r="66" spans="1:36" ht="16.5" customHeight="1">
      <c r="A66" s="427" t="s">
        <v>416</v>
      </c>
      <c r="B66" s="427"/>
      <c r="C66" s="245"/>
      <c r="D66" s="245"/>
      <c r="E66" s="245"/>
      <c r="F66" s="245"/>
      <c r="G66" s="245"/>
      <c r="H66" s="245"/>
      <c r="I66" s="245"/>
      <c r="J66" s="245"/>
      <c r="K66" s="245"/>
      <c r="L66" s="245"/>
      <c r="M66" s="245"/>
      <c r="N66" s="245"/>
      <c r="O66" s="245"/>
      <c r="P66" s="245"/>
      <c r="Q66" s="245"/>
      <c r="R66" s="245"/>
      <c r="S66" s="245"/>
      <c r="T66" s="245"/>
      <c r="U66" s="245"/>
      <c r="V66" s="245"/>
      <c r="W66" s="245"/>
      <c r="X66" s="245"/>
      <c r="Y66" s="245"/>
      <c r="Z66" s="245"/>
      <c r="AA66" s="246"/>
      <c r="AB66" s="245"/>
      <c r="AC66" s="245"/>
      <c r="AD66" s="1175"/>
      <c r="AE66" s="245"/>
      <c r="AF66" s="245"/>
      <c r="AG66" s="245"/>
      <c r="AH66" s="245"/>
      <c r="AI66" s="79"/>
      <c r="AJ66" s="477"/>
    </row>
    <row r="67" spans="1:36" ht="16.5" customHeight="1">
      <c r="A67" s="427" t="s">
        <v>417</v>
      </c>
      <c r="B67" s="427"/>
      <c r="C67" s="245">
        <f>+'Exhibit F'!D62+'Exhibit G'!D44+'Exhibit I'!E39</f>
        <v>59.5</v>
      </c>
      <c r="D67" s="245"/>
      <c r="E67" s="245">
        <f>+'Exhibit F'!F62+'Exhibit G'!F44+'Exhibit I'!G39</f>
        <v>-23.1</v>
      </c>
      <c r="F67" s="245"/>
      <c r="G67" s="245">
        <f>+'Exhibit F'!H62+'Exhibit G'!H44+'Exhibit I'!I39</f>
        <v>100</v>
      </c>
      <c r="H67" s="245"/>
      <c r="I67" s="245">
        <f>+'Exhibit F'!J62+'Exhibit G'!J44+'Exhibit I'!K39</f>
        <v>95.199999999999989</v>
      </c>
      <c r="J67" s="245"/>
      <c r="K67" s="245">
        <f>+'Exhibit F'!L62+'Exhibit G'!L44+'Exhibit I'!M39</f>
        <v>98.2</v>
      </c>
      <c r="L67" s="245"/>
      <c r="M67" s="245">
        <f>+'Exhibit F'!N62+'Exhibit G'!N44+'Exhibit I'!O39</f>
        <v>104.70000000000002</v>
      </c>
      <c r="N67" s="245"/>
      <c r="O67" s="245">
        <f>+'Exhibit F'!P62+'Exhibit G'!P44+'Exhibit I'!Q39</f>
        <v>89.9</v>
      </c>
      <c r="P67" s="245"/>
      <c r="Q67" s="245">
        <f>+'Exhibit F'!R62+'Exhibit G'!R44+'Exhibit I'!S39</f>
        <v>8.299999999999967</v>
      </c>
      <c r="R67" s="245"/>
      <c r="S67" s="245"/>
      <c r="T67" s="245"/>
      <c r="U67" s="245"/>
      <c r="V67" s="245"/>
      <c r="W67" s="245"/>
      <c r="X67" s="245"/>
      <c r="Y67" s="245"/>
      <c r="Z67" s="245"/>
      <c r="AA67" s="246"/>
      <c r="AB67" s="245">
        <f>ROUND(SUM(C67:Y67),1)</f>
        <v>532.70000000000005</v>
      </c>
      <c r="AC67" s="245"/>
      <c r="AD67" s="1175"/>
      <c r="AE67" s="245">
        <f>+'Exhibit F'!AF62+'Exhibit G'!AG44+'Exhibit I'!AI39</f>
        <v>531.9</v>
      </c>
      <c r="AF67" s="245"/>
      <c r="AG67" s="245"/>
      <c r="AH67" s="245">
        <f t="shared" si="16"/>
        <v>0.8</v>
      </c>
      <c r="AI67" s="79"/>
      <c r="AJ67" s="477">
        <f>ROUND(IF(AE67=0,0,AH67/ABS(AE67)),3)</f>
        <v>2E-3</v>
      </c>
    </row>
    <row r="68" spans="1:36" ht="16.5" customHeight="1">
      <c r="A68" s="427" t="s">
        <v>418</v>
      </c>
      <c r="B68" s="427"/>
      <c r="C68" s="245">
        <f>+'Exhibit F'!D63+'Exhibit G'!D45</f>
        <v>632.29999999999995</v>
      </c>
      <c r="D68" s="245"/>
      <c r="E68" s="245">
        <f>+'Exhibit F'!F63+'Exhibit G'!F45</f>
        <v>621.60000000000014</v>
      </c>
      <c r="F68" s="245"/>
      <c r="G68" s="245">
        <f>+'Exhibit F'!H63+'Exhibit G'!H45</f>
        <v>592.59999999999991</v>
      </c>
      <c r="H68" s="245"/>
      <c r="I68" s="245">
        <f>+'Exhibit F'!J63+'Exhibit G'!J45</f>
        <v>648.09999999999991</v>
      </c>
      <c r="J68" s="245"/>
      <c r="K68" s="245">
        <f>+'Exhibit F'!L63+'Exhibit G'!L45</f>
        <v>655.39999999999964</v>
      </c>
      <c r="L68" s="245"/>
      <c r="M68" s="245">
        <f>+'Exhibit F'!N63+'Exhibit G'!N45</f>
        <v>600.20000000000016</v>
      </c>
      <c r="N68" s="245"/>
      <c r="O68" s="245">
        <f>+'Exhibit F'!P63+'Exhibit G'!P45</f>
        <v>672.70000000000061</v>
      </c>
      <c r="P68" s="245"/>
      <c r="Q68" s="245">
        <f>+'Exhibit F'!R63+'Exhibit G'!R45</f>
        <v>597.79999999999984</v>
      </c>
      <c r="R68" s="245"/>
      <c r="S68" s="245"/>
      <c r="T68" s="245"/>
      <c r="U68" s="245"/>
      <c r="V68" s="245"/>
      <c r="W68" s="245"/>
      <c r="X68" s="245"/>
      <c r="Y68" s="245"/>
      <c r="Z68" s="245"/>
      <c r="AA68" s="246"/>
      <c r="AB68" s="245">
        <f t="shared" si="15"/>
        <v>5020.7</v>
      </c>
      <c r="AC68" s="245"/>
      <c r="AD68" s="1175"/>
      <c r="AE68" s="245">
        <f>+'Exhibit F'!AF63+'Exhibit G'!AG45+'Exhibit H'!AD33</f>
        <v>4403.1999999999989</v>
      </c>
      <c r="AF68" s="245"/>
      <c r="AG68" s="245"/>
      <c r="AH68" s="245">
        <f t="shared" si="16"/>
        <v>617.5</v>
      </c>
      <c r="AI68" s="79"/>
      <c r="AJ68" s="477">
        <f>ROUND(IF(AE68=0,0,AH68/ABS(AE68)),3)</f>
        <v>0.14000000000000001</v>
      </c>
    </row>
    <row r="69" spans="1:36" ht="16.5" customHeight="1">
      <c r="A69" s="427" t="s">
        <v>419</v>
      </c>
      <c r="B69" s="427"/>
      <c r="C69" s="245">
        <f>+'Exhibit F'!D64+'Exhibit G'!D46</f>
        <v>0.7</v>
      </c>
      <c r="D69" s="245"/>
      <c r="E69" s="245">
        <f>+'Exhibit F'!F64+'Exhibit G'!F46</f>
        <v>0</v>
      </c>
      <c r="F69" s="245"/>
      <c r="G69" s="245">
        <f>+'Exhibit F'!H64+'Exhibit G'!H46</f>
        <v>0.7</v>
      </c>
      <c r="H69" s="245"/>
      <c r="I69" s="245">
        <f>+'Exhibit F'!J64+'Exhibit G'!J46</f>
        <v>0</v>
      </c>
      <c r="J69" s="245"/>
      <c r="K69" s="245">
        <f>+'Exhibit F'!L64+'Exhibit G'!L46</f>
        <v>0.20000000000000018</v>
      </c>
      <c r="L69" s="245"/>
      <c r="M69" s="245">
        <f>+'Exhibit F'!N64+'Exhibit G'!N46</f>
        <v>61.199999999999989</v>
      </c>
      <c r="N69" s="245"/>
      <c r="O69" s="245">
        <f>+'Exhibit F'!P64+'Exhibit G'!P46</f>
        <v>0.5</v>
      </c>
      <c r="P69" s="245"/>
      <c r="Q69" s="245">
        <f>+'Exhibit F'!R64+'Exhibit G'!R46</f>
        <v>-31.899999999999988</v>
      </c>
      <c r="R69" s="245"/>
      <c r="S69" s="245"/>
      <c r="T69" s="245"/>
      <c r="U69" s="245"/>
      <c r="V69" s="245"/>
      <c r="W69" s="245"/>
      <c r="X69" s="245"/>
      <c r="Y69" s="245"/>
      <c r="Z69" s="245"/>
      <c r="AA69" s="246"/>
      <c r="AB69" s="245">
        <f t="shared" si="15"/>
        <v>31.4</v>
      </c>
      <c r="AC69" s="245"/>
      <c r="AD69" s="1175"/>
      <c r="AE69" s="245">
        <f>+'Exhibit F'!AF64+'Exhibit G'!AG46</f>
        <v>64.2</v>
      </c>
      <c r="AF69" s="245"/>
      <c r="AG69" s="245"/>
      <c r="AH69" s="245">
        <f t="shared" si="16"/>
        <v>-32.799999999999997</v>
      </c>
      <c r="AI69" s="79"/>
      <c r="AJ69" s="1173">
        <f>ROUND(IF(AE69=0,0,AH69/ABS(AE69)),3)</f>
        <v>-0.51100000000000001</v>
      </c>
    </row>
    <row r="70" spans="1:36" ht="16.5" customHeight="1">
      <c r="A70" s="427" t="s">
        <v>420</v>
      </c>
      <c r="B70" s="427"/>
      <c r="C70" s="245">
        <f>+'Exhibit F'!D65+'Exhibit G'!D47</f>
        <v>0</v>
      </c>
      <c r="D70" s="245"/>
      <c r="E70" s="245">
        <f>+'Exhibit F'!F65+'Exhibit G'!F47</f>
        <v>0.2</v>
      </c>
      <c r="F70" s="245"/>
      <c r="G70" s="245">
        <f>+'Exhibit F'!H65+'Exhibit G'!H47</f>
        <v>0</v>
      </c>
      <c r="H70" s="245"/>
      <c r="I70" s="245">
        <f>+'Exhibit F'!J65+'Exhibit G'!J47</f>
        <v>0</v>
      </c>
      <c r="J70" s="245"/>
      <c r="K70" s="245">
        <f>+'Exhibit F'!L65+'Exhibit G'!L47</f>
        <v>0.1</v>
      </c>
      <c r="L70" s="245"/>
      <c r="M70" s="245">
        <f>+'Exhibit F'!N65+'Exhibit G'!N47</f>
        <v>0.1</v>
      </c>
      <c r="N70" s="245"/>
      <c r="O70" s="245">
        <f>+'Exhibit F'!P65+'Exhibit G'!P47</f>
        <v>0</v>
      </c>
      <c r="P70" s="245"/>
      <c r="Q70" s="245">
        <f>+'Exhibit F'!R65+'Exhibit G'!R47</f>
        <v>9.9999999999999978E-2</v>
      </c>
      <c r="R70" s="245"/>
      <c r="S70" s="245"/>
      <c r="T70" s="245"/>
      <c r="U70" s="245"/>
      <c r="V70" s="245"/>
      <c r="W70" s="245"/>
      <c r="X70" s="245"/>
      <c r="Y70" s="245"/>
      <c r="Z70" s="245"/>
      <c r="AA70" s="246"/>
      <c r="AB70" s="245">
        <f t="shared" si="15"/>
        <v>0.5</v>
      </c>
      <c r="AC70" s="245"/>
      <c r="AD70" s="1175"/>
      <c r="AE70" s="245">
        <f>+'Exhibit F'!AF65+'Exhibit G'!AG47</f>
        <v>0.5</v>
      </c>
      <c r="AF70" s="245"/>
      <c r="AG70" s="245"/>
      <c r="AH70" s="245">
        <f t="shared" si="16"/>
        <v>0</v>
      </c>
      <c r="AI70" s="79"/>
      <c r="AJ70" s="327">
        <f>ROUND(IF(AE70=0,1,AH70/ABS(AE70)),3)</f>
        <v>0</v>
      </c>
    </row>
    <row r="71" spans="1:36" ht="16.5" customHeight="1">
      <c r="A71" s="427" t="s">
        <v>421</v>
      </c>
      <c r="B71" s="427"/>
      <c r="C71" s="245"/>
      <c r="D71" s="245"/>
      <c r="E71" s="245"/>
      <c r="F71" s="245"/>
      <c r="G71" s="245"/>
      <c r="H71" s="245"/>
      <c r="I71" s="245"/>
      <c r="J71" s="245"/>
      <c r="K71" s="245"/>
      <c r="L71" s="245"/>
      <c r="M71" s="245"/>
      <c r="N71" s="245"/>
      <c r="O71" s="245"/>
      <c r="P71" s="245"/>
      <c r="Q71" s="245"/>
      <c r="R71" s="245"/>
      <c r="S71" s="245"/>
      <c r="T71" s="245"/>
      <c r="U71" s="245"/>
      <c r="V71" s="245"/>
      <c r="W71" s="245"/>
      <c r="X71" s="245"/>
      <c r="Y71" s="245"/>
      <c r="Z71" s="245"/>
      <c r="AA71" s="246"/>
      <c r="AB71" s="245"/>
      <c r="AC71" s="245"/>
      <c r="AD71" s="1175"/>
      <c r="AE71" s="245"/>
      <c r="AF71" s="245"/>
      <c r="AG71" s="245"/>
      <c r="AH71" s="245"/>
      <c r="AI71" s="79"/>
      <c r="AJ71" s="327"/>
    </row>
    <row r="72" spans="1:36" ht="16.5" customHeight="1">
      <c r="A72" s="427" t="s">
        <v>422</v>
      </c>
      <c r="B72" s="427"/>
      <c r="C72" s="245">
        <f>+'Exhibit F'!D67+'Exhibit H'!B35</f>
        <v>5.9</v>
      </c>
      <c r="D72" s="245"/>
      <c r="E72" s="245">
        <f>+'Exhibit F'!F67+'Exhibit H'!D35</f>
        <v>6.6999999999999993</v>
      </c>
      <c r="F72" s="245"/>
      <c r="G72" s="245">
        <f>+'Exhibit F'!H67+'Exhibit H'!F35</f>
        <v>5.2000000000000011</v>
      </c>
      <c r="H72" s="245"/>
      <c r="I72" s="245">
        <f>+'Exhibit F'!J67+'Exhibit H'!H35</f>
        <v>4.8999999999999968</v>
      </c>
      <c r="J72" s="245"/>
      <c r="K72" s="245">
        <f>+'Exhibit F'!L67+'Exhibit H'!J35</f>
        <v>6.1000000000000014</v>
      </c>
      <c r="L72" s="245"/>
      <c r="M72" s="245">
        <f>+'Exhibit F'!N67+'Exhibit H'!L35</f>
        <v>4.7000000000000028</v>
      </c>
      <c r="N72" s="245"/>
      <c r="O72" s="245">
        <f>+'Exhibit F'!P67+'Exhibit H'!N35</f>
        <v>5.2000000000000028</v>
      </c>
      <c r="P72" s="245"/>
      <c r="Q72" s="245">
        <f>+'Exhibit F'!R67+'Exhibit H'!P35</f>
        <v>3.5999999999999943</v>
      </c>
      <c r="R72" s="245"/>
      <c r="S72" s="245"/>
      <c r="T72" s="245"/>
      <c r="U72" s="245"/>
      <c r="V72" s="245"/>
      <c r="W72" s="245"/>
      <c r="X72" s="245"/>
      <c r="Y72" s="245"/>
      <c r="Z72" s="245"/>
      <c r="AA72" s="246"/>
      <c r="AB72" s="245">
        <f t="shared" si="15"/>
        <v>42.3</v>
      </c>
      <c r="AC72" s="245"/>
      <c r="AD72" s="1175"/>
      <c r="AE72" s="245">
        <f>+'Exhibit F'!AF67+'Exhibit H'!AD35</f>
        <v>47</v>
      </c>
      <c r="AF72" s="245"/>
      <c r="AG72" s="245"/>
      <c r="AH72" s="245">
        <f t="shared" si="16"/>
        <v>-4.7</v>
      </c>
      <c r="AI72" s="79"/>
      <c r="AJ72" s="327">
        <f t="shared" ref="AJ72:AJ79" si="17">ROUND(IF(AE72=0,0,AH72/ABS(AE72)),3)</f>
        <v>-0.1</v>
      </c>
    </row>
    <row r="73" spans="1:36" ht="16.5" customHeight="1">
      <c r="A73" s="427" t="s">
        <v>423</v>
      </c>
      <c r="B73" s="427"/>
      <c r="C73" s="245">
        <f>'Exhibit G'!D49</f>
        <v>0.1</v>
      </c>
      <c r="D73" s="245"/>
      <c r="E73" s="245">
        <f>'Exhibit G'!F49</f>
        <v>0.19999999999999998</v>
      </c>
      <c r="F73" s="245"/>
      <c r="G73" s="245">
        <f>'Exhibit G'!H49</f>
        <v>1.9999999999999998</v>
      </c>
      <c r="H73" s="245"/>
      <c r="I73" s="245">
        <f>'Exhibit G'!J49</f>
        <v>9.9999999999999867E-2</v>
      </c>
      <c r="J73" s="245"/>
      <c r="K73" s="245">
        <f>'Exhibit G'!L49</f>
        <v>0.10000000000000009</v>
      </c>
      <c r="L73" s="245"/>
      <c r="M73" s="245">
        <f>'Exhibit G'!N49</f>
        <v>0</v>
      </c>
      <c r="N73" s="245"/>
      <c r="O73" s="245">
        <f>'Exhibit G'!P49</f>
        <v>0.10000000000000009</v>
      </c>
      <c r="P73" s="245"/>
      <c r="Q73" s="245">
        <f>'Exhibit G'!R49</f>
        <v>0</v>
      </c>
      <c r="R73" s="245"/>
      <c r="S73" s="245"/>
      <c r="T73" s="245"/>
      <c r="U73" s="245"/>
      <c r="V73" s="245"/>
      <c r="W73" s="245"/>
      <c r="X73" s="245"/>
      <c r="Y73" s="245"/>
      <c r="Z73" s="245"/>
      <c r="AA73" s="495"/>
      <c r="AB73" s="245">
        <f t="shared" si="15"/>
        <v>2.6</v>
      </c>
      <c r="AC73" s="245"/>
      <c r="AD73" s="1175"/>
      <c r="AE73" s="245">
        <f>'Exhibit G'!AG49</f>
        <v>2.2999999999999998</v>
      </c>
      <c r="AF73" s="245"/>
      <c r="AG73" s="245"/>
      <c r="AH73" s="245">
        <f>ROUND(SUM(AB73-AE73),1)</f>
        <v>0.3</v>
      </c>
      <c r="AI73" s="79"/>
      <c r="AJ73" s="327">
        <f>ROUND(IF(AE73=0,1,AH73/ABS(AE73)),3)</f>
        <v>0.13</v>
      </c>
    </row>
    <row r="74" spans="1:36" ht="16.5" customHeight="1">
      <c r="A74" s="427" t="s">
        <v>424</v>
      </c>
      <c r="B74" s="427"/>
      <c r="C74" s="245">
        <f>+'Exhibit F'!D69+'Exhibit G'!D50+'Exhibit I'!E41+'Exhibit H'!B36</f>
        <v>49.999999999999993</v>
      </c>
      <c r="D74" s="245"/>
      <c r="E74" s="245">
        <f>+'Exhibit F'!F69+'Exhibit G'!F50+'Exhibit I'!G41+'Exhibit H'!D36</f>
        <v>55.300000000000011</v>
      </c>
      <c r="F74" s="245"/>
      <c r="G74" s="245">
        <f>+'Exhibit F'!H69+'Exhibit G'!H50+'Exhibit I'!I41+'Exhibit H'!F36</f>
        <v>121.49999999999999</v>
      </c>
      <c r="H74" s="245"/>
      <c r="I74" s="245">
        <f>+'Exhibit F'!J69+'Exhibit G'!J50+'Exhibit I'!K41+'Exhibit H'!H36</f>
        <v>49.100000000000016</v>
      </c>
      <c r="J74" s="245"/>
      <c r="K74" s="245">
        <f>+'Exhibit F'!L69+'Exhibit G'!L50+'Exhibit I'!M41+'Exhibit H'!J36</f>
        <v>71.59999999999998</v>
      </c>
      <c r="L74" s="245"/>
      <c r="M74" s="245">
        <f>+'Exhibit F'!N69+'Exhibit G'!N50+'Exhibit I'!O41+'Exhibit H'!L36</f>
        <v>113.40000000000005</v>
      </c>
      <c r="N74" s="245"/>
      <c r="O74" s="245">
        <f>+'Exhibit F'!P69+'Exhibit G'!P50+'Exhibit I'!Q41+'Exhibit H'!N36</f>
        <v>80.899999999999991</v>
      </c>
      <c r="P74" s="245"/>
      <c r="Q74" s="245">
        <f>+'Exhibit F'!R69+'Exhibit G'!R50+'Exhibit I'!S41+'Exhibit H'!P36</f>
        <v>58.6</v>
      </c>
      <c r="R74" s="245"/>
      <c r="S74" s="245"/>
      <c r="T74" s="245"/>
      <c r="U74" s="245"/>
      <c r="V74" s="245"/>
      <c r="W74" s="245"/>
      <c r="X74" s="245"/>
      <c r="Y74" s="245"/>
      <c r="Z74" s="245"/>
      <c r="AA74" s="246"/>
      <c r="AB74" s="245">
        <f t="shared" si="15"/>
        <v>600.4</v>
      </c>
      <c r="AC74" s="245"/>
      <c r="AD74" s="1175"/>
      <c r="AE74" s="325">
        <f>+'Exhibit F'!AF69+'Exhibit G'!AG50+'Exhibit I'!AI41+'Exhibit H'!AD36</f>
        <v>600.79999999999995</v>
      </c>
      <c r="AF74" s="245"/>
      <c r="AG74" s="245"/>
      <c r="AH74" s="245">
        <f>ROUND(SUM(AB74-AE74),1)</f>
        <v>-0.4</v>
      </c>
      <c r="AI74" s="79"/>
      <c r="AJ74" s="327">
        <f>ROUND(IF(AE74=0,1,AH74/ABS(AE74)),3)</f>
        <v>-1E-3</v>
      </c>
    </row>
    <row r="75" spans="1:36" ht="16.5" customHeight="1">
      <c r="A75" s="427" t="s">
        <v>425</v>
      </c>
      <c r="B75" s="427"/>
      <c r="C75" s="245">
        <f>+'Exhibit F'!D70+'Exhibit G'!D51+'Exhibit H'!B37</f>
        <v>22.5</v>
      </c>
      <c r="D75" s="245"/>
      <c r="E75" s="245">
        <f>+'Exhibit F'!F70+'Exhibit G'!F51+'Exhibit H'!D37</f>
        <v>11.2</v>
      </c>
      <c r="F75" s="245"/>
      <c r="G75" s="245">
        <f>+'Exhibit F'!H70+'Exhibit G'!H51+'Exhibit H'!F37</f>
        <v>11.500000000000004</v>
      </c>
      <c r="H75" s="245"/>
      <c r="I75" s="245">
        <f>+'Exhibit F'!J70+'Exhibit G'!J51+'Exhibit H'!H37</f>
        <v>25.4</v>
      </c>
      <c r="J75" s="245"/>
      <c r="K75" s="245">
        <f>+'Exhibit F'!L70+'Exhibit G'!L51+'Exhibit H'!J37</f>
        <v>39.799999999999997</v>
      </c>
      <c r="L75" s="245"/>
      <c r="M75" s="245">
        <f>+'Exhibit F'!N70+'Exhibit G'!N51+'Exhibit H'!L37</f>
        <v>28.4</v>
      </c>
      <c r="N75" s="245"/>
      <c r="O75" s="245">
        <f>+'Exhibit F'!P70+'Exhibit G'!P51+'Exhibit H'!N37</f>
        <v>18.799999999999994</v>
      </c>
      <c r="P75" s="245"/>
      <c r="Q75" s="245">
        <f>+'Exhibit F'!R70+'Exhibit G'!R51+'Exhibit H'!P37</f>
        <v>27.200000000000021</v>
      </c>
      <c r="R75" s="245"/>
      <c r="S75" s="245"/>
      <c r="T75" s="245"/>
      <c r="U75" s="245"/>
      <c r="V75" s="245"/>
      <c r="W75" s="245"/>
      <c r="X75" s="245"/>
      <c r="Y75" s="245"/>
      <c r="Z75" s="245"/>
      <c r="AA75" s="246"/>
      <c r="AB75" s="245">
        <f t="shared" si="15"/>
        <v>184.8</v>
      </c>
      <c r="AC75" s="245"/>
      <c r="AD75" s="1175"/>
      <c r="AE75" s="245">
        <f>+'Exhibit F'!AF70+'Exhibit G'!AG51+'Exhibit H'!AD37+'Exhibit I'!AI42</f>
        <v>165.4</v>
      </c>
      <c r="AF75" s="245"/>
      <c r="AG75" s="245"/>
      <c r="AH75" s="245">
        <f t="shared" si="16"/>
        <v>19.399999999999999</v>
      </c>
      <c r="AI75" s="79"/>
      <c r="AJ75" s="327">
        <f t="shared" si="17"/>
        <v>0.11700000000000001</v>
      </c>
    </row>
    <row r="76" spans="1:36" ht="16.5" customHeight="1">
      <c r="A76" s="427" t="s">
        <v>426</v>
      </c>
      <c r="B76" s="427"/>
      <c r="C76" s="245">
        <f>+'Exhibit F'!D71+'Exhibit G'!D52+'Exhibit H'!B38</f>
        <v>0.4</v>
      </c>
      <c r="D76" s="245"/>
      <c r="E76" s="245">
        <f>+'Exhibit F'!F71+'Exhibit G'!F52+'Exhibit H'!D38</f>
        <v>0.39999999999999997</v>
      </c>
      <c r="F76" s="245"/>
      <c r="G76" s="245">
        <f>+'Exhibit F'!H71+'Exhibit G'!H52+'Exhibit H'!F38</f>
        <v>0.4</v>
      </c>
      <c r="H76" s="245"/>
      <c r="I76" s="245">
        <f>+'Exhibit F'!J71+'Exhibit G'!J52+'Exhibit H'!H38</f>
        <v>0.49999999999999994</v>
      </c>
      <c r="J76" s="245"/>
      <c r="K76" s="245">
        <f>+'Exhibit F'!L71+'Exhibit G'!L52+'Exhibit H'!J38</f>
        <v>1.2000000000000002</v>
      </c>
      <c r="L76" s="245"/>
      <c r="M76" s="245">
        <f>+'Exhibit F'!N71+'Exhibit G'!N52+'Exhibit H'!L38</f>
        <v>0.80000000000000038</v>
      </c>
      <c r="N76" s="245"/>
      <c r="O76" s="245">
        <f>+'Exhibit F'!P71+'Exhibit G'!P52+'Exhibit H'!N38</f>
        <v>0.29999999999999971</v>
      </c>
      <c r="P76" s="245"/>
      <c r="Q76" s="245">
        <f>+'Exhibit F'!R71+'Exhibit G'!R52+'Exhibit H'!P38</f>
        <v>0.70000000000000018</v>
      </c>
      <c r="R76" s="245"/>
      <c r="S76" s="245"/>
      <c r="T76" s="245"/>
      <c r="U76" s="245"/>
      <c r="V76" s="245"/>
      <c r="W76" s="245"/>
      <c r="X76" s="245"/>
      <c r="Y76" s="245"/>
      <c r="Z76" s="245"/>
      <c r="AA76" s="246"/>
      <c r="AB76" s="245">
        <f t="shared" si="15"/>
        <v>4.7</v>
      </c>
      <c r="AC76" s="245"/>
      <c r="AD76" s="1175"/>
      <c r="AE76" s="245">
        <f>+'Exhibit F'!AF71+'Exhibit G'!AG52+'Exhibit H'!AD38</f>
        <v>4.1000000000000005</v>
      </c>
      <c r="AF76" s="245"/>
      <c r="AG76" s="245"/>
      <c r="AH76" s="245">
        <f t="shared" si="16"/>
        <v>0.6</v>
      </c>
      <c r="AI76" s="79"/>
      <c r="AJ76" s="327">
        <f>ROUND(IF(AE76=0,0,AH76/ABS(AE76)),3)</f>
        <v>0.14599999999999999</v>
      </c>
    </row>
    <row r="77" spans="1:36" ht="16.5" customHeight="1">
      <c r="A77" s="427" t="s">
        <v>427</v>
      </c>
      <c r="B77" s="427"/>
      <c r="C77" s="245">
        <f>+'Exhibit F'!D72+'Exhibit G'!D53+'Exhibit I'!E43+'Exhibit H'!B39</f>
        <v>116.3</v>
      </c>
      <c r="D77" s="245"/>
      <c r="E77" s="245">
        <f>+'Exhibit F'!F72+'Exhibit G'!F53+'Exhibit I'!G43+'Exhibit H'!D39</f>
        <v>143.4</v>
      </c>
      <c r="F77" s="245"/>
      <c r="G77" s="245">
        <f>+'Exhibit F'!H72+'Exhibit G'!H53+'Exhibit I'!I43+'Exhibit H'!F39</f>
        <v>106.9</v>
      </c>
      <c r="H77" s="245"/>
      <c r="I77" s="245">
        <f>+'Exhibit F'!J72+'Exhibit G'!J53+'Exhibit I'!K43+'Exhibit H'!H39</f>
        <v>84.499999999999972</v>
      </c>
      <c r="J77" s="245"/>
      <c r="K77" s="245">
        <f>+'Exhibit F'!L72+'Exhibit G'!L53+'Exhibit I'!M43+'Exhibit H'!J39</f>
        <v>118.60000000000002</v>
      </c>
      <c r="L77" s="245"/>
      <c r="M77" s="245">
        <f>+'Exhibit F'!N72+'Exhibit G'!N53+'Exhibit I'!O43+'Exhibit H'!L39</f>
        <v>72.399999999999963</v>
      </c>
      <c r="N77" s="245"/>
      <c r="O77" s="245">
        <f>+'Exhibit F'!P72+'Exhibit G'!P53+'Exhibit I'!Q43+'Exhibit H'!N39</f>
        <v>97.699999999999989</v>
      </c>
      <c r="P77" s="245"/>
      <c r="Q77" s="245">
        <f>+'Exhibit F'!R72+'Exhibit G'!R53+'Exhibit I'!S43+'Exhibit H'!P39</f>
        <v>105.1</v>
      </c>
      <c r="R77" s="245"/>
      <c r="S77" s="245"/>
      <c r="T77" s="245"/>
      <c r="U77" s="245"/>
      <c r="V77" s="245"/>
      <c r="W77" s="245"/>
      <c r="X77" s="245"/>
      <c r="Y77" s="245"/>
      <c r="Z77" s="245"/>
      <c r="AA77" s="246"/>
      <c r="AB77" s="245">
        <f t="shared" si="15"/>
        <v>844.9</v>
      </c>
      <c r="AC77" s="245"/>
      <c r="AD77" s="1175"/>
      <c r="AE77" s="245">
        <f>+'Exhibit F'!AF72+'Exhibit G'!AG53+'Exhibit I'!AI43+'Exhibit H'!AD39</f>
        <v>805.1</v>
      </c>
      <c r="AF77" s="245"/>
      <c r="AG77" s="245"/>
      <c r="AH77" s="245">
        <f t="shared" si="16"/>
        <v>39.799999999999997</v>
      </c>
      <c r="AI77" s="79"/>
      <c r="AJ77" s="327">
        <f t="shared" si="17"/>
        <v>4.9000000000000002E-2</v>
      </c>
    </row>
    <row r="78" spans="1:36" ht="16.5" customHeight="1">
      <c r="A78" s="427" t="s">
        <v>428</v>
      </c>
      <c r="B78" s="427"/>
      <c r="C78" s="245">
        <f>+'Exhibit F'!D73+'Exhibit G'!D54+'Exhibit I'!E44+'Exhibit H'!B40</f>
        <v>74.7</v>
      </c>
      <c r="D78" s="245"/>
      <c r="E78" s="245">
        <f>+'Exhibit F'!F73+'Exhibit G'!F54+'Exhibit I'!G44+'Exhibit H'!D40</f>
        <v>39.1</v>
      </c>
      <c r="F78" s="245"/>
      <c r="G78" s="245">
        <f>+'Exhibit F'!H73+'Exhibit G'!H54+'Exhibit I'!I44+'Exhibit H'!F40</f>
        <v>60.100000000000009</v>
      </c>
      <c r="H78" s="245"/>
      <c r="I78" s="245">
        <f>+'Exhibit F'!J73+'Exhibit G'!J54+'Exhibit I'!K44+'Exhibit H'!H40</f>
        <v>76.899999999999963</v>
      </c>
      <c r="J78" s="245"/>
      <c r="K78" s="245">
        <f>+'Exhibit F'!L73+'Exhibit G'!L54+'Exhibit I'!M44+'Exhibit H'!J40</f>
        <v>142.19999999999999</v>
      </c>
      <c r="L78" s="245"/>
      <c r="M78" s="245">
        <f>+'Exhibit F'!N73+'Exhibit G'!N54+'Exhibit I'!O44+'Exhibit H'!L40</f>
        <v>160.80000000000004</v>
      </c>
      <c r="N78" s="245"/>
      <c r="O78" s="245">
        <f>+'Exhibit F'!P73+'Exhibit G'!P54+'Exhibit I'!Q44+'Exhibit H'!N40</f>
        <v>110.50000000000009</v>
      </c>
      <c r="P78" s="245"/>
      <c r="Q78" s="245">
        <f>+'Exhibit F'!R73+'Exhibit G'!R54+'Exhibit I'!S44+'Exhibit H'!P40</f>
        <v>79.299999999999983</v>
      </c>
      <c r="R78" s="245"/>
      <c r="S78" s="245"/>
      <c r="T78" s="245"/>
      <c r="U78" s="245"/>
      <c r="V78" s="245"/>
      <c r="W78" s="245"/>
      <c r="X78" s="245"/>
      <c r="Y78" s="245"/>
      <c r="Z78" s="245"/>
      <c r="AA78" s="246"/>
      <c r="AB78" s="245">
        <f t="shared" si="15"/>
        <v>743.6</v>
      </c>
      <c r="AC78" s="245"/>
      <c r="AD78" s="1175"/>
      <c r="AE78" s="245">
        <f>+'Exhibit F'!AF73+'Exhibit G'!AG54+'Exhibit I'!AI44+'Exhibit H'!AD40</f>
        <v>736.7</v>
      </c>
      <c r="AF78" s="245"/>
      <c r="AG78" s="245"/>
      <c r="AH78" s="245">
        <f t="shared" si="16"/>
        <v>6.9</v>
      </c>
      <c r="AI78" s="79"/>
      <c r="AJ78" s="327">
        <f t="shared" si="17"/>
        <v>8.9999999999999993E-3</v>
      </c>
    </row>
    <row r="79" spans="1:36" ht="16.5" customHeight="1">
      <c r="A79" s="427" t="s">
        <v>429</v>
      </c>
      <c r="B79" s="427"/>
      <c r="C79" s="245">
        <f>+'Exhibit F'!D74+'Exhibit G'!D55+'Exhibit I'!E45</f>
        <v>43</v>
      </c>
      <c r="D79" s="245"/>
      <c r="E79" s="245">
        <f>+'Exhibit F'!F74+'Exhibit G'!F55+'Exhibit I'!G45</f>
        <v>30.299999999999997</v>
      </c>
      <c r="F79" s="245"/>
      <c r="G79" s="245">
        <f>+'Exhibit F'!H74+'Exhibit G'!H55+'Exhibit I'!I45</f>
        <v>35.699999999999996</v>
      </c>
      <c r="H79" s="245"/>
      <c r="I79" s="245">
        <f>+'Exhibit F'!J74+'Exhibit G'!J55+'Exhibit I'!K45</f>
        <v>35.000000000000007</v>
      </c>
      <c r="J79" s="245"/>
      <c r="K79" s="245">
        <f>+'Exhibit F'!L74+'Exhibit G'!L55+'Exhibit I'!M45</f>
        <v>49.7</v>
      </c>
      <c r="L79" s="245"/>
      <c r="M79" s="245">
        <f>+'Exhibit F'!N74+'Exhibit G'!N55+'Exhibit I'!O45</f>
        <v>36.300000000000011</v>
      </c>
      <c r="N79" s="245"/>
      <c r="O79" s="245">
        <f>+'Exhibit F'!P74+'Exhibit G'!P55+'Exhibit I'!Q45</f>
        <v>51.399999999999991</v>
      </c>
      <c r="P79" s="245"/>
      <c r="Q79" s="245">
        <f>+'Exhibit F'!R74+'Exhibit G'!R55+'Exhibit I'!S45</f>
        <v>71.700000000000031</v>
      </c>
      <c r="R79" s="245"/>
      <c r="S79" s="245"/>
      <c r="T79" s="245"/>
      <c r="U79" s="245"/>
      <c r="V79" s="245"/>
      <c r="W79" s="245"/>
      <c r="X79" s="245"/>
      <c r="Y79" s="245"/>
      <c r="Z79" s="245"/>
      <c r="AA79" s="246"/>
      <c r="AB79" s="245">
        <f t="shared" si="15"/>
        <v>353.1</v>
      </c>
      <c r="AC79" s="245"/>
      <c r="AD79" s="1175"/>
      <c r="AE79" s="245">
        <f>+'Exhibit F'!AF74+'Exhibit G'!AG55+'Exhibit I'!AI45</f>
        <v>306.20000000000005</v>
      </c>
      <c r="AF79" s="245"/>
      <c r="AG79" s="245"/>
      <c r="AH79" s="245">
        <f t="shared" si="16"/>
        <v>46.9</v>
      </c>
      <c r="AI79" s="79"/>
      <c r="AJ79" s="327">
        <f t="shared" si="17"/>
        <v>0.153</v>
      </c>
    </row>
    <row r="80" spans="1:36" ht="16.5" customHeight="1">
      <c r="A80" s="427" t="s">
        <v>430</v>
      </c>
      <c r="B80" s="427"/>
      <c r="C80" s="245"/>
      <c r="D80" s="245"/>
      <c r="E80" s="245"/>
      <c r="F80" s="245"/>
      <c r="G80" s="245"/>
      <c r="H80" s="245"/>
      <c r="I80" s="245"/>
      <c r="J80" s="245"/>
      <c r="K80" s="245"/>
      <c r="L80" s="245"/>
      <c r="M80" s="245"/>
      <c r="N80" s="245"/>
      <c r="O80" s="245"/>
      <c r="P80" s="245"/>
      <c r="Q80" s="245"/>
      <c r="R80" s="245"/>
      <c r="S80" s="245"/>
      <c r="T80" s="245"/>
      <c r="U80" s="245"/>
      <c r="V80" s="245"/>
      <c r="W80" s="245"/>
      <c r="X80" s="245"/>
      <c r="Y80" s="245"/>
      <c r="Z80" s="245"/>
      <c r="AA80" s="246"/>
      <c r="AB80" s="245"/>
      <c r="AC80" s="245"/>
      <c r="AD80" s="1175"/>
      <c r="AE80" s="245"/>
      <c r="AF80" s="245"/>
      <c r="AG80" s="245"/>
      <c r="AH80" s="245"/>
      <c r="AI80" s="79"/>
      <c r="AJ80" s="327"/>
    </row>
    <row r="81" spans="1:37" ht="16.5" customHeight="1">
      <c r="A81" s="427" t="s">
        <v>431</v>
      </c>
      <c r="B81" s="427"/>
      <c r="C81" s="245">
        <f>+'Exhibit G'!D57</f>
        <v>41.6</v>
      </c>
      <c r="D81" s="245"/>
      <c r="E81" s="245">
        <f>+'Exhibit G'!F57</f>
        <v>15</v>
      </c>
      <c r="F81" s="245"/>
      <c r="G81" s="245">
        <f>+'Exhibit G'!H57</f>
        <v>45.4</v>
      </c>
      <c r="H81" s="245"/>
      <c r="I81" s="245">
        <f>+'Exhibit G'!J57</f>
        <v>36.79999999999999</v>
      </c>
      <c r="J81" s="245"/>
      <c r="K81" s="245">
        <f>+'Exhibit G'!L57</f>
        <v>17.000000000000028</v>
      </c>
      <c r="L81" s="245"/>
      <c r="M81" s="245">
        <f>+'Exhibit G'!N57</f>
        <v>44.699999999999982</v>
      </c>
      <c r="N81" s="245"/>
      <c r="O81" s="245">
        <f>+'Exhibit G'!P57</f>
        <v>36.400000000000041</v>
      </c>
      <c r="P81" s="245"/>
      <c r="Q81" s="245">
        <f>+'Exhibit G'!R57</f>
        <v>20.300000000000011</v>
      </c>
      <c r="R81" s="245"/>
      <c r="S81" s="245"/>
      <c r="T81" s="245"/>
      <c r="U81" s="245"/>
      <c r="V81" s="245"/>
      <c r="W81" s="245"/>
      <c r="X81" s="245"/>
      <c r="Y81" s="245"/>
      <c r="Z81" s="245"/>
      <c r="AA81" s="246"/>
      <c r="AB81" s="245">
        <f t="shared" ref="AB81:AB86" si="18">ROUND(SUM(C81:Y81),1)</f>
        <v>257.2</v>
      </c>
      <c r="AC81" s="245"/>
      <c r="AD81" s="1175"/>
      <c r="AE81" s="245">
        <f>+'Exhibit G'!AG57</f>
        <v>245</v>
      </c>
      <c r="AF81" s="245"/>
      <c r="AG81" s="245"/>
      <c r="AH81" s="245">
        <f t="shared" ref="AH81:AH86" si="19">ROUND(SUM(AB81-AE81),1)</f>
        <v>12.2</v>
      </c>
      <c r="AI81" s="79"/>
      <c r="AJ81" s="670">
        <f>ROUND(IF(AE81=0,1,AH81/ABS(AE81)),3)</f>
        <v>0.05</v>
      </c>
    </row>
    <row r="82" spans="1:37" ht="16.5" customHeight="1">
      <c r="A82" s="427" t="s">
        <v>432</v>
      </c>
      <c r="B82" s="427"/>
      <c r="C82" s="245">
        <f>+'Exhibit G'!D58</f>
        <v>185</v>
      </c>
      <c r="D82" s="245"/>
      <c r="E82" s="245">
        <f>+'Exhibit G'!F58</f>
        <v>223.7</v>
      </c>
      <c r="F82" s="245"/>
      <c r="G82" s="245">
        <f>+'Exhibit G'!H58</f>
        <v>184.09999999999997</v>
      </c>
      <c r="H82" s="245"/>
      <c r="I82" s="245">
        <f>+'Exhibit G'!J58</f>
        <v>213.10000000000002</v>
      </c>
      <c r="J82" s="245"/>
      <c r="K82" s="245">
        <f>+'Exhibit G'!L58</f>
        <v>255.09999999999997</v>
      </c>
      <c r="L82" s="245"/>
      <c r="M82" s="245">
        <f>+'Exhibit G'!N58</f>
        <v>181.59999999999997</v>
      </c>
      <c r="N82" s="245"/>
      <c r="O82" s="245">
        <f>+'Exhibit G'!P58</f>
        <v>211.30000000000018</v>
      </c>
      <c r="P82" s="245"/>
      <c r="Q82" s="245">
        <f>+'Exhibit G'!R58</f>
        <v>218.49999999999994</v>
      </c>
      <c r="R82" s="245"/>
      <c r="S82" s="245"/>
      <c r="T82" s="245"/>
      <c r="U82" s="245"/>
      <c r="V82" s="245"/>
      <c r="W82" s="245"/>
      <c r="X82" s="245"/>
      <c r="Y82" s="245"/>
      <c r="Z82" s="245"/>
      <c r="AA82" s="246"/>
      <c r="AB82" s="245">
        <f t="shared" si="18"/>
        <v>1672.4</v>
      </c>
      <c r="AC82" s="245"/>
      <c r="AD82" s="1175"/>
      <c r="AE82" s="245">
        <f>+'Exhibit G'!AG58</f>
        <v>1695.4</v>
      </c>
      <c r="AF82" s="245"/>
      <c r="AG82" s="245"/>
      <c r="AH82" s="245">
        <f t="shared" si="19"/>
        <v>-23</v>
      </c>
      <c r="AI82" s="79"/>
      <c r="AJ82" s="670">
        <f>ROUND(IF(AE82=0,1,AH82/ABS(AE82)),3)</f>
        <v>-1.4E-2</v>
      </c>
      <c r="AK82" s="73" t="s">
        <v>104</v>
      </c>
    </row>
    <row r="83" spans="1:37" ht="16.5" customHeight="1">
      <c r="A83" s="427" t="s">
        <v>433</v>
      </c>
      <c r="B83" s="427"/>
      <c r="C83" s="245">
        <f>+'Exhibit G'!D59+'Exhibit F'!D76</f>
        <v>59.1</v>
      </c>
      <c r="D83" s="245"/>
      <c r="E83" s="245">
        <f>+'Exhibit G'!F59+'Exhibit F'!F76</f>
        <v>90.4</v>
      </c>
      <c r="F83" s="245"/>
      <c r="G83" s="245">
        <f>+'Exhibit G'!H59+'Exhibit F'!H76</f>
        <v>47.5</v>
      </c>
      <c r="H83" s="245"/>
      <c r="I83" s="245">
        <f>+'Exhibit G'!J59+'Exhibit F'!J76</f>
        <v>53.400000000000006</v>
      </c>
      <c r="J83" s="245"/>
      <c r="K83" s="245">
        <f>+'Exhibit G'!L59+'Exhibit F'!L76</f>
        <v>59.599999999999994</v>
      </c>
      <c r="L83" s="245"/>
      <c r="M83" s="245">
        <f>+'Exhibit G'!N59+'Exhibit F'!N76</f>
        <v>66.899999999999949</v>
      </c>
      <c r="N83" s="245"/>
      <c r="O83" s="245">
        <f>+'Exhibit G'!P59+'Exhibit F'!P76</f>
        <v>93.9</v>
      </c>
      <c r="P83" s="245"/>
      <c r="Q83" s="245">
        <f>+'Exhibit G'!R59+'Exhibit F'!R76</f>
        <v>76.000000000000028</v>
      </c>
      <c r="R83" s="245"/>
      <c r="S83" s="245"/>
      <c r="T83" s="245"/>
      <c r="U83" s="245"/>
      <c r="V83" s="245"/>
      <c r="W83" s="245"/>
      <c r="X83" s="245"/>
      <c r="Y83" s="245"/>
      <c r="Z83" s="245"/>
      <c r="AA83" s="246"/>
      <c r="AB83" s="245">
        <f t="shared" si="18"/>
        <v>546.79999999999995</v>
      </c>
      <c r="AC83" s="245"/>
      <c r="AD83" s="1175"/>
      <c r="AE83" s="245">
        <f>+'Exhibit G'!AG59+'Exhibit F'!AF76</f>
        <v>449.5</v>
      </c>
      <c r="AF83" s="245"/>
      <c r="AG83" s="245"/>
      <c r="AH83" s="245">
        <f t="shared" si="19"/>
        <v>97.3</v>
      </c>
      <c r="AI83" s="79"/>
      <c r="AJ83" s="670">
        <f>ROUND(IF(AE83=0,1,AH83/ABS(AE83)),3)</f>
        <v>0.216</v>
      </c>
    </row>
    <row r="84" spans="1:37" ht="16.5" customHeight="1">
      <c r="A84" s="427" t="s">
        <v>434</v>
      </c>
      <c r="B84" s="427"/>
      <c r="C84" s="245">
        <f>+'Exhibit G'!D60</f>
        <v>76.2</v>
      </c>
      <c r="D84" s="245"/>
      <c r="E84" s="245">
        <f>+'Exhibit G'!F60</f>
        <v>74.499999999999986</v>
      </c>
      <c r="F84" s="245"/>
      <c r="G84" s="245">
        <f>+'Exhibit G'!H60</f>
        <v>96.899999999999991</v>
      </c>
      <c r="H84" s="245"/>
      <c r="I84" s="245">
        <f>+'Exhibit G'!J60</f>
        <v>84.700000000000031</v>
      </c>
      <c r="J84" s="245"/>
      <c r="K84" s="245">
        <f>+'Exhibit G'!L60</f>
        <v>103.2</v>
      </c>
      <c r="L84" s="245"/>
      <c r="M84" s="245">
        <f>+'Exhibit G'!N60</f>
        <v>81.200000000000031</v>
      </c>
      <c r="N84" s="245"/>
      <c r="O84" s="245">
        <f>+'Exhibit G'!P60</f>
        <v>78.799999999999912</v>
      </c>
      <c r="P84" s="245"/>
      <c r="Q84" s="245">
        <f>+'Exhibit G'!R60</f>
        <v>100.79999999999994</v>
      </c>
      <c r="R84" s="245"/>
      <c r="S84" s="245"/>
      <c r="T84" s="245"/>
      <c r="U84" s="245"/>
      <c r="V84" s="245"/>
      <c r="W84" s="245"/>
      <c r="X84" s="245"/>
      <c r="Y84" s="245"/>
      <c r="Z84" s="245"/>
      <c r="AA84" s="246"/>
      <c r="AB84" s="245">
        <f t="shared" si="18"/>
        <v>696.3</v>
      </c>
      <c r="AC84" s="245"/>
      <c r="AD84" s="1175"/>
      <c r="AE84" s="245">
        <f>+'Exhibit G'!AG60</f>
        <v>663.9</v>
      </c>
      <c r="AF84" s="245"/>
      <c r="AG84" s="245"/>
      <c r="AH84" s="245">
        <f t="shared" si="19"/>
        <v>32.4</v>
      </c>
      <c r="AI84" s="79"/>
      <c r="AJ84" s="670">
        <f>ROUND(IF(AE84=0,1,AH84/ABS(AE84)),3)</f>
        <v>4.9000000000000002E-2</v>
      </c>
    </row>
    <row r="85" spans="1:37" ht="16.5" customHeight="1">
      <c r="A85" s="427" t="s">
        <v>435</v>
      </c>
      <c r="B85" s="427"/>
      <c r="C85" s="245">
        <f>+'Exhibit F'!D77+'Exhibit G'!D61+'Exhibit H'!B41+'Exhibit I'!E46</f>
        <v>331.59999999999997</v>
      </c>
      <c r="D85" s="245"/>
      <c r="E85" s="245">
        <f>+'Exhibit F'!F77+'Exhibit G'!F61+'Exhibit H'!D41+'Exhibit I'!G46</f>
        <v>302.8</v>
      </c>
      <c r="F85" s="245"/>
      <c r="G85" s="245">
        <f>+'Exhibit F'!H77+'Exhibit G'!H61+'Exhibit H'!F41+'Exhibit I'!I46</f>
        <v>331.59999999999997</v>
      </c>
      <c r="H85" s="245"/>
      <c r="I85" s="245">
        <f>+'Exhibit F'!J77+'Exhibit G'!J61+'Exhibit H'!H41+'Exhibit I'!K46</f>
        <v>320.10000000000002</v>
      </c>
      <c r="J85" s="245"/>
      <c r="K85" s="245">
        <f>+'Exhibit F'!L77+'Exhibit G'!L61+'Exhibit H'!J41+'Exhibit I'!M46</f>
        <v>349.60000000000014</v>
      </c>
      <c r="L85" s="245"/>
      <c r="M85" s="245">
        <f>+'Exhibit F'!N77+'Exhibit G'!N61+'Exhibit H'!L41+'Exhibit I'!O46</f>
        <v>353.9</v>
      </c>
      <c r="N85" s="245"/>
      <c r="O85" s="245">
        <f>+'Exhibit F'!P77+'Exhibit G'!P61+'Exhibit H'!N41+'Exhibit I'!Q46</f>
        <v>357.40000000000003</v>
      </c>
      <c r="P85" s="245"/>
      <c r="Q85" s="245">
        <f>+'Exhibit F'!R77+'Exhibit G'!R61+'Exhibit H'!P41+'Exhibit I'!S46</f>
        <v>394.49999999999977</v>
      </c>
      <c r="R85" s="245"/>
      <c r="S85" s="245"/>
      <c r="T85" s="245"/>
      <c r="U85" s="245"/>
      <c r="V85" s="245"/>
      <c r="W85" s="245"/>
      <c r="X85" s="245"/>
      <c r="Y85" s="245"/>
      <c r="Z85" s="245"/>
      <c r="AA85" s="246"/>
      <c r="AB85" s="245">
        <f t="shared" si="18"/>
        <v>2741.5</v>
      </c>
      <c r="AC85" s="245"/>
      <c r="AD85" s="1175"/>
      <c r="AE85" s="245">
        <f>+'Exhibit F'!AF77+'Exhibit G'!AG61+'Exhibit H'!AD41+'Exhibit I'!AI46</f>
        <v>706.3</v>
      </c>
      <c r="AF85" s="245"/>
      <c r="AG85" s="245"/>
      <c r="AH85" s="245">
        <f t="shared" si="19"/>
        <v>2035.2</v>
      </c>
      <c r="AI85" s="79"/>
      <c r="AJ85" s="1173">
        <f>ROUND(IF(AE85=0,0,AH85/ABS(AE85)),3)</f>
        <v>2.8809999999999998</v>
      </c>
    </row>
    <row r="86" spans="1:37" ht="16.5" customHeight="1">
      <c r="A86" s="427" t="s">
        <v>436</v>
      </c>
      <c r="B86" s="427"/>
      <c r="C86" s="245">
        <f>+'Exhibit F'!D78+'Exhibit G'!D62+'Exhibit H'!B42+'Exhibit I'!E47</f>
        <v>6.8</v>
      </c>
      <c r="D86" s="245"/>
      <c r="E86" s="245">
        <f>+'Exhibit F'!F78+'Exhibit G'!F62+'Exhibit H'!D42+'Exhibit I'!G47</f>
        <v>1.6000000000000005</v>
      </c>
      <c r="F86" s="245"/>
      <c r="G86" s="245">
        <f>+'Exhibit F'!H78+'Exhibit G'!H62+'Exhibit H'!F42+'Exhibit I'!I47</f>
        <v>7.0000000000000009</v>
      </c>
      <c r="H86" s="245"/>
      <c r="I86" s="245">
        <f>+'Exhibit F'!J78+'Exhibit G'!J62+'Exhibit H'!H42+'Exhibit I'!K47</f>
        <v>2.9999999999999956</v>
      </c>
      <c r="J86" s="245"/>
      <c r="K86" s="245">
        <f>+'Exhibit F'!L78+'Exhibit G'!L62+'Exhibit H'!J42+'Exhibit I'!M47</f>
        <v>1.5000000000000022</v>
      </c>
      <c r="L86" s="245"/>
      <c r="M86" s="245">
        <f>+'Exhibit F'!N78+'Exhibit G'!N62+'Exhibit H'!L42+'Exhibit I'!O47</f>
        <v>80</v>
      </c>
      <c r="N86" s="245"/>
      <c r="O86" s="245">
        <f>+'Exhibit F'!P78+'Exhibit G'!P62+'Exhibit H'!N42+'Exhibit I'!Q47</f>
        <v>3.1000000000000085</v>
      </c>
      <c r="P86" s="245"/>
      <c r="Q86" s="245">
        <f>+'Exhibit F'!R78+'Exhibit G'!R62+'Exhibit H'!P42+'Exhibit I'!S47</f>
        <v>1</v>
      </c>
      <c r="R86" s="245"/>
      <c r="S86" s="245"/>
      <c r="T86" s="245"/>
      <c r="U86" s="245"/>
      <c r="V86" s="245"/>
      <c r="W86" s="245"/>
      <c r="X86" s="245"/>
      <c r="Y86" s="245"/>
      <c r="Z86" s="245"/>
      <c r="AA86" s="246"/>
      <c r="AB86" s="245">
        <f t="shared" si="18"/>
        <v>104</v>
      </c>
      <c r="AC86" s="245"/>
      <c r="AD86" s="1175"/>
      <c r="AE86" s="245">
        <f>+'Exhibit F'!AF78+'Exhibit G'!AG62+'Exhibit H'!AD42+'Exhibit I'!AI47</f>
        <v>108.69999999999999</v>
      </c>
      <c r="AF86" s="245"/>
      <c r="AG86" s="245"/>
      <c r="AH86" s="245">
        <f t="shared" si="19"/>
        <v>-4.7</v>
      </c>
      <c r="AI86" s="79"/>
      <c r="AJ86" s="327">
        <f>ROUND(IF(AE86=0,0,AH86/ABS(AE86)),3)</f>
        <v>-4.2999999999999997E-2</v>
      </c>
    </row>
    <row r="87" spans="1:37" ht="16.5" customHeight="1">
      <c r="A87" s="427" t="s">
        <v>437</v>
      </c>
      <c r="B87" s="427"/>
      <c r="C87" s="245"/>
      <c r="D87" s="245"/>
      <c r="E87" s="245"/>
      <c r="F87" s="245"/>
      <c r="G87" s="245"/>
      <c r="H87" s="245"/>
      <c r="I87" s="245"/>
      <c r="J87" s="245"/>
      <c r="K87" s="245"/>
      <c r="L87" s="245"/>
      <c r="M87" s="245"/>
      <c r="N87" s="245"/>
      <c r="O87" s="245"/>
      <c r="P87" s="245"/>
      <c r="Q87" s="245"/>
      <c r="R87" s="245"/>
      <c r="S87" s="245"/>
      <c r="T87" s="245"/>
      <c r="U87" s="245"/>
      <c r="V87" s="245"/>
      <c r="W87" s="245"/>
      <c r="X87" s="245"/>
      <c r="Y87" s="245"/>
      <c r="Z87" s="245"/>
      <c r="AA87" s="246"/>
      <c r="AB87" s="245"/>
      <c r="AC87" s="245"/>
      <c r="AD87" s="1175"/>
      <c r="AE87" s="245"/>
      <c r="AF87" s="245"/>
      <c r="AG87" s="245"/>
      <c r="AH87" s="245"/>
      <c r="AI87" s="79"/>
      <c r="AJ87" s="477"/>
    </row>
    <row r="88" spans="1:37" ht="16.5" customHeight="1">
      <c r="A88" s="427" t="s">
        <v>438</v>
      </c>
      <c r="B88" s="427"/>
      <c r="C88" s="245">
        <f>+'Exhibit G'!D64+'Exhibit I'!E49</f>
        <v>189.2</v>
      </c>
      <c r="D88" s="245"/>
      <c r="E88" s="245">
        <f>+'Exhibit G'!F64+'Exhibit I'!G49</f>
        <v>559.5</v>
      </c>
      <c r="F88" s="245"/>
      <c r="G88" s="245">
        <f>+'Exhibit G'!H64+'Exhibit I'!I49</f>
        <v>323</v>
      </c>
      <c r="H88" s="245"/>
      <c r="I88" s="245">
        <f>+'Exhibit G'!J64+'Exhibit I'!K49</f>
        <v>725.89999999999986</v>
      </c>
      <c r="J88" s="245"/>
      <c r="K88" s="245">
        <f>+'Exhibit G'!L64+'Exhibit I'!M49</f>
        <v>336.90000000000009</v>
      </c>
      <c r="L88" s="245"/>
      <c r="M88" s="245">
        <f>+'Exhibit G'!N64+'Exhibit I'!O49</f>
        <v>695.60000000000014</v>
      </c>
      <c r="N88" s="245"/>
      <c r="O88" s="245">
        <f>+'Exhibit G'!P64+'Exhibit I'!Q49</f>
        <v>56.700000000000273</v>
      </c>
      <c r="P88" s="245"/>
      <c r="Q88" s="245">
        <f>+'Exhibit G'!R64+'Exhibit I'!S49</f>
        <v>3.2999999999997272</v>
      </c>
      <c r="R88" s="245"/>
      <c r="S88" s="245"/>
      <c r="T88" s="245"/>
      <c r="U88" s="245"/>
      <c r="V88" s="245"/>
      <c r="W88" s="245"/>
      <c r="X88" s="245"/>
      <c r="Y88" s="245"/>
      <c r="Z88" s="245"/>
      <c r="AA88" s="246"/>
      <c r="AB88" s="245">
        <f t="shared" si="15"/>
        <v>2890.1</v>
      </c>
      <c r="AC88" s="245"/>
      <c r="AD88" s="1175"/>
      <c r="AE88" s="245">
        <f>+'Exhibit G'!AG64+'Exhibit I'!AI49+'Exhibit H'!AD44+'Exhibit F'!AF80</f>
        <v>4213.8999999999996</v>
      </c>
      <c r="AF88" s="245"/>
      <c r="AG88" s="245"/>
      <c r="AH88" s="245">
        <f t="shared" si="16"/>
        <v>-1323.8</v>
      </c>
      <c r="AI88" s="79"/>
      <c r="AJ88" s="670">
        <f>ROUND(IF(AE88=0,1,AH88/ABS(AE88)),3)</f>
        <v>-0.314</v>
      </c>
    </row>
    <row r="89" spans="1:37" ht="16.5" customHeight="1">
      <c r="A89" s="427" t="s">
        <v>439</v>
      </c>
      <c r="B89" s="427"/>
      <c r="C89" s="245">
        <f>+'Exhibit F'!D81+'Exhibit G'!D65</f>
        <v>0.4</v>
      </c>
      <c r="D89" s="245"/>
      <c r="E89" s="245">
        <f>+'Exhibit F'!F81+'Exhibit G'!F65</f>
        <v>0</v>
      </c>
      <c r="F89" s="245"/>
      <c r="G89" s="245">
        <f>+'Exhibit F'!H81+'Exhibit G'!H65</f>
        <v>0</v>
      </c>
      <c r="H89" s="245"/>
      <c r="I89" s="245">
        <f>+'Exhibit F'!J81+'Exhibit G'!J65</f>
        <v>0</v>
      </c>
      <c r="J89" s="245"/>
      <c r="K89" s="245">
        <f>+'Exhibit F'!L81+'Exhibit G'!L65</f>
        <v>0</v>
      </c>
      <c r="L89" s="245"/>
      <c r="M89" s="245">
        <f>+'Exhibit F'!N81+'Exhibit G'!N65</f>
        <v>0</v>
      </c>
      <c r="N89" s="245"/>
      <c r="O89" s="245">
        <f>+'Exhibit F'!P81+'Exhibit G'!P65</f>
        <v>22.700000000000003</v>
      </c>
      <c r="P89" s="245"/>
      <c r="Q89" s="245">
        <f>+'Exhibit F'!R81+'Exhibit G'!R65</f>
        <v>0</v>
      </c>
      <c r="R89" s="245"/>
      <c r="S89" s="245"/>
      <c r="T89" s="245"/>
      <c r="U89" s="245"/>
      <c r="V89" s="245"/>
      <c r="W89" s="245"/>
      <c r="X89" s="245"/>
      <c r="Y89" s="245"/>
      <c r="Z89" s="245"/>
      <c r="AA89" s="246"/>
      <c r="AB89" s="245">
        <f t="shared" si="15"/>
        <v>23.1</v>
      </c>
      <c r="AC89" s="245"/>
      <c r="AD89" s="1175"/>
      <c r="AE89" s="245">
        <f>+'Exhibit F'!AF81+'Exhibit G'!AG65</f>
        <v>35.799999999999997</v>
      </c>
      <c r="AF89" s="245"/>
      <c r="AG89" s="245"/>
      <c r="AH89" s="245">
        <f t="shared" si="16"/>
        <v>-12.7</v>
      </c>
      <c r="AI89" s="79"/>
      <c r="AJ89" s="327">
        <f>ROUND(IF(AE89=0,1,AH89/ABS(AE89)),3)</f>
        <v>-0.35499999999999998</v>
      </c>
    </row>
    <row r="90" spans="1:37" ht="16.5" customHeight="1">
      <c r="A90" s="427" t="s">
        <v>440</v>
      </c>
      <c r="B90" s="427"/>
      <c r="C90" s="245">
        <f>+'Exhibit F'!D82+'Exhibit G'!D66</f>
        <v>0.3</v>
      </c>
      <c r="D90" s="245"/>
      <c r="E90" s="245">
        <f>+'Exhibit F'!F82+'Exhibit G'!F66</f>
        <v>0</v>
      </c>
      <c r="F90" s="245"/>
      <c r="G90" s="245">
        <f>+'Exhibit F'!H82+'Exhibit G'!H66</f>
        <v>2.4000000000000004</v>
      </c>
      <c r="H90" s="245"/>
      <c r="I90" s="245">
        <f>+'Exhibit F'!J82+'Exhibit G'!J66</f>
        <v>5.6</v>
      </c>
      <c r="J90" s="245"/>
      <c r="K90" s="245">
        <f>+'Exhibit F'!L82+'Exhibit G'!L66</f>
        <v>9.7000000000000011</v>
      </c>
      <c r="L90" s="245"/>
      <c r="M90" s="245">
        <f>+'Exhibit F'!N82+'Exhibit G'!N66</f>
        <v>10.599999999999996</v>
      </c>
      <c r="N90" s="245"/>
      <c r="O90" s="245">
        <f>+'Exhibit F'!P82+'Exhibit G'!P66</f>
        <v>9.2000000000000011</v>
      </c>
      <c r="P90" s="245"/>
      <c r="Q90" s="245">
        <f>+'Exhibit F'!R82+'Exhibit G'!R66</f>
        <v>0.89999999999999858</v>
      </c>
      <c r="R90" s="245"/>
      <c r="S90" s="245"/>
      <c r="T90" s="245"/>
      <c r="U90" s="245"/>
      <c r="V90" s="245"/>
      <c r="W90" s="245"/>
      <c r="X90" s="245"/>
      <c r="Y90" s="245"/>
      <c r="Z90" s="245"/>
      <c r="AA90" s="246"/>
      <c r="AB90" s="245">
        <f t="shared" si="15"/>
        <v>38.700000000000003</v>
      </c>
      <c r="AC90" s="245"/>
      <c r="AD90" s="1175"/>
      <c r="AE90" s="245">
        <f>+'Exhibit F'!AF82+'Exhibit G'!AG66</f>
        <v>53.5</v>
      </c>
      <c r="AF90" s="245"/>
      <c r="AG90" s="245"/>
      <c r="AH90" s="245">
        <f t="shared" si="16"/>
        <v>-14.8</v>
      </c>
      <c r="AI90" s="79"/>
      <c r="AJ90" s="670">
        <f t="shared" ref="AJ90:AJ92" si="20">ROUND(IF(AE90=0,0,AH90/ABS(AE90)),3)</f>
        <v>-0.27700000000000002</v>
      </c>
    </row>
    <row r="91" spans="1:37" ht="16.5" customHeight="1">
      <c r="A91" s="427" t="s">
        <v>441</v>
      </c>
      <c r="B91" s="427"/>
      <c r="C91" s="245">
        <f>+'Exhibit F'!D83+'Exhibit G'!D67+'Exhibit I'!E51</f>
        <v>6.2</v>
      </c>
      <c r="D91" s="245"/>
      <c r="E91" s="245">
        <f>+'Exhibit F'!F83+'Exhibit G'!F67+'Exhibit I'!G51</f>
        <v>0.59999999999999964</v>
      </c>
      <c r="F91" s="245"/>
      <c r="G91" s="245">
        <f>+'Exhibit F'!H83+'Exhibit G'!H67+'Exhibit I'!I51</f>
        <v>11.200000000000001</v>
      </c>
      <c r="H91" s="245"/>
      <c r="I91" s="245">
        <f>+'Exhibit F'!J83+'Exhibit G'!J67+'Exhibit I'!K51</f>
        <v>4.6999999999999993</v>
      </c>
      <c r="J91" s="245"/>
      <c r="K91" s="245">
        <f>+'Exhibit F'!L83+'Exhibit G'!L67+'Exhibit I'!M51</f>
        <v>5.6000000000000014</v>
      </c>
      <c r="L91" s="245"/>
      <c r="M91" s="245">
        <f>+'Exhibit F'!N83+'Exhibit G'!N67+'Exhibit I'!O51</f>
        <v>4.6999999999999993</v>
      </c>
      <c r="N91" s="245"/>
      <c r="O91" s="245">
        <f>+'Exhibit F'!P83+'Exhibit G'!P67+'Exhibit I'!Q51</f>
        <v>12.299999999999997</v>
      </c>
      <c r="P91" s="245"/>
      <c r="Q91" s="245">
        <f>+'Exhibit F'!R83+'Exhibit G'!R67+'Exhibit I'!S51</f>
        <v>5.7</v>
      </c>
      <c r="R91" s="245"/>
      <c r="S91" s="245"/>
      <c r="T91" s="245"/>
      <c r="U91" s="245"/>
      <c r="V91" s="245"/>
      <c r="W91" s="245"/>
      <c r="X91" s="245"/>
      <c r="Y91" s="245"/>
      <c r="Z91" s="245"/>
      <c r="AA91" s="246"/>
      <c r="AB91" s="245">
        <f t="shared" si="15"/>
        <v>51</v>
      </c>
      <c r="AC91" s="245"/>
      <c r="AD91" s="1175"/>
      <c r="AE91" s="245">
        <f>+'Exhibit F'!AF83+'Exhibit G'!AG67+'Exhibit I'!AI51</f>
        <v>44</v>
      </c>
      <c r="AF91" s="245"/>
      <c r="AG91" s="245"/>
      <c r="AH91" s="245">
        <f t="shared" si="16"/>
        <v>7</v>
      </c>
      <c r="AI91" s="79"/>
      <c r="AJ91" s="327">
        <f t="shared" si="20"/>
        <v>0.159</v>
      </c>
    </row>
    <row r="92" spans="1:37" ht="16.5" customHeight="1">
      <c r="A92" s="427" t="s">
        <v>442</v>
      </c>
      <c r="B92" s="427"/>
      <c r="C92" s="245">
        <f>+'Exhibit F'!D84+'Exhibit G'!D68+'Exhibit H'!B45+'Exhibit I'!E52</f>
        <v>28</v>
      </c>
      <c r="D92" s="245"/>
      <c r="E92" s="245">
        <f>+'Exhibit F'!F84+'Exhibit G'!F68+'Exhibit H'!D45+'Exhibit I'!G52</f>
        <v>18.200000000000003</v>
      </c>
      <c r="F92" s="245"/>
      <c r="G92" s="245">
        <f>+'Exhibit F'!H84+'Exhibit G'!H68+'Exhibit H'!F45+'Exhibit I'!I52</f>
        <v>2.9000000000000017</v>
      </c>
      <c r="H92" s="245"/>
      <c r="I92" s="245">
        <f>+'Exhibit F'!J84+'Exhibit G'!J68+'Exhibit H'!H45+'Exhibit I'!K52</f>
        <v>1.1999999999999955</v>
      </c>
      <c r="J92" s="245"/>
      <c r="K92" s="245">
        <f>+'Exhibit F'!L84+'Exhibit G'!L68+'Exhibit H'!J45+'Exhibit I'!M52</f>
        <v>11.7</v>
      </c>
      <c r="L92" s="245"/>
      <c r="M92" s="245">
        <f>+'Exhibit F'!N84+'Exhibit G'!N68+'Exhibit H'!L45+'Exhibit I'!O52</f>
        <v>-0.60000000000000009</v>
      </c>
      <c r="N92" s="245"/>
      <c r="O92" s="245">
        <f>+'Exhibit F'!P84+'Exhibit G'!P68+'Exhibit H'!N45+'Exhibit I'!Q52</f>
        <v>1.7000000000000024</v>
      </c>
      <c r="P92" s="245"/>
      <c r="Q92" s="245">
        <f>+'Exhibit F'!R84+'Exhibit G'!R68+'Exhibit H'!P45+'Exhibit I'!S52</f>
        <v>96.59999999999998</v>
      </c>
      <c r="R92" s="245"/>
      <c r="S92" s="245"/>
      <c r="T92" s="245"/>
      <c r="U92" s="245"/>
      <c r="V92" s="245"/>
      <c r="W92" s="245"/>
      <c r="X92" s="245"/>
      <c r="Y92" s="245"/>
      <c r="Z92" s="245"/>
      <c r="AA92" s="246"/>
      <c r="AB92" s="245">
        <f t="shared" si="15"/>
        <v>159.69999999999999</v>
      </c>
      <c r="AC92" s="245"/>
      <c r="AD92" s="1175"/>
      <c r="AE92" s="245">
        <f>+'Exhibit F'!AF84+'Exhibit G'!AG68+'Exhibit H'!AD45+'Exhibit I'!AI52</f>
        <v>178.89999999999998</v>
      </c>
      <c r="AF92" s="245"/>
      <c r="AG92" s="245"/>
      <c r="AH92" s="245">
        <f t="shared" si="16"/>
        <v>-19.2</v>
      </c>
      <c r="AI92" s="79"/>
      <c r="AJ92" s="670">
        <f t="shared" si="20"/>
        <v>-0.107</v>
      </c>
    </row>
    <row r="93" spans="1:37" ht="16.5" customHeight="1">
      <c r="A93" s="427" t="s">
        <v>443</v>
      </c>
      <c r="B93" s="427"/>
      <c r="C93" s="245"/>
      <c r="D93" s="245"/>
      <c r="E93" s="245"/>
      <c r="F93" s="245"/>
      <c r="G93" s="245"/>
      <c r="H93" s="245"/>
      <c r="I93" s="245"/>
      <c r="J93" s="245"/>
      <c r="K93" s="245"/>
      <c r="L93" s="245"/>
      <c r="M93" s="245"/>
      <c r="N93" s="245"/>
      <c r="O93" s="245"/>
      <c r="P93" s="245"/>
      <c r="Q93" s="245"/>
      <c r="R93" s="245"/>
      <c r="S93" s="245"/>
      <c r="T93" s="245"/>
      <c r="U93" s="245"/>
      <c r="V93" s="245"/>
      <c r="W93" s="245"/>
      <c r="X93" s="245"/>
      <c r="Y93" s="245"/>
      <c r="Z93" s="245"/>
      <c r="AA93" s="246"/>
      <c r="AB93" s="245"/>
      <c r="AC93" s="245"/>
      <c r="AD93" s="1175"/>
      <c r="AE93" s="245"/>
      <c r="AF93" s="245"/>
      <c r="AG93" s="245"/>
      <c r="AH93" s="245"/>
      <c r="AI93" s="79"/>
      <c r="AJ93" s="327"/>
    </row>
    <row r="94" spans="1:37" ht="16.5" customHeight="1">
      <c r="A94" s="427" t="s">
        <v>444</v>
      </c>
      <c r="B94" s="427"/>
      <c r="C94" s="245">
        <f>+'Exhibit F'!D86+'Exhibit G'!D70+'Exhibit I'!E54</f>
        <v>8.6999999999999993</v>
      </c>
      <c r="D94" s="245"/>
      <c r="E94" s="245">
        <f>+'Exhibit F'!F86+'Exhibit G'!F70+'Exhibit I'!G54</f>
        <v>26.799999999999997</v>
      </c>
      <c r="F94" s="245"/>
      <c r="G94" s="245">
        <f>+'Exhibit F'!H86+'Exhibit G'!H70+'Exhibit I'!I54</f>
        <v>24.9</v>
      </c>
      <c r="H94" s="245"/>
      <c r="I94" s="245">
        <f>+'Exhibit F'!J86+'Exhibit G'!J70+'Exhibit I'!K54</f>
        <v>25.000000000000004</v>
      </c>
      <c r="J94" s="245"/>
      <c r="K94" s="245">
        <f>+'Exhibit F'!L86+'Exhibit G'!L70+'Exhibit I'!M54</f>
        <v>10</v>
      </c>
      <c r="L94" s="245"/>
      <c r="M94" s="245">
        <f>+'Exhibit F'!N86+'Exhibit G'!N70+'Exhibit I'!O54</f>
        <v>24.100000000000005</v>
      </c>
      <c r="N94" s="245"/>
      <c r="O94" s="245">
        <f>+'Exhibit F'!P86+'Exhibit G'!P70+'Exhibit I'!Q54</f>
        <v>25.4</v>
      </c>
      <c r="P94" s="245"/>
      <c r="Q94" s="245">
        <f>+'Exhibit F'!R86+'Exhibit G'!R70+'Exhibit I'!S54</f>
        <v>8.2999999999999901</v>
      </c>
      <c r="R94" s="245"/>
      <c r="S94" s="245"/>
      <c r="T94" s="245"/>
      <c r="U94" s="245"/>
      <c r="V94" s="245"/>
      <c r="W94" s="245"/>
      <c r="X94" s="245"/>
      <c r="Y94" s="245"/>
      <c r="Z94" s="245"/>
      <c r="AA94" s="246"/>
      <c r="AB94" s="245">
        <f t="shared" si="15"/>
        <v>153.19999999999999</v>
      </c>
      <c r="AC94" s="245"/>
      <c r="AD94" s="1175"/>
      <c r="AE94" s="245">
        <f>+'Exhibit F'!AF86+'Exhibit G'!AG70+'Exhibit I'!AI54</f>
        <v>151.29999999999998</v>
      </c>
      <c r="AF94" s="245"/>
      <c r="AG94" s="245"/>
      <c r="AH94" s="245">
        <f t="shared" si="16"/>
        <v>1.9</v>
      </c>
      <c r="AI94" s="79"/>
      <c r="AJ94" s="670">
        <f>ROUND(IF(AE94=0,0,AH94/ABS(AE94)),3)</f>
        <v>1.2999999999999999E-2</v>
      </c>
    </row>
    <row r="95" spans="1:37" ht="16.5" customHeight="1">
      <c r="A95" s="427" t="s">
        <v>445</v>
      </c>
      <c r="B95" s="427"/>
      <c r="C95" s="245">
        <f>+'Exhibit G'!D71+'Exhibit F'!D87</f>
        <v>1</v>
      </c>
      <c r="D95" s="245"/>
      <c r="E95" s="245">
        <f>+'Exhibit G'!F71+'Exhibit F'!F87</f>
        <v>0.29999999999999583</v>
      </c>
      <c r="F95" s="245"/>
      <c r="G95" s="245">
        <f>+'Exhibit G'!H71+'Exhibit F'!H87</f>
        <v>0.20000000000000129</v>
      </c>
      <c r="H95" s="245"/>
      <c r="I95" s="245">
        <f>+'Exhibit G'!J71+'Exhibit F'!J87</f>
        <v>-0.19999999999999996</v>
      </c>
      <c r="J95" s="245"/>
      <c r="K95" s="245">
        <f>+'Exhibit G'!L71+'Exhibit F'!L87</f>
        <v>0.59999999999995446</v>
      </c>
      <c r="L95" s="245"/>
      <c r="M95" s="245">
        <f>+'Exhibit G'!N71+'Exhibit F'!N87</f>
        <v>0</v>
      </c>
      <c r="N95" s="245"/>
      <c r="O95" s="245">
        <f>+'Exhibit G'!P71+'Exhibit F'!P87</f>
        <v>0.10000000000002573</v>
      </c>
      <c r="P95" s="245"/>
      <c r="Q95" s="245">
        <f>+'Exhibit G'!R71+'Exhibit F'!R87</f>
        <v>0.10000000000002274</v>
      </c>
      <c r="R95" s="245"/>
      <c r="S95" s="245"/>
      <c r="T95" s="245"/>
      <c r="U95" s="245"/>
      <c r="V95" s="245"/>
      <c r="W95" s="245"/>
      <c r="X95" s="245"/>
      <c r="Y95" s="245"/>
      <c r="Z95" s="245"/>
      <c r="AA95" s="246"/>
      <c r="AB95" s="245">
        <f t="shared" si="15"/>
        <v>2.1</v>
      </c>
      <c r="AC95" s="245"/>
      <c r="AD95" s="1175"/>
      <c r="AE95" s="245">
        <f>+'Exhibit G'!AG71+'Exhibit F'!AF87</f>
        <v>8.7999999999999776</v>
      </c>
      <c r="AF95" s="245"/>
      <c r="AG95" s="245"/>
      <c r="AH95" s="245">
        <f t="shared" si="16"/>
        <v>-6.7</v>
      </c>
      <c r="AI95" s="79"/>
      <c r="AJ95" s="327">
        <f>ROUND(IF(AE95=0,0,AH95/ABS(AE95)),3)</f>
        <v>-0.76100000000000001</v>
      </c>
    </row>
    <row r="96" spans="1:37" ht="16.5" customHeight="1">
      <c r="A96" s="427" t="s">
        <v>446</v>
      </c>
      <c r="B96" s="427"/>
      <c r="C96" s="245">
        <f>'Exhibit G'!D72</f>
        <v>0</v>
      </c>
      <c r="D96" s="245"/>
      <c r="E96" s="245">
        <f>'Exhibit G'!F72</f>
        <v>0</v>
      </c>
      <c r="F96" s="245"/>
      <c r="G96" s="245">
        <f>'Exhibit G'!H72</f>
        <v>0</v>
      </c>
      <c r="H96" s="245"/>
      <c r="I96" s="245">
        <f>'Exhibit G'!J72</f>
        <v>0</v>
      </c>
      <c r="J96" s="245"/>
      <c r="K96" s="245">
        <f>'Exhibit G'!L72</f>
        <v>0</v>
      </c>
      <c r="L96" s="245"/>
      <c r="M96" s="245">
        <f>'Exhibit G'!N72</f>
        <v>0</v>
      </c>
      <c r="N96" s="245"/>
      <c r="O96" s="245">
        <f>'Exhibit G'!P72</f>
        <v>0</v>
      </c>
      <c r="P96" s="245"/>
      <c r="Q96" s="245">
        <f>'Exhibit G'!R72</f>
        <v>0</v>
      </c>
      <c r="R96" s="245"/>
      <c r="S96" s="245"/>
      <c r="T96" s="245"/>
      <c r="U96" s="245"/>
      <c r="V96" s="245"/>
      <c r="W96" s="245"/>
      <c r="X96" s="245"/>
      <c r="Y96" s="245"/>
      <c r="Z96" s="245"/>
      <c r="AA96" s="495"/>
      <c r="AB96" s="245">
        <f t="shared" si="15"/>
        <v>0</v>
      </c>
      <c r="AC96" s="245"/>
      <c r="AD96" s="1175"/>
      <c r="AE96" s="245">
        <f>'Exhibit G'!AG72</f>
        <v>0</v>
      </c>
      <c r="AF96" s="245"/>
      <c r="AG96" s="245"/>
      <c r="AH96" s="245">
        <f t="shared" ref="AH96" si="21">ROUND(SUM(AB96-AE96),1)</f>
        <v>0</v>
      </c>
      <c r="AI96" s="79"/>
      <c r="AJ96" s="327">
        <f>ROUND(IF(AE96=0,0,AH96/ABS(AE96)),3)</f>
        <v>0</v>
      </c>
    </row>
    <row r="97" spans="1:45" ht="16.5" customHeight="1">
      <c r="A97" s="427" t="s">
        <v>447</v>
      </c>
      <c r="B97" s="427"/>
      <c r="C97" s="245">
        <f>+'Exhibit F'!D88+'Exhibit G'!D73+'Exhibit I'!E55</f>
        <v>3.7</v>
      </c>
      <c r="D97" s="245"/>
      <c r="E97" s="245">
        <f>+'Exhibit F'!F88+'Exhibit G'!F73+'Exhibit I'!G55</f>
        <v>1.8</v>
      </c>
      <c r="F97" s="245"/>
      <c r="G97" s="245">
        <f>+'Exhibit F'!H88+'Exhibit G'!H73+'Exhibit I'!I55</f>
        <v>20.6</v>
      </c>
      <c r="H97" s="245"/>
      <c r="I97" s="245">
        <f>+'Exhibit F'!J88+'Exhibit G'!J73+'Exhibit I'!K55</f>
        <v>0.70000000000000107</v>
      </c>
      <c r="J97" s="245"/>
      <c r="K97" s="245">
        <f>+'Exhibit F'!L88+'Exhibit G'!L73+'Exhibit I'!M55</f>
        <v>2.8</v>
      </c>
      <c r="L97" s="245"/>
      <c r="M97" s="245">
        <f>+'Exhibit F'!N88+'Exhibit G'!N73+'Exhibit I'!O55</f>
        <v>2.3999999999999986</v>
      </c>
      <c r="N97" s="245"/>
      <c r="O97" s="245">
        <f>+'Exhibit F'!P88+'Exhibit G'!P73+'Exhibit I'!Q55</f>
        <v>1.1000000000000014</v>
      </c>
      <c r="P97" s="245"/>
      <c r="Q97" s="245">
        <f>+'Exhibit F'!R88+'Exhibit G'!R73+'Exhibit I'!S55</f>
        <v>2.5000000000000004</v>
      </c>
      <c r="R97" s="245"/>
      <c r="S97" s="245"/>
      <c r="T97" s="245"/>
      <c r="U97" s="245"/>
      <c r="V97" s="245"/>
      <c r="W97" s="245"/>
      <c r="X97" s="245"/>
      <c r="Y97" s="245"/>
      <c r="Z97" s="245"/>
      <c r="AA97" s="246"/>
      <c r="AB97" s="245">
        <f t="shared" si="15"/>
        <v>35.6</v>
      </c>
      <c r="AC97" s="245"/>
      <c r="AD97" s="1175"/>
      <c r="AE97" s="245">
        <f>+'Exhibit F'!AF88+'Exhibit G'!AG73+'Exhibit I'!AI55</f>
        <v>13.2</v>
      </c>
      <c r="AF97" s="245"/>
      <c r="AG97" s="245"/>
      <c r="AH97" s="245">
        <f t="shared" si="16"/>
        <v>22.4</v>
      </c>
      <c r="AI97" s="79"/>
      <c r="AJ97" s="477">
        <f t="shared" ref="AJ97:AJ104" si="22">ROUND(IF(AE97=0,0,AH97/ABS(AE97)),3)</f>
        <v>1.6970000000000001</v>
      </c>
    </row>
    <row r="98" spans="1:45" ht="16.5" customHeight="1">
      <c r="A98" s="427" t="s">
        <v>448</v>
      </c>
      <c r="B98" s="427"/>
      <c r="C98" s="245">
        <f>+'Exhibit F'!D89+'Exhibit G'!D74+'Exhibit I'!E56</f>
        <v>5.6</v>
      </c>
      <c r="D98" s="245"/>
      <c r="E98" s="245">
        <f>+'Exhibit F'!F89+'Exhibit G'!F74+'Exhibit I'!G56</f>
        <v>30.599999999999998</v>
      </c>
      <c r="F98" s="245"/>
      <c r="G98" s="245">
        <f>+'Exhibit F'!H89+'Exhibit G'!H74+'Exhibit I'!I56</f>
        <v>18.5</v>
      </c>
      <c r="H98" s="245"/>
      <c r="I98" s="245">
        <f>+'Exhibit F'!J89+'Exhibit G'!J74+'Exhibit I'!K56</f>
        <v>11.3</v>
      </c>
      <c r="J98" s="245"/>
      <c r="K98" s="245">
        <f>+'Exhibit F'!L89+'Exhibit G'!L74+'Exhibit I'!M56</f>
        <v>15.899999999999995</v>
      </c>
      <c r="L98" s="245"/>
      <c r="M98" s="245">
        <f>+'Exhibit F'!N89+'Exhibit G'!N74+'Exhibit I'!O56</f>
        <v>11.299999999999997</v>
      </c>
      <c r="N98" s="245"/>
      <c r="O98" s="245">
        <f>+'Exhibit F'!P89+'Exhibit G'!P74+'Exhibit I'!Q56</f>
        <v>12.100000000000001</v>
      </c>
      <c r="P98" s="245"/>
      <c r="Q98" s="245">
        <f>+'Exhibit F'!R89+'Exhibit G'!R74+'Exhibit I'!S56</f>
        <v>19.399999999999991</v>
      </c>
      <c r="R98" s="245"/>
      <c r="S98" s="245"/>
      <c r="T98" s="245"/>
      <c r="U98" s="245"/>
      <c r="V98" s="245"/>
      <c r="W98" s="245"/>
      <c r="X98" s="245"/>
      <c r="Y98" s="245"/>
      <c r="Z98" s="245"/>
      <c r="AA98" s="246"/>
      <c r="AB98" s="245">
        <f>ROUND(SUM(C98:Y98),1)</f>
        <v>124.7</v>
      </c>
      <c r="AC98" s="245"/>
      <c r="AD98" s="1175"/>
      <c r="AE98" s="245">
        <f>+'Exhibit F'!AF89+'Exhibit G'!AG74+'Exhibit I'!AI56</f>
        <v>114.3</v>
      </c>
      <c r="AF98" s="245"/>
      <c r="AG98" s="245"/>
      <c r="AH98" s="245">
        <f t="shared" si="16"/>
        <v>10.4</v>
      </c>
      <c r="AI98" s="79"/>
      <c r="AJ98" s="477">
        <f t="shared" si="22"/>
        <v>9.0999999999999998E-2</v>
      </c>
    </row>
    <row r="99" spans="1:45" ht="16.5" customHeight="1">
      <c r="A99" s="427" t="s">
        <v>449</v>
      </c>
      <c r="B99" s="427"/>
      <c r="C99" s="245">
        <f>+'Exhibit F'!D90+'Exhibit G'!D75+'Exhibit H'!B47</f>
        <v>306.90000000000003</v>
      </c>
      <c r="D99" s="245"/>
      <c r="E99" s="245">
        <f>+'Exhibit F'!F90+'Exhibit G'!F75+'Exhibit H'!D47</f>
        <v>-305.60000000000002</v>
      </c>
      <c r="F99" s="245"/>
      <c r="G99" s="245">
        <f>+'Exhibit F'!H90+'Exhibit G'!H75+'Exhibit H'!F47</f>
        <v>756.30000000000007</v>
      </c>
      <c r="H99" s="245"/>
      <c r="I99" s="245">
        <f>+'Exhibit F'!J90+'Exhibit G'!J75+'Exhibit H'!H47</f>
        <v>417.8</v>
      </c>
      <c r="J99" s="245"/>
      <c r="K99" s="245">
        <f>+'Exhibit F'!L90+'Exhibit G'!L75+'Exhibit H'!J47</f>
        <v>327.10000000000008</v>
      </c>
      <c r="L99" s="245"/>
      <c r="M99" s="245">
        <f>+'Exhibit F'!N90+'Exhibit G'!N75+'Exhibit H'!L47</f>
        <v>252.1</v>
      </c>
      <c r="N99" s="245"/>
      <c r="O99" s="245">
        <f>+'Exhibit F'!P90+'Exhibit G'!P75+'Exhibit H'!N47</f>
        <v>180.3</v>
      </c>
      <c r="P99" s="245"/>
      <c r="Q99" s="245">
        <f>+'Exhibit F'!R90+'Exhibit G'!R75+'Exhibit H'!P47</f>
        <v>225.89999999999978</v>
      </c>
      <c r="R99" s="245"/>
      <c r="S99" s="245"/>
      <c r="T99" s="245"/>
      <c r="U99" s="245"/>
      <c r="V99" s="245"/>
      <c r="W99" s="245"/>
      <c r="X99" s="245"/>
      <c r="Y99" s="245"/>
      <c r="Z99" s="245"/>
      <c r="AA99" s="246"/>
      <c r="AB99" s="245">
        <f t="shared" si="15"/>
        <v>2160.8000000000002</v>
      </c>
      <c r="AC99" s="245"/>
      <c r="AD99" s="1175"/>
      <c r="AE99" s="245">
        <f>+'Exhibit F'!AF90+'Exhibit G'!AG75+'Exhibit H'!AD47</f>
        <v>1979</v>
      </c>
      <c r="AF99" s="245"/>
      <c r="AG99" s="245"/>
      <c r="AH99" s="245">
        <f t="shared" si="16"/>
        <v>181.8</v>
      </c>
      <c r="AI99" s="79"/>
      <c r="AJ99" s="477">
        <f t="shared" si="22"/>
        <v>9.1999999999999998E-2</v>
      </c>
    </row>
    <row r="100" spans="1:45" ht="16.5" customHeight="1">
      <c r="A100" s="427" t="s">
        <v>450</v>
      </c>
      <c r="B100" s="427"/>
      <c r="C100" s="245">
        <f>+'Exhibit G'!D76+'Exhibit F'!D91+'Exhibit I'!E57</f>
        <v>11.2</v>
      </c>
      <c r="D100" s="245"/>
      <c r="E100" s="245">
        <f>+'Exhibit G'!F76+'Exhibit F'!F91+'Exhibit I'!G57</f>
        <v>11.4</v>
      </c>
      <c r="F100" s="245"/>
      <c r="G100" s="245">
        <f>+'Exhibit G'!H76+'Exhibit F'!H91+'Exhibit I'!I57</f>
        <v>15.400000000000002</v>
      </c>
      <c r="H100" s="245"/>
      <c r="I100" s="245">
        <f>+'Exhibit G'!J76+'Exhibit F'!J91+'Exhibit I'!K57</f>
        <v>13.999999999999996</v>
      </c>
      <c r="J100" s="245"/>
      <c r="K100" s="245">
        <f>+'Exhibit G'!L76+'Exhibit F'!L91+'Exhibit I'!M57</f>
        <v>12.100000000000001</v>
      </c>
      <c r="L100" s="245"/>
      <c r="M100" s="245">
        <f>+'Exhibit G'!N76+'Exhibit F'!N91+'Exhibit I'!O57</f>
        <v>14.199999999999996</v>
      </c>
      <c r="N100" s="245"/>
      <c r="O100" s="245">
        <f>+'Exhibit G'!P76+'Exhibit F'!P91+'Exhibit I'!Q57</f>
        <v>12.600000000000005</v>
      </c>
      <c r="P100" s="245"/>
      <c r="Q100" s="245">
        <f>+'Exhibit G'!R76+'Exhibit F'!R91+'Exhibit I'!S57</f>
        <v>13.499999999999993</v>
      </c>
      <c r="R100" s="245"/>
      <c r="S100" s="245"/>
      <c r="T100" s="245"/>
      <c r="U100" s="245"/>
      <c r="V100" s="245"/>
      <c r="W100" s="245"/>
      <c r="X100" s="245"/>
      <c r="Y100" s="245"/>
      <c r="Z100" s="245"/>
      <c r="AA100" s="246"/>
      <c r="AB100" s="245">
        <f t="shared" si="15"/>
        <v>104.4</v>
      </c>
      <c r="AC100" s="245"/>
      <c r="AD100" s="1175"/>
      <c r="AE100" s="245">
        <f>+'Exhibit G'!AG76+'Exhibit F'!AF91+'Exhibit I'!AI57</f>
        <v>92.999999999999986</v>
      </c>
      <c r="AF100" s="245"/>
      <c r="AG100" s="245"/>
      <c r="AH100" s="245">
        <f t="shared" si="16"/>
        <v>11.4</v>
      </c>
      <c r="AI100" s="79"/>
      <c r="AJ100" s="477">
        <f t="shared" si="22"/>
        <v>0.123</v>
      </c>
    </row>
    <row r="101" spans="1:45" ht="16.5" customHeight="1">
      <c r="A101" s="427" t="s">
        <v>451</v>
      </c>
      <c r="B101" s="427"/>
      <c r="C101" s="245">
        <f>+'Exhibit F'!D92+'Exhibit G'!D77+'Exhibit I'!E58</f>
        <v>4.8</v>
      </c>
      <c r="D101" s="245"/>
      <c r="E101" s="245">
        <f>+'Exhibit F'!F92+'Exhibit G'!F77+'Exhibit I'!G58</f>
        <v>1.2000000000000002</v>
      </c>
      <c r="F101" s="245"/>
      <c r="G101" s="245">
        <f>+'Exhibit F'!H92+'Exhibit G'!H77+'Exhibit I'!I58</f>
        <v>2</v>
      </c>
      <c r="H101" s="245"/>
      <c r="I101" s="245">
        <f>+'Exhibit F'!J92+'Exhibit G'!J77+'Exhibit I'!K58</f>
        <v>25</v>
      </c>
      <c r="J101" s="245"/>
      <c r="K101" s="245">
        <f>+'Exhibit F'!L92+'Exhibit G'!L77+'Exhibit I'!M58</f>
        <v>34.899999999999991</v>
      </c>
      <c r="L101" s="245"/>
      <c r="M101" s="245">
        <f>+'Exhibit F'!N92+'Exhibit G'!N77+'Exhibit I'!O58</f>
        <v>0.40000000000000424</v>
      </c>
      <c r="N101" s="245"/>
      <c r="O101" s="245">
        <f>+'Exhibit F'!P92+'Exhibit G'!P77+'Exhibit I'!Q58</f>
        <v>1.1999999999999948</v>
      </c>
      <c r="P101" s="245"/>
      <c r="Q101" s="245">
        <f>+'Exhibit F'!R92+'Exhibit G'!R77+'Exhibit I'!S58</f>
        <v>13.200000000000006</v>
      </c>
      <c r="R101" s="245"/>
      <c r="S101" s="245"/>
      <c r="T101" s="245"/>
      <c r="U101" s="245"/>
      <c r="V101" s="245"/>
      <c r="W101" s="245"/>
      <c r="X101" s="245"/>
      <c r="Y101" s="245"/>
      <c r="Z101" s="245"/>
      <c r="AA101" s="246"/>
      <c r="AB101" s="245">
        <f t="shared" si="15"/>
        <v>82.7</v>
      </c>
      <c r="AC101" s="245"/>
      <c r="AD101" s="1175"/>
      <c r="AE101" s="245">
        <f>+'Exhibit F'!AF92+'Exhibit G'!AG77+'Exhibit I'!AI58</f>
        <v>219.4</v>
      </c>
      <c r="AF101" s="245"/>
      <c r="AG101" s="245"/>
      <c r="AH101" s="245">
        <f t="shared" si="16"/>
        <v>-136.69999999999999</v>
      </c>
      <c r="AI101" s="79"/>
      <c r="AJ101" s="1173">
        <f t="shared" si="22"/>
        <v>-0.623</v>
      </c>
    </row>
    <row r="102" spans="1:45" ht="16.5" customHeight="1">
      <c r="A102" s="427" t="s">
        <v>452</v>
      </c>
      <c r="B102" s="427"/>
      <c r="C102" s="245">
        <f>+'Exhibit F'!D93+'Exhibit G'!D78</f>
        <v>13.1</v>
      </c>
      <c r="D102" s="245"/>
      <c r="E102" s="245">
        <f>+'Exhibit F'!F93+'Exhibit G'!F78</f>
        <v>-3.9000000000000004</v>
      </c>
      <c r="F102" s="245"/>
      <c r="G102" s="245">
        <f>+'Exhibit F'!H93+'Exhibit G'!H78</f>
        <v>1</v>
      </c>
      <c r="H102" s="245"/>
      <c r="I102" s="245">
        <f>+'Exhibit F'!J93+'Exhibit G'!J78</f>
        <v>11.400000000000002</v>
      </c>
      <c r="J102" s="245"/>
      <c r="K102" s="245">
        <f>+'Exhibit F'!L93+'Exhibit G'!L78</f>
        <v>1.2999999999999972</v>
      </c>
      <c r="L102" s="245"/>
      <c r="M102" s="245">
        <f>+'Exhibit F'!N93+'Exhibit G'!N78</f>
        <v>2.7000000000000028</v>
      </c>
      <c r="N102" s="245"/>
      <c r="O102" s="245">
        <f>+'Exhibit F'!P93+'Exhibit G'!P78</f>
        <v>1.5999999999999979</v>
      </c>
      <c r="P102" s="245"/>
      <c r="Q102" s="245">
        <f>+'Exhibit F'!R93+'Exhibit G'!R78</f>
        <v>1.6000000000000014</v>
      </c>
      <c r="R102" s="245"/>
      <c r="S102" s="245"/>
      <c r="T102" s="245"/>
      <c r="U102" s="245"/>
      <c r="V102" s="245"/>
      <c r="W102" s="245"/>
      <c r="X102" s="245"/>
      <c r="Y102" s="245"/>
      <c r="Z102" s="245"/>
      <c r="AA102" s="246"/>
      <c r="AB102" s="245">
        <f t="shared" si="15"/>
        <v>28.8</v>
      </c>
      <c r="AC102" s="245"/>
      <c r="AD102" s="1175"/>
      <c r="AE102" s="245">
        <f>+'Exhibit F'!AF93+'Exhibit G'!AG78</f>
        <v>10</v>
      </c>
      <c r="AF102" s="245"/>
      <c r="AG102" s="245"/>
      <c r="AH102" s="245">
        <f t="shared" si="16"/>
        <v>18.8</v>
      </c>
      <c r="AI102" s="79"/>
      <c r="AJ102" s="477">
        <f t="shared" si="22"/>
        <v>1.88</v>
      </c>
    </row>
    <row r="103" spans="1:45" ht="16.5" customHeight="1">
      <c r="A103" s="427" t="s">
        <v>453</v>
      </c>
      <c r="B103" s="427"/>
      <c r="C103" s="245">
        <f>+'Exhibit F'!D94+'Exhibit G'!D79+'Exhibit I'!E59+'Exhibit H'!B48</f>
        <v>83.4</v>
      </c>
      <c r="D103" s="245"/>
      <c r="E103" s="245">
        <f>+'Exhibit F'!F94+'Exhibit G'!F79+'Exhibit I'!G59+'Exhibit H'!D48</f>
        <v>105</v>
      </c>
      <c r="F103" s="245"/>
      <c r="G103" s="245">
        <f>+'Exhibit F'!H94+'Exhibit G'!H79+'Exhibit I'!I59+'Exhibit H'!F48</f>
        <v>114.89999999999999</v>
      </c>
      <c r="H103" s="245"/>
      <c r="I103" s="245">
        <f>+'Exhibit F'!J94+'Exhibit G'!J79+'Exhibit I'!K59+'Exhibit H'!H48</f>
        <v>68.40000000000002</v>
      </c>
      <c r="J103" s="245"/>
      <c r="K103" s="245">
        <f>+'Exhibit F'!L94+'Exhibit G'!L79+'Exhibit I'!M59+'Exhibit H'!J48</f>
        <v>-25.800000000000018</v>
      </c>
      <c r="L103" s="245"/>
      <c r="M103" s="245">
        <f>+'Exhibit F'!N94+'Exhibit G'!N79+'Exhibit I'!O59+'Exhibit H'!L48</f>
        <v>48.700000000000031</v>
      </c>
      <c r="N103" s="245"/>
      <c r="O103" s="245">
        <f>+'Exhibit F'!P94+'Exhibit G'!P79+'Exhibit I'!Q59+'Exhibit H'!N48</f>
        <v>51.499999999999979</v>
      </c>
      <c r="P103" s="245"/>
      <c r="Q103" s="245">
        <f>+'Exhibit F'!R94+'Exhibit G'!R79+'Exhibit I'!S59+'Exhibit H'!P48</f>
        <v>53.500000000000014</v>
      </c>
      <c r="R103" s="245"/>
      <c r="S103" s="245"/>
      <c r="T103" s="245"/>
      <c r="U103" s="245"/>
      <c r="V103" s="245"/>
      <c r="W103" s="245"/>
      <c r="X103" s="245"/>
      <c r="Y103" s="245"/>
      <c r="Z103" s="245"/>
      <c r="AA103" s="246"/>
      <c r="AB103" s="245">
        <f t="shared" si="15"/>
        <v>499.6</v>
      </c>
      <c r="AC103" s="245"/>
      <c r="AD103" s="1175"/>
      <c r="AE103" s="245">
        <f>+'Exhibit F'!AF94+'Exhibit G'!AG79+'Exhibit I'!AI59+'Exhibit H'!AD48</f>
        <v>527.80000000000007</v>
      </c>
      <c r="AF103" s="245"/>
      <c r="AG103" s="245"/>
      <c r="AH103" s="245">
        <f t="shared" si="16"/>
        <v>-28.2</v>
      </c>
      <c r="AI103" s="79"/>
      <c r="AJ103" s="1173">
        <f t="shared" si="22"/>
        <v>-5.2999999999999999E-2</v>
      </c>
    </row>
    <row r="104" spans="1:45" ht="16.5" customHeight="1">
      <c r="A104" s="427" t="s">
        <v>454</v>
      </c>
      <c r="B104" s="427"/>
      <c r="C104" s="245">
        <f>+'Exhibit F'!D95+'Exhibit G'!D80+'Exhibit I'!E60+'Exhibit H'!B49</f>
        <v>0.6</v>
      </c>
      <c r="D104" s="245"/>
      <c r="E104" s="245">
        <f>+'Exhibit F'!F95+'Exhibit G'!F80+'Exhibit I'!G60+'Exhibit H'!D49</f>
        <v>2.3000000000000003</v>
      </c>
      <c r="F104" s="245"/>
      <c r="G104" s="245">
        <f>+'Exhibit F'!H95+'Exhibit G'!H80+'Exhibit I'!I60+'Exhibit H'!F49</f>
        <v>1.1999999999999997</v>
      </c>
      <c r="H104" s="245"/>
      <c r="I104" s="245">
        <f>+'Exhibit F'!J95+'Exhibit G'!J80+'Exhibit I'!K60+'Exhibit H'!H49</f>
        <v>1.3000000000000003</v>
      </c>
      <c r="J104" s="245"/>
      <c r="K104" s="245">
        <f>+'Exhibit F'!L95+'Exhibit G'!L80+'Exhibit I'!M60+'Exhibit H'!J49</f>
        <v>1.6</v>
      </c>
      <c r="L104" s="245"/>
      <c r="M104" s="245">
        <f>+'Exhibit F'!N95+'Exhibit G'!N80+'Exhibit I'!O60+'Exhibit H'!L49</f>
        <v>1.2000000000000011</v>
      </c>
      <c r="N104" s="245"/>
      <c r="O104" s="245">
        <f>+'Exhibit F'!P95+'Exhibit G'!P80+'Exhibit I'!Q60+'Exhibit H'!N49</f>
        <v>0.5</v>
      </c>
      <c r="P104" s="245"/>
      <c r="Q104" s="245">
        <f>+'Exhibit F'!R95+'Exhibit G'!R80+'Exhibit I'!S60+'Exhibit H'!P49</f>
        <v>2.8999999999999995</v>
      </c>
      <c r="R104" s="245"/>
      <c r="S104" s="245"/>
      <c r="T104" s="245"/>
      <c r="U104" s="245"/>
      <c r="V104" s="245"/>
      <c r="W104" s="245"/>
      <c r="X104" s="245"/>
      <c r="Y104" s="245"/>
      <c r="Z104" s="245"/>
      <c r="AA104" s="246"/>
      <c r="AB104" s="245">
        <f t="shared" si="15"/>
        <v>11.6</v>
      </c>
      <c r="AC104" s="245"/>
      <c r="AD104" s="1175"/>
      <c r="AE104" s="245">
        <f>+'Exhibit F'!AF95+'Exhibit G'!AG80+'Exhibit I'!AI60+'Exhibit H'!AD49</f>
        <v>11</v>
      </c>
      <c r="AF104" s="245"/>
      <c r="AG104" s="245"/>
      <c r="AH104" s="245">
        <f t="shared" si="16"/>
        <v>0.6</v>
      </c>
      <c r="AI104" s="79"/>
      <c r="AJ104" s="477">
        <f t="shared" si="22"/>
        <v>5.5E-2</v>
      </c>
    </row>
    <row r="105" spans="1:45" ht="16.5" customHeight="1">
      <c r="A105" s="427" t="s">
        <v>455</v>
      </c>
      <c r="B105" s="427"/>
      <c r="C105" s="245">
        <f>+'Exhibit G'!D81</f>
        <v>-25.2</v>
      </c>
      <c r="D105" s="245"/>
      <c r="E105" s="245">
        <f>+'Exhibit G'!F81</f>
        <v>31.299999999999997</v>
      </c>
      <c r="F105" s="245"/>
      <c r="G105" s="245">
        <f>+'Exhibit G'!H81</f>
        <v>60.900000000000006</v>
      </c>
      <c r="H105" s="245"/>
      <c r="I105" s="245">
        <f>+'Exhibit G'!J81</f>
        <v>14.699999999999989</v>
      </c>
      <c r="J105" s="245"/>
      <c r="K105" s="245">
        <f>+'Exhibit G'!L81</f>
        <v>217.4</v>
      </c>
      <c r="L105" s="245"/>
      <c r="M105" s="245">
        <f>+'Exhibit G'!N81</f>
        <v>268.70000000000005</v>
      </c>
      <c r="N105" s="245"/>
      <c r="O105" s="245">
        <f>+'Exhibit G'!P81</f>
        <v>152.60000000000002</v>
      </c>
      <c r="P105" s="245"/>
      <c r="Q105" s="245">
        <f>+'Exhibit G'!R81</f>
        <v>38</v>
      </c>
      <c r="R105" s="245"/>
      <c r="S105" s="245"/>
      <c r="T105" s="245"/>
      <c r="U105" s="245"/>
      <c r="V105" s="245"/>
      <c r="W105" s="245"/>
      <c r="X105" s="245"/>
      <c r="Y105" s="245"/>
      <c r="Z105" s="245"/>
      <c r="AA105" s="246"/>
      <c r="AB105" s="245">
        <f t="shared" si="15"/>
        <v>758.4</v>
      </c>
      <c r="AC105" s="245"/>
      <c r="AD105" s="1175"/>
      <c r="AE105" s="245">
        <f>+'Exhibit G'!AG81</f>
        <v>771.5</v>
      </c>
      <c r="AF105" s="245"/>
      <c r="AG105" s="245"/>
      <c r="AH105" s="245">
        <f t="shared" si="16"/>
        <v>-13.1</v>
      </c>
      <c r="AI105" s="79"/>
      <c r="AJ105" s="477">
        <f>ROUND(IF(AE105=0,0,AH105/ABS(AE105)),3)</f>
        <v>-1.7000000000000001E-2</v>
      </c>
    </row>
    <row r="106" spans="1:45" s="180" customFormat="1" ht="16.5" customHeight="1">
      <c r="A106" s="118" t="s">
        <v>456</v>
      </c>
      <c r="B106" s="72"/>
      <c r="C106" s="842">
        <f>ROUND(SUM(C64:C105),1)</f>
        <v>2345.5</v>
      </c>
      <c r="D106" s="531"/>
      <c r="E106" s="842">
        <f>ROUND(SUM(E64:E105),1)</f>
        <v>2077.8000000000002</v>
      </c>
      <c r="F106" s="531"/>
      <c r="G106" s="842">
        <f>ROUND(SUM(G64:G105),1)</f>
        <v>3140.1</v>
      </c>
      <c r="H106" s="16"/>
      <c r="I106" s="842">
        <f>ROUND(SUM(I64:I105),1)</f>
        <v>3059.5</v>
      </c>
      <c r="J106" s="16"/>
      <c r="K106" s="842">
        <f>ROUND(SUM(K64:K105),1)</f>
        <v>2942.3</v>
      </c>
      <c r="L106" s="16"/>
      <c r="M106" s="842">
        <f>ROUND(SUM(M64:M105),1)</f>
        <v>3468.9</v>
      </c>
      <c r="N106" s="16"/>
      <c r="O106" s="842">
        <f>ROUND(SUM(O64:O105),1)</f>
        <v>2482</v>
      </c>
      <c r="P106" s="16"/>
      <c r="Q106" s="842">
        <f>ROUND(SUM(Q64:Q105),1)</f>
        <v>2348.6</v>
      </c>
      <c r="R106" s="16"/>
      <c r="S106" s="842">
        <f>ROUND(SUM(S64:S105),1)</f>
        <v>0</v>
      </c>
      <c r="T106" s="16"/>
      <c r="U106" s="842">
        <f>ROUND(SUM(U64:U105),1)</f>
        <v>0</v>
      </c>
      <c r="V106" s="16"/>
      <c r="W106" s="842">
        <f>ROUND(SUM(W64:W105),1)</f>
        <v>0</v>
      </c>
      <c r="X106" s="51"/>
      <c r="Y106" s="842">
        <f>ROUND(SUM(Y64:Y105),1)</f>
        <v>0</v>
      </c>
      <c r="Z106" s="51"/>
      <c r="AA106" s="101"/>
      <c r="AB106" s="842">
        <f>ROUND(SUM(AB64:AB105),1)</f>
        <v>21864.7</v>
      </c>
      <c r="AC106" s="16"/>
      <c r="AD106" s="18"/>
      <c r="AE106" s="842">
        <f>ROUND(SUM(AE64:AE105),1)</f>
        <v>20312.3</v>
      </c>
      <c r="AF106" s="16"/>
      <c r="AG106" s="1176"/>
      <c r="AH106" s="842">
        <f>ROUND(SUM(AH64:AH105),1)</f>
        <v>1552.4</v>
      </c>
      <c r="AI106" s="16"/>
      <c r="AJ106" s="1509">
        <f>ROUND(IF(AE106=0,0,AH106/ABS(AE106)),3)</f>
        <v>7.5999999999999998E-2</v>
      </c>
      <c r="AL106" s="73"/>
    </row>
    <row r="107" spans="1:45" s="180" customFormat="1" ht="16.5" customHeight="1">
      <c r="A107" s="238"/>
      <c r="B107" s="238"/>
      <c r="C107" s="248"/>
      <c r="D107" s="248"/>
      <c r="E107" s="248"/>
      <c r="F107" s="248"/>
      <c r="G107" s="248"/>
      <c r="H107" s="248"/>
      <c r="I107" s="248"/>
      <c r="J107" s="248"/>
      <c r="K107" s="248"/>
      <c r="L107" s="248"/>
      <c r="M107" s="248"/>
      <c r="N107" s="248"/>
      <c r="O107" s="248"/>
      <c r="P107" s="248"/>
      <c r="Q107" s="248"/>
      <c r="R107" s="248"/>
      <c r="S107" s="248"/>
      <c r="T107" s="248"/>
      <c r="U107" s="248"/>
      <c r="V107" s="248"/>
      <c r="W107" s="248"/>
      <c r="X107" s="248"/>
      <c r="Y107" s="248" t="s">
        <v>104</v>
      </c>
      <c r="Z107" s="248"/>
      <c r="AA107" s="249"/>
      <c r="AB107" s="248" t="s">
        <v>104</v>
      </c>
      <c r="AC107" s="248"/>
      <c r="AD107" s="249"/>
      <c r="AE107" s="248"/>
      <c r="AF107" s="248"/>
      <c r="AG107" s="248"/>
      <c r="AH107" s="248"/>
      <c r="AI107" s="238"/>
      <c r="AJ107" s="107"/>
      <c r="AL107" s="73"/>
    </row>
    <row r="108" spans="1:45" ht="16.5" customHeight="1">
      <c r="A108" s="79" t="s">
        <v>121</v>
      </c>
      <c r="B108" s="79"/>
      <c r="C108" s="247">
        <f>+'Exhibit F'!D98+'Exhibit G'!D84+'Exhibit H'!B52+'Exhibit I'!E63</f>
        <v>8938.8000000000011</v>
      </c>
      <c r="D108" s="245"/>
      <c r="E108" s="247">
        <f>+'Exhibit F'!F98+'Exhibit G'!F84+'Exhibit H'!D52+'Exhibit I'!G63</f>
        <v>7674.5999999999995</v>
      </c>
      <c r="F108" s="247"/>
      <c r="G108" s="247">
        <f>+'Exhibit F'!H98+'Exhibit G'!H84+'Exhibit H'!F52+'Exhibit I'!I63</f>
        <v>11590.6</v>
      </c>
      <c r="H108" s="245"/>
      <c r="I108" s="247">
        <f>+'Exhibit F'!J98+'Exhibit G'!J84+'Exhibit H'!H52+'Exhibit I'!K63</f>
        <v>7448.8000000000056</v>
      </c>
      <c r="J108" s="245"/>
      <c r="K108" s="247">
        <f>+'Exhibit F'!L98+'Exhibit G'!L84+'Exhibit H'!J52+'Exhibit I'!M63</f>
        <v>7293.6999999999925</v>
      </c>
      <c r="L108" s="245"/>
      <c r="M108" s="247">
        <f>+'Exhibit F'!N98+'Exhibit G'!N84+'Exhibit H'!L52+'Exhibit I'!O63</f>
        <v>6183.6000000000013</v>
      </c>
      <c r="N108" s="245"/>
      <c r="O108" s="247">
        <f>+'Exhibit F'!P98+'Exhibit G'!P84+'Exhibit H'!N52+'Exhibit I'!Q63</f>
        <v>6789.4000000000078</v>
      </c>
      <c r="P108" s="245"/>
      <c r="Q108" s="247">
        <f>+'Exhibit F'!R98+'Exhibit G'!R84+'Exhibit H'!P52+'Exhibit I'!S63</f>
        <v>8026.3999999999942</v>
      </c>
      <c r="R108" s="245"/>
      <c r="S108" s="247"/>
      <c r="T108" s="245"/>
      <c r="U108" s="247"/>
      <c r="V108" s="245"/>
      <c r="W108" s="247"/>
      <c r="X108" s="245"/>
      <c r="Y108" s="247"/>
      <c r="Z108" s="245"/>
      <c r="AA108" s="246"/>
      <c r="AB108" s="247">
        <f>ROUND(SUM(C108:Y108),1)</f>
        <v>63945.9</v>
      </c>
      <c r="AC108" s="245"/>
      <c r="AD108" s="1175"/>
      <c r="AE108" s="247">
        <f>+'Exhibit F'!AF98+'Exhibit G'!AG84+'Exhibit H'!AD52+'Exhibit I'!AI63</f>
        <v>54123.9</v>
      </c>
      <c r="AF108" s="245"/>
      <c r="AG108" s="245"/>
      <c r="AH108" s="247">
        <f>ROUND(SUM(AB108-AE108),1)</f>
        <v>9822</v>
      </c>
      <c r="AI108" s="79"/>
      <c r="AJ108" s="1177">
        <f>ROUND(IF(AE108=0,0,AH108/ABS(AE108)),3)</f>
        <v>0.18099999999999999</v>
      </c>
    </row>
    <row r="109" spans="1:45" ht="16.5" customHeight="1">
      <c r="A109" s="79"/>
      <c r="B109" s="79"/>
      <c r="C109" s="245"/>
      <c r="D109" s="245"/>
      <c r="E109" s="245"/>
      <c r="F109" s="245"/>
      <c r="G109" s="245"/>
      <c r="H109" s="245"/>
      <c r="I109" s="245"/>
      <c r="J109" s="245"/>
      <c r="K109" s="245"/>
      <c r="L109" s="245"/>
      <c r="M109" s="245"/>
      <c r="N109" s="245"/>
      <c r="O109" s="245"/>
      <c r="P109" s="245"/>
      <c r="Q109" s="245"/>
      <c r="R109" s="245"/>
      <c r="S109" s="245"/>
      <c r="T109" s="245"/>
      <c r="U109" s="245"/>
      <c r="V109" s="245"/>
      <c r="W109" s="245"/>
      <c r="X109" s="245"/>
      <c r="Y109" s="245"/>
      <c r="Z109" s="245"/>
      <c r="AA109" s="246"/>
      <c r="AB109" s="245"/>
      <c r="AC109" s="245"/>
      <c r="AD109" s="1175"/>
      <c r="AE109" s="245"/>
      <c r="AF109" s="245"/>
      <c r="AG109" s="245"/>
      <c r="AH109" s="245"/>
      <c r="AI109" s="79"/>
      <c r="AJ109" s="1511"/>
    </row>
    <row r="110" spans="1:45" ht="16.5" customHeight="1">
      <c r="A110" s="6" t="s">
        <v>457</v>
      </c>
      <c r="B110" s="466"/>
      <c r="C110" s="434">
        <f>ROUND(SUM(C108+C106+C60),1)</f>
        <v>22191.9</v>
      </c>
      <c r="D110" s="16"/>
      <c r="E110" s="434">
        <f>ROUND(SUM(E108+E106+E60),1)</f>
        <v>14357.8</v>
      </c>
      <c r="F110" s="16"/>
      <c r="G110" s="434">
        <f>ROUND(SUM(G108+G106+G60),1)</f>
        <v>26847.5</v>
      </c>
      <c r="H110" s="16"/>
      <c r="I110" s="434">
        <f>ROUND(SUM(I108+I106+I60),1)</f>
        <v>16207.9</v>
      </c>
      <c r="J110" s="16"/>
      <c r="K110" s="434">
        <f>ROUND(SUM(K108+K106+K60),1)</f>
        <v>16251.8</v>
      </c>
      <c r="L110" s="16"/>
      <c r="M110" s="434">
        <f>ROUND(SUM(M108+M106+M60),1)</f>
        <v>21796.3</v>
      </c>
      <c r="N110" s="16"/>
      <c r="O110" s="434">
        <f>ROUND(SUM(O108+O106+O60),1)</f>
        <v>12995.1</v>
      </c>
      <c r="P110" s="16"/>
      <c r="Q110" s="434">
        <f>ROUND(SUM(Q108+Q106+Q60),1)</f>
        <v>15964</v>
      </c>
      <c r="R110" s="16"/>
      <c r="S110" s="434">
        <f>ROUND(SUM(S108+S106+S60),1)</f>
        <v>0</v>
      </c>
      <c r="T110" s="16"/>
      <c r="U110" s="434">
        <f>ROUND(SUM(U108+U106+U60),1)</f>
        <v>0</v>
      </c>
      <c r="V110" s="16"/>
      <c r="W110" s="434">
        <f>ROUND(SUM(W108+W106+W60),1)</f>
        <v>0</v>
      </c>
      <c r="X110" s="51"/>
      <c r="Y110" s="434">
        <f>ROUND(SUM(Y108+Y106+Y60),1)</f>
        <v>0</v>
      </c>
      <c r="Z110" s="1997"/>
      <c r="AA110" s="6"/>
      <c r="AB110" s="434">
        <f>ROUND(SUM(AB108+AB106+AB60),1)</f>
        <v>146612.29999999999</v>
      </c>
      <c r="AC110" s="16"/>
      <c r="AD110" s="18"/>
      <c r="AE110" s="434">
        <f>ROUND(SUM(AE108+AE106+AE60),1)</f>
        <v>141463.20000000001</v>
      </c>
      <c r="AF110" s="16"/>
      <c r="AG110" s="1176"/>
      <c r="AH110" s="434">
        <f>ROUND(SUM(AH108+AH106+AH60),1)</f>
        <v>5149.1000000000004</v>
      </c>
      <c r="AI110" s="16"/>
      <c r="AJ110" s="1174">
        <f>ROUND(IF(AE110=0,0,AH110/ABS(AE110)),3)</f>
        <v>3.5999999999999997E-2</v>
      </c>
      <c r="AK110" s="180"/>
      <c r="AM110" s="180"/>
      <c r="AN110" s="180"/>
      <c r="AO110" s="180"/>
      <c r="AP110" s="180"/>
      <c r="AQ110" s="180"/>
      <c r="AR110" s="180"/>
      <c r="AS110" s="180"/>
    </row>
    <row r="111" spans="1:45" ht="16.5" customHeight="1">
      <c r="A111" s="51"/>
      <c r="B111" s="79"/>
      <c r="C111" s="14"/>
      <c r="D111" s="245"/>
      <c r="E111" s="14"/>
      <c r="F111" s="245"/>
      <c r="G111" s="14"/>
      <c r="H111" s="245"/>
      <c r="I111" s="14"/>
      <c r="J111" s="245"/>
      <c r="K111" s="14"/>
      <c r="L111" s="245"/>
      <c r="M111" s="14"/>
      <c r="N111" s="245"/>
      <c r="O111" s="14"/>
      <c r="P111" s="245"/>
      <c r="Q111" s="14"/>
      <c r="R111" s="245"/>
      <c r="S111" s="14"/>
      <c r="T111" s="245"/>
      <c r="U111" s="14"/>
      <c r="V111" s="245"/>
      <c r="W111" s="14"/>
      <c r="X111" s="245"/>
      <c r="Y111" s="14"/>
      <c r="Z111" s="245"/>
      <c r="AA111" s="246"/>
      <c r="AB111" s="14"/>
      <c r="AC111" s="245"/>
      <c r="AD111" s="1175"/>
      <c r="AE111" s="14"/>
      <c r="AF111" s="245"/>
      <c r="AG111" s="245"/>
      <c r="AH111" s="325"/>
      <c r="AI111" s="79"/>
      <c r="AJ111" s="329"/>
    </row>
    <row r="112" spans="1:45" ht="16.5" customHeight="1">
      <c r="A112" s="51" t="s">
        <v>123</v>
      </c>
      <c r="B112" s="79"/>
      <c r="C112" s="245"/>
      <c r="D112" s="245"/>
      <c r="E112" s="245"/>
      <c r="F112" s="245"/>
      <c r="G112" s="245"/>
      <c r="H112" s="245"/>
      <c r="I112" s="245"/>
      <c r="J112" s="245"/>
      <c r="K112" s="245"/>
      <c r="L112" s="245"/>
      <c r="M112" s="245"/>
      <c r="N112" s="245"/>
      <c r="O112" s="245"/>
      <c r="P112" s="245"/>
      <c r="Q112" s="245"/>
      <c r="R112" s="245"/>
      <c r="S112" s="245"/>
      <c r="T112" s="245"/>
      <c r="U112" s="245"/>
      <c r="V112" s="245"/>
      <c r="W112" s="245"/>
      <c r="X112" s="245"/>
      <c r="Y112" s="245"/>
      <c r="Z112" s="245"/>
      <c r="AA112" s="246"/>
      <c r="AB112" s="245"/>
      <c r="AC112" s="245"/>
      <c r="AD112" s="1175"/>
      <c r="AE112" s="245"/>
      <c r="AF112" s="245"/>
      <c r="AG112" s="245"/>
      <c r="AH112" s="325"/>
      <c r="AI112" s="79"/>
      <c r="AJ112" s="329"/>
    </row>
    <row r="113" spans="1:37" ht="16.5" customHeight="1">
      <c r="A113" s="79" t="s">
        <v>458</v>
      </c>
      <c r="B113" s="79"/>
      <c r="C113" s="245"/>
      <c r="D113" s="245"/>
      <c r="E113" s="245"/>
      <c r="F113" s="245"/>
      <c r="G113" s="245"/>
      <c r="H113" s="245"/>
      <c r="I113" s="245"/>
      <c r="J113" s="245"/>
      <c r="K113" s="245"/>
      <c r="L113" s="245"/>
      <c r="M113" s="245"/>
      <c r="N113" s="245"/>
      <c r="O113" s="245"/>
      <c r="P113" s="245"/>
      <c r="Q113" s="245"/>
      <c r="R113" s="245"/>
      <c r="S113" s="245"/>
      <c r="T113" s="245"/>
      <c r="U113" s="245"/>
      <c r="V113" s="245"/>
      <c r="W113" s="245"/>
      <c r="X113" s="245"/>
      <c r="Y113" s="245"/>
      <c r="Z113" s="245"/>
      <c r="AA113" s="246"/>
      <c r="AB113" s="245"/>
      <c r="AC113" s="245"/>
      <c r="AD113" s="1175"/>
      <c r="AE113" s="325"/>
      <c r="AF113" s="245"/>
      <c r="AG113" s="245"/>
      <c r="AH113" s="245"/>
      <c r="AI113" s="79"/>
      <c r="AJ113" s="344"/>
    </row>
    <row r="114" spans="1:37" ht="16.5" customHeight="1">
      <c r="A114" s="1018" t="s">
        <v>125</v>
      </c>
      <c r="B114" s="79"/>
      <c r="C114" s="245">
        <f>+'Exhibit F'!D104+'Exhibit G'!D90+'Exhibit I'!E69</f>
        <v>2141.1999999999998</v>
      </c>
      <c r="D114" s="245"/>
      <c r="E114" s="245">
        <f>+'Exhibit F'!F104+'Exhibit G'!F90+'Exhibit I'!G69</f>
        <v>5033.5</v>
      </c>
      <c r="F114" s="245"/>
      <c r="G114" s="245">
        <f>+'Exhibit F'!H104+'Exhibit G'!H90+'Exhibit I'!I69</f>
        <v>3969.6999999999994</v>
      </c>
      <c r="H114" s="245"/>
      <c r="I114" s="245">
        <f>+'Exhibit F'!J104+'Exhibit G'!J90+'Exhibit I'!K69</f>
        <v>1227.3999999999996</v>
      </c>
      <c r="J114" s="245"/>
      <c r="K114" s="245">
        <f>+'Exhibit F'!L104+'Exhibit G'!L90+'Exhibit I'!M69</f>
        <v>2127.2999999999997</v>
      </c>
      <c r="L114" s="245"/>
      <c r="M114" s="245">
        <f>+'Exhibit F'!N104+'Exhibit G'!N90+'Exhibit I'!O69</f>
        <v>5522.6000000000013</v>
      </c>
      <c r="N114" s="245"/>
      <c r="O114" s="245">
        <f>+'Exhibit F'!P104+'Exhibit G'!P90+'Exhibit I'!Q69</f>
        <v>2231.7000000000007</v>
      </c>
      <c r="P114" s="245"/>
      <c r="Q114" s="245">
        <f>+'Exhibit F'!R104+'Exhibit G'!R90+'Exhibit I'!S69</f>
        <v>3861.1000000000008</v>
      </c>
      <c r="R114" s="245"/>
      <c r="S114" s="245"/>
      <c r="T114" s="245"/>
      <c r="U114" s="245"/>
      <c r="V114" s="245"/>
      <c r="W114" s="245"/>
      <c r="X114" s="245"/>
      <c r="Y114" s="245"/>
      <c r="Z114" s="245"/>
      <c r="AA114" s="246"/>
      <c r="AB114" s="325">
        <f>ROUND(SUM(C114:Y114),1)</f>
        <v>26114.5</v>
      </c>
      <c r="AC114" s="245"/>
      <c r="AD114" s="1175"/>
      <c r="AE114" s="325">
        <f>+'Exhibit F'!AF104+'Exhibit G'!AG90+'Exhibit I'!AI69</f>
        <v>22621.5</v>
      </c>
      <c r="AF114" s="245"/>
      <c r="AG114" s="245"/>
      <c r="AH114" s="245">
        <f>ROUND(SUM(AB114-AE114),1)</f>
        <v>3493</v>
      </c>
      <c r="AI114" s="79"/>
      <c r="AJ114" s="477">
        <f>ROUND(IF(AE114=0,0,AH114/ABS(AE114)),3)</f>
        <v>0.154</v>
      </c>
    </row>
    <row r="115" spans="1:37" ht="16.5" customHeight="1">
      <c r="A115" s="1018" t="s">
        <v>126</v>
      </c>
      <c r="B115" s="79"/>
      <c r="C115" s="245">
        <f>+'Exhibit F'!D105+'Exhibit G'!D91+'Exhibit I'!E70</f>
        <v>82.399999999999991</v>
      </c>
      <c r="D115" s="245"/>
      <c r="E115" s="245">
        <f>+'Exhibit F'!F105+'Exhibit G'!F91+'Exhibit I'!G70</f>
        <v>13.500000000000007</v>
      </c>
      <c r="F115" s="245"/>
      <c r="G115" s="245">
        <f>+'Exhibit F'!H105+'Exhibit G'!H91+'Exhibit I'!I70</f>
        <v>12.1</v>
      </c>
      <c r="H115" s="245"/>
      <c r="I115" s="245">
        <f>+'Exhibit F'!J105+'Exhibit G'!J91+'Exhibit I'!K70</f>
        <v>205.79999999999998</v>
      </c>
      <c r="J115" s="245"/>
      <c r="K115" s="245">
        <f>+'Exhibit F'!L105+'Exhibit G'!L91+'Exhibit I'!M70</f>
        <v>55.999999999999993</v>
      </c>
      <c r="L115" s="245"/>
      <c r="M115" s="245">
        <f>+'Exhibit F'!N105+'Exhibit G'!N91+'Exhibit I'!O70</f>
        <v>13.900000000000009</v>
      </c>
      <c r="N115" s="245"/>
      <c r="O115" s="245">
        <f>+'Exhibit F'!P105+'Exhibit G'!P91+'Exhibit I'!Q70</f>
        <v>72.8</v>
      </c>
      <c r="P115" s="245"/>
      <c r="Q115" s="245">
        <f>+'Exhibit F'!R105+'Exhibit G'!R91+'Exhibit I'!S70</f>
        <v>60.199999999999996</v>
      </c>
      <c r="R115" s="245"/>
      <c r="S115" s="245"/>
      <c r="T115" s="245"/>
      <c r="U115" s="245"/>
      <c r="V115" s="245"/>
      <c r="W115" s="245"/>
      <c r="X115" s="245"/>
      <c r="Y115" s="245"/>
      <c r="Z115" s="245"/>
      <c r="AA115" s="246"/>
      <c r="AB115" s="325">
        <f t="shared" ref="AB115:AB122" si="23">ROUND(SUM(C115:Y115),1)</f>
        <v>516.70000000000005</v>
      </c>
      <c r="AC115" s="245"/>
      <c r="AD115" s="1175"/>
      <c r="AE115" s="325">
        <f>+'Exhibit F'!AF105+'Exhibit G'!AG91+'Exhibit I'!AI70</f>
        <v>223.79999999999998</v>
      </c>
      <c r="AF115" s="245"/>
      <c r="AG115" s="245"/>
      <c r="AH115" s="245">
        <f t="shared" ref="AH115:AH122" si="24">ROUND(SUM(AB115-AE115),1)</f>
        <v>292.89999999999998</v>
      </c>
      <c r="AI115" s="79"/>
      <c r="AJ115" s="1173">
        <f>ROUND(IF(AE115=0,0,AH115/ABS(AE115)),3)</f>
        <v>1.3089999999999999</v>
      </c>
    </row>
    <row r="116" spans="1:37" ht="16.5" customHeight="1">
      <c r="A116" s="1018" t="s">
        <v>127</v>
      </c>
      <c r="B116" s="79"/>
      <c r="C116" s="245">
        <f>+'Exhibit F'!D106+'Exhibit G'!D92+'Exhibit I'!E71</f>
        <v>68.8</v>
      </c>
      <c r="D116" s="245"/>
      <c r="E116" s="245">
        <f>+'Exhibit F'!F106+'Exhibit G'!F92+'Exhibit I'!G71</f>
        <v>142.10000000000002</v>
      </c>
      <c r="F116" s="245"/>
      <c r="G116" s="245">
        <f>+'Exhibit F'!H106+'Exhibit G'!H92+'Exhibit I'!I71</f>
        <v>512.4</v>
      </c>
      <c r="H116" s="245"/>
      <c r="I116" s="245">
        <f>+'Exhibit F'!J106+'Exhibit G'!J92+'Exhibit I'!K71</f>
        <v>61.400000000000048</v>
      </c>
      <c r="J116" s="245"/>
      <c r="K116" s="245">
        <f>+'Exhibit F'!L106+'Exhibit G'!L92+'Exhibit I'!M71</f>
        <v>92.599999999999952</v>
      </c>
      <c r="L116" s="245"/>
      <c r="M116" s="245">
        <f>+'Exhibit F'!N106+'Exhibit G'!N92+'Exhibit I'!O71</f>
        <v>228.2</v>
      </c>
      <c r="N116" s="245"/>
      <c r="O116" s="245">
        <f>+'Exhibit F'!P106+'Exhibit G'!P92+'Exhibit I'!Q71</f>
        <v>96.899999999999949</v>
      </c>
      <c r="P116" s="245"/>
      <c r="Q116" s="245">
        <f>+'Exhibit F'!R106+'Exhibit G'!R92+'Exhibit I'!S71</f>
        <v>101.40000000000008</v>
      </c>
      <c r="R116" s="245"/>
      <c r="S116" s="245"/>
      <c r="T116" s="245"/>
      <c r="U116" s="245"/>
      <c r="V116" s="245"/>
      <c r="W116" s="245"/>
      <c r="X116" s="245"/>
      <c r="Y116" s="245"/>
      <c r="Z116" s="245"/>
      <c r="AA116" s="246"/>
      <c r="AB116" s="325">
        <f t="shared" si="23"/>
        <v>1303.8</v>
      </c>
      <c r="AC116" s="245"/>
      <c r="AD116" s="1175"/>
      <c r="AE116" s="325">
        <f>+'Exhibit F'!AF106+'Exhibit G'!AG92+'Exhibit I'!AI71</f>
        <v>1864.8</v>
      </c>
      <c r="AF116" s="245"/>
      <c r="AG116" s="245"/>
      <c r="AH116" s="245">
        <f t="shared" si="24"/>
        <v>-561</v>
      </c>
      <c r="AI116" s="79"/>
      <c r="AJ116" s="477">
        <f>ROUND(IF(AE116=0,0,AH116/ABS(AE116)),3)</f>
        <v>-0.30099999999999999</v>
      </c>
    </row>
    <row r="117" spans="1:37" ht="16.5" customHeight="1">
      <c r="A117" s="1018" t="s">
        <v>128</v>
      </c>
      <c r="B117" s="79"/>
      <c r="C117" s="245"/>
      <c r="D117" s="245"/>
      <c r="E117" s="245"/>
      <c r="F117" s="245"/>
      <c r="G117" s="245"/>
      <c r="H117" s="245"/>
      <c r="I117" s="245"/>
      <c r="J117" s="245"/>
      <c r="K117" s="245"/>
      <c r="L117" s="245"/>
      <c r="M117" s="245"/>
      <c r="N117" s="245"/>
      <c r="O117" s="245"/>
      <c r="P117" s="245"/>
      <c r="Q117" s="245"/>
      <c r="R117" s="245"/>
      <c r="S117" s="245"/>
      <c r="T117" s="245"/>
      <c r="U117" s="245"/>
      <c r="V117" s="245"/>
      <c r="W117" s="245"/>
      <c r="X117" s="245"/>
      <c r="Y117" s="245"/>
      <c r="Z117" s="245"/>
      <c r="AA117" s="246"/>
      <c r="AB117" s="325"/>
      <c r="AC117" s="245"/>
      <c r="AD117" s="1175"/>
      <c r="AE117" s="336"/>
      <c r="AF117" s="245"/>
      <c r="AG117" s="245"/>
      <c r="AH117" s="245" t="s">
        <v>104</v>
      </c>
      <c r="AI117" s="79"/>
      <c r="AJ117" s="344"/>
    </row>
    <row r="118" spans="1:37" ht="16.5" customHeight="1">
      <c r="A118" s="1019" t="s">
        <v>129</v>
      </c>
      <c r="B118" s="79"/>
      <c r="C118" s="245">
        <f>+'Exhibit F'!D108+'Exhibit G'!D94+'Exhibit I'!E73</f>
        <v>8064.2999999999993</v>
      </c>
      <c r="D118" s="245"/>
      <c r="E118" s="245">
        <f>+'Exhibit F'!F108+'Exhibit G'!F94+'Exhibit I'!G73</f>
        <v>10775.4</v>
      </c>
      <c r="F118" s="245"/>
      <c r="G118" s="245">
        <f>+'Exhibit F'!H108+'Exhibit G'!H94+'Exhibit I'!I73</f>
        <v>7153.7999999999993</v>
      </c>
      <c r="H118" s="245"/>
      <c r="I118" s="245">
        <f>+'Exhibit F'!J108+'Exhibit G'!J94+'Exhibit I'!K73</f>
        <v>7668.8000000000011</v>
      </c>
      <c r="J118" s="245"/>
      <c r="K118" s="245">
        <f>+'Exhibit F'!L108+'Exhibit G'!L94+'Exhibit I'!M73</f>
        <v>8954.5</v>
      </c>
      <c r="L118" s="245"/>
      <c r="M118" s="245">
        <f>+'Exhibit F'!N108+'Exhibit G'!N94+'Exhibit I'!O73</f>
        <v>4893.3999999999996</v>
      </c>
      <c r="N118" s="245"/>
      <c r="O118" s="245">
        <f>+'Exhibit F'!P108+'Exhibit G'!P94+'Exhibit I'!Q73</f>
        <v>4694.5000000000055</v>
      </c>
      <c r="P118" s="245"/>
      <c r="Q118" s="245">
        <f>+'Exhibit F'!R108+'Exhibit G'!R94+'Exhibit I'!S73</f>
        <v>7371.4999999999945</v>
      </c>
      <c r="R118" s="245"/>
      <c r="S118" s="245"/>
      <c r="T118" s="245"/>
      <c r="U118" s="245"/>
      <c r="V118" s="245"/>
      <c r="W118" s="245"/>
      <c r="X118" s="245"/>
      <c r="Y118" s="245"/>
      <c r="Z118" s="245"/>
      <c r="AA118" s="246"/>
      <c r="AB118" s="325">
        <f t="shared" si="23"/>
        <v>59576.2</v>
      </c>
      <c r="AC118" s="245"/>
      <c r="AD118" s="1175"/>
      <c r="AE118" s="325">
        <f>+'Exhibit F'!AF108+'Exhibit G'!AG94+'Exhibit I'!AI73</f>
        <v>53329.599999999991</v>
      </c>
      <c r="AF118" s="245"/>
      <c r="AG118" s="245"/>
      <c r="AH118" s="245">
        <f t="shared" si="24"/>
        <v>6246.6</v>
      </c>
      <c r="AI118" s="79"/>
      <c r="AJ118" s="477">
        <f t="shared" ref="AJ118:AJ124" si="25">ROUND(IF(AE118=0,0,AH118/ABS(AE118)),3)</f>
        <v>0.11700000000000001</v>
      </c>
    </row>
    <row r="119" spans="1:37" ht="16.5" customHeight="1">
      <c r="A119" s="1018" t="s">
        <v>130</v>
      </c>
      <c r="B119" s="79"/>
      <c r="C119" s="245">
        <f>+'Exhibit F'!D109+'Exhibit G'!D95+'Exhibit I'!E74</f>
        <v>913.39999999999986</v>
      </c>
      <c r="D119" s="245"/>
      <c r="E119" s="245">
        <f>+'Exhibit F'!F109+'Exhibit G'!F95+'Exhibit I'!G74</f>
        <v>1149.3</v>
      </c>
      <c r="F119" s="245"/>
      <c r="G119" s="245">
        <f>+'Exhibit F'!H109+'Exhibit G'!H95+'Exhibit I'!I74</f>
        <v>1462.3</v>
      </c>
      <c r="H119" s="245"/>
      <c r="I119" s="245">
        <f>+'Exhibit F'!J109+'Exhibit G'!J95+'Exhibit I'!K74</f>
        <v>1358.2000000000005</v>
      </c>
      <c r="J119" s="245"/>
      <c r="K119" s="245">
        <f>+'Exhibit F'!L109+'Exhibit G'!L95+'Exhibit I'!M74</f>
        <v>1246.6999999999989</v>
      </c>
      <c r="L119" s="245"/>
      <c r="M119" s="245">
        <f>+'Exhibit F'!N109+'Exhibit G'!N95+'Exhibit I'!O74</f>
        <v>1917.3000000000002</v>
      </c>
      <c r="N119" s="245"/>
      <c r="O119" s="245">
        <f>+'Exhibit F'!P109+'Exhibit G'!P95+'Exhibit I'!Q74</f>
        <v>1358.2999999999995</v>
      </c>
      <c r="P119" s="245"/>
      <c r="Q119" s="245">
        <f>+'Exhibit F'!R109+'Exhibit G'!R95+'Exhibit I'!S74</f>
        <v>1268.5999999999995</v>
      </c>
      <c r="R119" s="245"/>
      <c r="S119" s="245"/>
      <c r="T119" s="245"/>
      <c r="U119" s="245"/>
      <c r="V119" s="245"/>
      <c r="W119" s="245"/>
      <c r="X119" s="245"/>
      <c r="Y119" s="245"/>
      <c r="Z119" s="245"/>
      <c r="AA119" s="246"/>
      <c r="AB119" s="325">
        <f t="shared" si="23"/>
        <v>10674.1</v>
      </c>
      <c r="AC119" s="1998"/>
      <c r="AD119" s="245"/>
      <c r="AE119" s="325">
        <f>+'Exhibit F'!AF109+'Exhibit G'!AG95+'Exhibit I'!AI74</f>
        <v>8008.1</v>
      </c>
      <c r="AF119" s="245"/>
      <c r="AG119" s="245"/>
      <c r="AH119" s="245">
        <f t="shared" si="24"/>
        <v>2666</v>
      </c>
      <c r="AI119" s="79"/>
      <c r="AJ119" s="477">
        <f t="shared" si="25"/>
        <v>0.33300000000000002</v>
      </c>
    </row>
    <row r="120" spans="1:37" ht="16.5" customHeight="1">
      <c r="A120" s="1018" t="s">
        <v>131</v>
      </c>
      <c r="B120" s="79"/>
      <c r="C120" s="245">
        <f>+'Exhibit F'!D110+'Exhibit G'!D96+'Exhibit I'!E75</f>
        <v>1083.8</v>
      </c>
      <c r="D120" s="245"/>
      <c r="E120" s="245">
        <f>+'Exhibit F'!F110+'Exhibit G'!F96+'Exhibit I'!G75</f>
        <v>207.29999999999993</v>
      </c>
      <c r="F120" s="245"/>
      <c r="G120" s="245">
        <f>+'Exhibit F'!H110+'Exhibit G'!H96+'Exhibit I'!I75</f>
        <v>859.1</v>
      </c>
      <c r="H120" s="245"/>
      <c r="I120" s="245">
        <f>+'Exhibit F'!J110+'Exhibit G'!J96+'Exhibit I'!K75</f>
        <v>382.90000000000009</v>
      </c>
      <c r="J120" s="245"/>
      <c r="K120" s="245">
        <f>+'Exhibit F'!L110+'Exhibit G'!L96+'Exhibit I'!M75</f>
        <v>296.90000000000009</v>
      </c>
      <c r="L120" s="245"/>
      <c r="M120" s="245">
        <f>+'Exhibit F'!N110+'Exhibit G'!N96+'Exhibit I'!O75</f>
        <v>260.89999999999998</v>
      </c>
      <c r="N120" s="245"/>
      <c r="O120" s="245">
        <f>+'Exhibit F'!P110+'Exhibit G'!P96+'Exhibit I'!Q75</f>
        <v>919.99999999999955</v>
      </c>
      <c r="P120" s="245"/>
      <c r="Q120" s="245">
        <f>+'Exhibit F'!R110+'Exhibit G'!R96+'Exhibit I'!S75</f>
        <v>183.90000000000052</v>
      </c>
      <c r="R120" s="245"/>
      <c r="S120" s="245"/>
      <c r="T120" s="245"/>
      <c r="U120" s="245"/>
      <c r="V120" s="245"/>
      <c r="W120" s="245"/>
      <c r="X120" s="245"/>
      <c r="Y120" s="245"/>
      <c r="Z120" s="245"/>
      <c r="AA120" s="246"/>
      <c r="AB120" s="325">
        <f t="shared" si="23"/>
        <v>4194.8</v>
      </c>
      <c r="AC120" s="2042"/>
      <c r="AD120" s="1175"/>
      <c r="AE120" s="325">
        <f>+'Exhibit F'!AF110+'Exhibit G'!AG96+'Exhibit I'!AI75</f>
        <v>1423.2</v>
      </c>
      <c r="AF120" s="245"/>
      <c r="AG120" s="245"/>
      <c r="AH120" s="245">
        <f t="shared" si="24"/>
        <v>2771.6</v>
      </c>
      <c r="AI120" s="79"/>
      <c r="AJ120" s="1173">
        <f t="shared" si="25"/>
        <v>1.9470000000000001</v>
      </c>
    </row>
    <row r="121" spans="1:37" ht="16.5" customHeight="1">
      <c r="A121" s="1018" t="s">
        <v>132</v>
      </c>
      <c r="B121" s="79"/>
      <c r="C121" s="245">
        <f>+'Exhibit F'!D111+'Exhibit G'!D97+'Exhibit I'!E76</f>
        <v>877.80000000000007</v>
      </c>
      <c r="D121" s="245"/>
      <c r="E121" s="245">
        <f>+'Exhibit F'!F111+'Exhibit G'!F97+'Exhibit I'!G76</f>
        <v>641.30000000000007</v>
      </c>
      <c r="F121" s="245"/>
      <c r="G121" s="245">
        <f>+'Exhibit F'!H111+'Exhibit G'!H97+'Exhibit I'!I76</f>
        <v>807.90000000000009</v>
      </c>
      <c r="H121" s="245"/>
      <c r="I121" s="245">
        <f>+'Exhibit F'!J111+'Exhibit G'!J97+'Exhibit I'!K76</f>
        <v>818.39999999999986</v>
      </c>
      <c r="J121" s="245"/>
      <c r="K121" s="245">
        <f>+'Exhibit F'!L111+'Exhibit G'!L97+'Exhibit I'!M76</f>
        <v>692.7</v>
      </c>
      <c r="L121" s="245"/>
      <c r="M121" s="245">
        <f>+'Exhibit F'!N111+'Exhibit G'!N97+'Exhibit I'!O76</f>
        <v>1054.0999999999997</v>
      </c>
      <c r="N121" s="245"/>
      <c r="O121" s="245">
        <f>+'Exhibit F'!P111+'Exhibit G'!P97+'Exhibit I'!Q76</f>
        <v>1119.9999999999998</v>
      </c>
      <c r="P121" s="245"/>
      <c r="Q121" s="245">
        <f>+'Exhibit F'!R111+'Exhibit G'!R97+'Exhibit I'!S76</f>
        <v>1207.2000000000005</v>
      </c>
      <c r="R121" s="245"/>
      <c r="S121" s="245"/>
      <c r="T121" s="245"/>
      <c r="U121" s="245"/>
      <c r="V121" s="245"/>
      <c r="W121" s="245"/>
      <c r="X121" s="245"/>
      <c r="Y121" s="245"/>
      <c r="Z121" s="245"/>
      <c r="AA121" s="246"/>
      <c r="AB121" s="325">
        <f t="shared" si="23"/>
        <v>7219.4</v>
      </c>
      <c r="AC121" s="2042"/>
      <c r="AD121" s="1175"/>
      <c r="AE121" s="325">
        <f>+'Exhibit F'!AF111+'Exhibit G'!AG97+'Exhibit I'!AI76</f>
        <v>6706.4999999999991</v>
      </c>
      <c r="AF121" s="245"/>
      <c r="AG121" s="245"/>
      <c r="AH121" s="245">
        <f t="shared" si="24"/>
        <v>512.9</v>
      </c>
      <c r="AI121" s="79"/>
      <c r="AJ121" s="477">
        <f t="shared" si="25"/>
        <v>7.5999999999999998E-2</v>
      </c>
    </row>
    <row r="122" spans="1:37" ht="16.5" customHeight="1">
      <c r="A122" s="1018" t="s">
        <v>133</v>
      </c>
      <c r="B122" s="79"/>
      <c r="C122" s="245">
        <f>+'Exhibit F'!D112+'Exhibit G'!D98+'Exhibit I'!E77</f>
        <v>42.9</v>
      </c>
      <c r="D122" s="245"/>
      <c r="E122" s="245">
        <f>+'Exhibit F'!F112+'Exhibit G'!F98+'Exhibit I'!G77</f>
        <v>183.6</v>
      </c>
      <c r="F122" s="245"/>
      <c r="G122" s="245">
        <f>+'Exhibit F'!H112+'Exhibit G'!H98+'Exhibit I'!I77</f>
        <v>89.199999999999989</v>
      </c>
      <c r="H122" s="245"/>
      <c r="I122" s="245">
        <f>+'Exhibit F'!J112+'Exhibit G'!J98+'Exhibit I'!K77</f>
        <v>204.9</v>
      </c>
      <c r="J122" s="245"/>
      <c r="K122" s="245">
        <f>+'Exhibit F'!L112+'Exhibit G'!L98+'Exhibit I'!M77</f>
        <v>68.8</v>
      </c>
      <c r="L122" s="245"/>
      <c r="M122" s="245">
        <f>+'Exhibit F'!N112+'Exhibit G'!N98+'Exhibit I'!O77</f>
        <v>88.900000000000063</v>
      </c>
      <c r="N122" s="245"/>
      <c r="O122" s="245">
        <f>+'Exhibit F'!P112+'Exhibit G'!P98+'Exhibit I'!Q77</f>
        <v>106.49999999999989</v>
      </c>
      <c r="P122" s="245"/>
      <c r="Q122" s="245">
        <f>+'Exhibit F'!R112+'Exhibit G'!R98+'Exhibit I'!S77</f>
        <v>67.700000000000074</v>
      </c>
      <c r="R122" s="245"/>
      <c r="S122" s="245"/>
      <c r="T122" s="245"/>
      <c r="U122" s="245"/>
      <c r="V122" s="245"/>
      <c r="W122" s="245"/>
      <c r="X122" s="245"/>
      <c r="Y122" s="245"/>
      <c r="Z122" s="245"/>
      <c r="AA122" s="246"/>
      <c r="AB122" s="325">
        <f t="shared" si="23"/>
        <v>852.5</v>
      </c>
      <c r="AC122" s="2042"/>
      <c r="AD122" s="1175"/>
      <c r="AE122" s="325">
        <f>+'Exhibit F'!AF112+'Exhibit G'!AG98+'Exhibit I'!AI77</f>
        <v>1011.2</v>
      </c>
      <c r="AF122" s="245"/>
      <c r="AG122" s="245"/>
      <c r="AH122" s="245">
        <f t="shared" si="24"/>
        <v>-158.69999999999999</v>
      </c>
      <c r="AI122" s="79"/>
      <c r="AJ122" s="477">
        <f t="shared" si="25"/>
        <v>-0.157</v>
      </c>
    </row>
    <row r="123" spans="1:37" ht="16.5" customHeight="1">
      <c r="A123" s="1018" t="s">
        <v>134</v>
      </c>
      <c r="B123" s="79"/>
      <c r="C123" s="245">
        <f>+'Exhibit F'!D113+'Exhibit G'!D99+'Exhibit I'!E78</f>
        <v>125.4</v>
      </c>
      <c r="D123" s="245"/>
      <c r="E123" s="245">
        <f>+'Exhibit F'!F113+'Exhibit G'!F99+'Exhibit I'!G78</f>
        <v>653</v>
      </c>
      <c r="F123" s="245"/>
      <c r="G123" s="245">
        <f>+'Exhibit F'!H113+'Exhibit G'!H99+'Exhibit I'!I78</f>
        <v>491.1</v>
      </c>
      <c r="H123" s="245"/>
      <c r="I123" s="245">
        <f>+'Exhibit F'!J113+'Exhibit G'!J99+'Exhibit I'!K78</f>
        <v>432.8</v>
      </c>
      <c r="J123" s="245"/>
      <c r="K123" s="245">
        <f>+'Exhibit F'!L113+'Exhibit G'!L99+'Exhibit I'!M78</f>
        <v>640.79999999999984</v>
      </c>
      <c r="L123" s="245"/>
      <c r="M123" s="245">
        <f>+'Exhibit F'!N113+'Exhibit G'!N99+'Exhibit I'!O78</f>
        <v>532.40000000000043</v>
      </c>
      <c r="N123" s="245"/>
      <c r="O123" s="245">
        <f>+'Exhibit F'!P113+'Exhibit G'!P99+'Exhibit I'!Q78</f>
        <v>735.69999999999982</v>
      </c>
      <c r="P123" s="245"/>
      <c r="Q123" s="245">
        <f>+'Exhibit F'!R113+'Exhibit G'!R99+'Exhibit I'!S78</f>
        <v>766.59999999999991</v>
      </c>
      <c r="R123" s="245"/>
      <c r="S123" s="245"/>
      <c r="T123" s="245"/>
      <c r="U123" s="245"/>
      <c r="V123" s="245"/>
      <c r="W123" s="245"/>
      <c r="X123" s="245"/>
      <c r="Y123" s="245"/>
      <c r="Z123" s="245"/>
      <c r="AA123" s="246"/>
      <c r="AB123" s="245">
        <f>ROUND(SUM(C123:Y123),1)</f>
        <v>4377.8</v>
      </c>
      <c r="AC123" s="2042"/>
      <c r="AD123" s="1175"/>
      <c r="AE123" s="325">
        <f>+'Exhibit F'!AF113+'Exhibit G'!AG99+'Exhibit I'!AI78</f>
        <v>3850</v>
      </c>
      <c r="AF123" s="245"/>
      <c r="AG123" s="245"/>
      <c r="AH123" s="245">
        <f>ROUND(SUM(AB123-AE123),1)</f>
        <v>527.79999999999995</v>
      </c>
      <c r="AI123" s="79"/>
      <c r="AJ123" s="477">
        <f t="shared" si="25"/>
        <v>0.13700000000000001</v>
      </c>
    </row>
    <row r="124" spans="1:37" ht="16.5" customHeight="1">
      <c r="A124" s="79" t="s">
        <v>135</v>
      </c>
      <c r="B124" s="79"/>
      <c r="C124" s="1508">
        <f>ROUND(SUM(C114:C123),1)</f>
        <v>13400</v>
      </c>
      <c r="D124" s="248"/>
      <c r="E124" s="1508">
        <f>ROUND(SUM(E114:E123),1)</f>
        <v>18799</v>
      </c>
      <c r="F124" s="248"/>
      <c r="G124" s="1508">
        <f>ROUND(SUM(G114:G123),1)</f>
        <v>15357.6</v>
      </c>
      <c r="H124" s="248"/>
      <c r="I124" s="1508">
        <f>ROUND(SUM(I114:I123),1)</f>
        <v>12360.6</v>
      </c>
      <c r="J124" s="248"/>
      <c r="K124" s="1508">
        <f>ROUND(SUM(K114:K123),1)</f>
        <v>14176.3</v>
      </c>
      <c r="L124" s="248"/>
      <c r="M124" s="1508">
        <f>ROUND(SUM(M114:M123),1)</f>
        <v>14511.7</v>
      </c>
      <c r="N124" s="248"/>
      <c r="O124" s="1508">
        <f>ROUND(SUM(O114:O123),1)</f>
        <v>11336.4</v>
      </c>
      <c r="P124" s="248"/>
      <c r="Q124" s="1508">
        <f>ROUND(SUM(Q114:Q123),1)</f>
        <v>14888.2</v>
      </c>
      <c r="R124" s="248"/>
      <c r="S124" s="1508">
        <f>ROUND(SUM(S114:S123),1)</f>
        <v>0</v>
      </c>
      <c r="T124" s="248"/>
      <c r="U124" s="1508">
        <f>ROUND(SUM(U114:U123),1)</f>
        <v>0</v>
      </c>
      <c r="V124" s="248"/>
      <c r="W124" s="1508">
        <f>ROUND(SUM(W114:W123),1)</f>
        <v>0</v>
      </c>
      <c r="X124" s="248"/>
      <c r="Y124" s="1508">
        <f>ROUND(SUM(Y114:Y123),1)</f>
        <v>0</v>
      </c>
      <c r="Z124" s="248"/>
      <c r="AA124" s="249"/>
      <c r="AB124" s="1508">
        <f>ROUND(SUM(AB114:AB123),1)</f>
        <v>114829.8</v>
      </c>
      <c r="AC124" s="2043"/>
      <c r="AD124" s="1178"/>
      <c r="AE124" s="1508">
        <f>ROUND(SUM(AE114:AE123),1)</f>
        <v>99038.7</v>
      </c>
      <c r="AF124" s="248"/>
      <c r="AG124" s="248"/>
      <c r="AH124" s="1508">
        <f>ROUND(SUM(AH114:AH123),1)</f>
        <v>15791.1</v>
      </c>
      <c r="AI124" s="238"/>
      <c r="AJ124" s="1509">
        <f t="shared" si="25"/>
        <v>0.159</v>
      </c>
      <c r="AK124" s="180"/>
    </row>
    <row r="125" spans="1:37" ht="16.5" customHeight="1">
      <c r="A125" s="79" t="s">
        <v>136</v>
      </c>
      <c r="B125" s="79"/>
      <c r="C125" s="245"/>
      <c r="D125" s="245"/>
      <c r="E125" s="245"/>
      <c r="F125" s="245"/>
      <c r="G125" s="245"/>
      <c r="H125" s="245"/>
      <c r="I125" s="245"/>
      <c r="J125" s="245"/>
      <c r="K125" s="245"/>
      <c r="L125" s="245"/>
      <c r="M125" s="245"/>
      <c r="N125" s="245"/>
      <c r="O125" s="245"/>
      <c r="P125" s="245"/>
      <c r="Q125" s="245"/>
      <c r="R125" s="245"/>
      <c r="S125" s="245"/>
      <c r="T125" s="245"/>
      <c r="U125" s="245"/>
      <c r="V125" s="245"/>
      <c r="W125" s="245"/>
      <c r="X125" s="245"/>
      <c r="Y125" s="245"/>
      <c r="Z125" s="245"/>
      <c r="AA125" s="246"/>
      <c r="AB125" s="245"/>
      <c r="AC125" s="245"/>
      <c r="AD125" s="1175"/>
      <c r="AE125" s="325"/>
      <c r="AF125" s="245"/>
      <c r="AG125" s="245"/>
      <c r="AH125" s="325"/>
      <c r="AI125" s="79"/>
      <c r="AJ125" s="329"/>
    </row>
    <row r="126" spans="1:37" ht="16.5" customHeight="1">
      <c r="A126" s="79" t="s">
        <v>459</v>
      </c>
      <c r="B126" s="79"/>
      <c r="C126" s="245">
        <f>+'Exhibit F'!D116+'Exhibit G'!D102+'Exhibit I'!E81</f>
        <v>1312.5</v>
      </c>
      <c r="D126" s="245"/>
      <c r="E126" s="245">
        <f>+'Exhibit F'!F116+'Exhibit G'!F102+'Exhibit I'!G81</f>
        <v>1287</v>
      </c>
      <c r="F126" s="245"/>
      <c r="G126" s="245">
        <f>+'Exhibit F'!H116+'Exhibit G'!H102+'Exhibit I'!I81</f>
        <v>1367.5</v>
      </c>
      <c r="H126" s="245"/>
      <c r="I126" s="245">
        <f>+'Exhibit F'!J116+'Exhibit G'!J102+'Exhibit I'!K81</f>
        <v>1210.8000000000002</v>
      </c>
      <c r="J126" s="245"/>
      <c r="K126" s="245">
        <f>+'Exhibit F'!L116+'Exhibit G'!L102+'Exhibit I'!M81</f>
        <v>1707.6</v>
      </c>
      <c r="L126" s="245"/>
      <c r="M126" s="245">
        <f>+'Exhibit F'!N116+'Exhibit G'!N102+'Exhibit I'!O81</f>
        <v>1228.7999999999993</v>
      </c>
      <c r="N126" s="245"/>
      <c r="O126" s="245">
        <f>+'Exhibit F'!P116+'Exhibit G'!P102+'Exhibit I'!Q81</f>
        <v>1260.7</v>
      </c>
      <c r="P126" s="245"/>
      <c r="Q126" s="245">
        <f>+'Exhibit F'!R116+'Exhibit G'!R102+'Exhibit I'!S81</f>
        <v>1665.1000000000013</v>
      </c>
      <c r="R126" s="245"/>
      <c r="S126" s="245"/>
      <c r="T126" s="245"/>
      <c r="U126" s="245"/>
      <c r="V126" s="245"/>
      <c r="W126" s="245"/>
      <c r="X126" s="245"/>
      <c r="Y126" s="245"/>
      <c r="Z126" s="245"/>
      <c r="AA126" s="246"/>
      <c r="AB126" s="245">
        <f>ROUND(SUM(C126:Y126),1)</f>
        <v>11040</v>
      </c>
      <c r="AC126" s="245"/>
      <c r="AD126" s="1175"/>
      <c r="AE126" s="325">
        <f>+'Exhibit F'!AF116+'Exhibit G'!AG102+'Exhibit I'!AI81</f>
        <v>10135.1</v>
      </c>
      <c r="AF126" s="245"/>
      <c r="AG126" s="245"/>
      <c r="AH126" s="245">
        <f>ROUND(SUM(AB126-AE126),1)</f>
        <v>904.9</v>
      </c>
      <c r="AI126" s="79"/>
      <c r="AJ126" s="477">
        <f>ROUND(IF(AE126=0,0,AH126/ABS(AE126)),3)</f>
        <v>8.8999999999999996E-2</v>
      </c>
    </row>
    <row r="127" spans="1:37" ht="16.5" customHeight="1">
      <c r="A127" s="79" t="s">
        <v>460</v>
      </c>
      <c r="B127" s="79"/>
      <c r="C127" s="245">
        <f>+'Exhibit F'!D117+'Exhibit G'!D103+'Exhibit H'!B58+'Exhibit I'!E82</f>
        <v>413.09999999999997</v>
      </c>
      <c r="D127" s="245"/>
      <c r="E127" s="245">
        <f>+'Exhibit F'!F117+'Exhibit G'!F103+'Exhibit H'!D58+'Exhibit I'!G82</f>
        <v>631.90000000000009</v>
      </c>
      <c r="F127" s="245"/>
      <c r="G127" s="245">
        <f>+'Exhibit F'!H117+'Exhibit G'!H103+'Exhibit H'!F58+'Exhibit I'!I82</f>
        <v>662.5</v>
      </c>
      <c r="H127" s="245"/>
      <c r="I127" s="245">
        <f>+'Exhibit F'!J117+'Exhibit G'!J103+'Exhibit H'!H58+'Exhibit I'!K82</f>
        <v>527.90000000000009</v>
      </c>
      <c r="J127" s="245"/>
      <c r="K127" s="245">
        <f>+'Exhibit F'!L117+'Exhibit G'!L103+'Exhibit H'!J58+'Exhibit I'!M82</f>
        <v>744.79999999999973</v>
      </c>
      <c r="L127" s="245"/>
      <c r="M127" s="245">
        <f>+'Exhibit F'!N117+'Exhibit G'!N103+'Exhibit H'!L58+'Exhibit I'!O82</f>
        <v>876.20000000000016</v>
      </c>
      <c r="N127" s="245"/>
      <c r="O127" s="245">
        <f>+'Exhibit F'!P117+'Exhibit G'!P103+'Exhibit H'!N58+'Exhibit I'!Q82</f>
        <v>729.59999999999991</v>
      </c>
      <c r="P127" s="245"/>
      <c r="Q127" s="245">
        <f>+'Exhibit F'!R117+'Exhibit G'!R103+'Exhibit H'!P58+'Exhibit I'!S82</f>
        <v>705.8</v>
      </c>
      <c r="R127" s="245"/>
      <c r="S127" s="245"/>
      <c r="T127" s="245"/>
      <c r="U127" s="245"/>
      <c r="V127" s="245"/>
      <c r="W127" s="245"/>
      <c r="X127" s="245"/>
      <c r="Y127" s="245"/>
      <c r="Z127" s="245"/>
      <c r="AA127" s="246"/>
      <c r="AB127" s="245">
        <f>ROUND(SUM(C127:Y127),1)</f>
        <v>5291.8</v>
      </c>
      <c r="AC127" s="245"/>
      <c r="AD127" s="1175"/>
      <c r="AE127" s="325">
        <f>+'Exhibit F'!AF117+'Exhibit G'!AG103+'Exhibit H'!AD58+'Exhibit I'!AI82</f>
        <v>4854.3</v>
      </c>
      <c r="AF127" s="245"/>
      <c r="AG127" s="245"/>
      <c r="AH127" s="245">
        <f>ROUND(SUM(AB127-AE127),1)</f>
        <v>437.5</v>
      </c>
      <c r="AI127" s="79"/>
      <c r="AJ127" s="477">
        <f>ROUND(IF(AE127=0,0,AH127/ABS(AE127)),3)</f>
        <v>0.09</v>
      </c>
    </row>
    <row r="128" spans="1:37" ht="16.5" customHeight="1">
      <c r="A128" s="79" t="s">
        <v>139</v>
      </c>
      <c r="B128" s="79"/>
      <c r="C128" s="245">
        <f>+'Exhibit F'!D118+'Exhibit G'!D104+'Exhibit I'!E83</f>
        <v>687</v>
      </c>
      <c r="D128" s="245"/>
      <c r="E128" s="245">
        <f>+'Exhibit F'!F118+'Exhibit G'!F104+'Exhibit I'!G83</f>
        <v>2002.4000000000003</v>
      </c>
      <c r="F128" s="245"/>
      <c r="G128" s="245">
        <f>+'Exhibit F'!H118+'Exhibit G'!H104+'Exhibit I'!I83</f>
        <v>611.09999999999968</v>
      </c>
      <c r="H128" s="245"/>
      <c r="I128" s="245">
        <f>+'Exhibit F'!J118+'Exhibit G'!J104+'Exhibit I'!K83</f>
        <v>529.30000000000018</v>
      </c>
      <c r="J128" s="245"/>
      <c r="K128" s="245">
        <f>+'Exhibit F'!L118+'Exhibit G'!L104+'Exhibit I'!M83</f>
        <v>643.79999999999984</v>
      </c>
      <c r="L128" s="245"/>
      <c r="M128" s="245">
        <f>+'Exhibit F'!N118+'Exhibit G'!N104+'Exhibit I'!O83</f>
        <v>586.69999999999959</v>
      </c>
      <c r="N128" s="245"/>
      <c r="O128" s="245">
        <f>+'Exhibit F'!P118+'Exhibit G'!P104+'Exhibit I'!Q83</f>
        <v>587.10000000000014</v>
      </c>
      <c r="P128" s="245"/>
      <c r="Q128" s="245">
        <f>+'Exhibit F'!R118+'Exhibit G'!R104+'Exhibit I'!S83</f>
        <v>591.70000000000016</v>
      </c>
      <c r="R128" s="245"/>
      <c r="S128" s="245"/>
      <c r="T128" s="245"/>
      <c r="U128" s="245"/>
      <c r="V128" s="245"/>
      <c r="W128" s="245"/>
      <c r="X128" s="245"/>
      <c r="Y128" s="245"/>
      <c r="Z128" s="245"/>
      <c r="AA128" s="246"/>
      <c r="AB128" s="245">
        <f>ROUND(SUM(C128:Y128),1)</f>
        <v>6239.1</v>
      </c>
      <c r="AC128" s="245"/>
      <c r="AD128" s="1175"/>
      <c r="AE128" s="325">
        <f>+'Exhibit F'!AF118+'Exhibit G'!AG104+'Exhibit I'!AI83</f>
        <v>6483.7999999999993</v>
      </c>
      <c r="AF128" s="245"/>
      <c r="AG128" s="245"/>
      <c r="AH128" s="245">
        <f>ROUND(SUM(AB128-AE128),1)</f>
        <v>-244.7</v>
      </c>
      <c r="AI128" s="79"/>
      <c r="AJ128" s="477">
        <f>ROUND(IF(AE128=0,0,AH128/ABS(AE128)),3)</f>
        <v>-3.7999999999999999E-2</v>
      </c>
    </row>
    <row r="129" spans="1:44" ht="16.5" customHeight="1">
      <c r="A129" s="79" t="s">
        <v>461</v>
      </c>
      <c r="B129" s="79"/>
      <c r="C129" s="245"/>
      <c r="D129" s="245"/>
      <c r="E129" s="245"/>
      <c r="F129" s="245"/>
      <c r="G129" s="245"/>
      <c r="H129" s="245"/>
      <c r="I129" s="245"/>
      <c r="J129" s="245"/>
      <c r="K129" s="245"/>
      <c r="L129" s="245"/>
      <c r="M129" s="245"/>
      <c r="N129" s="245"/>
      <c r="O129" s="245"/>
      <c r="P129" s="245"/>
      <c r="Q129" s="245"/>
      <c r="R129" s="245"/>
      <c r="S129" s="245"/>
      <c r="T129" s="245"/>
      <c r="U129" s="245"/>
      <c r="V129" s="245"/>
      <c r="W129" s="245"/>
      <c r="X129" s="245"/>
      <c r="Y129" s="245"/>
      <c r="Z129" s="245"/>
      <c r="AA129" s="246"/>
      <c r="AB129" s="245"/>
      <c r="AC129" s="245"/>
      <c r="AD129" s="1175"/>
      <c r="AE129" s="245"/>
      <c r="AF129" s="245"/>
      <c r="AG129" s="245"/>
      <c r="AH129" s="245"/>
      <c r="AI129" s="79"/>
      <c r="AJ129" s="344"/>
    </row>
    <row r="130" spans="1:44" ht="16.5" customHeight="1">
      <c r="A130" s="79" t="s">
        <v>141</v>
      </c>
      <c r="B130" s="79"/>
      <c r="C130" s="245">
        <f>+'Exhibit H'!B60</f>
        <v>35.200000000000003</v>
      </c>
      <c r="D130" s="245"/>
      <c r="E130" s="245">
        <f>+'Exhibit H'!D60</f>
        <v>28.5</v>
      </c>
      <c r="F130" s="245"/>
      <c r="G130" s="245">
        <f>+'Exhibit H'!F60</f>
        <v>4.8999999999999915</v>
      </c>
      <c r="H130" s="245"/>
      <c r="I130" s="245">
        <f>+'Exhibit H'!H60</f>
        <v>4.5</v>
      </c>
      <c r="J130" s="245"/>
      <c r="K130" s="245">
        <f>+'Exhibit H'!J60</f>
        <v>61.400000000000006</v>
      </c>
      <c r="L130" s="245"/>
      <c r="M130" s="245">
        <f>+'Exhibit H'!L60</f>
        <v>426.9</v>
      </c>
      <c r="N130" s="245"/>
      <c r="O130" s="245">
        <f>+'Exhibit H'!N60</f>
        <v>5.3000000000000682</v>
      </c>
      <c r="P130" s="245"/>
      <c r="Q130" s="245">
        <f>+'Exhibit H'!P60</f>
        <v>13.799999999999955</v>
      </c>
      <c r="R130" s="245"/>
      <c r="S130" s="245"/>
      <c r="T130" s="245"/>
      <c r="U130" s="245"/>
      <c r="V130" s="245"/>
      <c r="W130" s="245"/>
      <c r="X130" s="245"/>
      <c r="Y130" s="245"/>
      <c r="Z130" s="245"/>
      <c r="AA130" s="246"/>
      <c r="AB130" s="245">
        <f>ROUND(SUM(C130:Y130),1)</f>
        <v>580.5</v>
      </c>
      <c r="AC130" s="245"/>
      <c r="AD130" s="1175"/>
      <c r="AE130" s="325">
        <f>+'Exhibit H'!AD60+'Exhibit G'!AG106</f>
        <v>1440.6</v>
      </c>
      <c r="AF130" s="245"/>
      <c r="AG130" s="245"/>
      <c r="AH130" s="245">
        <f>ROUND(SUM(AB130-AE130),1)</f>
        <v>-860.1</v>
      </c>
      <c r="AI130" s="79"/>
      <c r="AJ130" s="477">
        <f>ROUND(IF(AE130=0,0,AH130/ABS(AE130)),3)</f>
        <v>-0.59699999999999998</v>
      </c>
    </row>
    <row r="131" spans="1:44" ht="16.5" customHeight="1">
      <c r="A131" s="250" t="s">
        <v>462</v>
      </c>
      <c r="B131" s="79"/>
      <c r="C131" s="247">
        <f>+'Exhibit G'!D107+'Exhibit I'!E84</f>
        <v>410.1</v>
      </c>
      <c r="D131" s="245"/>
      <c r="E131" s="247">
        <f>+'Exhibit G'!F107+'Exhibit I'!G84</f>
        <v>744.3</v>
      </c>
      <c r="F131" s="247"/>
      <c r="G131" s="247">
        <f>+'Exhibit G'!H107+'Exhibit I'!I84</f>
        <v>816.9</v>
      </c>
      <c r="H131" s="245"/>
      <c r="I131" s="247">
        <f>+'Exhibit G'!J107+'Exhibit I'!K84</f>
        <v>614.69999999999993</v>
      </c>
      <c r="J131" s="245"/>
      <c r="K131" s="247">
        <f>+'Exhibit G'!L107+'Exhibit I'!M84</f>
        <v>878.60000000000025</v>
      </c>
      <c r="L131" s="245"/>
      <c r="M131" s="247">
        <f>+'Exhibit G'!N107+'Exhibit I'!O84</f>
        <v>732.3</v>
      </c>
      <c r="N131" s="245"/>
      <c r="O131" s="247">
        <f>+'Exhibit G'!P107+'Exhibit I'!Q84</f>
        <v>717.00000000000011</v>
      </c>
      <c r="P131" s="245"/>
      <c r="Q131" s="247">
        <f>+'Exhibit G'!R107+'Exhibit I'!S84</f>
        <v>816.39999999999895</v>
      </c>
      <c r="R131" s="245"/>
      <c r="S131" s="247"/>
      <c r="T131" s="245"/>
      <c r="U131" s="247"/>
      <c r="V131" s="245"/>
      <c r="W131" s="247"/>
      <c r="X131" s="245"/>
      <c r="Y131" s="247"/>
      <c r="Z131" s="245"/>
      <c r="AA131" s="246"/>
      <c r="AB131" s="247">
        <f>ROUND(SUM(C131:Y131),1)</f>
        <v>5730.3</v>
      </c>
      <c r="AC131" s="245"/>
      <c r="AD131" s="1175"/>
      <c r="AE131" s="486">
        <f>+'Exhibit G'!AG107+'Exhibit I'!AI84</f>
        <v>5439.5</v>
      </c>
      <c r="AF131" s="245"/>
      <c r="AG131" s="245"/>
      <c r="AH131" s="247">
        <f>ROUND(SUM(AB131-AE131),1)</f>
        <v>290.8</v>
      </c>
      <c r="AI131" s="79"/>
      <c r="AJ131" s="1177">
        <f>ROUND(IF(AE131=0,0,AH131/ABS(AE131)),3)</f>
        <v>5.2999999999999999E-2</v>
      </c>
    </row>
    <row r="132" spans="1:44" ht="16.5" customHeight="1">
      <c r="A132" s="79"/>
      <c r="B132" s="79"/>
      <c r="C132" s="245"/>
      <c r="D132" s="245"/>
      <c r="E132" s="245"/>
      <c r="F132" s="245"/>
      <c r="G132" s="245"/>
      <c r="H132" s="245"/>
      <c r="I132" s="245"/>
      <c r="J132" s="245"/>
      <c r="K132" s="245"/>
      <c r="L132" s="245"/>
      <c r="M132" s="245"/>
      <c r="N132" s="245"/>
      <c r="O132" s="245"/>
      <c r="P132" s="245"/>
      <c r="Q132" s="245"/>
      <c r="R132" s="245"/>
      <c r="S132" s="245"/>
      <c r="T132" s="245"/>
      <c r="U132" s="245"/>
      <c r="V132" s="245"/>
      <c r="W132" s="245"/>
      <c r="X132" s="245"/>
      <c r="Y132" s="245"/>
      <c r="Z132" s="245"/>
      <c r="AA132" s="246"/>
      <c r="AB132" s="245"/>
      <c r="AC132" s="245"/>
      <c r="AD132" s="1175"/>
      <c r="AE132" s="245"/>
      <c r="AF132" s="245"/>
      <c r="AG132" s="245"/>
      <c r="AH132" s="245"/>
      <c r="AI132" s="79"/>
      <c r="AJ132" s="344"/>
    </row>
    <row r="133" spans="1:44" ht="16.5" customHeight="1">
      <c r="A133" s="51" t="s">
        <v>164</v>
      </c>
      <c r="B133" s="79"/>
      <c r="C133" s="1020">
        <f>ROUND(SUM(C124:C131),1)</f>
        <v>16257.9</v>
      </c>
      <c r="D133" s="248"/>
      <c r="E133" s="1020">
        <f>ROUND(SUM(E124:E131),1)</f>
        <v>23493.1</v>
      </c>
      <c r="F133" s="248"/>
      <c r="G133" s="1020">
        <f>ROUND(SUM(G124:G131),1)</f>
        <v>18820.5</v>
      </c>
      <c r="H133" s="248"/>
      <c r="I133" s="1020">
        <f>ROUND(SUM(I124:I131),1)</f>
        <v>15247.8</v>
      </c>
      <c r="J133" s="248"/>
      <c r="K133" s="1020">
        <f>ROUND(SUM(K124:K131),1)</f>
        <v>18212.5</v>
      </c>
      <c r="L133" s="248"/>
      <c r="M133" s="1020">
        <f>ROUND(SUM(M124:M131),1)</f>
        <v>18362.599999999999</v>
      </c>
      <c r="N133" s="248"/>
      <c r="O133" s="1020">
        <f>ROUND(SUM(O124:O131),1)</f>
        <v>14636.1</v>
      </c>
      <c r="P133" s="248"/>
      <c r="Q133" s="1020">
        <f>ROUND(SUM(Q124:Q131),1)</f>
        <v>18681</v>
      </c>
      <c r="R133" s="248"/>
      <c r="S133" s="1020">
        <f>ROUND(SUM(S124:S131),1)</f>
        <v>0</v>
      </c>
      <c r="T133" s="248"/>
      <c r="U133" s="1020">
        <f>ROUND(SUM(U124:U131),1)</f>
        <v>0</v>
      </c>
      <c r="V133" s="248"/>
      <c r="W133" s="1020">
        <f>ROUND(SUM(W124:W131),1)</f>
        <v>0</v>
      </c>
      <c r="X133" s="248"/>
      <c r="Y133" s="1020">
        <f>ROUND(SUM(Y124:Y131),1)</f>
        <v>0</v>
      </c>
      <c r="Z133" s="248"/>
      <c r="AA133" s="249"/>
      <c r="AB133" s="1020">
        <f>ROUND(SUM(AB124:AB131),1)</f>
        <v>143711.5</v>
      </c>
      <c r="AC133" s="248"/>
      <c r="AD133" s="1178"/>
      <c r="AE133" s="1020">
        <f>ROUND(SUM(AE124:AE131),1)</f>
        <v>127392</v>
      </c>
      <c r="AF133" s="248"/>
      <c r="AG133" s="248"/>
      <c r="AH133" s="1020">
        <f>ROUND(SUM(AB133-AE133),1)</f>
        <v>16319.5</v>
      </c>
      <c r="AI133" s="238"/>
      <c r="AJ133" s="1174">
        <f>ROUND(IF(AE133=0,0,AH133/ABS(AE133)),3)</f>
        <v>0.128</v>
      </c>
      <c r="AK133" s="180"/>
      <c r="AM133" s="180"/>
      <c r="AN133" s="180"/>
      <c r="AO133" s="180"/>
      <c r="AP133" s="180"/>
      <c r="AQ133" s="180"/>
      <c r="AR133" s="180"/>
    </row>
    <row r="134" spans="1:44" ht="16.5" customHeight="1">
      <c r="A134" s="51"/>
      <c r="B134" s="79"/>
      <c r="C134" s="245"/>
      <c r="D134" s="245"/>
      <c r="E134" s="245"/>
      <c r="F134" s="245"/>
      <c r="G134" s="245"/>
      <c r="H134" s="245"/>
      <c r="I134" s="245"/>
      <c r="J134" s="245"/>
      <c r="K134" s="245"/>
      <c r="L134" s="245"/>
      <c r="M134" s="245"/>
      <c r="N134" s="245"/>
      <c r="O134" s="245"/>
      <c r="P134" s="245"/>
      <c r="Q134" s="245"/>
      <c r="R134" s="245"/>
      <c r="S134" s="245"/>
      <c r="T134" s="245"/>
      <c r="U134" s="245"/>
      <c r="V134" s="245"/>
      <c r="W134" s="245"/>
      <c r="X134" s="245"/>
      <c r="Y134" s="245"/>
      <c r="Z134" s="245"/>
      <c r="AA134" s="246"/>
      <c r="AB134" s="245"/>
      <c r="AC134" s="245"/>
      <c r="AD134" s="1175"/>
      <c r="AE134" s="245"/>
      <c r="AF134" s="245"/>
      <c r="AG134" s="245"/>
      <c r="AH134" s="325"/>
      <c r="AI134" s="79"/>
      <c r="AJ134" s="329"/>
    </row>
    <row r="135" spans="1:44" ht="16.5" customHeight="1">
      <c r="A135" s="51" t="s">
        <v>145</v>
      </c>
      <c r="B135" s="79"/>
      <c r="C135" s="245"/>
      <c r="D135" s="245"/>
      <c r="E135" s="245"/>
      <c r="F135" s="245"/>
      <c r="G135" s="245"/>
      <c r="H135" s="245"/>
      <c r="I135" s="245"/>
      <c r="J135" s="245"/>
      <c r="K135" s="245"/>
      <c r="L135" s="245"/>
      <c r="M135" s="245"/>
      <c r="N135" s="245"/>
      <c r="O135" s="245"/>
      <c r="P135" s="245"/>
      <c r="Q135" s="245"/>
      <c r="R135" s="245"/>
      <c r="S135" s="245"/>
      <c r="T135" s="245"/>
      <c r="U135" s="245"/>
      <c r="V135" s="245"/>
      <c r="W135" s="245"/>
      <c r="X135" s="245"/>
      <c r="Y135" s="245"/>
      <c r="Z135" s="245"/>
      <c r="AA135" s="246"/>
      <c r="AB135" s="245"/>
      <c r="AC135" s="245"/>
      <c r="AD135" s="1175"/>
      <c r="AE135" s="245"/>
      <c r="AF135" s="245"/>
      <c r="AG135" s="245"/>
      <c r="AH135" s="325"/>
      <c r="AI135" s="79"/>
      <c r="AJ135" s="329"/>
    </row>
    <row r="136" spans="1:44" ht="16.5" customHeight="1">
      <c r="A136" s="51" t="s">
        <v>146</v>
      </c>
      <c r="B136" s="79"/>
      <c r="C136" s="1020">
        <f>ROUND(SUM(C110-C133),1)</f>
        <v>5934</v>
      </c>
      <c r="D136" s="248"/>
      <c r="E136" s="1020">
        <f>ROUND(SUM(E110-E133),1)</f>
        <v>-9135.2999999999993</v>
      </c>
      <c r="F136" s="248"/>
      <c r="G136" s="1020">
        <f>ROUND(SUM(G110-G133),1)</f>
        <v>8027</v>
      </c>
      <c r="H136" s="248"/>
      <c r="I136" s="1020">
        <f>ROUND(SUM(I110-I133),1)</f>
        <v>960.1</v>
      </c>
      <c r="J136" s="248"/>
      <c r="K136" s="1020">
        <f>ROUND(SUM(K110-K133),1)</f>
        <v>-1960.7</v>
      </c>
      <c r="L136" s="248"/>
      <c r="M136" s="1020">
        <f>ROUND(SUM(M110-M133),1)</f>
        <v>3433.7</v>
      </c>
      <c r="N136" s="248"/>
      <c r="O136" s="1020">
        <f>ROUND(SUM(O110-O133),1)</f>
        <v>-1641</v>
      </c>
      <c r="P136" s="248"/>
      <c r="Q136" s="1020">
        <f>ROUND(SUM(Q110-Q133),1)</f>
        <v>-2717</v>
      </c>
      <c r="R136" s="248"/>
      <c r="S136" s="1020">
        <f>ROUND(SUM(S110-S133),1)</f>
        <v>0</v>
      </c>
      <c r="T136" s="248"/>
      <c r="U136" s="1020">
        <f>ROUND(SUM(U110-U133),1)</f>
        <v>0</v>
      </c>
      <c r="V136" s="248"/>
      <c r="W136" s="1020">
        <f>ROUND(SUM(W110-W133),1)</f>
        <v>0</v>
      </c>
      <c r="X136" s="248"/>
      <c r="Y136" s="1020">
        <f>ROUND(SUM(Y110-Y133),1)</f>
        <v>0</v>
      </c>
      <c r="Z136" s="248"/>
      <c r="AA136" s="249"/>
      <c r="AB136" s="1020">
        <f>ROUND(SUM(AB110-AB133),1)</f>
        <v>2900.8</v>
      </c>
      <c r="AC136" s="248"/>
      <c r="AD136" s="1178"/>
      <c r="AE136" s="1020">
        <f>ROUND(SUM(AE110-AE133),1)</f>
        <v>14071.2</v>
      </c>
      <c r="AF136" s="248"/>
      <c r="AG136" s="248"/>
      <c r="AH136" s="1183">
        <f>ROUND(SUM(AB136-AE136),1)</f>
        <v>-11170.4</v>
      </c>
      <c r="AI136" s="238"/>
      <c r="AJ136" s="1179">
        <f>ROUND(IF(AE136=0,0,AH136/ABS(AE136)),3)</f>
        <v>-0.79400000000000004</v>
      </c>
      <c r="AK136" s="180"/>
    </row>
    <row r="137" spans="1:44" ht="16.5" customHeight="1">
      <c r="A137" s="329"/>
      <c r="B137" s="79"/>
      <c r="C137" s="14"/>
      <c r="D137" s="245"/>
      <c r="E137" s="14"/>
      <c r="F137" s="245"/>
      <c r="G137" s="14"/>
      <c r="H137" s="245"/>
      <c r="I137" s="14"/>
      <c r="J137" s="245"/>
      <c r="K137" s="14"/>
      <c r="L137" s="245"/>
      <c r="M137" s="14"/>
      <c r="N137" s="245"/>
      <c r="O137" s="14"/>
      <c r="P137" s="245"/>
      <c r="Q137" s="14"/>
      <c r="R137" s="245"/>
      <c r="S137" s="14"/>
      <c r="T137" s="245"/>
      <c r="U137" s="14"/>
      <c r="V137" s="245"/>
      <c r="W137" s="14"/>
      <c r="X137" s="245"/>
      <c r="Y137" s="14"/>
      <c r="Z137" s="142"/>
      <c r="AA137" s="246"/>
      <c r="AB137" s="14"/>
      <c r="AC137" s="245"/>
      <c r="AD137" s="1175"/>
      <c r="AE137" s="14"/>
      <c r="AF137" s="245"/>
      <c r="AG137" s="245"/>
      <c r="AH137" s="325"/>
      <c r="AI137" s="79"/>
      <c r="AJ137" s="329"/>
    </row>
    <row r="138" spans="1:44" ht="16.5" customHeight="1">
      <c r="A138" s="51" t="s">
        <v>147</v>
      </c>
      <c r="B138" s="79"/>
      <c r="C138" s="245"/>
      <c r="D138" s="245"/>
      <c r="E138" s="245"/>
      <c r="F138" s="251"/>
      <c r="G138" s="245"/>
      <c r="H138" s="251"/>
      <c r="I138" s="251"/>
      <c r="J138" s="251"/>
      <c r="K138" s="251"/>
      <c r="L138" s="251"/>
      <c r="M138" s="251"/>
      <c r="N138" s="251"/>
      <c r="O138" s="251"/>
      <c r="P138" s="251"/>
      <c r="Q138" s="251"/>
      <c r="R138" s="251"/>
      <c r="S138" s="251"/>
      <c r="T138" s="251"/>
      <c r="U138" s="251"/>
      <c r="V138" s="245"/>
      <c r="W138" s="251"/>
      <c r="X138" s="245"/>
      <c r="Y138" s="251"/>
      <c r="Z138" s="1998"/>
      <c r="AA138" s="246"/>
      <c r="AB138" s="245"/>
      <c r="AC138" s="1998"/>
      <c r="AD138" s="245"/>
      <c r="AE138" s="245"/>
      <c r="AF138" s="245"/>
      <c r="AG138" s="245"/>
      <c r="AH138" s="325"/>
      <c r="AI138" s="79"/>
      <c r="AJ138" s="329"/>
    </row>
    <row r="139" spans="1:44" ht="16.5" customHeight="1">
      <c r="A139" s="79" t="s">
        <v>148</v>
      </c>
      <c r="B139" s="79"/>
      <c r="C139" s="875">
        <v>0</v>
      </c>
      <c r="D139" s="875"/>
      <c r="E139" s="875">
        <v>0</v>
      </c>
      <c r="F139" s="875"/>
      <c r="G139" s="875">
        <v>0</v>
      </c>
      <c r="H139" s="251"/>
      <c r="I139" s="875">
        <v>0</v>
      </c>
      <c r="J139" s="251"/>
      <c r="K139" s="875">
        <v>0</v>
      </c>
      <c r="L139" s="251"/>
      <c r="M139" s="875">
        <v>0</v>
      </c>
      <c r="N139" s="251"/>
      <c r="O139" s="875">
        <v>505</v>
      </c>
      <c r="P139" s="251"/>
      <c r="Q139" s="875">
        <f>'Exhibit A'!$V48</f>
        <v>0</v>
      </c>
      <c r="R139" s="875"/>
      <c r="S139" s="875"/>
      <c r="T139" s="875"/>
      <c r="U139" s="875"/>
      <c r="V139" s="875"/>
      <c r="W139" s="875"/>
      <c r="X139" s="875"/>
      <c r="Y139" s="875"/>
      <c r="Z139" s="245"/>
      <c r="AA139" s="246"/>
      <c r="AB139" s="245">
        <f>ROUND(SUM(C139:Y139),1)</f>
        <v>505</v>
      </c>
      <c r="AC139" s="245"/>
      <c r="AD139" s="1175"/>
      <c r="AE139" s="245">
        <f>+'Exhibit A'!AD48</f>
        <v>0</v>
      </c>
      <c r="AF139" s="245"/>
      <c r="AG139" s="245"/>
      <c r="AH139" s="245">
        <f>ROUND(SUM(AB139-AE139),1)</f>
        <v>505</v>
      </c>
      <c r="AI139" s="240"/>
      <c r="AJ139" s="327">
        <f>ROUND(IF(AE139=0,1,AH139/ABS(AE139)),3)</f>
        <v>1</v>
      </c>
    </row>
    <row r="140" spans="1:44" ht="16.5" customHeight="1">
      <c r="A140" s="79" t="s">
        <v>149</v>
      </c>
      <c r="B140" s="79"/>
      <c r="C140" s="875">
        <v>5185</v>
      </c>
      <c r="D140" s="875"/>
      <c r="E140" s="875">
        <v>2608.5</v>
      </c>
      <c r="F140" s="875"/>
      <c r="G140" s="875">
        <v>5720.8</v>
      </c>
      <c r="H140" s="245"/>
      <c r="I140" s="875">
        <v>2693.4</v>
      </c>
      <c r="J140" s="245"/>
      <c r="K140" s="875">
        <v>2990.1</v>
      </c>
      <c r="L140" s="245"/>
      <c r="M140" s="875">
        <v>5418.1</v>
      </c>
      <c r="N140" s="245"/>
      <c r="O140" s="875">
        <v>2519.9</v>
      </c>
      <c r="P140" s="245"/>
      <c r="Q140" s="875">
        <f>'Exhibit A'!$V49</f>
        <v>3802</v>
      </c>
      <c r="R140" s="875"/>
      <c r="S140" s="875"/>
      <c r="T140" s="875"/>
      <c r="U140" s="875"/>
      <c r="V140" s="875"/>
      <c r="W140" s="875"/>
      <c r="X140" s="875"/>
      <c r="Y140" s="875"/>
      <c r="Z140" s="245"/>
      <c r="AA140" s="246"/>
      <c r="AB140" s="245">
        <f>ROUND(SUM(C140:Y140),1)</f>
        <v>30937.8</v>
      </c>
      <c r="AC140" s="245"/>
      <c r="AD140" s="246"/>
      <c r="AE140" s="245">
        <f>+'Exhibit A'!AD49</f>
        <v>34614</v>
      </c>
      <c r="AF140" s="245"/>
      <c r="AG140" s="245"/>
      <c r="AH140" s="245">
        <f>ROUND(SUM(AB140-AE140),1)</f>
        <v>-3676.2</v>
      </c>
      <c r="AI140" s="79"/>
      <c r="AJ140" s="327">
        <f>ROUND(IF(AE140=0,0,AH140/ABS(AE140)),3)</f>
        <v>-0.106</v>
      </c>
    </row>
    <row r="141" spans="1:44" ht="16.5" customHeight="1">
      <c r="A141" s="79" t="s">
        <v>151</v>
      </c>
      <c r="C141" s="1021">
        <v>-5186.5</v>
      </c>
      <c r="D141" s="875"/>
      <c r="E141" s="1021">
        <v>-2612.5</v>
      </c>
      <c r="F141" s="1021"/>
      <c r="G141" s="1021">
        <v>-5723</v>
      </c>
      <c r="H141" s="14"/>
      <c r="I141" s="1021">
        <v>-2694.3</v>
      </c>
      <c r="J141" s="14"/>
      <c r="K141" s="1021">
        <v>-2987.8</v>
      </c>
      <c r="L141" s="14"/>
      <c r="M141" s="1021">
        <v>-5421.3</v>
      </c>
      <c r="N141" s="14"/>
      <c r="O141" s="1021">
        <v>-2526</v>
      </c>
      <c r="P141" s="14"/>
      <c r="Q141" s="1021">
        <f>'Exhibit A'!$V50</f>
        <v>-3809.1</v>
      </c>
      <c r="R141" s="875"/>
      <c r="S141" s="1021"/>
      <c r="T141" s="875"/>
      <c r="U141" s="1021"/>
      <c r="V141" s="1021"/>
      <c r="W141" s="1021"/>
      <c r="X141" s="1021"/>
      <c r="Y141" s="1021"/>
      <c r="Z141" s="14"/>
      <c r="AA141" s="252"/>
      <c r="AB141" s="247">
        <f>ROUND(SUM(C141:Y141),1)</f>
        <v>-30960.5</v>
      </c>
      <c r="AC141" s="14"/>
      <c r="AD141" s="252"/>
      <c r="AE141" s="247">
        <f>+'Exhibit A'!AD50</f>
        <v>-34686.300000000003</v>
      </c>
      <c r="AF141" s="14"/>
      <c r="AG141" s="14"/>
      <c r="AH141" s="247">
        <f>ROUND(SUM(-AB141+AE141),1)</f>
        <v>-3725.8</v>
      </c>
      <c r="AI141" s="329"/>
      <c r="AJ141" s="661">
        <f>ROUND(IF(AE141=0,0,AH141/ABS(AE141)),3)</f>
        <v>-0.107</v>
      </c>
      <c r="AK141" s="1180"/>
    </row>
    <row r="142" spans="1:44" ht="16.5" customHeight="1">
      <c r="A142" s="79"/>
      <c r="C142" s="1512"/>
      <c r="D142" s="14"/>
      <c r="E142" s="245"/>
      <c r="F142" s="14"/>
      <c r="G142" s="245"/>
      <c r="H142" s="14"/>
      <c r="I142" s="245"/>
      <c r="J142" s="14"/>
      <c r="K142" s="245"/>
      <c r="L142" s="14"/>
      <c r="M142" s="245"/>
      <c r="N142" s="14"/>
      <c r="O142" s="245"/>
      <c r="P142" s="14"/>
      <c r="Q142" s="245"/>
      <c r="R142" s="14"/>
      <c r="S142" s="245"/>
      <c r="T142" s="14"/>
      <c r="U142" s="245"/>
      <c r="V142" s="14"/>
      <c r="W142" s="245"/>
      <c r="X142" s="14"/>
      <c r="Y142" s="245"/>
      <c r="Z142" s="14"/>
      <c r="AA142" s="252"/>
      <c r="AB142" s="245"/>
      <c r="AC142" s="14"/>
      <c r="AD142" s="252"/>
      <c r="AE142" s="245"/>
      <c r="AF142" s="14"/>
      <c r="AG142" s="14"/>
      <c r="AH142" s="245"/>
      <c r="AI142" s="329"/>
      <c r="AJ142" s="344"/>
    </row>
    <row r="143" spans="1:44" ht="16.5" customHeight="1">
      <c r="A143" s="51" t="s">
        <v>152</v>
      </c>
      <c r="C143" s="1020">
        <f>ROUND(SUM(C139:C141),1)</f>
        <v>-1.5</v>
      </c>
      <c r="D143" s="253"/>
      <c r="E143" s="1020">
        <f>ROUND(SUM(E139:E141),1)</f>
        <v>-4</v>
      </c>
      <c r="F143" s="253"/>
      <c r="G143" s="1020">
        <f>ROUND(SUM(G139:G141),1)</f>
        <v>-2.2000000000000002</v>
      </c>
      <c r="H143" s="253"/>
      <c r="I143" s="1020">
        <f>ROUND(SUM(I139:I141),1)</f>
        <v>-0.9</v>
      </c>
      <c r="J143" s="253"/>
      <c r="K143" s="1020">
        <f>ROUND(SUM(K139:K141),1)</f>
        <v>2.2999999999999998</v>
      </c>
      <c r="L143" s="253"/>
      <c r="M143" s="1020">
        <f>ROUND(SUM(M139:M141),1)</f>
        <v>-3.2</v>
      </c>
      <c r="N143" s="253"/>
      <c r="O143" s="1020">
        <f>ROUND(SUM(O139:O141),1)</f>
        <v>498.9</v>
      </c>
      <c r="P143" s="253"/>
      <c r="Q143" s="1020">
        <f>ROUND(SUM(Q139:Q141),1)</f>
        <v>-7.1</v>
      </c>
      <c r="R143" s="253"/>
      <c r="S143" s="1020">
        <f>ROUND(SUM(S139:S141),1)</f>
        <v>0</v>
      </c>
      <c r="T143" s="253"/>
      <c r="U143" s="1020">
        <f>ROUND(SUM(U139:U141),1)</f>
        <v>0</v>
      </c>
      <c r="V143" s="253"/>
      <c r="W143" s="1020">
        <f>ROUND(SUM(W139:W141),1)</f>
        <v>0</v>
      </c>
      <c r="X143" s="253"/>
      <c r="Y143" s="1020">
        <f>ROUND(SUM(Y139:Y141),1)</f>
        <v>0</v>
      </c>
      <c r="Z143" s="253"/>
      <c r="AA143" s="254"/>
      <c r="AB143" s="1020">
        <f>ROUND(SUM(AB139:AB142),1)</f>
        <v>482.3</v>
      </c>
      <c r="AC143" s="253"/>
      <c r="AD143" s="254"/>
      <c r="AE143" s="1020">
        <f>SUM(AE139:AE142)</f>
        <v>-72.30000000000291</v>
      </c>
      <c r="AF143" s="253"/>
      <c r="AG143" s="253"/>
      <c r="AH143" s="1020">
        <f>ROUND(SUM(+AH140-AH141+AH139),1)</f>
        <v>554.6</v>
      </c>
      <c r="AI143" s="51"/>
      <c r="AJ143" s="1179">
        <f>ROUND(IF(AE143=0,0,AH143/ABS(AE143)),3)</f>
        <v>7.6710000000000003</v>
      </c>
      <c r="AK143" s="180"/>
    </row>
    <row r="144" spans="1:44" ht="16.5" customHeight="1">
      <c r="A144" s="329"/>
      <c r="C144" s="14"/>
      <c r="D144" s="14"/>
      <c r="E144" s="14"/>
      <c r="F144" s="14"/>
      <c r="G144" s="14"/>
      <c r="H144" s="14"/>
      <c r="I144" s="14"/>
      <c r="J144" s="14"/>
      <c r="K144" s="14"/>
      <c r="L144" s="14"/>
      <c r="M144" s="14"/>
      <c r="N144" s="14"/>
      <c r="O144" s="14"/>
      <c r="P144" s="14"/>
      <c r="Q144" s="14"/>
      <c r="R144" s="14"/>
      <c r="S144" s="14"/>
      <c r="T144" s="14"/>
      <c r="U144" s="14"/>
      <c r="V144" s="14"/>
      <c r="W144" s="14"/>
      <c r="X144" s="14"/>
      <c r="Y144" s="14"/>
      <c r="Z144" s="14"/>
      <c r="AA144" s="252"/>
      <c r="AB144" s="14"/>
      <c r="AC144" s="14"/>
      <c r="AD144" s="252"/>
      <c r="AE144" s="14"/>
      <c r="AF144" s="14"/>
      <c r="AG144" s="14"/>
      <c r="AH144" s="325"/>
      <c r="AI144" s="329"/>
      <c r="AJ144" s="329"/>
    </row>
    <row r="145" spans="1:59" ht="16.5" customHeight="1">
      <c r="A145" s="51" t="s">
        <v>145</v>
      </c>
      <c r="C145" s="245"/>
      <c r="D145" s="14"/>
      <c r="E145" s="245"/>
      <c r="F145" s="14"/>
      <c r="G145" s="245"/>
      <c r="H145" s="14"/>
      <c r="I145" s="245"/>
      <c r="J145" s="14"/>
      <c r="K145" s="245"/>
      <c r="L145" s="14"/>
      <c r="M145" s="245"/>
      <c r="N145" s="14"/>
      <c r="O145" s="245"/>
      <c r="P145" s="14"/>
      <c r="Q145" s="245"/>
      <c r="R145" s="14"/>
      <c r="S145" s="245"/>
      <c r="T145" s="14"/>
      <c r="U145" s="245"/>
      <c r="V145" s="14"/>
      <c r="W145" s="245"/>
      <c r="X145" s="14"/>
      <c r="Y145" s="245"/>
      <c r="Z145" s="14"/>
      <c r="AA145" s="252"/>
      <c r="AB145" s="245"/>
      <c r="AC145" s="14"/>
      <c r="AD145" s="252"/>
      <c r="AE145" s="245"/>
      <c r="AF145" s="14"/>
      <c r="AG145" s="14"/>
      <c r="AH145" s="325"/>
      <c r="AI145" s="329"/>
      <c r="AJ145" s="329"/>
    </row>
    <row r="146" spans="1:59" ht="16.5" customHeight="1">
      <c r="A146" s="51" t="s">
        <v>153</v>
      </c>
      <c r="C146" s="248"/>
      <c r="D146" s="253"/>
      <c r="E146" s="248"/>
      <c r="F146" s="253"/>
      <c r="G146" s="248"/>
      <c r="H146" s="253"/>
      <c r="I146" s="248"/>
      <c r="J146" s="253"/>
      <c r="K146" s="248"/>
      <c r="L146" s="253"/>
      <c r="M146" s="248"/>
      <c r="N146" s="253"/>
      <c r="O146" s="248"/>
      <c r="P146" s="253"/>
      <c r="Q146" s="248"/>
      <c r="R146" s="253"/>
      <c r="S146" s="248"/>
      <c r="T146" s="253"/>
      <c r="U146" s="248"/>
      <c r="V146" s="253"/>
      <c r="W146" s="248"/>
      <c r="X146" s="253"/>
      <c r="Y146" s="248"/>
      <c r="Z146" s="253"/>
      <c r="AA146" s="254"/>
      <c r="AB146" s="248"/>
      <c r="AC146" s="253"/>
      <c r="AD146" s="254"/>
      <c r="AE146" s="248"/>
      <c r="AF146" s="14"/>
      <c r="AG146" s="14"/>
      <c r="AH146" s="16"/>
      <c r="AI146" s="51"/>
      <c r="AJ146" s="51"/>
      <c r="AK146" s="180"/>
      <c r="AM146" s="180"/>
      <c r="AN146" s="180"/>
      <c r="AO146" s="180"/>
      <c r="AP146" s="180"/>
      <c r="AQ146" s="180"/>
      <c r="AR146" s="180"/>
      <c r="AS146" s="180"/>
      <c r="AT146" s="180"/>
      <c r="AU146" s="180"/>
      <c r="AV146" s="180"/>
      <c r="AW146" s="180"/>
      <c r="AX146" s="180"/>
      <c r="AY146" s="180"/>
      <c r="AZ146" s="180"/>
      <c r="BA146" s="180"/>
      <c r="BB146" s="180"/>
      <c r="BC146" s="180"/>
      <c r="BD146" s="180"/>
      <c r="BE146" s="180"/>
      <c r="BF146" s="180"/>
      <c r="BG146" s="180"/>
    </row>
    <row r="147" spans="1:59" ht="16.5" customHeight="1">
      <c r="A147" s="51" t="s">
        <v>154</v>
      </c>
      <c r="C147" s="255">
        <f>ROUND(SUM(C136+C143),1)</f>
        <v>5932.5</v>
      </c>
      <c r="D147" s="253"/>
      <c r="E147" s="255">
        <f>ROUND(SUM(E136+E143),1)</f>
        <v>-9139.2999999999993</v>
      </c>
      <c r="F147" s="253"/>
      <c r="G147" s="255">
        <f>ROUND(SUM(G136+G143),1)</f>
        <v>8024.8</v>
      </c>
      <c r="H147" s="253"/>
      <c r="I147" s="255">
        <f>ROUND(SUM(I136+I143),1)</f>
        <v>959.2</v>
      </c>
      <c r="J147" s="253"/>
      <c r="K147" s="255">
        <f>ROUND(SUM(K136+K143),1)</f>
        <v>-1958.4</v>
      </c>
      <c r="L147" s="253"/>
      <c r="M147" s="255">
        <f>ROUND(SUM(M136+M143),1)</f>
        <v>3430.5</v>
      </c>
      <c r="N147" s="253"/>
      <c r="O147" s="255">
        <f>ROUND(SUM(O136+O143),1)</f>
        <v>-1142.0999999999999</v>
      </c>
      <c r="P147" s="253"/>
      <c r="Q147" s="255">
        <f>ROUND(SUM(Q136+Q143),1)</f>
        <v>-2724.1</v>
      </c>
      <c r="R147" s="253"/>
      <c r="S147" s="255">
        <f>ROUND(SUM(S136+S143),1)</f>
        <v>0</v>
      </c>
      <c r="T147" s="253"/>
      <c r="U147" s="255">
        <f>ROUND(SUM(U136+U143),1)</f>
        <v>0</v>
      </c>
      <c r="V147" s="253"/>
      <c r="W147" s="255">
        <f>ROUND(SUM(W136+W143),1)</f>
        <v>0</v>
      </c>
      <c r="X147" s="253"/>
      <c r="Y147" s="255">
        <f>ROUND(SUM(Y136+Y143),1)</f>
        <v>0</v>
      </c>
      <c r="Z147" s="253"/>
      <c r="AA147" s="254"/>
      <c r="AB147" s="255">
        <f>ROUND(SUM(AB136+AB143),1)</f>
        <v>3383.1</v>
      </c>
      <c r="AC147" s="253"/>
      <c r="AD147" s="254"/>
      <c r="AE147" s="255">
        <f>AE136+AE143</f>
        <v>13998.899999999998</v>
      </c>
      <c r="AF147" s="14"/>
      <c r="AG147" s="14"/>
      <c r="AH147" s="1183">
        <f>ROUND(SUM(AB147-AE147),1)</f>
        <v>-10615.8</v>
      </c>
      <c r="AI147" s="51"/>
      <c r="AJ147" s="1179">
        <f>ROUND(IF(AE147=0,0,AH147/ABS(AE147)),3)</f>
        <v>-0.75800000000000001</v>
      </c>
      <c r="AK147" s="180"/>
      <c r="AM147" s="180"/>
      <c r="AN147" s="180"/>
      <c r="AO147" s="180"/>
      <c r="AP147" s="180"/>
      <c r="AQ147" s="180"/>
      <c r="AR147" s="180"/>
      <c r="AS147" s="180"/>
      <c r="AT147" s="180"/>
      <c r="AU147" s="180"/>
      <c r="AV147" s="180"/>
      <c r="AW147" s="180"/>
      <c r="AX147" s="180"/>
      <c r="AY147" s="180"/>
      <c r="AZ147" s="180"/>
      <c r="BA147" s="180"/>
      <c r="BB147" s="180"/>
      <c r="BC147" s="180"/>
      <c r="BD147" s="180"/>
      <c r="BE147" s="180"/>
      <c r="BF147" s="180"/>
      <c r="BG147" s="180"/>
    </row>
    <row r="148" spans="1:59" ht="16.5" customHeight="1">
      <c r="A148" s="51"/>
      <c r="C148" s="1506"/>
      <c r="E148" s="1506"/>
      <c r="G148" s="1506"/>
      <c r="I148" s="1506"/>
      <c r="K148" s="1506"/>
      <c r="M148" s="1506"/>
      <c r="O148" s="1506"/>
      <c r="Q148" s="1506"/>
      <c r="S148" s="1506"/>
      <c r="U148" s="1506"/>
      <c r="W148" s="1506"/>
      <c r="Y148" s="1506"/>
      <c r="AA148" s="256"/>
      <c r="AB148" s="1506"/>
      <c r="AD148" s="256"/>
      <c r="AE148" s="1506"/>
      <c r="AF148" s="14"/>
      <c r="AG148" s="14"/>
      <c r="AH148" s="329"/>
      <c r="AI148" s="329"/>
      <c r="AJ148" s="329"/>
    </row>
    <row r="149" spans="1:59" ht="16.5" customHeight="1" thickBot="1">
      <c r="A149" s="257" t="s">
        <v>463</v>
      </c>
      <c r="C149" s="258">
        <f>ROUND(SUM(C16+C147),1)</f>
        <v>71888.2</v>
      </c>
      <c r="D149" s="99"/>
      <c r="E149" s="258">
        <f>ROUND(SUM(E16+E147),1)</f>
        <v>62748.9</v>
      </c>
      <c r="F149" s="99"/>
      <c r="G149" s="258">
        <f>ROUND(SUM(G16+G147),1)</f>
        <v>70773.7</v>
      </c>
      <c r="H149" s="99"/>
      <c r="I149" s="258">
        <f>ROUND(SUM(I16+I147),1)</f>
        <v>71732.899999999994</v>
      </c>
      <c r="J149" s="259"/>
      <c r="K149" s="258">
        <f>ROUND(SUM(K16+K147),1)</f>
        <v>69774.5</v>
      </c>
      <c r="L149" s="259"/>
      <c r="M149" s="258">
        <f>ROUND(SUM(M16+M147),1)</f>
        <v>73205</v>
      </c>
      <c r="N149" s="259"/>
      <c r="O149" s="258">
        <f>ROUND(SUM(O16+O147),1)</f>
        <v>72062.899999999994</v>
      </c>
      <c r="P149" s="259"/>
      <c r="Q149" s="258">
        <f>ROUND(SUM(Q16+Q147),1)</f>
        <v>69338.8</v>
      </c>
      <c r="R149" s="259"/>
      <c r="S149" s="258">
        <f>ROUND(SUM(S16+S147),1)</f>
        <v>0</v>
      </c>
      <c r="T149" s="259"/>
      <c r="U149" s="258">
        <f>ROUND(SUM(U16+U147),1)</f>
        <v>0</v>
      </c>
      <c r="V149" s="259"/>
      <c r="W149" s="258">
        <f>ROUND(SUM(W16+W147),1)</f>
        <v>0</v>
      </c>
      <c r="X149" s="259"/>
      <c r="Y149" s="258">
        <f>ROUND(SUM(Y16+Y147),1)</f>
        <v>0</v>
      </c>
      <c r="Z149" s="99"/>
      <c r="AA149" s="260"/>
      <c r="AB149" s="258">
        <f>ROUND(SUM(AB16+AB147),1)</f>
        <v>69338.8</v>
      </c>
      <c r="AC149" s="99"/>
      <c r="AD149" s="260"/>
      <c r="AE149" s="258">
        <f>AE16+AE147</f>
        <v>67547.899999999994</v>
      </c>
      <c r="AF149" s="14"/>
      <c r="AG149" s="14"/>
      <c r="AH149" s="258">
        <f>ROUND(SUM(AB149-AE149),1)</f>
        <v>1790.9</v>
      </c>
      <c r="AI149" s="51"/>
      <c r="AJ149" s="1181">
        <f>ROUND(IF(AE149=0,0,AH149/ABS(AE149)),3)</f>
        <v>2.7E-2</v>
      </c>
      <c r="AK149" s="180"/>
    </row>
    <row r="150" spans="1:59" ht="16.5" customHeight="1" thickTop="1">
      <c r="A150" s="261"/>
      <c r="AH150" s="329"/>
      <c r="AI150" s="329"/>
      <c r="AJ150" s="329"/>
    </row>
    <row r="151" spans="1:59" ht="16.5" customHeight="1">
      <c r="A151" s="1513" t="s">
        <v>464</v>
      </c>
      <c r="AH151" s="329"/>
      <c r="AI151" s="329"/>
      <c r="AJ151" s="329"/>
    </row>
    <row r="152" spans="1:59" ht="16.5" customHeight="1">
      <c r="AH152" s="329"/>
      <c r="AI152" s="329"/>
      <c r="AJ152" s="329"/>
    </row>
    <row r="153" spans="1:59" ht="16.5" customHeight="1">
      <c r="A153" s="466"/>
      <c r="AH153" s="329"/>
      <c r="AI153" s="329"/>
      <c r="AJ153" s="329"/>
    </row>
    <row r="154" spans="1:59" ht="16.5" customHeight="1">
      <c r="A154" s="466"/>
      <c r="AH154" s="329"/>
      <c r="AI154" s="329"/>
      <c r="AJ154" s="329"/>
    </row>
    <row r="155" spans="1:59" ht="16.5" customHeight="1">
      <c r="AH155" s="329"/>
      <c r="AI155" s="329"/>
      <c r="AJ155" s="329"/>
    </row>
    <row r="156" spans="1:59" ht="16.5" customHeight="1">
      <c r="AH156" s="329"/>
      <c r="AI156" s="329"/>
      <c r="AJ156" s="329"/>
    </row>
    <row r="157" spans="1:59" ht="16.5" customHeight="1">
      <c r="AH157" s="329"/>
      <c r="AI157" s="329"/>
      <c r="AJ157" s="329"/>
    </row>
    <row r="158" spans="1:59" ht="16.5" customHeight="1">
      <c r="AH158" s="329"/>
      <c r="AI158" s="329"/>
      <c r="AJ158" s="329"/>
    </row>
    <row r="159" spans="1:59" ht="16.5" customHeight="1">
      <c r="AH159" s="329"/>
      <c r="AI159" s="329"/>
      <c r="AJ159" s="329"/>
    </row>
    <row r="160" spans="1:59" ht="16.5" customHeight="1">
      <c r="AH160" s="329"/>
      <c r="AI160" s="329"/>
      <c r="AJ160" s="329"/>
    </row>
    <row r="161" spans="34:36" ht="16.5" customHeight="1">
      <c r="AH161" s="329"/>
      <c r="AI161" s="329"/>
      <c r="AJ161" s="329"/>
    </row>
    <row r="162" spans="34:36" ht="16.5" customHeight="1">
      <c r="AH162" s="329"/>
      <c r="AI162" s="329"/>
      <c r="AJ162" s="329"/>
    </row>
    <row r="163" spans="34:36" ht="16.5" customHeight="1">
      <c r="AH163" s="329"/>
      <c r="AI163" s="329"/>
      <c r="AJ163" s="329"/>
    </row>
  </sheetData>
  <mergeCells count="2">
    <mergeCell ref="AC5:AJ5"/>
    <mergeCell ref="AB12:AJ12"/>
  </mergeCells>
  <pageMargins left="0.25" right="0.25" top="0.5" bottom="0.4" header="0" footer="0.25"/>
  <pageSetup scale="38" firstPageNumber="16" fitToHeight="2" orientation="landscape" useFirstPageNumber="1" r:id="rId1"/>
  <headerFooter scaleWithDoc="0" alignWithMargins="0">
    <oddFooter>&amp;C&amp;8&amp;P</oddFooter>
  </headerFooter>
  <rowBreaks count="1" manualBreakCount="1">
    <brk id="89" max="35" man="1"/>
  </rowBreaks>
  <customProperties>
    <customPr name="SheetOptions" r:id="rId2"/>
  </customProperties>
  <ignoredErrors>
    <ignoredError sqref="AJ58:AJ69 AJ75 AJ140:AJ149 AJ97:AJ138 AJ29:AJ34 AJ21:AJ27 AJ87 AJ49:AJ55 AJ77:AJ80 AJ90:AJ94 AJ38:AJ46 AJ85 AJ36 AJ71:AJ72" unlockedFormula="1"/>
    <ignoredError sqref="AH35:AI35 AH25:AH26 AH96:AI96 AJ57" formula="1"/>
    <ignoredError sqref="AJ35" formula="1" unlockedFormula="1"/>
    <ignoredError sqref="AC14:AD14" numberStoredAsText="1"/>
  </ignoredErrors>
  <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43"/>
  <dimension ref="A1:BG166"/>
  <sheetViews>
    <sheetView showGridLines="0" zoomScale="80" zoomScaleNormal="80" workbookViewId="0"/>
  </sheetViews>
  <sheetFormatPr defaultColWidth="8.84375" defaultRowHeight="16.5" customHeight="1"/>
  <cols>
    <col min="1" max="1" width="43" style="73" customWidth="1"/>
    <col min="2" max="2" width="1.84375" style="73" customWidth="1"/>
    <col min="3" max="3" width="13.07421875" style="73" customWidth="1"/>
    <col min="4" max="4" width="1.84375" style="73" customWidth="1"/>
    <col min="5" max="5" width="13.07421875" style="73" customWidth="1"/>
    <col min="6" max="6" width="1.84375" style="73" customWidth="1"/>
    <col min="7" max="7" width="13.53515625" style="73" customWidth="1"/>
    <col min="8" max="8" width="1.84375" style="73" customWidth="1"/>
    <col min="9" max="9" width="13.84375" style="73" customWidth="1"/>
    <col min="10" max="10" width="1.84375" style="73" customWidth="1"/>
    <col min="11" max="11" width="14.53515625" style="73" customWidth="1"/>
    <col min="12" max="12" width="1.84375" style="73" customWidth="1"/>
    <col min="13" max="13" width="13.07421875" style="73" customWidth="1"/>
    <col min="14" max="14" width="1.84375" style="73" customWidth="1"/>
    <col min="15" max="15" width="14.07421875" style="73" customWidth="1"/>
    <col min="16" max="16" width="1.84375" style="73" customWidth="1"/>
    <col min="17" max="17" width="13.07421875" style="73" customWidth="1"/>
    <col min="18" max="18" width="1.84375" style="73" customWidth="1"/>
    <col min="19" max="19" width="13.84375" style="73" customWidth="1"/>
    <col min="20" max="20" width="1.84375" style="73" customWidth="1"/>
    <col min="21" max="21" width="13" style="73" customWidth="1"/>
    <col min="22" max="22" width="1.84375" style="73" customWidth="1"/>
    <col min="23" max="23" width="13.07421875" style="73" customWidth="1"/>
    <col min="24" max="24" width="1.84375" style="73" customWidth="1"/>
    <col min="25" max="25" width="13.07421875" style="73" customWidth="1"/>
    <col min="26" max="27" width="1.84375" style="73" customWidth="1"/>
    <col min="28" max="28" width="15" style="73" customWidth="1"/>
    <col min="29" max="30" width="1.84375" style="73" customWidth="1"/>
    <col min="31" max="31" width="13.84375" style="73" customWidth="1"/>
    <col min="32" max="33" width="1.84375" style="73" customWidth="1"/>
    <col min="34" max="34" width="12.84375" style="73" bestFit="1" customWidth="1"/>
    <col min="35" max="35" width="1" style="73" customWidth="1"/>
    <col min="36" max="36" width="12.07421875" style="73" bestFit="1" customWidth="1"/>
    <col min="37" max="16384" width="8.84375" style="73"/>
  </cols>
  <sheetData>
    <row r="1" spans="1:37" ht="15.5">
      <c r="A1" s="1017" t="s">
        <v>98</v>
      </c>
    </row>
    <row r="2" spans="1:37" ht="15.5">
      <c r="A2" s="466"/>
    </row>
    <row r="3" spans="1:37" ht="23">
      <c r="A3" s="76" t="s">
        <v>99</v>
      </c>
      <c r="B3" s="79"/>
      <c r="C3" s="79"/>
      <c r="D3" s="79"/>
      <c r="E3" s="79"/>
      <c r="F3" s="79"/>
      <c r="G3" s="79"/>
      <c r="H3" s="79"/>
      <c r="I3" s="79"/>
      <c r="J3" s="79"/>
      <c r="K3" s="79"/>
      <c r="L3" s="79"/>
      <c r="M3" s="79"/>
      <c r="N3" s="79"/>
      <c r="O3" s="79"/>
      <c r="P3" s="79"/>
      <c r="Q3" s="79"/>
      <c r="R3" s="79"/>
      <c r="S3" s="79"/>
      <c r="T3" s="79"/>
      <c r="U3" s="79"/>
      <c r="V3" s="79"/>
      <c r="W3" s="79"/>
      <c r="X3" s="79"/>
      <c r="Y3" s="79"/>
      <c r="Z3" s="79"/>
      <c r="AA3" s="79"/>
      <c r="AB3" s="79"/>
      <c r="AC3" s="79"/>
      <c r="AD3" s="79"/>
      <c r="AE3" s="79"/>
      <c r="AF3" s="79"/>
      <c r="AG3" s="79"/>
      <c r="AI3" s="79"/>
    </row>
    <row r="4" spans="1:37" ht="23">
      <c r="A4" s="76" t="s">
        <v>158</v>
      </c>
      <c r="B4" s="79"/>
      <c r="C4" s="79"/>
      <c r="D4" s="79"/>
      <c r="E4" s="79"/>
      <c r="F4" s="79"/>
      <c r="G4" s="79"/>
      <c r="H4" s="79"/>
      <c r="I4" s="79" t="s">
        <v>104</v>
      </c>
      <c r="J4" s="79"/>
      <c r="K4" s="79"/>
      <c r="L4" s="79"/>
      <c r="M4" s="79"/>
      <c r="N4" s="79"/>
      <c r="O4" s="79"/>
      <c r="P4" s="79"/>
      <c r="Q4" s="79"/>
      <c r="R4" s="79"/>
      <c r="S4" s="79"/>
      <c r="T4" s="79"/>
      <c r="U4" s="79"/>
      <c r="V4" s="79"/>
      <c r="W4" s="79"/>
      <c r="X4" s="79"/>
      <c r="Y4" s="79" t="s">
        <v>104</v>
      </c>
      <c r="Z4" s="79"/>
      <c r="AA4" s="79"/>
      <c r="AB4" s="79"/>
      <c r="AC4" s="79"/>
      <c r="AD4" s="79"/>
      <c r="AE4" s="79"/>
      <c r="AF4" s="79"/>
      <c r="AG4" s="79"/>
      <c r="AI4" s="79"/>
    </row>
    <row r="5" spans="1:37" ht="23.25" customHeight="1">
      <c r="A5" s="78" t="s">
        <v>356</v>
      </c>
      <c r="B5" s="79"/>
      <c r="C5" s="79"/>
      <c r="D5" s="79"/>
      <c r="E5" s="79"/>
      <c r="F5" s="79"/>
      <c r="G5" s="79"/>
      <c r="H5" s="79"/>
      <c r="I5" s="79"/>
      <c r="J5" s="79"/>
      <c r="K5" s="79"/>
      <c r="L5" s="79"/>
      <c r="M5" s="79"/>
      <c r="N5" s="79"/>
      <c r="O5" s="79"/>
      <c r="P5" s="79"/>
      <c r="Q5" s="79"/>
      <c r="R5" s="79"/>
      <c r="S5" s="79"/>
      <c r="T5" s="79"/>
      <c r="U5" s="79"/>
      <c r="V5" s="79"/>
      <c r="W5" s="79"/>
      <c r="X5" s="79"/>
      <c r="Y5" s="79"/>
      <c r="Z5" s="79"/>
      <c r="AA5" s="79"/>
      <c r="AC5" s="2223"/>
      <c r="AD5" s="2224"/>
      <c r="AE5" s="2224"/>
      <c r="AF5" s="2224"/>
      <c r="AG5" s="2224"/>
      <c r="AH5" s="2224"/>
      <c r="AI5" s="2224"/>
      <c r="AJ5" s="2224"/>
    </row>
    <row r="6" spans="1:37" ht="23">
      <c r="A6" s="78" t="str">
        <f>'Cashflow Governmental'!A6</f>
        <v>FISCAL YEAR 2023-2024</v>
      </c>
      <c r="B6" s="79"/>
      <c r="C6" s="79"/>
      <c r="D6" s="79"/>
      <c r="E6" s="79"/>
      <c r="F6" s="79"/>
      <c r="G6" s="79"/>
      <c r="H6" s="79"/>
      <c r="I6" s="79"/>
      <c r="J6" s="79"/>
      <c r="K6" s="79"/>
      <c r="L6" s="79"/>
      <c r="M6" s="79"/>
      <c r="N6" s="79"/>
      <c r="O6" s="79"/>
      <c r="P6" s="79"/>
      <c r="Q6" s="79"/>
      <c r="R6" s="79"/>
      <c r="S6" s="79"/>
      <c r="T6" s="79"/>
      <c r="U6" s="79"/>
      <c r="V6" s="79"/>
      <c r="W6" s="79"/>
      <c r="X6" s="79"/>
      <c r="Y6" s="79"/>
      <c r="Z6" s="79"/>
      <c r="AA6" s="79"/>
      <c r="AB6" s="79"/>
      <c r="AC6" s="79"/>
      <c r="AD6" s="79"/>
      <c r="AE6" s="79"/>
      <c r="AF6" s="79"/>
      <c r="AG6" s="79"/>
      <c r="AI6" s="79"/>
    </row>
    <row r="7" spans="1:37" ht="23.25" customHeight="1">
      <c r="A7" s="76" t="s">
        <v>103</v>
      </c>
      <c r="B7" s="79"/>
      <c r="C7" s="79"/>
      <c r="D7" s="79"/>
      <c r="E7" s="79"/>
      <c r="F7" s="79"/>
      <c r="G7" s="79"/>
      <c r="H7" s="79"/>
      <c r="I7" s="79"/>
      <c r="J7" s="79"/>
      <c r="K7" s="79"/>
      <c r="L7" s="79"/>
      <c r="M7" s="79"/>
      <c r="N7" s="79"/>
      <c r="O7" s="79"/>
      <c r="P7" s="79"/>
      <c r="Q7" s="79"/>
      <c r="R7" s="79"/>
      <c r="S7" s="79"/>
      <c r="T7" s="79"/>
      <c r="U7" s="79"/>
      <c r="V7" s="79"/>
      <c r="W7" s="79"/>
      <c r="X7" s="79"/>
      <c r="Y7" s="79"/>
      <c r="Z7" s="79"/>
      <c r="AA7" s="79"/>
      <c r="AB7" s="79"/>
      <c r="AC7" s="79"/>
      <c r="AD7" s="79"/>
      <c r="AE7" s="79"/>
      <c r="AF7" s="79"/>
      <c r="AG7" s="79"/>
      <c r="AI7" s="79"/>
    </row>
    <row r="8" spans="1:37" ht="15.5">
      <c r="A8" s="79"/>
      <c r="B8" s="79"/>
      <c r="C8" s="79"/>
      <c r="D8" s="79"/>
      <c r="E8" s="79"/>
      <c r="F8" s="79"/>
      <c r="G8" s="79"/>
      <c r="H8" s="79"/>
      <c r="I8" s="79"/>
      <c r="J8" s="79"/>
      <c r="K8" s="79"/>
      <c r="L8" s="79"/>
      <c r="M8" s="79"/>
      <c r="N8" s="79"/>
      <c r="O8" s="79"/>
      <c r="P8" s="79"/>
      <c r="Q8" s="79"/>
      <c r="R8" s="79"/>
      <c r="S8" s="79"/>
      <c r="T8" s="79"/>
      <c r="U8" s="79"/>
      <c r="V8" s="79"/>
      <c r="W8" s="79"/>
      <c r="X8" s="79"/>
      <c r="Y8" s="79"/>
      <c r="Z8" s="79"/>
      <c r="AA8" s="79"/>
      <c r="AB8" s="79"/>
      <c r="AC8" s="79"/>
      <c r="AD8" s="79"/>
      <c r="AE8" s="79"/>
      <c r="AF8" s="79"/>
      <c r="AG8" s="79"/>
      <c r="AI8" s="79"/>
    </row>
    <row r="9" spans="1:37" ht="15.5">
      <c r="A9" s="79"/>
      <c r="B9" s="79"/>
      <c r="C9" s="79"/>
      <c r="D9" s="79"/>
      <c r="E9" s="79"/>
      <c r="F9" s="79"/>
      <c r="G9" s="79"/>
      <c r="H9" s="79"/>
      <c r="I9" s="79"/>
      <c r="J9" s="79"/>
      <c r="K9" s="79"/>
      <c r="L9" s="79"/>
      <c r="M9" s="79"/>
      <c r="N9" s="79"/>
      <c r="O9" s="79"/>
      <c r="P9" s="79"/>
      <c r="Q9" s="79"/>
      <c r="R9" s="79"/>
      <c r="S9" s="79"/>
      <c r="T9" s="79"/>
      <c r="U9" s="79"/>
      <c r="V9" s="79"/>
      <c r="W9" s="79"/>
      <c r="X9" s="79"/>
      <c r="Y9" s="79"/>
      <c r="Z9" s="79"/>
      <c r="AA9" s="79"/>
      <c r="AB9" s="79"/>
      <c r="AC9" s="79"/>
      <c r="AD9" s="79"/>
      <c r="AE9" s="79"/>
      <c r="AF9" s="79"/>
      <c r="AG9" s="79"/>
      <c r="AI9" s="79"/>
    </row>
    <row r="10" spans="1:37" ht="15.5">
      <c r="A10" s="79"/>
      <c r="B10" s="79"/>
      <c r="C10" s="79"/>
      <c r="D10" s="79"/>
      <c r="E10" s="79"/>
      <c r="F10" s="79"/>
      <c r="G10" s="79"/>
      <c r="H10" s="79"/>
      <c r="I10" s="79"/>
      <c r="J10" s="79"/>
      <c r="K10" s="79"/>
      <c r="L10" s="79"/>
      <c r="M10" s="79"/>
      <c r="N10" s="79"/>
      <c r="O10" s="79"/>
      <c r="P10" s="79"/>
      <c r="Q10" s="79"/>
      <c r="R10" s="79"/>
      <c r="S10" s="79"/>
      <c r="T10" s="79"/>
      <c r="U10" s="79"/>
      <c r="V10" s="79"/>
      <c r="W10" s="79"/>
      <c r="X10" s="79"/>
      <c r="Y10" s="79"/>
      <c r="Z10" s="79"/>
      <c r="AA10" s="79"/>
      <c r="AB10" s="79"/>
      <c r="AC10" s="79"/>
      <c r="AD10" s="79"/>
      <c r="AE10" s="79"/>
      <c r="AF10" s="79"/>
      <c r="AG10" s="79"/>
      <c r="AI10" s="79"/>
    </row>
    <row r="11" spans="1:37" ht="15.5">
      <c r="A11" s="79"/>
      <c r="B11" s="79"/>
      <c r="C11" s="79" t="s">
        <v>104</v>
      </c>
      <c r="D11" s="79" t="s">
        <v>104</v>
      </c>
      <c r="E11" s="79"/>
      <c r="F11" s="79"/>
      <c r="G11" s="79"/>
      <c r="H11" s="79"/>
      <c r="I11" s="79"/>
      <c r="J11" s="79"/>
      <c r="K11" s="79"/>
      <c r="L11" s="79"/>
      <c r="M11" s="79"/>
      <c r="N11" s="79"/>
      <c r="O11" s="79"/>
      <c r="P11" s="79"/>
      <c r="Q11" s="79"/>
      <c r="R11" s="79"/>
      <c r="S11" s="79"/>
      <c r="T11" s="79"/>
      <c r="U11" s="79"/>
      <c r="V11" s="79"/>
      <c r="W11" s="79"/>
      <c r="X11" s="79"/>
      <c r="Y11" s="79"/>
      <c r="Z11" s="79"/>
      <c r="AA11" s="79"/>
      <c r="AC11" s="79"/>
      <c r="AD11" s="79"/>
      <c r="AE11" s="79"/>
      <c r="AF11" s="79"/>
      <c r="AG11" s="79"/>
      <c r="AI11" s="79"/>
    </row>
    <row r="12" spans="1:37" ht="15.5">
      <c r="A12" s="79"/>
      <c r="B12" s="79"/>
      <c r="C12" s="79"/>
      <c r="D12" s="79"/>
      <c r="E12" s="79"/>
      <c r="F12" s="79"/>
      <c r="G12" s="79"/>
      <c r="H12" s="79"/>
      <c r="I12" s="79"/>
      <c r="J12" s="79"/>
      <c r="K12" s="79"/>
      <c r="L12" s="79"/>
      <c r="M12" s="79"/>
      <c r="N12" s="79"/>
      <c r="O12" s="79"/>
      <c r="P12" s="79"/>
      <c r="Q12" s="79"/>
      <c r="R12" s="79"/>
      <c r="S12" s="79"/>
      <c r="T12" s="79"/>
      <c r="U12" s="79"/>
      <c r="V12" s="79"/>
      <c r="W12" s="79"/>
      <c r="X12" s="79"/>
      <c r="Z12" s="79"/>
      <c r="AA12" s="240"/>
      <c r="AB12" s="2227" t="str">
        <f>'Cashflow Governmental'!AB12:AJ12</f>
        <v>8 Months Ended November 30</v>
      </c>
      <c r="AC12" s="2227"/>
      <c r="AD12" s="2227"/>
      <c r="AE12" s="2227"/>
      <c r="AF12" s="2227"/>
      <c r="AG12" s="2227"/>
      <c r="AH12" s="2227"/>
      <c r="AI12" s="2227"/>
      <c r="AJ12" s="2227"/>
    </row>
    <row r="13" spans="1:37" ht="15.5">
      <c r="A13" s="79"/>
      <c r="B13" s="79"/>
      <c r="C13" s="695" t="str">
        <f>'Cashflow Governmental'!C13</f>
        <v>2023</v>
      </c>
      <c r="D13" s="238"/>
      <c r="E13" s="238"/>
      <c r="F13" s="238"/>
      <c r="G13" s="238"/>
      <c r="H13" s="238"/>
      <c r="I13" s="238"/>
      <c r="J13" s="238"/>
      <c r="K13" s="238"/>
      <c r="L13" s="238"/>
      <c r="M13" s="238"/>
      <c r="N13" s="238"/>
      <c r="O13" s="238"/>
      <c r="P13" s="238"/>
      <c r="Q13" s="238"/>
      <c r="R13" s="238"/>
      <c r="S13" s="238"/>
      <c r="T13" s="238"/>
      <c r="U13" s="695">
        <f>'Cashflow Governmental'!U13</f>
        <v>2024</v>
      </c>
      <c r="V13" s="238"/>
      <c r="W13" s="238"/>
      <c r="X13" s="238"/>
      <c r="Y13" s="238"/>
      <c r="Z13" s="238"/>
      <c r="AA13" s="238"/>
      <c r="AB13" s="238"/>
      <c r="AC13" s="238"/>
      <c r="AD13" s="238"/>
      <c r="AE13" s="238"/>
      <c r="AF13" s="238"/>
      <c r="AG13" s="238"/>
      <c r="AH13" s="387" t="s">
        <v>111</v>
      </c>
      <c r="AI13" s="1170"/>
      <c r="AJ13" s="387" t="s">
        <v>112</v>
      </c>
    </row>
    <row r="14" spans="1:37" ht="15.5">
      <c r="A14" s="79"/>
      <c r="B14" s="79"/>
      <c r="C14" s="387" t="s">
        <v>358</v>
      </c>
      <c r="D14" s="238"/>
      <c r="E14" s="387" t="s">
        <v>359</v>
      </c>
      <c r="F14" s="238"/>
      <c r="G14" s="387" t="s">
        <v>360</v>
      </c>
      <c r="H14" s="238"/>
      <c r="I14" s="387" t="s">
        <v>361</v>
      </c>
      <c r="J14" s="238"/>
      <c r="K14" s="387" t="s">
        <v>362</v>
      </c>
      <c r="L14" s="238"/>
      <c r="M14" s="387" t="s">
        <v>363</v>
      </c>
      <c r="N14" s="238"/>
      <c r="O14" s="387" t="s">
        <v>364</v>
      </c>
      <c r="P14" s="238"/>
      <c r="Q14" s="1182" t="s">
        <v>365</v>
      </c>
      <c r="R14" s="238"/>
      <c r="S14" s="387" t="s">
        <v>366</v>
      </c>
      <c r="T14" s="238"/>
      <c r="U14" s="387" t="s">
        <v>367</v>
      </c>
      <c r="V14" s="238"/>
      <c r="W14" s="387" t="s">
        <v>368</v>
      </c>
      <c r="X14" s="238"/>
      <c r="Y14" s="387" t="s">
        <v>369</v>
      </c>
      <c r="Z14" s="238"/>
      <c r="AA14" s="238"/>
      <c r="AB14" s="1162">
        <f>'Cashflow Governmental'!AB14</f>
        <v>2023</v>
      </c>
      <c r="AC14" s="238"/>
      <c r="AD14" s="238"/>
      <c r="AE14" s="1162">
        <f>'Cashflow Governmental'!AE14</f>
        <v>2022</v>
      </c>
      <c r="AF14" s="238"/>
      <c r="AG14" s="238"/>
      <c r="AH14" s="1182" t="s">
        <v>113</v>
      </c>
      <c r="AI14" s="1170"/>
      <c r="AJ14" s="1182" t="s">
        <v>114</v>
      </c>
    </row>
    <row r="15" spans="1:37" ht="5.25" customHeight="1">
      <c r="A15" s="79"/>
      <c r="B15" s="79"/>
      <c r="C15" s="1506"/>
      <c r="D15" s="79"/>
      <c r="E15" s="1506"/>
      <c r="F15" s="79"/>
      <c r="G15" s="1506"/>
      <c r="H15" s="79"/>
      <c r="I15" s="1506"/>
      <c r="J15" s="79"/>
      <c r="K15" s="1506"/>
      <c r="L15" s="79"/>
      <c r="M15" s="1506"/>
      <c r="N15" s="79"/>
      <c r="O15" s="1506" t="s">
        <v>104</v>
      </c>
      <c r="P15" s="79"/>
      <c r="Q15" s="241"/>
      <c r="R15" s="79"/>
      <c r="S15" s="1506"/>
      <c r="T15" s="79"/>
      <c r="U15" s="1506" t="s">
        <v>104</v>
      </c>
      <c r="V15" s="79"/>
      <c r="W15" s="1506"/>
      <c r="X15" s="79"/>
      <c r="Y15" s="1506"/>
      <c r="Z15" s="79"/>
      <c r="AA15" s="79"/>
      <c r="AB15" s="1506"/>
      <c r="AC15" s="79"/>
      <c r="AD15" s="79"/>
      <c r="AE15" s="1506"/>
      <c r="AF15" s="79"/>
      <c r="AG15" s="79"/>
      <c r="AI15" s="79"/>
    </row>
    <row r="16" spans="1:37" ht="15.5">
      <c r="A16" s="239" t="s">
        <v>370</v>
      </c>
      <c r="B16" s="79"/>
      <c r="C16" s="241">
        <f>'Exhibit F'!D12+'Exh D Special Revenue State Fed'!G41+'Exhibit H'!B12</f>
        <v>52723.788549149998</v>
      </c>
      <c r="D16" s="241"/>
      <c r="E16" s="241">
        <f>C148</f>
        <v>57351.6</v>
      </c>
      <c r="F16" s="241"/>
      <c r="G16" s="241">
        <f t="shared" ref="G16:Q16" si="0">E148</f>
        <v>50828.800000000003</v>
      </c>
      <c r="H16" s="241"/>
      <c r="I16" s="241">
        <f t="shared" si="0"/>
        <v>55762.6</v>
      </c>
      <c r="J16" s="241"/>
      <c r="K16" s="241">
        <f t="shared" si="0"/>
        <v>56717.9</v>
      </c>
      <c r="L16" s="241"/>
      <c r="M16" s="241">
        <f t="shared" si="0"/>
        <v>55664.3</v>
      </c>
      <c r="N16" s="241"/>
      <c r="O16" s="241">
        <f t="shared" si="0"/>
        <v>57895.3</v>
      </c>
      <c r="P16" s="241"/>
      <c r="Q16" s="241">
        <f t="shared" si="0"/>
        <v>57614.5</v>
      </c>
      <c r="R16" s="241"/>
      <c r="S16" s="241"/>
      <c r="T16" s="241"/>
      <c r="U16" s="241"/>
      <c r="V16" s="241"/>
      <c r="W16" s="241"/>
      <c r="X16" s="241"/>
      <c r="Y16" s="241"/>
      <c r="Z16" s="241"/>
      <c r="AA16" s="242"/>
      <c r="AB16" s="241">
        <f>C16</f>
        <v>52723.788549149998</v>
      </c>
      <c r="AC16" s="241"/>
      <c r="AD16" s="1171"/>
      <c r="AE16" s="241">
        <f>'Exhibit F'!AF12+'Exhibit G State'!AG13+'Exhibit H'!AD12</f>
        <v>40767.199999999997</v>
      </c>
      <c r="AF16" s="241"/>
      <c r="AG16" s="241"/>
      <c r="AH16" s="241">
        <f>ROUND(SUM(AB16-AE16),1)</f>
        <v>11956.6</v>
      </c>
      <c r="AI16" s="238"/>
      <c r="AJ16" s="107">
        <f>ROUND(SUM(AH16/AE16),3)</f>
        <v>0.29299999999999998</v>
      </c>
      <c r="AK16" s="180"/>
    </row>
    <row r="17" spans="1:36" ht="15.5">
      <c r="A17" s="79"/>
      <c r="B17" s="79"/>
      <c r="C17" s="79" t="s">
        <v>104</v>
      </c>
      <c r="D17" s="79"/>
      <c r="E17" s="243"/>
      <c r="F17" s="79"/>
      <c r="G17" s="243"/>
      <c r="H17" s="79"/>
      <c r="I17" s="243"/>
      <c r="J17" s="79"/>
      <c r="K17" s="243"/>
      <c r="L17" s="79"/>
      <c r="M17" s="243"/>
      <c r="N17" s="79"/>
      <c r="O17" s="243"/>
      <c r="P17" s="79"/>
      <c r="Q17" s="243"/>
      <c r="R17" s="79"/>
      <c r="S17" s="243"/>
      <c r="T17" s="79"/>
      <c r="U17" s="243"/>
      <c r="V17" s="79"/>
      <c r="W17" s="241"/>
      <c r="X17" s="79"/>
      <c r="Y17" s="243"/>
      <c r="Z17" s="79"/>
      <c r="AA17" s="494"/>
      <c r="AB17" s="79" t="s">
        <v>104</v>
      </c>
      <c r="AC17" s="79"/>
      <c r="AD17" s="1172"/>
      <c r="AE17" s="79" t="s">
        <v>104</v>
      </c>
      <c r="AF17" s="79"/>
      <c r="AG17" s="79"/>
      <c r="AH17" s="329"/>
      <c r="AI17" s="79"/>
      <c r="AJ17" s="329"/>
    </row>
    <row r="18" spans="1:36" ht="15.5">
      <c r="A18" s="51" t="s">
        <v>115</v>
      </c>
      <c r="B18" s="79"/>
      <c r="C18" s="79"/>
      <c r="D18" s="79"/>
      <c r="E18" s="243"/>
      <c r="F18" s="79"/>
      <c r="G18" s="243"/>
      <c r="H18" s="79"/>
      <c r="I18" s="243"/>
      <c r="J18" s="79"/>
      <c r="K18" s="243"/>
      <c r="L18" s="79"/>
      <c r="M18" s="243"/>
      <c r="N18" s="79"/>
      <c r="O18" s="243"/>
      <c r="P18" s="79"/>
      <c r="Q18" s="243"/>
      <c r="R18" s="79"/>
      <c r="S18" s="243"/>
      <c r="T18" s="79"/>
      <c r="U18" s="243"/>
      <c r="V18" s="79"/>
      <c r="W18" s="243"/>
      <c r="X18" s="79"/>
      <c r="Y18" s="243"/>
      <c r="Z18" s="79"/>
      <c r="AA18" s="494"/>
      <c r="AB18" s="79"/>
      <c r="AC18" s="79"/>
      <c r="AD18" s="1172"/>
      <c r="AE18" s="79"/>
      <c r="AF18" s="79"/>
      <c r="AG18" s="79"/>
      <c r="AH18" s="329"/>
      <c r="AI18" s="79"/>
      <c r="AJ18" s="329"/>
    </row>
    <row r="19" spans="1:36" ht="15.5">
      <c r="A19" s="2006" t="s">
        <v>371</v>
      </c>
      <c r="B19" s="79"/>
      <c r="C19" s="79"/>
      <c r="D19" s="79"/>
      <c r="E19" s="243"/>
      <c r="F19" s="79"/>
      <c r="G19" s="243"/>
      <c r="H19" s="79"/>
      <c r="I19" s="243"/>
      <c r="J19" s="79"/>
      <c r="K19" s="243"/>
      <c r="L19" s="79"/>
      <c r="M19" s="243"/>
      <c r="N19" s="79"/>
      <c r="O19" s="243"/>
      <c r="P19" s="79"/>
      <c r="Q19" s="243"/>
      <c r="R19" s="79"/>
      <c r="S19" s="243"/>
      <c r="T19" s="79"/>
      <c r="U19" s="243"/>
      <c r="V19" s="79"/>
      <c r="W19" s="243"/>
      <c r="X19" s="79"/>
      <c r="Y19" s="243"/>
      <c r="Z19" s="79"/>
      <c r="AA19" s="244"/>
      <c r="AB19" s="79"/>
      <c r="AC19" s="79"/>
      <c r="AD19" s="1172"/>
      <c r="AE19" s="79"/>
      <c r="AF19" s="79"/>
      <c r="AG19" s="79"/>
      <c r="AH19" s="329"/>
      <c r="AI19" s="79"/>
      <c r="AJ19" s="329"/>
    </row>
    <row r="20" spans="1:36" ht="15.5">
      <c r="A20" s="525" t="s">
        <v>465</v>
      </c>
      <c r="B20" s="79"/>
      <c r="C20" s="79"/>
      <c r="D20" s="79"/>
      <c r="E20" s="245"/>
      <c r="F20" s="79"/>
      <c r="G20" s="245"/>
      <c r="H20" s="79"/>
      <c r="I20" s="245"/>
      <c r="J20" s="79"/>
      <c r="K20" s="245"/>
      <c r="L20" s="79"/>
      <c r="M20" s="245"/>
      <c r="N20" s="79"/>
      <c r="O20" s="245"/>
      <c r="P20" s="79"/>
      <c r="Q20" s="243"/>
      <c r="R20" s="79"/>
      <c r="S20" s="243"/>
      <c r="T20" s="79"/>
      <c r="U20" s="243"/>
      <c r="V20" s="79"/>
      <c r="W20" s="243"/>
      <c r="X20" s="79"/>
      <c r="Y20" s="243"/>
      <c r="Z20" s="79"/>
      <c r="AA20" s="494"/>
      <c r="AB20" s="79"/>
      <c r="AC20" s="79"/>
      <c r="AD20" s="1172"/>
      <c r="AE20" s="79"/>
      <c r="AF20" s="79"/>
      <c r="AG20" s="79"/>
      <c r="AH20" s="329"/>
      <c r="AI20" s="79"/>
      <c r="AJ20" s="329"/>
    </row>
    <row r="21" spans="1:36" ht="15.5">
      <c r="A21" s="345" t="s">
        <v>373</v>
      </c>
      <c r="B21" s="79"/>
      <c r="C21" s="245">
        <f>+'Exhibit F'!D17</f>
        <v>3783.8</v>
      </c>
      <c r="D21" s="245"/>
      <c r="E21" s="245">
        <f>+'Exhibit F'!F17</f>
        <v>3939.7000000000003</v>
      </c>
      <c r="F21" s="245"/>
      <c r="G21" s="245">
        <f>+'Exhibit F'!H17</f>
        <v>4133.5</v>
      </c>
      <c r="H21" s="245"/>
      <c r="I21" s="245">
        <f>+'Exhibit F'!J17</f>
        <v>3618.8999999999978</v>
      </c>
      <c r="J21" s="245"/>
      <c r="K21" s="245">
        <f>+'Exhibit F'!L17</f>
        <v>4079.7000000000007</v>
      </c>
      <c r="L21" s="245"/>
      <c r="M21" s="245">
        <f>+'Exhibit F'!N17</f>
        <v>3450.4000000000015</v>
      </c>
      <c r="N21" s="245"/>
      <c r="O21" s="245">
        <f>+'Exhibit F'!P17</f>
        <v>3676.5999999999985</v>
      </c>
      <c r="P21" s="79"/>
      <c r="Q21" s="245">
        <f>+'Exhibit F'!R17</f>
        <v>4086.7000000000007</v>
      </c>
      <c r="R21" s="245"/>
      <c r="S21" s="245"/>
      <c r="T21" s="245"/>
      <c r="U21" s="245"/>
      <c r="V21" s="245"/>
      <c r="W21" s="245"/>
      <c r="X21" s="245"/>
      <c r="Y21" s="245"/>
      <c r="Z21" s="79"/>
      <c r="AA21" s="494"/>
      <c r="AB21" s="245">
        <f>ROUND(SUM(C21:Y21),1)</f>
        <v>30769.3</v>
      </c>
      <c r="AC21" s="79"/>
      <c r="AD21" s="1172"/>
      <c r="AE21" s="245">
        <f>+'Exhibit F'!AF17</f>
        <v>29799.3</v>
      </c>
      <c r="AF21" s="79"/>
      <c r="AG21" s="79"/>
      <c r="AH21" s="325">
        <f>ROUND(SUM(+AB21-AE21),1)</f>
        <v>970</v>
      </c>
      <c r="AI21" s="95"/>
      <c r="AJ21" s="344">
        <f t="shared" ref="AJ21:AJ25" si="1">ROUND(SUM(+AH21/ABS(AE21)),3)</f>
        <v>3.3000000000000002E-2</v>
      </c>
    </row>
    <row r="22" spans="1:36" ht="15.5">
      <c r="A22" s="345" t="s">
        <v>374</v>
      </c>
      <c r="B22" s="79"/>
      <c r="C22" s="245">
        <f>+'Exhibit F'!D18</f>
        <v>4875.8999999999996</v>
      </c>
      <c r="D22" s="245"/>
      <c r="E22" s="245">
        <f>+'Exhibit F'!F18</f>
        <v>110.4</v>
      </c>
      <c r="F22" s="245"/>
      <c r="G22" s="245">
        <f>+'Exhibit F'!H18</f>
        <v>1299.5999999999999</v>
      </c>
      <c r="H22" s="245"/>
      <c r="I22" s="245">
        <f>+'Exhibit F'!J18</f>
        <v>85.800000000000182</v>
      </c>
      <c r="J22" s="245"/>
      <c r="K22" s="245">
        <f>+'Exhibit F'!L18</f>
        <v>85.5</v>
      </c>
      <c r="L22" s="245"/>
      <c r="M22" s="245">
        <f>+'Exhibit F'!N18</f>
        <v>1473.4000000000005</v>
      </c>
      <c r="N22" s="245"/>
      <c r="O22" s="245">
        <f>+'Exhibit F'!P18</f>
        <v>159.59999999999945</v>
      </c>
      <c r="P22" s="79"/>
      <c r="Q22" s="245">
        <f>+'Exhibit F'!R18</f>
        <v>91</v>
      </c>
      <c r="R22" s="245"/>
      <c r="S22" s="245"/>
      <c r="T22" s="245"/>
      <c r="U22" s="245"/>
      <c r="V22" s="245"/>
      <c r="W22" s="245"/>
      <c r="X22" s="245"/>
      <c r="Y22" s="245"/>
      <c r="Z22" s="79"/>
      <c r="AA22" s="494"/>
      <c r="AB22" s="245">
        <f>ROUND(SUM(C22:Y22),1)</f>
        <v>8181.2</v>
      </c>
      <c r="AC22" s="79"/>
      <c r="AD22" s="1172"/>
      <c r="AE22" s="245">
        <f>+'Exhibit F'!AF18</f>
        <v>15432.6</v>
      </c>
      <c r="AF22" s="79"/>
      <c r="AG22" s="79"/>
      <c r="AH22" s="325">
        <f t="shared" ref="AH22:AH28" si="2">ROUND(SUM(+AB22-AE22),1)</f>
        <v>-7251.4</v>
      </c>
      <c r="AI22" s="95"/>
      <c r="AJ22" s="769">
        <f t="shared" si="1"/>
        <v>-0.47</v>
      </c>
    </row>
    <row r="23" spans="1:36" ht="15.5">
      <c r="A23" s="345" t="s">
        <v>375</v>
      </c>
      <c r="B23" s="79"/>
      <c r="C23" s="245">
        <f>+'Exhibit F'!D19</f>
        <v>2097.1</v>
      </c>
      <c r="D23" s="245"/>
      <c r="E23" s="245">
        <f>+'Exhibit F'!F19</f>
        <v>131</v>
      </c>
      <c r="F23" s="245"/>
      <c r="G23" s="245">
        <f>+'Exhibit F'!H19</f>
        <v>85.5</v>
      </c>
      <c r="H23" s="245"/>
      <c r="I23" s="245">
        <f>+'Exhibit F'!J19</f>
        <v>61</v>
      </c>
      <c r="J23" s="245"/>
      <c r="K23" s="245">
        <f>+'Exhibit F'!L19</f>
        <v>63.099999999999909</v>
      </c>
      <c r="L23" s="245"/>
      <c r="M23" s="245">
        <f>+'Exhibit F'!N19</f>
        <v>87.800000000000182</v>
      </c>
      <c r="N23" s="245"/>
      <c r="O23" s="245">
        <f>+'Exhibit F'!P19</f>
        <v>764.40000000000009</v>
      </c>
      <c r="P23" s="79"/>
      <c r="Q23" s="245">
        <f>+'Exhibit F'!R19</f>
        <v>71.799999999999727</v>
      </c>
      <c r="R23" s="245"/>
      <c r="S23" s="245"/>
      <c r="T23" s="245"/>
      <c r="U23" s="245"/>
      <c r="V23" s="245"/>
      <c r="W23" s="245"/>
      <c r="X23" s="245"/>
      <c r="Y23" s="245"/>
      <c r="Z23" s="79"/>
      <c r="AA23" s="494"/>
      <c r="AB23" s="245">
        <f>ROUND(SUM(C23:Y23),1)</f>
        <v>3361.7</v>
      </c>
      <c r="AC23" s="79"/>
      <c r="AD23" s="1172"/>
      <c r="AE23" s="245">
        <f>+'Exhibit F'!AF19</f>
        <v>5028.1000000000004</v>
      </c>
      <c r="AF23" s="79"/>
      <c r="AG23" s="79"/>
      <c r="AH23" s="325">
        <f t="shared" si="2"/>
        <v>-1666.4</v>
      </c>
      <c r="AI23" s="95"/>
      <c r="AJ23" s="344">
        <f t="shared" si="1"/>
        <v>-0.33100000000000002</v>
      </c>
    </row>
    <row r="24" spans="1:36" ht="15.5">
      <c r="A24" s="533" t="s">
        <v>376</v>
      </c>
      <c r="B24" s="79"/>
      <c r="C24" s="245">
        <f>+'Exhibit F'!D20</f>
        <v>-509.9</v>
      </c>
      <c r="D24" s="245"/>
      <c r="E24" s="245">
        <f>+'Exhibit F'!F20</f>
        <v>-69.2</v>
      </c>
      <c r="F24" s="245"/>
      <c r="G24" s="245">
        <f>+'Exhibit F'!H20</f>
        <v>-49.4</v>
      </c>
      <c r="H24" s="245"/>
      <c r="I24" s="245">
        <f>+'Exhibit F'!J20</f>
        <v>-46.199999999999953</v>
      </c>
      <c r="J24" s="245"/>
      <c r="K24" s="245">
        <f>+'Exhibit F'!L20</f>
        <v>-98.000000000000114</v>
      </c>
      <c r="L24" s="245"/>
      <c r="M24" s="245">
        <f>+'Exhibit F'!N20</f>
        <v>-119.69999999999996</v>
      </c>
      <c r="N24" s="245"/>
      <c r="O24" s="245">
        <f>+'Exhibit F'!P20</f>
        <v>-423.6</v>
      </c>
      <c r="P24" s="79"/>
      <c r="Q24" s="245">
        <f>+'Exhibit F'!R20</f>
        <v>121.59999999999991</v>
      </c>
      <c r="R24" s="245"/>
      <c r="S24" s="245"/>
      <c r="T24" s="245"/>
      <c r="U24" s="245"/>
      <c r="V24" s="245"/>
      <c r="W24" s="245"/>
      <c r="X24" s="245"/>
      <c r="Y24" s="245"/>
      <c r="Z24" s="79"/>
      <c r="AA24" s="494"/>
      <c r="AB24" s="245">
        <f>ROUND(SUM(C24:Y24),1)</f>
        <v>-1194.4000000000001</v>
      </c>
      <c r="AC24" s="79"/>
      <c r="AD24" s="1172"/>
      <c r="AE24" s="245">
        <f>+'Exhibit F'!AF20</f>
        <v>-1841.1</v>
      </c>
      <c r="AF24" s="79"/>
      <c r="AG24" s="79"/>
      <c r="AH24" s="325">
        <f>-ROUND(SUM(+AB24-AE24),1)</f>
        <v>-646.70000000000005</v>
      </c>
      <c r="AI24" s="95"/>
      <c r="AJ24" s="344">
        <f t="shared" si="1"/>
        <v>-0.35099999999999998</v>
      </c>
    </row>
    <row r="25" spans="1:36" ht="15.5">
      <c r="A25" s="533" t="s">
        <v>377</v>
      </c>
      <c r="B25" s="79"/>
      <c r="C25" s="245">
        <f>+'Exhibit F'!D21</f>
        <v>242.1</v>
      </c>
      <c r="D25" s="245"/>
      <c r="E25" s="245">
        <f>+'Exhibit F'!F21</f>
        <v>174.6</v>
      </c>
      <c r="F25" s="245"/>
      <c r="G25" s="245">
        <f>+'Exhibit F'!H21</f>
        <v>128.30000000000001</v>
      </c>
      <c r="H25" s="245"/>
      <c r="I25" s="245">
        <f>+'Exhibit F'!J21</f>
        <v>109.70000000000002</v>
      </c>
      <c r="J25" s="245"/>
      <c r="K25" s="245">
        <f>+'Exhibit F'!L21</f>
        <v>100.6999999999999</v>
      </c>
      <c r="L25" s="245"/>
      <c r="M25" s="245">
        <f>+'Exhibit F'!N21</f>
        <v>113.30000000000007</v>
      </c>
      <c r="N25" s="245"/>
      <c r="O25" s="245">
        <f>+'Exhibit F'!P21</f>
        <v>137.9</v>
      </c>
      <c r="P25" s="79"/>
      <c r="Q25" s="245">
        <f>+'Exhibit F'!R21</f>
        <v>113.80000000000004</v>
      </c>
      <c r="R25" s="245"/>
      <c r="S25" s="245"/>
      <c r="T25" s="245"/>
      <c r="U25" s="245"/>
      <c r="V25" s="245"/>
      <c r="W25" s="245"/>
      <c r="X25" s="245"/>
      <c r="Y25" s="245"/>
      <c r="Z25" s="79"/>
      <c r="AA25" s="494"/>
      <c r="AB25" s="245">
        <f t="shared" ref="AB25:AB29" si="3">ROUND(SUM(C25:Y25),1)</f>
        <v>1120.4000000000001</v>
      </c>
      <c r="AC25" s="79"/>
      <c r="AD25" s="1172"/>
      <c r="AE25" s="245">
        <f>+'Exhibit F'!AF21</f>
        <v>1115</v>
      </c>
      <c r="AF25" s="79"/>
      <c r="AG25" s="79"/>
      <c r="AH25" s="325">
        <f t="shared" si="2"/>
        <v>5.4</v>
      </c>
      <c r="AI25" s="95"/>
      <c r="AJ25" s="344">
        <f t="shared" si="1"/>
        <v>5.0000000000000001E-3</v>
      </c>
    </row>
    <row r="26" spans="1:36" ht="15.5">
      <c r="A26" s="346" t="s">
        <v>378</v>
      </c>
      <c r="B26" s="79"/>
      <c r="C26" s="100">
        <f>ROUND(SUM(C21:C25),1)</f>
        <v>10489</v>
      </c>
      <c r="D26" s="79"/>
      <c r="E26" s="100">
        <f>ROUND(SUM(E21:E25),1)</f>
        <v>4286.5</v>
      </c>
      <c r="F26" s="79"/>
      <c r="G26" s="100">
        <f>ROUND(SUM(G21:G25),1)</f>
        <v>5597.5</v>
      </c>
      <c r="H26" s="79"/>
      <c r="I26" s="100">
        <f>ROUND(SUM(I21:I25),1)</f>
        <v>3829.2</v>
      </c>
      <c r="J26" s="79"/>
      <c r="K26" s="100">
        <f>ROUND(SUM(K21:K25),1)</f>
        <v>4231</v>
      </c>
      <c r="L26" s="79"/>
      <c r="M26" s="100">
        <f>ROUND(SUM(M21:M25),1)</f>
        <v>5005.2</v>
      </c>
      <c r="N26" s="79"/>
      <c r="O26" s="100">
        <f>ROUND(SUM(O21:O25),1)</f>
        <v>4314.8999999999996</v>
      </c>
      <c r="P26" s="79"/>
      <c r="Q26" s="100">
        <f>ROUND(SUM(Q21:Q25),1)</f>
        <v>4484.8999999999996</v>
      </c>
      <c r="R26" s="79"/>
      <c r="S26" s="100">
        <f>ROUND(SUM(S21:S25),1)</f>
        <v>0</v>
      </c>
      <c r="T26" s="79"/>
      <c r="U26" s="100">
        <f>ROUND(SUM(U21:U25),1)</f>
        <v>0</v>
      </c>
      <c r="V26" s="79"/>
      <c r="W26" s="100">
        <f>ROUND(SUM(W21:W25),1)</f>
        <v>0</v>
      </c>
      <c r="X26" s="79"/>
      <c r="Y26" s="100">
        <f>ROUND(SUM(Y21:Y25),1)</f>
        <v>0</v>
      </c>
      <c r="Z26" s="79"/>
      <c r="AA26" s="494"/>
      <c r="AB26" s="100">
        <f>ROUND(SUM(AB21:AB25),1)</f>
        <v>42238.2</v>
      </c>
      <c r="AC26" s="79"/>
      <c r="AD26" s="1172"/>
      <c r="AE26" s="100">
        <f>ROUND(SUM(AE21:AE25),1)</f>
        <v>49533.9</v>
      </c>
      <c r="AF26" s="79"/>
      <c r="AG26" s="79"/>
      <c r="AH26" s="100">
        <f t="shared" si="2"/>
        <v>-7295.7</v>
      </c>
      <c r="AI26" s="95"/>
      <c r="AJ26" s="529">
        <f>ROUND(SUM(+AH26/ABS(AE26)),3)</f>
        <v>-0.14699999999999999</v>
      </c>
    </row>
    <row r="27" spans="1:36" ht="15.5">
      <c r="A27" s="533" t="s">
        <v>379</v>
      </c>
      <c r="B27" s="79"/>
      <c r="C27" s="245">
        <f>+'Exhibit F'!D23+'Exhibit G State'!D17</f>
        <v>0</v>
      </c>
      <c r="D27" s="245"/>
      <c r="E27" s="245">
        <f>+'Exhibit F'!F23+'Exhibit G State'!F17</f>
        <v>0</v>
      </c>
      <c r="F27" s="245"/>
      <c r="G27" s="245">
        <f>+'Exhibit F'!H23+'Exhibit G State'!H17</f>
        <v>0</v>
      </c>
      <c r="H27" s="79"/>
      <c r="I27" s="245">
        <f>+'Exhibit F'!J23+'Exhibit G State'!J17</f>
        <v>0</v>
      </c>
      <c r="J27" s="79"/>
      <c r="K27" s="245">
        <f>+'Exhibit F'!L23+'Exhibit G State'!L17</f>
        <v>0</v>
      </c>
      <c r="L27" s="79"/>
      <c r="M27" s="245">
        <f>+'Exhibit F'!N23+'Exhibit G State'!N17</f>
        <v>0</v>
      </c>
      <c r="N27" s="79"/>
      <c r="O27" s="245">
        <f>+'Exhibit F'!P23+'Exhibit G State'!P17</f>
        <v>0</v>
      </c>
      <c r="P27" s="79"/>
      <c r="Q27" s="245">
        <f>+'Exhibit F'!R23+'Exhibit G State'!R17</f>
        <v>0</v>
      </c>
      <c r="R27" s="245"/>
      <c r="S27" s="245"/>
      <c r="T27" s="245"/>
      <c r="U27" s="245"/>
      <c r="V27" s="245"/>
      <c r="W27" s="245"/>
      <c r="X27" s="245"/>
      <c r="Y27" s="245"/>
      <c r="Z27" s="79"/>
      <c r="AA27" s="494"/>
      <c r="AB27" s="245">
        <f>ROUND(SUM(C27:Y27),1)</f>
        <v>0</v>
      </c>
      <c r="AC27" s="79"/>
      <c r="AD27" s="1172"/>
      <c r="AE27" s="245">
        <f>+'Exhibit F'!AF23+'Exhibit G State'!AG17</f>
        <v>0</v>
      </c>
      <c r="AF27" s="79"/>
      <c r="AG27" s="79"/>
      <c r="AH27" s="325">
        <f t="shared" si="2"/>
        <v>0</v>
      </c>
      <c r="AI27" s="95"/>
      <c r="AJ27" s="327">
        <f>ROUND(IF(AE27=0,0,AH27/ABS(AE27)),3)</f>
        <v>0</v>
      </c>
    </row>
    <row r="28" spans="1:36" ht="15.5">
      <c r="A28" s="533" t="s">
        <v>380</v>
      </c>
      <c r="B28" s="79"/>
      <c r="C28" s="245">
        <f>+'Exhibit F'!D24+'Exhibit H'!B16</f>
        <v>0</v>
      </c>
      <c r="D28" s="245"/>
      <c r="E28" s="245">
        <f>+'Exhibit F'!F24+'Exhibit H'!D16</f>
        <v>0</v>
      </c>
      <c r="F28" s="245"/>
      <c r="G28" s="245">
        <f>+'Exhibit F'!H24+'Exhibit H'!F16</f>
        <v>0</v>
      </c>
      <c r="H28" s="79"/>
      <c r="I28" s="245">
        <f>+'Exhibit F'!J24+'Exhibit H'!H16</f>
        <v>0</v>
      </c>
      <c r="J28" s="79"/>
      <c r="K28" s="245">
        <f>+'Exhibit F'!L24+'Exhibit H'!J16</f>
        <v>0</v>
      </c>
      <c r="L28" s="79"/>
      <c r="M28" s="245">
        <f>+'Exhibit F'!N24+'Exhibit H'!L16</f>
        <v>0</v>
      </c>
      <c r="N28" s="79"/>
      <c r="O28" s="245">
        <f>+'Exhibit F'!P24+'Exhibit H'!N16</f>
        <v>0</v>
      </c>
      <c r="P28" s="79"/>
      <c r="Q28" s="245">
        <f>+'Exhibit F'!R24+'Exhibit H'!P16</f>
        <v>0</v>
      </c>
      <c r="R28" s="245"/>
      <c r="S28" s="245"/>
      <c r="T28" s="245"/>
      <c r="U28" s="245"/>
      <c r="V28" s="245"/>
      <c r="W28" s="245"/>
      <c r="X28" s="245"/>
      <c r="Y28" s="245"/>
      <c r="Z28" s="79"/>
      <c r="AA28" s="494"/>
      <c r="AB28" s="245">
        <f t="shared" si="3"/>
        <v>0</v>
      </c>
      <c r="AC28" s="79"/>
      <c r="AD28" s="1172"/>
      <c r="AE28" s="245">
        <f>+'Exhibit F'!AF24+'Exhibit H'!AD16</f>
        <v>0</v>
      </c>
      <c r="AF28" s="79"/>
      <c r="AG28" s="79"/>
      <c r="AH28" s="325">
        <f t="shared" si="2"/>
        <v>0</v>
      </c>
      <c r="AI28" s="95"/>
      <c r="AJ28" s="327">
        <f>ROUND(IF(AE28=0,0,AH28/ABS(AE28)),3)</f>
        <v>0</v>
      </c>
    </row>
    <row r="29" spans="1:36" ht="15.5">
      <c r="A29" s="345" t="s">
        <v>381</v>
      </c>
      <c r="B29" s="245"/>
      <c r="C29" s="245">
        <f>+'Exhibit F'!D25</f>
        <v>-3034.6</v>
      </c>
      <c r="D29" s="245"/>
      <c r="E29" s="245">
        <f>+'Exhibit F'!F25</f>
        <v>-2197.9</v>
      </c>
      <c r="F29" s="245"/>
      <c r="G29" s="245">
        <f>+'Exhibit F'!H25</f>
        <v>-602.89999999999964</v>
      </c>
      <c r="H29" s="245"/>
      <c r="I29" s="245">
        <f>+'Exhibit F'!J25</f>
        <v>-403.30000000000018</v>
      </c>
      <c r="J29" s="245"/>
      <c r="K29" s="245">
        <f>+'Exhibit F'!L25</f>
        <v>-530.69999999999982</v>
      </c>
      <c r="L29" s="79"/>
      <c r="M29" s="245">
        <f>+'Exhibit F'!N25</f>
        <v>-687.99999999999955</v>
      </c>
      <c r="N29" s="79"/>
      <c r="O29" s="245">
        <f>+'Exhibit F'!P25</f>
        <v>-2030.3000000000015</v>
      </c>
      <c r="P29" s="79"/>
      <c r="Q29" s="245">
        <f>+'Exhibit F'!R25</f>
        <v>-1114.0999999999985</v>
      </c>
      <c r="R29" s="245"/>
      <c r="S29" s="245"/>
      <c r="T29" s="245"/>
      <c r="U29" s="245"/>
      <c r="V29" s="245"/>
      <c r="W29" s="245"/>
      <c r="X29" s="245"/>
      <c r="Y29" s="245"/>
      <c r="Z29" s="79"/>
      <c r="AA29" s="494"/>
      <c r="AB29" s="245">
        <f t="shared" si="3"/>
        <v>-10601.8</v>
      </c>
      <c r="AC29" s="79"/>
      <c r="AD29" s="1172"/>
      <c r="AE29" s="245">
        <f>+'Exhibit F'!AF25</f>
        <v>-11696.8</v>
      </c>
      <c r="AF29" s="79"/>
      <c r="AG29" s="79"/>
      <c r="AH29" s="325">
        <f>-ROUND(SUM(+AB29-AE29),1)</f>
        <v>-1095</v>
      </c>
      <c r="AI29" s="95"/>
      <c r="AJ29" s="344">
        <f>ROUND(SUM(+AH29/ABS(AE29)),3)</f>
        <v>-9.4E-2</v>
      </c>
    </row>
    <row r="30" spans="1:36" ht="15.5">
      <c r="A30" s="118" t="s">
        <v>382</v>
      </c>
      <c r="B30" s="79"/>
      <c r="C30" s="100">
        <f>ROUND(SUM(C26+C27+C28+C29),1)</f>
        <v>7454.4</v>
      </c>
      <c r="D30" s="79"/>
      <c r="E30" s="100">
        <f>ROUND(SUM(E26+E27+E28+E29),1)</f>
        <v>2088.6</v>
      </c>
      <c r="F30" s="79"/>
      <c r="G30" s="100">
        <f>ROUND(SUM(G26+G27+G28+G29),1)</f>
        <v>4994.6000000000004</v>
      </c>
      <c r="H30" s="79"/>
      <c r="I30" s="100">
        <f>ROUND(SUM(I26+I27+I28+I29),1)</f>
        <v>3425.9</v>
      </c>
      <c r="J30" s="79"/>
      <c r="K30" s="100">
        <f>ROUND(SUM(K26+K27+K28+K29),1)</f>
        <v>3700.3</v>
      </c>
      <c r="L30" s="79"/>
      <c r="M30" s="100">
        <f>ROUND(SUM(M26+M27+M28+M29),1)</f>
        <v>4317.2</v>
      </c>
      <c r="N30" s="79"/>
      <c r="O30" s="100">
        <f>ROUND(SUM(O26+O27+O28+O29),1)</f>
        <v>2284.6</v>
      </c>
      <c r="P30" s="79"/>
      <c r="Q30" s="100">
        <f>ROUND(SUM(Q26+Q27+Q28+Q29),1)</f>
        <v>3370.8</v>
      </c>
      <c r="R30" s="79"/>
      <c r="S30" s="100">
        <f>ROUND(SUM(S26+S27+S28+S29),1)</f>
        <v>0</v>
      </c>
      <c r="T30" s="79"/>
      <c r="U30" s="100">
        <f>ROUND(SUM(U26+U27+U28+U29),1)</f>
        <v>0</v>
      </c>
      <c r="V30" s="79"/>
      <c r="W30" s="100">
        <f>ROUND(SUM(W26+W27+W28+W29),1)</f>
        <v>0</v>
      </c>
      <c r="X30" s="79"/>
      <c r="Y30" s="100">
        <f>ROUND(SUM(Y26+Y27+Y28+Y29),1)</f>
        <v>0</v>
      </c>
      <c r="Z30" s="79"/>
      <c r="AA30" s="494"/>
      <c r="AB30" s="100">
        <f>ROUND(SUM(AB26+AB27+AB28+AB29),1)</f>
        <v>31636.400000000001</v>
      </c>
      <c r="AC30" s="79"/>
      <c r="AD30" s="1172"/>
      <c r="AE30" s="100">
        <f>ROUND(SUM(AE26+AE27+AE28+AE29),1)</f>
        <v>37837.1</v>
      </c>
      <c r="AF30" s="79"/>
      <c r="AG30" s="79"/>
      <c r="AH30" s="100">
        <f>ROUND(SUM(AH26+AH27+AH28-AH29),1)</f>
        <v>-6200.7</v>
      </c>
      <c r="AI30" s="391"/>
      <c r="AJ30" s="529">
        <f>ROUND(SUM(+AH30/ABS(AE30)),3)</f>
        <v>-0.16400000000000001</v>
      </c>
    </row>
    <row r="31" spans="1:36" ht="15.5">
      <c r="A31" s="525" t="s">
        <v>383</v>
      </c>
      <c r="B31" s="79"/>
      <c r="C31" s="79"/>
      <c r="D31" s="79"/>
      <c r="E31" s="79"/>
      <c r="F31" s="79"/>
      <c r="G31" s="79"/>
      <c r="H31" s="79"/>
      <c r="I31" s="79"/>
      <c r="J31" s="79"/>
      <c r="K31" s="79"/>
      <c r="L31" s="79"/>
      <c r="M31" s="79"/>
      <c r="N31" s="79"/>
      <c r="O31" s="79"/>
      <c r="P31" s="79"/>
      <c r="Q31" s="79"/>
      <c r="R31" s="79"/>
      <c r="S31" s="79"/>
      <c r="T31" s="79"/>
      <c r="U31" s="79"/>
      <c r="V31" s="79"/>
      <c r="W31" s="79"/>
      <c r="X31" s="79"/>
      <c r="Y31" s="79"/>
      <c r="Z31" s="79"/>
      <c r="AA31" s="494"/>
      <c r="AB31" s="79"/>
      <c r="AC31" s="79"/>
      <c r="AD31" s="1172"/>
      <c r="AE31" s="245"/>
      <c r="AF31" s="79"/>
      <c r="AG31" s="79"/>
      <c r="AH31" s="329"/>
      <c r="AI31" s="79"/>
      <c r="AJ31" s="329"/>
    </row>
    <row r="32" spans="1:36" ht="15.5">
      <c r="A32" s="345" t="s">
        <v>384</v>
      </c>
      <c r="B32" s="79"/>
      <c r="C32" s="245">
        <f>+'Exhibit F'!D28+'Exhibit H'!B19+'Exhibit G State'!D20</f>
        <v>1512.3</v>
      </c>
      <c r="D32" s="245"/>
      <c r="E32" s="245">
        <f>+'Exhibit F'!F28+'Exhibit H'!D19+'Exhibit G State'!F20</f>
        <v>1469.9</v>
      </c>
      <c r="F32" s="245"/>
      <c r="G32" s="245">
        <f>+'Exhibit F'!H28+'Exhibit H'!F19+'Exhibit G State'!H20</f>
        <v>1963.8</v>
      </c>
      <c r="H32" s="245"/>
      <c r="I32" s="245">
        <f>+'Exhibit F'!J28+'Exhibit H'!H19+'Exhibit G State'!J20</f>
        <v>1578.8000000000002</v>
      </c>
      <c r="J32" s="245"/>
      <c r="K32" s="245">
        <f>+'Exhibit F'!L28+'Exhibit H'!J19+'Exhibit G State'!L20</f>
        <v>1535.099999999999</v>
      </c>
      <c r="L32" s="79"/>
      <c r="M32" s="245">
        <f>+'Exhibit F'!N28+'Exhibit H'!L19+'Exhibit G State'!N20</f>
        <v>1958.1000000000001</v>
      </c>
      <c r="N32" s="79"/>
      <c r="O32" s="245">
        <f>+'Exhibit F'!P28+'Exhibit H'!N19+'Exhibit G State'!P20</f>
        <v>1543.4</v>
      </c>
      <c r="P32" s="79"/>
      <c r="Q32" s="245">
        <f>+'Exhibit F'!R28+'Exhibit H'!P19+'Exhibit G State'!R20</f>
        <v>1554.4</v>
      </c>
      <c r="R32" s="245"/>
      <c r="S32" s="245"/>
      <c r="T32" s="245"/>
      <c r="U32" s="245"/>
      <c r="V32" s="245"/>
      <c r="W32" s="245"/>
      <c r="X32" s="245"/>
      <c r="Y32" s="245"/>
      <c r="Z32" s="79"/>
      <c r="AA32" s="494"/>
      <c r="AB32" s="245">
        <f t="shared" ref="AB32:AB39" si="4">ROUND(SUM(C32:Y32),1)</f>
        <v>13115.8</v>
      </c>
      <c r="AC32" s="79"/>
      <c r="AD32" s="1172"/>
      <c r="AE32" s="245">
        <f>+'Exhibit F'!AF28+'Exhibit H'!AD19+'Exhibit G State'!AG20</f>
        <v>12416.8</v>
      </c>
      <c r="AF32" s="79"/>
      <c r="AG32" s="79"/>
      <c r="AH32" s="325">
        <f t="shared" ref="AH32:AH39" si="5">ROUND(SUM(+AB32-AE32),1)</f>
        <v>699</v>
      </c>
      <c r="AI32" s="95"/>
      <c r="AJ32" s="344">
        <f>ROUND(SUM(+AH32/ABS(AE32)),3)</f>
        <v>5.6000000000000001E-2</v>
      </c>
    </row>
    <row r="33" spans="1:36" ht="15.5">
      <c r="A33" s="345" t="s">
        <v>385</v>
      </c>
      <c r="B33" s="79"/>
      <c r="C33" s="245">
        <f>+'Exhibit F'!D29+'Exhibit G State'!D21</f>
        <v>1.9</v>
      </c>
      <c r="D33" s="245"/>
      <c r="E33" s="245">
        <f>+'Exhibit F'!F29+'Exhibit G State'!F21</f>
        <v>0</v>
      </c>
      <c r="F33" s="245"/>
      <c r="G33" s="245">
        <f>+'Exhibit F'!H29+'Exhibit G State'!H21</f>
        <v>6.9</v>
      </c>
      <c r="H33" s="245"/>
      <c r="I33" s="245">
        <f>+'Exhibit F'!J29+'Exhibit G State'!J21</f>
        <v>0</v>
      </c>
      <c r="J33" s="245"/>
      <c r="K33" s="245">
        <f>+'Exhibit F'!L29+'Exhibit G State'!L21</f>
        <v>0</v>
      </c>
      <c r="L33" s="79"/>
      <c r="M33" s="245">
        <f>+'Exhibit F'!N29+'Exhibit G State'!N21</f>
        <v>10.1</v>
      </c>
      <c r="N33" s="79"/>
      <c r="O33" s="245">
        <f>+'Exhibit F'!P29+'Exhibit G State'!P21</f>
        <v>0</v>
      </c>
      <c r="P33" s="79"/>
      <c r="Q33" s="245">
        <f>+'Exhibit F'!R29+'Exhibit G State'!R21</f>
        <v>0</v>
      </c>
      <c r="R33" s="245"/>
      <c r="S33" s="245"/>
      <c r="T33" s="245"/>
      <c r="U33" s="245"/>
      <c r="V33" s="245"/>
      <c r="W33" s="245"/>
      <c r="X33" s="245"/>
      <c r="Y33" s="245"/>
      <c r="Z33" s="79"/>
      <c r="AA33" s="494"/>
      <c r="AB33" s="245">
        <f t="shared" si="4"/>
        <v>18.899999999999999</v>
      </c>
      <c r="AC33" s="79"/>
      <c r="AD33" s="1172"/>
      <c r="AE33" s="245">
        <f>+'Exhibit F'!AF29+'Exhibit G State'!AG21</f>
        <v>17</v>
      </c>
      <c r="AF33" s="79"/>
      <c r="AG33" s="79"/>
      <c r="AH33" s="325">
        <f t="shared" si="5"/>
        <v>1.9</v>
      </c>
      <c r="AI33" s="95"/>
      <c r="AJ33" s="344">
        <f>ROUND(SUM(+AH33/ABS(AE33)),3)</f>
        <v>0.112</v>
      </c>
    </row>
    <row r="34" spans="1:36" ht="15.5">
      <c r="A34" s="345" t="s">
        <v>386</v>
      </c>
      <c r="B34" s="79"/>
      <c r="C34" s="245">
        <f>+'Exhibit F'!D30+'Exhibit G State'!D22</f>
        <v>76.099999999999994</v>
      </c>
      <c r="D34" s="245"/>
      <c r="E34" s="245">
        <f>+'Exhibit F'!F30+'Exhibit G State'!F22</f>
        <v>73.2</v>
      </c>
      <c r="F34" s="245"/>
      <c r="G34" s="245">
        <f>+'Exhibit F'!H30+'Exhibit G State'!H22</f>
        <v>71.000000000000014</v>
      </c>
      <c r="H34" s="245"/>
      <c r="I34" s="245">
        <f>+'Exhibit F'!J30+'Exhibit G State'!J22</f>
        <v>73.799999999999983</v>
      </c>
      <c r="J34" s="245"/>
      <c r="K34" s="245">
        <f>+'Exhibit F'!L30+'Exhibit G State'!L22</f>
        <v>73.900000000000034</v>
      </c>
      <c r="L34" s="79"/>
      <c r="M34" s="245">
        <f>+'Exhibit F'!N30+'Exhibit G State'!N22</f>
        <v>72.299999999999955</v>
      </c>
      <c r="N34" s="79"/>
      <c r="O34" s="245">
        <f>+'Exhibit F'!P30+'Exhibit G State'!P22</f>
        <v>88.5</v>
      </c>
      <c r="P34" s="79"/>
      <c r="Q34" s="245">
        <f>+'Exhibit F'!R30+'Exhibit G State'!R22</f>
        <v>77.899999999999991</v>
      </c>
      <c r="R34" s="245"/>
      <c r="S34" s="245"/>
      <c r="T34" s="245"/>
      <c r="U34" s="245"/>
      <c r="V34" s="245"/>
      <c r="W34" s="245"/>
      <c r="X34" s="245"/>
      <c r="Y34" s="245"/>
      <c r="Z34" s="79"/>
      <c r="AA34" s="494"/>
      <c r="AB34" s="245">
        <f t="shared" si="4"/>
        <v>606.70000000000005</v>
      </c>
      <c r="AC34" s="79"/>
      <c r="AD34" s="1172"/>
      <c r="AE34" s="245">
        <f>+'Exhibit F'!AF30+'Exhibit G State'!AG22</f>
        <v>632.79999999999995</v>
      </c>
      <c r="AF34" s="79"/>
      <c r="AG34" s="79"/>
      <c r="AH34" s="325">
        <f t="shared" si="5"/>
        <v>-26.1</v>
      </c>
      <c r="AI34" s="95"/>
      <c r="AJ34" s="344">
        <f>ROUND(SUM(+AH34/ABS(AE34)),3)</f>
        <v>-4.1000000000000002E-2</v>
      </c>
    </row>
    <row r="35" spans="1:36" ht="15.5">
      <c r="A35" s="345" t="s">
        <v>466</v>
      </c>
      <c r="B35" s="79"/>
      <c r="C35" s="245">
        <f>'Exhibit G State'!D23</f>
        <v>0.9</v>
      </c>
      <c r="D35" s="245"/>
      <c r="E35" s="245">
        <f>'Exhibit G State'!F23</f>
        <v>0.79999999999999993</v>
      </c>
      <c r="F35" s="245"/>
      <c r="G35" s="245">
        <f>'Exhibit G State'!H23</f>
        <v>3.5999999999999996</v>
      </c>
      <c r="H35" s="245"/>
      <c r="I35" s="245">
        <f>'Exhibit G State'!J23</f>
        <v>0.90000000000000036</v>
      </c>
      <c r="J35" s="245"/>
      <c r="K35" s="245">
        <f>'Exhibit G State'!L23</f>
        <v>0.29999999999999982</v>
      </c>
      <c r="L35" s="79"/>
      <c r="M35" s="245">
        <f>'Exhibit G State'!N23</f>
        <v>6.9999999999999991</v>
      </c>
      <c r="N35" s="79"/>
      <c r="O35" s="245">
        <f>'Exhibit G State'!P23</f>
        <v>1.0999999999999988</v>
      </c>
      <c r="P35" s="79"/>
      <c r="Q35" s="245">
        <f>'Exhibit G State'!R23</f>
        <v>1.1000000000000014</v>
      </c>
      <c r="R35" s="245"/>
      <c r="S35" s="245"/>
      <c r="T35" s="245"/>
      <c r="U35" s="245"/>
      <c r="V35" s="245"/>
      <c r="W35" s="245"/>
      <c r="X35" s="245"/>
      <c r="Y35" s="245"/>
      <c r="Z35" s="79"/>
      <c r="AA35" s="494"/>
      <c r="AB35" s="245">
        <f t="shared" si="4"/>
        <v>15.7</v>
      </c>
      <c r="AC35" s="79"/>
      <c r="AD35" s="1172"/>
      <c r="AE35" s="245">
        <f>'Exhibit G State'!AG23</f>
        <v>7.9</v>
      </c>
      <c r="AF35" s="79"/>
      <c r="AG35" s="79"/>
      <c r="AH35" s="325">
        <f>ROUND(SUM(+AB35-AE35),1)</f>
        <v>7.8</v>
      </c>
      <c r="AI35" s="95"/>
      <c r="AJ35" s="327">
        <f>ROUND(IF(AE35=0,1,AH35/ABS(AE35)),3)</f>
        <v>0.98699999999999999</v>
      </c>
    </row>
    <row r="36" spans="1:36" ht="15.5">
      <c r="A36" s="345" t="s">
        <v>388</v>
      </c>
      <c r="B36" s="79"/>
      <c r="C36" s="245">
        <f>+'Exhibit F'!D31+'Exhibit G State'!D24</f>
        <v>8.1999999999999993</v>
      </c>
      <c r="D36" s="245"/>
      <c r="E36" s="245">
        <f>+'Exhibit F'!F31+'Exhibit G State'!F24</f>
        <v>9.1000000000000014</v>
      </c>
      <c r="F36" s="245"/>
      <c r="G36" s="245">
        <f>+'Exhibit F'!H31+'Exhibit G State'!H24</f>
        <v>8.3000000000000007</v>
      </c>
      <c r="H36" s="245"/>
      <c r="I36" s="245">
        <f>+'Exhibit F'!J31+'Exhibit G State'!J24</f>
        <v>9.2999999999999972</v>
      </c>
      <c r="J36" s="245"/>
      <c r="K36" s="245">
        <f>+'Exhibit F'!L31+'Exhibit G State'!L24</f>
        <v>9.0000000000000036</v>
      </c>
      <c r="L36" s="79"/>
      <c r="M36" s="245">
        <f>+'Exhibit F'!N31+'Exhibit G State'!N24</f>
        <v>9.5999999999999943</v>
      </c>
      <c r="N36" s="79"/>
      <c r="O36" s="245">
        <f>+'Exhibit F'!P31+'Exhibit G State'!P24</f>
        <v>8.7999999999999936</v>
      </c>
      <c r="P36" s="79"/>
      <c r="Q36" s="245">
        <f>+'Exhibit F'!R31+'Exhibit G State'!R24</f>
        <v>9</v>
      </c>
      <c r="R36" s="245"/>
      <c r="S36" s="245"/>
      <c r="T36" s="245"/>
      <c r="U36" s="245"/>
      <c r="V36" s="245"/>
      <c r="W36" s="245"/>
      <c r="X36" s="245"/>
      <c r="Y36" s="245"/>
      <c r="Z36" s="79"/>
      <c r="AA36" s="494"/>
      <c r="AB36" s="245">
        <f t="shared" si="4"/>
        <v>71.3</v>
      </c>
      <c r="AC36" s="79"/>
      <c r="AD36" s="1172"/>
      <c r="AE36" s="245">
        <f>+'Exhibit F'!AF31+'Exhibit G State'!AG24</f>
        <v>16.7</v>
      </c>
      <c r="AF36" s="79"/>
      <c r="AG36" s="79"/>
      <c r="AH36" s="325">
        <f t="shared" si="5"/>
        <v>54.6</v>
      </c>
      <c r="AI36" s="95"/>
      <c r="AJ36" s="344">
        <f>ROUND(SUM(+AH36/ABS(AE36)),3)</f>
        <v>3.2690000000000001</v>
      </c>
    </row>
    <row r="37" spans="1:36" ht="15.5">
      <c r="A37" s="534" t="s">
        <v>389</v>
      </c>
      <c r="B37" s="79"/>
      <c r="C37" s="245">
        <f>+'Exhibit F'!D32+'Exhibit G State'!D25</f>
        <v>-1.2999999999999998</v>
      </c>
      <c r="D37" s="245"/>
      <c r="E37" s="245">
        <f>+'Exhibit F'!F32+'Exhibit G State'!F25</f>
        <v>0</v>
      </c>
      <c r="F37" s="245"/>
      <c r="G37" s="245">
        <f>+'Exhibit F'!H32+'Exhibit G State'!H25</f>
        <v>0.49999999999999989</v>
      </c>
      <c r="H37" s="245"/>
      <c r="I37" s="245">
        <f>+'Exhibit F'!J32+'Exhibit G State'!J25</f>
        <v>0</v>
      </c>
      <c r="J37" s="245"/>
      <c r="K37" s="245">
        <f>+'Exhibit F'!L32+'Exhibit G State'!L25</f>
        <v>0</v>
      </c>
      <c r="L37" s="79"/>
      <c r="M37" s="245">
        <f>+'Exhibit F'!N32+'Exhibit G State'!N25</f>
        <v>0.5</v>
      </c>
      <c r="N37" s="79"/>
      <c r="O37" s="245">
        <f>+'Exhibit F'!P32+'Exhibit G State'!P25</f>
        <v>0</v>
      </c>
      <c r="P37" s="79"/>
      <c r="Q37" s="245">
        <f>+'Exhibit F'!R32+'Exhibit G State'!R25</f>
        <v>0</v>
      </c>
      <c r="R37" s="245"/>
      <c r="S37" s="245"/>
      <c r="T37" s="245"/>
      <c r="U37" s="245"/>
      <c r="V37" s="245"/>
      <c r="W37" s="245"/>
      <c r="X37" s="245"/>
      <c r="Y37" s="245"/>
      <c r="Z37" s="79"/>
      <c r="AA37" s="244"/>
      <c r="AB37" s="245">
        <f t="shared" si="4"/>
        <v>-0.3</v>
      </c>
      <c r="AC37" s="79"/>
      <c r="AD37" s="1172"/>
      <c r="AE37" s="245">
        <f>+'Exhibit F'!AF32+'Exhibit G State'!AG25</f>
        <v>0</v>
      </c>
      <c r="AF37" s="79"/>
      <c r="AG37" s="79"/>
      <c r="AH37" s="325">
        <f t="shared" si="5"/>
        <v>-0.3</v>
      </c>
      <c r="AI37" s="95"/>
      <c r="AJ37" s="670">
        <f>-ROUND(IF(AE37=0,1,AH37/ABS(AE37)),3)</f>
        <v>-1</v>
      </c>
    </row>
    <row r="38" spans="1:36" ht="15.5">
      <c r="A38" s="345" t="s">
        <v>390</v>
      </c>
      <c r="B38" s="79"/>
      <c r="C38" s="245">
        <f>+'Exhibit F'!D33+'Exhibit G State'!D26</f>
        <v>21.8</v>
      </c>
      <c r="D38" s="245"/>
      <c r="E38" s="245">
        <f>+'Exhibit F'!F33+'Exhibit G State'!F26</f>
        <v>20.3</v>
      </c>
      <c r="F38" s="245"/>
      <c r="G38" s="245">
        <f>+'Exhibit F'!H33+'Exhibit G State'!H26</f>
        <v>25.999999999999996</v>
      </c>
      <c r="H38" s="245"/>
      <c r="I38" s="245">
        <f>+'Exhibit F'!J33+'Exhibit G State'!J26</f>
        <v>27.300000000000015</v>
      </c>
      <c r="J38" s="245"/>
      <c r="K38" s="245">
        <f>+'Exhibit F'!L33+'Exhibit G State'!L26</f>
        <v>21.799999999999979</v>
      </c>
      <c r="L38" s="79"/>
      <c r="M38" s="245">
        <f>+'Exhibit F'!N33+'Exhibit G State'!N26</f>
        <v>26.600000000000026</v>
      </c>
      <c r="N38" s="79"/>
      <c r="O38" s="245">
        <f>+'Exhibit F'!P33+'Exhibit G State'!P26</f>
        <v>20.099999999999977</v>
      </c>
      <c r="P38" s="79"/>
      <c r="Q38" s="245">
        <f>+'Exhibit F'!R33+'Exhibit G State'!R26</f>
        <v>22.699999999999978</v>
      </c>
      <c r="R38" s="245"/>
      <c r="S38" s="245"/>
      <c r="T38" s="245"/>
      <c r="U38" s="245"/>
      <c r="V38" s="245"/>
      <c r="W38" s="245"/>
      <c r="X38" s="245"/>
      <c r="Y38" s="245"/>
      <c r="Z38" s="79"/>
      <c r="AA38" s="494"/>
      <c r="AB38" s="245">
        <f t="shared" si="4"/>
        <v>186.6</v>
      </c>
      <c r="AC38" s="79"/>
      <c r="AD38" s="1172"/>
      <c r="AE38" s="245">
        <f>+'Exhibit F'!AF33+'Exhibit G State'!AG26</f>
        <v>192.5</v>
      </c>
      <c r="AF38" s="79"/>
      <c r="AG38" s="79"/>
      <c r="AH38" s="325">
        <f t="shared" si="5"/>
        <v>-5.9</v>
      </c>
      <c r="AI38" s="95"/>
      <c r="AJ38" s="344">
        <f>ROUND(SUM(+AH38/ABS(AE38)),3)</f>
        <v>-3.1E-2</v>
      </c>
    </row>
    <row r="39" spans="1:36" ht="15.5">
      <c r="A39" s="345" t="s">
        <v>391</v>
      </c>
      <c r="B39" s="79"/>
      <c r="C39" s="245">
        <f>+'Exhibit F'!D34+'Exhibit G State'!D27</f>
        <v>0.1</v>
      </c>
      <c r="D39" s="245"/>
      <c r="E39" s="245">
        <f>+'Exhibit F'!F34+'Exhibit G State'!F27</f>
        <v>0</v>
      </c>
      <c r="F39" s="245"/>
      <c r="G39" s="245">
        <f>+'Exhibit F'!H34+'Exhibit G State'!H27</f>
        <v>0.1</v>
      </c>
      <c r="H39" s="245"/>
      <c r="I39" s="245">
        <f>+'Exhibit F'!J34+'Exhibit G State'!J27</f>
        <v>0</v>
      </c>
      <c r="J39" s="245"/>
      <c r="K39" s="245">
        <f>+'Exhibit F'!L34+'Exhibit G State'!L27</f>
        <v>9.9999999999999978E-2</v>
      </c>
      <c r="L39" s="79"/>
      <c r="M39" s="245">
        <f>+'Exhibit F'!N34+'Exhibit G State'!N27</f>
        <v>0</v>
      </c>
      <c r="N39" s="79"/>
      <c r="O39" s="245">
        <f>+'Exhibit F'!P34+'Exhibit G State'!P27</f>
        <v>0.10000000000000006</v>
      </c>
      <c r="P39" s="79"/>
      <c r="Q39" s="245">
        <f>+'Exhibit F'!R34+'Exhibit G State'!R27</f>
        <v>0</v>
      </c>
      <c r="R39" s="245"/>
      <c r="S39" s="245"/>
      <c r="T39" s="245"/>
      <c r="U39" s="245"/>
      <c r="V39" s="245"/>
      <c r="W39" s="245"/>
      <c r="X39" s="245"/>
      <c r="Y39" s="245"/>
      <c r="Z39" s="79"/>
      <c r="AA39" s="494"/>
      <c r="AB39" s="245">
        <f t="shared" si="4"/>
        <v>0.4</v>
      </c>
      <c r="AC39" s="79"/>
      <c r="AD39" s="1172"/>
      <c r="AE39" s="245">
        <f>+'Exhibit F'!AF34+'Exhibit G State'!AG27</f>
        <v>0.4</v>
      </c>
      <c r="AF39" s="79"/>
      <c r="AG39" s="79"/>
      <c r="AH39" s="325">
        <f t="shared" si="5"/>
        <v>0</v>
      </c>
      <c r="AI39" s="95"/>
      <c r="AJ39" s="670">
        <f>ROUND(IF(AE39=0,1,AH39/ABS(AE39)),3)</f>
        <v>0</v>
      </c>
    </row>
    <row r="40" spans="1:36" ht="15.5">
      <c r="A40" s="345" t="s">
        <v>467</v>
      </c>
      <c r="B40" s="79"/>
      <c r="C40" s="245">
        <f>'Exhibit F'!D35+'Exhibit G'!D28</f>
        <v>0.2</v>
      </c>
      <c r="D40" s="245"/>
      <c r="E40" s="245">
        <f>'Exhibit F'!F35+'Exhibit G'!F28</f>
        <v>0.3</v>
      </c>
      <c r="F40" s="245"/>
      <c r="G40" s="245">
        <f>'Exhibit F'!H35+'Exhibit G'!H28</f>
        <v>6.1</v>
      </c>
      <c r="H40" s="245"/>
      <c r="I40" s="245">
        <f>'Exhibit F'!J35+'Exhibit G'!J28</f>
        <v>0.10000000000000053</v>
      </c>
      <c r="J40" s="245"/>
      <c r="K40" s="245">
        <f>'Exhibit F'!L35+'Exhibit G'!L28</f>
        <v>0</v>
      </c>
      <c r="L40" s="79"/>
      <c r="M40" s="245">
        <f>'Exhibit F'!N35+'Exhibit G'!N28</f>
        <v>6.3999999999999995</v>
      </c>
      <c r="N40" s="79"/>
      <c r="O40" s="245">
        <f>'Exhibit F'!P35+'Exhibit G'!P28</f>
        <v>0.30000000000000071</v>
      </c>
      <c r="P40" s="79"/>
      <c r="Q40" s="245">
        <f>'Exhibit F'!R35+'Exhibit G'!R28</f>
        <v>0.19999999999999929</v>
      </c>
      <c r="R40" s="245"/>
      <c r="S40" s="245"/>
      <c r="T40" s="245"/>
      <c r="U40" s="245"/>
      <c r="V40" s="245"/>
      <c r="W40" s="245"/>
      <c r="X40" s="245"/>
      <c r="Y40" s="245"/>
      <c r="Z40" s="79"/>
      <c r="AA40" s="494"/>
      <c r="AB40" s="245">
        <f>ROUND(SUM(C40:Y40),1)</f>
        <v>13.6</v>
      </c>
      <c r="AC40" s="79"/>
      <c r="AD40" s="1172"/>
      <c r="AE40" s="245">
        <f>+'Exhibit F'!AF35+'Exhibit G State'!AG28</f>
        <v>12.7</v>
      </c>
      <c r="AF40" s="79"/>
      <c r="AG40" s="79"/>
      <c r="AH40" s="325">
        <f>ROUND(SUM(+AB40-AE40),1)</f>
        <v>0.9</v>
      </c>
      <c r="AI40" s="95"/>
      <c r="AJ40" s="670">
        <f>ROUND(IF(AE40=0,1,AH40/ABS(AE40)),3)</f>
        <v>7.0999999999999994E-2</v>
      </c>
    </row>
    <row r="41" spans="1:36" ht="15.5">
      <c r="A41" s="345" t="s">
        <v>393</v>
      </c>
      <c r="B41" s="79"/>
      <c r="C41" s="245">
        <f>'Exhibit F'!D36</f>
        <v>6</v>
      </c>
      <c r="D41" s="245"/>
      <c r="E41" s="245">
        <f>'Exhibit F'!F36</f>
        <v>0.20000000000000018</v>
      </c>
      <c r="F41" s="245"/>
      <c r="G41" s="245">
        <f>'Exhibit F'!H36</f>
        <v>0.20000000000000018</v>
      </c>
      <c r="H41" s="245"/>
      <c r="I41" s="245">
        <f>'Exhibit F'!J36</f>
        <v>4.2999999999999989</v>
      </c>
      <c r="J41" s="245"/>
      <c r="K41" s="245">
        <f>'Exhibit F'!L36</f>
        <v>0.10000000000000142</v>
      </c>
      <c r="L41" s="79"/>
      <c r="M41" s="245">
        <f>'Exhibit F'!N36</f>
        <v>9.9999999999999645E-2</v>
      </c>
      <c r="N41" s="79"/>
      <c r="O41" s="245">
        <f>'Exhibit F'!P36</f>
        <v>5.9000000000000021</v>
      </c>
      <c r="P41" s="79"/>
      <c r="Q41" s="245">
        <f>'Exhibit F'!R36</f>
        <v>0</v>
      </c>
      <c r="R41" s="245"/>
      <c r="S41" s="245"/>
      <c r="T41" s="245"/>
      <c r="U41" s="245"/>
      <c r="V41" s="245"/>
      <c r="W41" s="245"/>
      <c r="X41" s="245"/>
      <c r="Y41" s="245"/>
      <c r="Z41" s="79"/>
      <c r="AA41" s="494"/>
      <c r="AB41" s="245">
        <f t="shared" ref="AB41" si="6">ROUND(SUM(C41:Y41),1)</f>
        <v>16.8</v>
      </c>
      <c r="AC41" s="79"/>
      <c r="AD41" s="1172"/>
      <c r="AE41" s="245">
        <f>+'Exhibit F'!AF36</f>
        <v>19.600000000000001</v>
      </c>
      <c r="AF41" s="79"/>
      <c r="AG41" s="79"/>
      <c r="AH41" s="325">
        <f t="shared" ref="AH41" si="7">ROUND(SUM(+AB41-AE41),1)</f>
        <v>-2.8</v>
      </c>
      <c r="AI41" s="95"/>
      <c r="AJ41" s="670">
        <f>ROUND(IF(AE41=0,1,AH41/ABS(AE41)),3)</f>
        <v>-0.14299999999999999</v>
      </c>
    </row>
    <row r="42" spans="1:36" ht="15.5">
      <c r="A42" s="118" t="s">
        <v>394</v>
      </c>
      <c r="B42" s="79"/>
      <c r="C42" s="100">
        <f>ROUND(SUM(C32:C41),1)</f>
        <v>1626.2</v>
      </c>
      <c r="D42" s="79"/>
      <c r="E42" s="100">
        <f>ROUND(SUM(E32:E41),1)</f>
        <v>1573.8</v>
      </c>
      <c r="F42" s="79"/>
      <c r="G42" s="100">
        <f>ROUND(SUM(G32:G41),1)</f>
        <v>2086.5</v>
      </c>
      <c r="H42" s="79"/>
      <c r="I42" s="100">
        <f>ROUND(SUM(I32:I41),1)</f>
        <v>1694.5</v>
      </c>
      <c r="J42" s="79"/>
      <c r="K42" s="100">
        <f>ROUND(SUM(K32:K41),1)</f>
        <v>1640.3</v>
      </c>
      <c r="L42" s="79"/>
      <c r="M42" s="100">
        <f>ROUND(SUM(M32:M41),1)</f>
        <v>2090.6999999999998</v>
      </c>
      <c r="N42" s="79"/>
      <c r="O42" s="100">
        <f>ROUND(SUM(O32:O41),1)</f>
        <v>1668.2</v>
      </c>
      <c r="P42" s="79"/>
      <c r="Q42" s="100">
        <f>ROUND(SUM(Q32:Q41),1)</f>
        <v>1665.3</v>
      </c>
      <c r="R42" s="79"/>
      <c r="S42" s="100">
        <f>ROUND(SUM(S32:S41),1)</f>
        <v>0</v>
      </c>
      <c r="T42" s="79"/>
      <c r="U42" s="100">
        <f>ROUND(SUM(U32:U41),1)</f>
        <v>0</v>
      </c>
      <c r="V42" s="79"/>
      <c r="W42" s="100">
        <f>ROUND(SUM(W32:W41),1)</f>
        <v>0</v>
      </c>
      <c r="X42" s="79"/>
      <c r="Y42" s="100">
        <f>ROUND(SUM(Y32:Y41),1)</f>
        <v>0</v>
      </c>
      <c r="Z42" s="79"/>
      <c r="AA42" s="494"/>
      <c r="AB42" s="100">
        <f>ROUND(SUM(AB32:AB41),1)</f>
        <v>14045.5</v>
      </c>
      <c r="AC42" s="79"/>
      <c r="AD42" s="1172"/>
      <c r="AE42" s="100">
        <f>ROUND(SUM(AE32:AE41),1)</f>
        <v>13316.4</v>
      </c>
      <c r="AF42" s="79"/>
      <c r="AG42" s="79"/>
      <c r="AH42" s="100">
        <f>ROUND(SUM(AH32:AH41),1)</f>
        <v>729.1</v>
      </c>
      <c r="AI42" s="391"/>
      <c r="AJ42" s="529">
        <f>ROUND(SUM(+AH42/ABS(AE42)),3)</f>
        <v>5.5E-2</v>
      </c>
    </row>
    <row r="43" spans="1:36" ht="15.5">
      <c r="A43" s="525" t="s">
        <v>395</v>
      </c>
      <c r="B43" s="79"/>
      <c r="C43" s="79"/>
      <c r="D43" s="79"/>
      <c r="E43" s="79"/>
      <c r="F43" s="79"/>
      <c r="G43" s="79"/>
      <c r="H43" s="79"/>
      <c r="I43" s="79"/>
      <c r="J43" s="79"/>
      <c r="K43" s="79"/>
      <c r="L43" s="79"/>
      <c r="M43" s="79"/>
      <c r="N43" s="79"/>
      <c r="O43" s="79"/>
      <c r="P43" s="79"/>
      <c r="Q43" s="79"/>
      <c r="R43" s="79"/>
      <c r="S43" s="79"/>
      <c r="T43" s="79"/>
      <c r="U43" s="79"/>
      <c r="V43" s="79"/>
      <c r="W43" s="79"/>
      <c r="X43" s="79"/>
      <c r="Y43" s="79"/>
      <c r="Z43" s="79"/>
      <c r="AA43" s="494"/>
      <c r="AB43" s="79"/>
      <c r="AC43" s="79"/>
      <c r="AD43" s="1172"/>
      <c r="AE43" s="245"/>
      <c r="AF43" s="79"/>
      <c r="AG43" s="79"/>
      <c r="AH43" s="329"/>
      <c r="AI43" s="79"/>
      <c r="AJ43" s="329"/>
    </row>
    <row r="44" spans="1:36" ht="15.5">
      <c r="A44" s="345" t="s">
        <v>396</v>
      </c>
      <c r="B44" s="79"/>
      <c r="C44" s="245">
        <f>+'Exhibit F'!D39+'Exhibit G State'!D31</f>
        <v>1200</v>
      </c>
      <c r="D44" s="245"/>
      <c r="E44" s="245">
        <f>+'Exhibit F'!F39+'Exhibit G State'!F31</f>
        <v>87.200000000000045</v>
      </c>
      <c r="F44" s="245"/>
      <c r="G44" s="245">
        <f>+'Exhibit F'!H39+'Exhibit G State'!H31</f>
        <v>1589.4</v>
      </c>
      <c r="H44" s="245"/>
      <c r="I44" s="245">
        <f>+'Exhibit F'!J39+'Exhibit G State'!J31</f>
        <v>240.99999999999966</v>
      </c>
      <c r="J44" s="245"/>
      <c r="K44" s="245">
        <f>+'Exhibit F'!L39+'Exhibit G State'!L31</f>
        <v>78.200000000000045</v>
      </c>
      <c r="L44" s="245"/>
      <c r="M44" s="245">
        <f>+'Exhibit F'!N39+'Exhibit G State'!N31</f>
        <v>1675.1</v>
      </c>
      <c r="N44" s="79"/>
      <c r="O44" s="245">
        <f>+'Exhibit F'!P39+'Exhibit G State'!P31</f>
        <v>258.60000000000105</v>
      </c>
      <c r="P44" s="79"/>
      <c r="Q44" s="245">
        <f>+'Exhibit F'!R39+'Exhibit G State'!R31</f>
        <v>95.199999999999591</v>
      </c>
      <c r="R44" s="245"/>
      <c r="S44" s="245"/>
      <c r="T44" s="245"/>
      <c r="U44" s="245"/>
      <c r="V44" s="245"/>
      <c r="W44" s="245"/>
      <c r="X44" s="245"/>
      <c r="Y44" s="245"/>
      <c r="Z44" s="79"/>
      <c r="AA44" s="494"/>
      <c r="AB44" s="245">
        <f t="shared" ref="AB44:AB49" si="8">ROUND(SUM(C44:Y44),1)</f>
        <v>5224.7</v>
      </c>
      <c r="AC44" s="79"/>
      <c r="AD44" s="1172"/>
      <c r="AE44" s="245">
        <f>+'Exhibit F'!AF39+'Exhibit G State'!AG31</f>
        <v>5082.1000000000004</v>
      </c>
      <c r="AF44" s="79"/>
      <c r="AG44" s="79"/>
      <c r="AH44" s="325">
        <f t="shared" ref="AH44:AH56" si="9">ROUND(SUM(+AB44-AE44),1)</f>
        <v>142.6</v>
      </c>
      <c r="AI44" s="95"/>
      <c r="AJ44" s="344">
        <f t="shared" ref="AJ44:AJ50" si="10">ROUND(SUM(+AH44/ABS(AE44)),3)</f>
        <v>2.8000000000000001E-2</v>
      </c>
    </row>
    <row r="45" spans="1:36" ht="15.5">
      <c r="A45" s="345" t="s">
        <v>397</v>
      </c>
      <c r="B45" s="79"/>
      <c r="C45" s="245">
        <f>+'Exhibit G State'!D32+'Exhibit F'!D40</f>
        <v>36.9</v>
      </c>
      <c r="D45" s="245"/>
      <c r="E45" s="245">
        <f>+'Exhibit G State'!F32+'Exhibit F'!F40</f>
        <v>0.70000000000000107</v>
      </c>
      <c r="F45" s="245"/>
      <c r="G45" s="245">
        <f>+'Exhibit G State'!H32+'Exhibit F'!H40</f>
        <v>76.5</v>
      </c>
      <c r="H45" s="245"/>
      <c r="I45" s="245">
        <f>+'Exhibit G State'!J32+'Exhibit F'!J40</f>
        <v>0.30000000000001137</v>
      </c>
      <c r="J45" s="245"/>
      <c r="K45" s="245">
        <f>+'Exhibit G State'!L32+'Exhibit F'!L40</f>
        <v>1.4999999999999929</v>
      </c>
      <c r="L45" s="245"/>
      <c r="M45" s="245">
        <f>+'Exhibit G State'!N32+'Exhibit F'!N40</f>
        <v>95.700000000000017</v>
      </c>
      <c r="N45" s="79"/>
      <c r="O45" s="245">
        <f>+'Exhibit G State'!P32+'Exhibit F'!P40</f>
        <v>23.900000000000006</v>
      </c>
      <c r="P45" s="79"/>
      <c r="Q45" s="245">
        <f>+'Exhibit G State'!R32+'Exhibit F'!R40</f>
        <v>17.499999999999986</v>
      </c>
      <c r="R45" s="245"/>
      <c r="S45" s="245"/>
      <c r="T45" s="245"/>
      <c r="U45" s="245"/>
      <c r="V45" s="245"/>
      <c r="W45" s="245"/>
      <c r="X45" s="245"/>
      <c r="Y45" s="245"/>
      <c r="Z45" s="79"/>
      <c r="AA45" s="494"/>
      <c r="AB45" s="245">
        <f t="shared" si="8"/>
        <v>253</v>
      </c>
      <c r="AC45" s="79"/>
      <c r="AD45" s="1172"/>
      <c r="AE45" s="245">
        <f>+'Exhibit G State'!AG32+'Exhibit F'!AF40</f>
        <v>229</v>
      </c>
      <c r="AF45" s="79"/>
      <c r="AG45" s="79"/>
      <c r="AH45" s="325">
        <f t="shared" si="9"/>
        <v>24</v>
      </c>
      <c r="AI45" s="95"/>
      <c r="AJ45" s="344">
        <f t="shared" si="10"/>
        <v>0.105</v>
      </c>
    </row>
    <row r="46" spans="1:36" ht="15.5">
      <c r="A46" s="345" t="s">
        <v>398</v>
      </c>
      <c r="B46" s="79"/>
      <c r="C46" s="245">
        <f>+'Exhibit F'!D41+'Exhibit G State'!D33</f>
        <v>98</v>
      </c>
      <c r="D46" s="245"/>
      <c r="E46" s="245">
        <f>+'Exhibit F'!F41+'Exhibit G State'!F33</f>
        <v>86.800000000000011</v>
      </c>
      <c r="F46" s="245"/>
      <c r="G46" s="245">
        <f>+'Exhibit F'!H41+'Exhibit G State'!H33</f>
        <v>485.2</v>
      </c>
      <c r="H46" s="245"/>
      <c r="I46" s="245">
        <f>+'Exhibit F'!J41+'Exhibit G State'!J33</f>
        <v>-8.7000000000000171</v>
      </c>
      <c r="J46" s="245"/>
      <c r="K46" s="245">
        <f>+'Exhibit F'!L41+'Exhibit G State'!L33</f>
        <v>24.79999999999994</v>
      </c>
      <c r="L46" s="245"/>
      <c r="M46" s="245">
        <f>+'Exhibit F'!N41+'Exhibit G State'!N33</f>
        <v>522.1</v>
      </c>
      <c r="N46" s="79"/>
      <c r="O46" s="245">
        <f>+'Exhibit F'!P41+'Exhibit G State'!P33</f>
        <v>12.699999999999989</v>
      </c>
      <c r="P46" s="79"/>
      <c r="Q46" s="245">
        <f>+'Exhibit F'!R41+'Exhibit G State'!R33</f>
        <v>11.699999999999932</v>
      </c>
      <c r="R46" s="245"/>
      <c r="S46" s="245"/>
      <c r="T46" s="245"/>
      <c r="U46" s="245"/>
      <c r="V46" s="245"/>
      <c r="W46" s="245"/>
      <c r="X46" s="245"/>
      <c r="Y46" s="245"/>
      <c r="Z46" s="79"/>
      <c r="AA46" s="494"/>
      <c r="AB46" s="245">
        <f t="shared" si="8"/>
        <v>1232.5999999999999</v>
      </c>
      <c r="AC46" s="79"/>
      <c r="AD46" s="1172"/>
      <c r="AE46" s="245">
        <f>+'Exhibit F'!AF41+'Exhibit G State'!AG33</f>
        <v>1225.2</v>
      </c>
      <c r="AF46" s="79"/>
      <c r="AG46" s="79"/>
      <c r="AH46" s="325">
        <f t="shared" si="9"/>
        <v>7.4</v>
      </c>
      <c r="AI46" s="95"/>
      <c r="AJ46" s="344">
        <f t="shared" si="10"/>
        <v>6.0000000000000001E-3</v>
      </c>
    </row>
    <row r="47" spans="1:36" ht="15.5">
      <c r="A47" s="345" t="s">
        <v>399</v>
      </c>
      <c r="B47" s="79"/>
      <c r="C47" s="245">
        <f>+'Exhibit F'!D42+'Exhibit G State'!D34</f>
        <v>2.1999999999999997</v>
      </c>
      <c r="D47" s="245"/>
      <c r="E47" s="245">
        <f>+'Exhibit F'!F42+'Exhibit G State'!F34</f>
        <v>0</v>
      </c>
      <c r="F47" s="245"/>
      <c r="G47" s="245">
        <f>+'Exhibit F'!H42+'Exhibit G State'!H34</f>
        <v>-0.3999999999999998</v>
      </c>
      <c r="H47" s="245"/>
      <c r="I47" s="245">
        <f>+'Exhibit F'!J42+'Exhibit G State'!J34</f>
        <v>0.49999999999999989</v>
      </c>
      <c r="J47" s="245"/>
      <c r="K47" s="245">
        <f>+'Exhibit F'!L42+'Exhibit G State'!L34</f>
        <v>-3.1</v>
      </c>
      <c r="L47" s="245"/>
      <c r="M47" s="245">
        <f>ROUND(SUM(+'Exhibit F'!N42+'Exhibit G State'!N34),1)</f>
        <v>0</v>
      </c>
      <c r="N47" s="79"/>
      <c r="O47" s="245">
        <f>ROUND(SUM(+'Exhibit F'!P42+'Exhibit G State'!P34),1)</f>
        <v>1.8</v>
      </c>
      <c r="P47" s="79"/>
      <c r="Q47" s="245">
        <f>ROUND(SUM(+'Exhibit F'!R42+'Exhibit G State'!R34),1)</f>
        <v>0</v>
      </c>
      <c r="R47" s="245"/>
      <c r="S47" s="245"/>
      <c r="T47" s="245"/>
      <c r="U47" s="245"/>
      <c r="V47" s="245"/>
      <c r="W47" s="245"/>
      <c r="X47" s="245"/>
      <c r="Y47" s="245"/>
      <c r="Z47" s="79"/>
      <c r="AA47" s="494"/>
      <c r="AB47" s="245">
        <f t="shared" si="8"/>
        <v>1</v>
      </c>
      <c r="AC47" s="79"/>
      <c r="AD47" s="1172"/>
      <c r="AE47" s="245">
        <f>+'Exhibit F'!AF42+'Exhibit G State'!AG34</f>
        <v>-4.0999999999999996</v>
      </c>
      <c r="AF47" s="79"/>
      <c r="AG47" s="79"/>
      <c r="AH47" s="325">
        <f t="shared" si="9"/>
        <v>5.0999999999999996</v>
      </c>
      <c r="AI47" s="95"/>
      <c r="AJ47" s="327">
        <f>ROUND(IF(AE47=0,1,AH47/ABS(AE47)),3)</f>
        <v>1.244</v>
      </c>
    </row>
    <row r="48" spans="1:36" ht="15.5">
      <c r="A48" s="345" t="s">
        <v>400</v>
      </c>
      <c r="B48" s="79"/>
      <c r="C48" s="245">
        <f>+'Exhibit F'!D43+'Exhibit H'!B22</f>
        <v>98.8</v>
      </c>
      <c r="D48" s="245"/>
      <c r="E48" s="245">
        <f>+'Exhibit F'!F43+'Exhibit H'!D22</f>
        <v>131.39999999999998</v>
      </c>
      <c r="F48" s="245"/>
      <c r="G48" s="245">
        <f>+'Exhibit F'!H43+'Exhibit H'!F22</f>
        <v>2538.1999999999998</v>
      </c>
      <c r="H48" s="245"/>
      <c r="I48" s="245">
        <f>+'Exhibit F'!J43+'Exhibit H'!H22</f>
        <v>37</v>
      </c>
      <c r="J48" s="245"/>
      <c r="K48" s="245">
        <f>+'Exhibit F'!L43+'Exhibit H'!J22</f>
        <v>136.79999999999973</v>
      </c>
      <c r="L48" s="245"/>
      <c r="M48" s="245">
        <f>+'Exhibit F'!N43+'Exhibit H'!L22</f>
        <v>2973.2000000000003</v>
      </c>
      <c r="N48" s="79"/>
      <c r="O48" s="245">
        <f>+'Exhibit F'!P43+'Exhibit H'!N22</f>
        <v>-1101</v>
      </c>
      <c r="P48" s="79"/>
      <c r="Q48" s="245">
        <f>+'Exhibit F'!R43+'Exhibit H'!P22</f>
        <v>49.200000000000728</v>
      </c>
      <c r="R48" s="245"/>
      <c r="S48" s="245"/>
      <c r="T48" s="245"/>
      <c r="U48" s="245"/>
      <c r="V48" s="245"/>
      <c r="W48" s="245"/>
      <c r="X48" s="245"/>
      <c r="Y48" s="245"/>
      <c r="Z48" s="79"/>
      <c r="AA48" s="494"/>
      <c r="AB48" s="245">
        <f t="shared" si="8"/>
        <v>4863.6000000000004</v>
      </c>
      <c r="AC48" s="79"/>
      <c r="AD48" s="1172"/>
      <c r="AE48" s="245">
        <f>+'Exhibit F'!AF43+'Exhibit H'!AD22</f>
        <v>5687.6</v>
      </c>
      <c r="AF48" s="79"/>
      <c r="AG48" s="79"/>
      <c r="AH48" s="325">
        <f t="shared" si="9"/>
        <v>-824</v>
      </c>
      <c r="AI48" s="95"/>
      <c r="AJ48" s="327">
        <f>ROUND(IF(AE48=0,1,AH48/ABS(AE48)),3)</f>
        <v>-0.14499999999999999</v>
      </c>
    </row>
    <row r="49" spans="1:36" ht="15.5">
      <c r="A49" s="345" t="s">
        <v>401</v>
      </c>
      <c r="B49" s="79"/>
      <c r="C49" s="245">
        <f>+'Exhibit F'!D44+'Exhibit G State'!D35</f>
        <v>36.1</v>
      </c>
      <c r="D49" s="245"/>
      <c r="E49" s="245">
        <f>+'Exhibit F'!F44+'Exhibit G State'!F35</f>
        <v>42.9</v>
      </c>
      <c r="F49" s="245"/>
      <c r="G49" s="245">
        <f>+'Exhibit F'!H44+'Exhibit G State'!H35</f>
        <v>41.699999999999996</v>
      </c>
      <c r="H49" s="245"/>
      <c r="I49" s="245">
        <f>+'Exhibit F'!J44+'Exhibit G State'!J35</f>
        <v>42.9</v>
      </c>
      <c r="J49" s="245"/>
      <c r="K49" s="245">
        <f>+'Exhibit F'!L44+'Exhibit G State'!L35</f>
        <v>48.200000000000024</v>
      </c>
      <c r="L49" s="245"/>
      <c r="M49" s="245">
        <f>+'Exhibit F'!N44+'Exhibit G State'!N35</f>
        <v>41.799999999999976</v>
      </c>
      <c r="N49" s="79"/>
      <c r="O49" s="245">
        <f>+'Exhibit F'!P44+'Exhibit G State'!P35</f>
        <v>43.199999999999996</v>
      </c>
      <c r="P49" s="79"/>
      <c r="Q49" s="245">
        <f>+'Exhibit F'!R44+'Exhibit G State'!R35</f>
        <v>41.4</v>
      </c>
      <c r="R49" s="245"/>
      <c r="S49" s="245"/>
      <c r="T49" s="245"/>
      <c r="U49" s="245"/>
      <c r="V49" s="245"/>
      <c r="W49" s="245"/>
      <c r="X49" s="245"/>
      <c r="Y49" s="245"/>
      <c r="Z49" s="79"/>
      <c r="AA49" s="494"/>
      <c r="AB49" s="245">
        <f t="shared" si="8"/>
        <v>338.2</v>
      </c>
      <c r="AC49" s="79"/>
      <c r="AD49" s="1172"/>
      <c r="AE49" s="245">
        <f>+'Exhibit F'!AF44+'Exhibit G State'!AG35</f>
        <v>322.2</v>
      </c>
      <c r="AF49" s="79"/>
      <c r="AG49" s="79"/>
      <c r="AH49" s="325">
        <f t="shared" si="9"/>
        <v>16</v>
      </c>
      <c r="AI49" s="95"/>
      <c r="AJ49" s="344">
        <f t="shared" si="10"/>
        <v>0.05</v>
      </c>
    </row>
    <row r="50" spans="1:36" ht="15.5">
      <c r="A50" s="118" t="s">
        <v>402</v>
      </c>
      <c r="B50" s="79"/>
      <c r="C50" s="100">
        <f>ROUND(SUM(C44:C49),1)</f>
        <v>1472</v>
      </c>
      <c r="D50" s="79"/>
      <c r="E50" s="100">
        <f>ROUND(SUM(E44:E49),1)</f>
        <v>349</v>
      </c>
      <c r="F50" s="79"/>
      <c r="G50" s="100">
        <f>ROUND(SUM(G44:G49),1)</f>
        <v>4730.6000000000004</v>
      </c>
      <c r="H50" s="79"/>
      <c r="I50" s="100">
        <f>ROUND(SUM(I44:I49),1)</f>
        <v>313</v>
      </c>
      <c r="J50" s="79"/>
      <c r="K50" s="100">
        <f>ROUND(SUM(K44:K49),1)</f>
        <v>286.39999999999998</v>
      </c>
      <c r="L50" s="79"/>
      <c r="M50" s="100">
        <f>ROUND(SUM(M44:M49),1)</f>
        <v>5307.9</v>
      </c>
      <c r="N50" s="79"/>
      <c r="O50" s="100">
        <f>ROUND(SUM(O44:O49),1)</f>
        <v>-760.8</v>
      </c>
      <c r="P50" s="79"/>
      <c r="Q50" s="100">
        <f>ROUND(SUM(Q44:Q49),1)</f>
        <v>215</v>
      </c>
      <c r="R50" s="79"/>
      <c r="S50" s="100">
        <f>ROUND(SUM(S44:S49),1)</f>
        <v>0</v>
      </c>
      <c r="T50" s="79"/>
      <c r="U50" s="100">
        <f>ROUND(SUM(U44:U49),1)</f>
        <v>0</v>
      </c>
      <c r="V50" s="79"/>
      <c r="W50" s="100">
        <f>ROUND(SUM(W44:W49),1)</f>
        <v>0</v>
      </c>
      <c r="X50" s="79"/>
      <c r="Y50" s="100">
        <f>ROUND(SUM(Y44:Y49),1)</f>
        <v>0</v>
      </c>
      <c r="Z50" s="79"/>
      <c r="AA50" s="494"/>
      <c r="AB50" s="100">
        <f>ROUND(SUM(AB44:AB49),1)</f>
        <v>11913.1</v>
      </c>
      <c r="AC50" s="79"/>
      <c r="AD50" s="1172"/>
      <c r="AE50" s="100">
        <f>ROUND(SUM(AE44:AE49),1)</f>
        <v>12542</v>
      </c>
      <c r="AF50" s="79"/>
      <c r="AG50" s="79"/>
      <c r="AH50" s="100">
        <f>ROUND(SUM(AH44:AH49),1)</f>
        <v>-628.9</v>
      </c>
      <c r="AI50" s="391"/>
      <c r="AJ50" s="529">
        <f t="shared" si="10"/>
        <v>-0.05</v>
      </c>
    </row>
    <row r="51" spans="1:36" ht="15.5">
      <c r="A51" s="525" t="s">
        <v>403</v>
      </c>
      <c r="B51" s="79"/>
      <c r="C51" s="79"/>
      <c r="D51" s="79"/>
      <c r="E51" s="79"/>
      <c r="F51" s="79"/>
      <c r="G51" s="79"/>
      <c r="H51" s="79"/>
      <c r="I51" s="79"/>
      <c r="J51" s="79"/>
      <c r="K51" s="79"/>
      <c r="L51" s="79"/>
      <c r="M51" s="79"/>
      <c r="N51" s="79"/>
      <c r="O51" s="79"/>
      <c r="P51" s="79"/>
      <c r="Q51" s="79"/>
      <c r="R51" s="79"/>
      <c r="S51" s="79"/>
      <c r="T51" s="79"/>
      <c r="U51" s="79"/>
      <c r="V51" s="79"/>
      <c r="W51" s="79"/>
      <c r="X51" s="79"/>
      <c r="Y51" s="79"/>
      <c r="Z51" s="79"/>
      <c r="AA51" s="494"/>
      <c r="AB51" s="79"/>
      <c r="AC51" s="79"/>
      <c r="AD51" s="1172"/>
      <c r="AE51" s="245"/>
      <c r="AF51" s="79"/>
      <c r="AG51" s="79"/>
      <c r="AH51" s="329"/>
      <c r="AI51" s="79"/>
      <c r="AJ51" s="329"/>
    </row>
    <row r="52" spans="1:36" ht="15.5">
      <c r="A52" s="345" t="s">
        <v>404</v>
      </c>
      <c r="B52" s="79"/>
      <c r="C52" s="245">
        <f>+'Exhibit F'!D47</f>
        <v>0</v>
      </c>
      <c r="D52" s="245"/>
      <c r="E52" s="245">
        <f>+'Exhibit F'!F47</f>
        <v>0</v>
      </c>
      <c r="F52" s="245"/>
      <c r="G52" s="245">
        <f>+'Exhibit F'!H47</f>
        <v>0</v>
      </c>
      <c r="H52" s="245"/>
      <c r="I52" s="245">
        <f>+'Exhibit F'!J47</f>
        <v>0</v>
      </c>
      <c r="J52" s="245"/>
      <c r="K52" s="245">
        <f>+'Exhibit F'!L47</f>
        <v>0</v>
      </c>
      <c r="L52" s="79"/>
      <c r="M52" s="245">
        <f>+'Exhibit F'!N47</f>
        <v>0</v>
      </c>
      <c r="N52" s="79"/>
      <c r="O52" s="245">
        <f>+'Exhibit F'!P47</f>
        <v>0</v>
      </c>
      <c r="P52" s="79"/>
      <c r="Q52" s="245">
        <f>+'Exhibit F'!R47</f>
        <v>0</v>
      </c>
      <c r="R52" s="245"/>
      <c r="S52" s="245"/>
      <c r="T52" s="245"/>
      <c r="U52" s="245"/>
      <c r="V52" s="245"/>
      <c r="W52" s="245"/>
      <c r="X52" s="245"/>
      <c r="Y52" s="245"/>
      <c r="Z52" s="79"/>
      <c r="AA52" s="494"/>
      <c r="AB52" s="245">
        <f t="shared" ref="AB52:AB56" si="11">ROUND(SUM(C52:Y52),1)</f>
        <v>0</v>
      </c>
      <c r="AC52" s="79"/>
      <c r="AD52" s="1172"/>
      <c r="AE52" s="245">
        <f>+'Exhibit F'!AF47</f>
        <v>0</v>
      </c>
      <c r="AF52" s="79"/>
      <c r="AG52" s="79"/>
      <c r="AH52" s="325">
        <f t="shared" si="9"/>
        <v>0</v>
      </c>
      <c r="AI52" s="79"/>
      <c r="AJ52" s="327">
        <f>ROUND(IF(AE52=0,0,AH52/ABS(AE52)),3)</f>
        <v>0</v>
      </c>
    </row>
    <row r="53" spans="1:36" ht="15.5">
      <c r="A53" s="345" t="s">
        <v>405</v>
      </c>
      <c r="B53" s="79"/>
      <c r="C53" s="245">
        <f>+'Exhibit F'!D48</f>
        <v>168.8</v>
      </c>
      <c r="D53" s="245"/>
      <c r="E53" s="245">
        <f>+'Exhibit F'!F48</f>
        <v>405.7</v>
      </c>
      <c r="F53" s="245"/>
      <c r="G53" s="245">
        <f>+'Exhibit F'!H48</f>
        <v>77.299999999999955</v>
      </c>
      <c r="H53" s="245"/>
      <c r="I53" s="245">
        <f>+'Exhibit F'!J48</f>
        <v>61.800000000000011</v>
      </c>
      <c r="J53" s="245"/>
      <c r="K53" s="245">
        <f>+'Exhibit F'!L48</f>
        <v>175.90000000000009</v>
      </c>
      <c r="L53" s="79"/>
      <c r="M53" s="245">
        <f>+'Exhibit F'!N48</f>
        <v>167.59999999999991</v>
      </c>
      <c r="N53" s="79"/>
      <c r="O53" s="245">
        <f>+'Exhibit F'!P48</f>
        <v>323.30000000000018</v>
      </c>
      <c r="P53" s="79"/>
      <c r="Q53" s="245">
        <f>+'Exhibit F'!R48</f>
        <v>141.89999999999986</v>
      </c>
      <c r="R53" s="245"/>
      <c r="S53" s="245"/>
      <c r="T53" s="245"/>
      <c r="U53" s="245"/>
      <c r="V53" s="245"/>
      <c r="W53" s="245"/>
      <c r="X53" s="245"/>
      <c r="Y53" s="245"/>
      <c r="Z53" s="79"/>
      <c r="AA53" s="494"/>
      <c r="AB53" s="245">
        <f t="shared" si="11"/>
        <v>1522.3</v>
      </c>
      <c r="AC53" s="79"/>
      <c r="AD53" s="1172"/>
      <c r="AE53" s="245">
        <f>+'Exhibit F'!AF48</f>
        <v>1576.1999999999998</v>
      </c>
      <c r="AF53" s="79"/>
      <c r="AG53" s="79"/>
      <c r="AH53" s="325">
        <f t="shared" si="9"/>
        <v>-53.9</v>
      </c>
      <c r="AI53" s="79"/>
      <c r="AJ53" s="344">
        <f t="shared" ref="AJ53:AJ58" si="12">ROUND(SUM(+AH53/ABS(AE53)),3)</f>
        <v>-3.4000000000000002E-2</v>
      </c>
    </row>
    <row r="54" spans="1:36" ht="15.5">
      <c r="A54" s="345" t="s">
        <v>406</v>
      </c>
      <c r="B54" s="79"/>
      <c r="C54" s="245">
        <f>+'Exhibit F'!D49</f>
        <v>1.4</v>
      </c>
      <c r="D54" s="245"/>
      <c r="E54" s="245">
        <f>+'Exhibit F'!F49</f>
        <v>1</v>
      </c>
      <c r="F54" s="245"/>
      <c r="G54" s="245">
        <f>+'Exhibit F'!H49</f>
        <v>1.3000000000000003</v>
      </c>
      <c r="H54" s="245"/>
      <c r="I54" s="245">
        <f>+'Exhibit F'!J49</f>
        <v>1.2000000000000002</v>
      </c>
      <c r="J54" s="245"/>
      <c r="K54" s="245">
        <f>+'Exhibit F'!L49</f>
        <v>1.8000000000000003</v>
      </c>
      <c r="L54" s="79"/>
      <c r="M54" s="245">
        <f>+'Exhibit F'!N49</f>
        <v>1.6999999999999988</v>
      </c>
      <c r="N54" s="79"/>
      <c r="O54" s="245">
        <f>+'Exhibit F'!P49</f>
        <v>0.79999999999999893</v>
      </c>
      <c r="P54" s="79"/>
      <c r="Q54" s="245">
        <f>+'Exhibit F'!R49</f>
        <v>0.80000000000000071</v>
      </c>
      <c r="R54" s="245"/>
      <c r="S54" s="245"/>
      <c r="T54" s="245"/>
      <c r="U54" s="245"/>
      <c r="V54" s="245"/>
      <c r="W54" s="245"/>
      <c r="X54" s="245"/>
      <c r="Y54" s="245"/>
      <c r="Z54" s="79"/>
      <c r="AA54" s="494"/>
      <c r="AB54" s="245">
        <f t="shared" si="11"/>
        <v>10</v>
      </c>
      <c r="AC54" s="79"/>
      <c r="AD54" s="1172"/>
      <c r="AE54" s="245">
        <f>+'Exhibit F'!AF49</f>
        <v>10.8</v>
      </c>
      <c r="AF54" s="79"/>
      <c r="AG54" s="79"/>
      <c r="AH54" s="325">
        <f t="shared" si="9"/>
        <v>-0.8</v>
      </c>
      <c r="AI54" s="79"/>
      <c r="AJ54" s="344">
        <f t="shared" si="12"/>
        <v>-7.3999999999999996E-2</v>
      </c>
    </row>
    <row r="55" spans="1:36" ht="15.5">
      <c r="A55" s="345" t="s">
        <v>407</v>
      </c>
      <c r="B55" s="79"/>
      <c r="C55" s="245">
        <f>+'Exhibit F'!D50+'Exhibit H'!B25</f>
        <v>83.4</v>
      </c>
      <c r="D55" s="245"/>
      <c r="E55" s="245">
        <f>+'Exhibit F'!F50+'Exhibit H'!D25</f>
        <v>86.1</v>
      </c>
      <c r="F55" s="245"/>
      <c r="G55" s="245">
        <f>+'Exhibit F'!H50+'Exhibit H'!F25</f>
        <v>83.300000000000011</v>
      </c>
      <c r="H55" s="245"/>
      <c r="I55" s="245">
        <f>+'Exhibit F'!J50+'Exhibit H'!H25</f>
        <v>76.199999999999989</v>
      </c>
      <c r="J55" s="245"/>
      <c r="K55" s="245">
        <f>+'Exhibit F'!L50+'Exhibit H'!J25</f>
        <v>88.9</v>
      </c>
      <c r="L55" s="79"/>
      <c r="M55" s="245">
        <f>+'Exhibit F'!N50+'Exhibit H'!L25</f>
        <v>90.1</v>
      </c>
      <c r="N55" s="79"/>
      <c r="O55" s="245">
        <f>+'Exhibit F'!P50+'Exhibit H'!N25</f>
        <v>79.600000000000023</v>
      </c>
      <c r="P55" s="79"/>
      <c r="Q55" s="245">
        <f>+'Exhibit F'!R50+'Exhibit H'!P25</f>
        <v>71.600000000000023</v>
      </c>
      <c r="R55" s="245"/>
      <c r="S55" s="245"/>
      <c r="T55" s="245"/>
      <c r="U55" s="245"/>
      <c r="V55" s="245"/>
      <c r="W55" s="245"/>
      <c r="X55" s="245"/>
      <c r="Y55" s="245"/>
      <c r="Z55" s="79"/>
      <c r="AA55" s="494"/>
      <c r="AB55" s="245">
        <f t="shared" si="11"/>
        <v>659.2</v>
      </c>
      <c r="AC55" s="79"/>
      <c r="AD55" s="1172"/>
      <c r="AE55" s="245">
        <f>+'Exhibit F'!AF50+'Exhibit I State'!AG28+'Exhibit H'!AD25</f>
        <v>957.7</v>
      </c>
      <c r="AF55" s="79"/>
      <c r="AG55" s="79"/>
      <c r="AH55" s="325">
        <f t="shared" si="9"/>
        <v>-298.5</v>
      </c>
      <c r="AI55" s="79"/>
      <c r="AJ55" s="344">
        <f t="shared" si="12"/>
        <v>-0.312</v>
      </c>
    </row>
    <row r="56" spans="1:36" ht="15.5">
      <c r="A56" s="345" t="s">
        <v>408</v>
      </c>
      <c r="B56" s="79"/>
      <c r="C56" s="245">
        <f>+'Exhibit F'!D51</f>
        <v>0</v>
      </c>
      <c r="D56" s="245"/>
      <c r="E56" s="245">
        <f>+'Exhibit F'!F51</f>
        <v>0</v>
      </c>
      <c r="F56" s="245"/>
      <c r="G56" s="245">
        <f>+'Exhibit F'!H51</f>
        <v>0.1</v>
      </c>
      <c r="H56" s="245"/>
      <c r="I56" s="245">
        <f>+'Exhibit F'!J51</f>
        <v>0</v>
      </c>
      <c r="J56" s="245"/>
      <c r="K56" s="245">
        <f>+'Exhibit F'!L51</f>
        <v>0.1</v>
      </c>
      <c r="L56" s="79"/>
      <c r="M56" s="245">
        <f>+'Exhibit F'!N51</f>
        <v>0</v>
      </c>
      <c r="N56" s="79"/>
      <c r="O56" s="245">
        <f>+'Exhibit F'!P51</f>
        <v>0</v>
      </c>
      <c r="P56" s="79"/>
      <c r="Q56" s="245">
        <f>+'Exhibit F'!R51</f>
        <v>1.0999999999999999</v>
      </c>
      <c r="R56" s="245"/>
      <c r="S56" s="245"/>
      <c r="T56" s="245"/>
      <c r="U56" s="245"/>
      <c r="V56" s="245"/>
      <c r="W56" s="245"/>
      <c r="X56" s="245"/>
      <c r="Y56" s="245"/>
      <c r="Z56" s="79"/>
      <c r="AA56" s="494"/>
      <c r="AB56" s="245">
        <f t="shared" si="11"/>
        <v>1.3</v>
      </c>
      <c r="AC56" s="79"/>
      <c r="AD56" s="1172"/>
      <c r="AE56" s="245">
        <f>+'Exhibit F'!AF51</f>
        <v>1.9</v>
      </c>
      <c r="AF56" s="79"/>
      <c r="AG56" s="79"/>
      <c r="AH56" s="325">
        <f t="shared" si="9"/>
        <v>-0.6</v>
      </c>
      <c r="AI56" s="79"/>
      <c r="AJ56" s="327">
        <f>ROUND(IF(AE56=0,0,AH56/ABS(AE56)),3)</f>
        <v>-0.316</v>
      </c>
    </row>
    <row r="57" spans="1:36" ht="15.5">
      <c r="A57" s="533" t="s">
        <v>409</v>
      </c>
      <c r="B57" s="79"/>
      <c r="C57" s="245">
        <f>+'Exhibit F'!D52+'Exhibit H'!B26</f>
        <v>0.4</v>
      </c>
      <c r="D57" s="245"/>
      <c r="E57" s="245">
        <f>+'Exhibit F'!F52+'Exhibit H'!D26</f>
        <v>0.4</v>
      </c>
      <c r="F57" s="245"/>
      <c r="G57" s="245">
        <f>+'Exhibit F'!H52+'Exhibit H'!F26</f>
        <v>0.19999999999999996</v>
      </c>
      <c r="H57" s="245"/>
      <c r="I57" s="245">
        <f>+'Exhibit F'!J52+'Exhibit H'!H26</f>
        <v>0.6000000000000002</v>
      </c>
      <c r="J57" s="245"/>
      <c r="K57" s="245">
        <f>+'Exhibit F'!L52+'Exhibit H'!J26</f>
        <v>0.6000000000000002</v>
      </c>
      <c r="L57" s="245"/>
      <c r="M57" s="245">
        <f>+'Exhibit F'!N52+'Exhibit H'!L26</f>
        <v>0.3999999999999998</v>
      </c>
      <c r="N57" s="245"/>
      <c r="O57" s="245">
        <f>+'Exhibit F'!P52+'Exhibit H'!N26</f>
        <v>0.80000000000000038</v>
      </c>
      <c r="P57" s="79"/>
      <c r="Q57" s="245">
        <f>+'Exhibit F'!R52+'Exhibit H'!P26</f>
        <v>0.39999999999999936</v>
      </c>
      <c r="R57" s="245"/>
      <c r="S57" s="245"/>
      <c r="T57" s="245"/>
      <c r="U57" s="245"/>
      <c r="V57" s="245"/>
      <c r="W57" s="245"/>
      <c r="X57" s="245"/>
      <c r="Y57" s="245"/>
      <c r="Z57" s="79"/>
      <c r="AA57" s="494"/>
      <c r="AB57" s="245">
        <f t="shared" ref="AB57" si="13">ROUND(SUM(C57:Y57),1)</f>
        <v>3.8</v>
      </c>
      <c r="AC57" s="79"/>
      <c r="AD57" s="1172"/>
      <c r="AE57" s="245">
        <f>+'Exhibit F'!AF52+'Exhibit H'!AD26</f>
        <v>3</v>
      </c>
      <c r="AF57" s="79"/>
      <c r="AG57" s="79"/>
      <c r="AH57" s="325">
        <f t="shared" ref="AH57" si="14">ROUND(SUM(+AB57-AE57),1)</f>
        <v>0.8</v>
      </c>
      <c r="AI57" s="95"/>
      <c r="AJ57" s="327">
        <f>ROUND(IF(AE57=0,1,AH57/ABS(AE57)),3)</f>
        <v>0.26700000000000002</v>
      </c>
    </row>
    <row r="58" spans="1:36" ht="15.5">
      <c r="A58" s="118" t="s">
        <v>410</v>
      </c>
      <c r="B58" s="79"/>
      <c r="C58" s="100">
        <f>ROUND(SUM(C52:C57),1)</f>
        <v>254</v>
      </c>
      <c r="D58" s="79"/>
      <c r="E58" s="100">
        <f>ROUND(SUM(E52:E57),1)</f>
        <v>493.2</v>
      </c>
      <c r="F58" s="79"/>
      <c r="G58" s="100">
        <f>ROUND(SUM(G52:G57),1)</f>
        <v>162.19999999999999</v>
      </c>
      <c r="H58" s="79"/>
      <c r="I58" s="100">
        <f>ROUND(SUM(I52:I57),1)</f>
        <v>139.80000000000001</v>
      </c>
      <c r="J58" s="79"/>
      <c r="K58" s="100">
        <f>ROUND(SUM(K52:K57),1)</f>
        <v>267.3</v>
      </c>
      <c r="L58" s="79"/>
      <c r="M58" s="100">
        <f>ROUND(SUM(M52:M57),1)</f>
        <v>259.8</v>
      </c>
      <c r="N58" s="79"/>
      <c r="O58" s="100">
        <f>ROUND(SUM(O52:O57),1)</f>
        <v>404.5</v>
      </c>
      <c r="P58" s="79"/>
      <c r="Q58" s="100">
        <f>ROUND(SUM(Q52:Q57),1)</f>
        <v>215.8</v>
      </c>
      <c r="R58" s="79"/>
      <c r="S58" s="100">
        <f>ROUND(SUM(S52:S57),1)</f>
        <v>0</v>
      </c>
      <c r="T58" s="79"/>
      <c r="U58" s="100">
        <f>ROUND(SUM(U52:U57),1)</f>
        <v>0</v>
      </c>
      <c r="V58" s="79"/>
      <c r="W58" s="100">
        <f>ROUND(SUM(W52:W57),1)</f>
        <v>0</v>
      </c>
      <c r="X58" s="79"/>
      <c r="Y58" s="100">
        <f>ROUND(SUM(Y52:Y57),1)</f>
        <v>0</v>
      </c>
      <c r="Z58" s="79"/>
      <c r="AA58" s="494"/>
      <c r="AB58" s="100">
        <f>ROUND(SUM(AB52:AB57),1)</f>
        <v>2196.6</v>
      </c>
      <c r="AC58" s="79"/>
      <c r="AD58" s="1172"/>
      <c r="AE58" s="100">
        <f>ROUND(SUM(AE52:AE57),1)</f>
        <v>2549.6</v>
      </c>
      <c r="AF58" s="79"/>
      <c r="AG58" s="79"/>
      <c r="AH58" s="100">
        <f>ROUND(SUM(AH52:AH57),1)</f>
        <v>-353</v>
      </c>
      <c r="AI58" s="391"/>
      <c r="AJ58" s="529">
        <f t="shared" si="12"/>
        <v>-0.13800000000000001</v>
      </c>
    </row>
    <row r="59" spans="1:36" ht="15.5">
      <c r="A59" s="79"/>
      <c r="B59" s="79"/>
      <c r="C59" s="245"/>
      <c r="D59" s="245"/>
      <c r="E59" s="245"/>
      <c r="F59" s="245"/>
      <c r="G59" s="245"/>
      <c r="H59" s="245"/>
      <c r="I59" s="245"/>
      <c r="J59" s="245"/>
      <c r="K59" s="245"/>
      <c r="L59" s="245"/>
      <c r="M59" s="245"/>
      <c r="N59" s="245"/>
      <c r="O59" s="245"/>
      <c r="P59" s="245"/>
      <c r="Q59" s="245"/>
      <c r="R59" s="245"/>
      <c r="S59" s="245"/>
      <c r="T59" s="245"/>
      <c r="U59" s="245"/>
      <c r="V59" s="245"/>
      <c r="W59" s="245"/>
      <c r="X59" s="245"/>
      <c r="Y59" s="245"/>
      <c r="Z59" s="245"/>
      <c r="AA59" s="246"/>
      <c r="AB59" s="248"/>
      <c r="AC59" s="245"/>
      <c r="AD59" s="1175"/>
      <c r="AE59" s="245"/>
      <c r="AF59" s="245"/>
      <c r="AG59" s="245"/>
      <c r="AH59" s="245"/>
      <c r="AI59" s="79"/>
      <c r="AJ59" s="107"/>
    </row>
    <row r="60" spans="1:36" ht="15.5">
      <c r="A60" s="118" t="s">
        <v>468</v>
      </c>
      <c r="B60" s="466"/>
      <c r="C60" s="1426">
        <f>ROUND(SUM(C58+C50+C42+C30),1)</f>
        <v>10806.6</v>
      </c>
      <c r="D60" s="325"/>
      <c r="E60" s="1426">
        <f>ROUND(SUM(E58+E50+E42+E30),1)</f>
        <v>4504.6000000000004</v>
      </c>
      <c r="F60" s="325"/>
      <c r="G60" s="1426">
        <f>ROUND(SUM(G58+G50+G42+G30),1)</f>
        <v>11973.9</v>
      </c>
      <c r="H60" s="325"/>
      <c r="I60" s="1426">
        <f>ROUND(SUM(I58+I50+I42+I30),1)</f>
        <v>5573.2</v>
      </c>
      <c r="J60" s="325"/>
      <c r="K60" s="1426">
        <f>ROUND(SUM(K58+K50+K42+K30),1)</f>
        <v>5894.3</v>
      </c>
      <c r="L60" s="325"/>
      <c r="M60" s="1426">
        <f>ROUND(SUM(M58+M50+M42+M30),1)</f>
        <v>11975.6</v>
      </c>
      <c r="N60" s="325"/>
      <c r="O60" s="1426">
        <f>ROUND(SUM(O58+O50+O42+O30),1)</f>
        <v>3596.5</v>
      </c>
      <c r="P60" s="325"/>
      <c r="Q60" s="1426">
        <f>ROUND(SUM(Q58+Q50+Q42+Q30),1)</f>
        <v>5466.9</v>
      </c>
      <c r="R60" s="325"/>
      <c r="S60" s="1426">
        <f>ROUND(SUM(S58+S50+S42+S30),1)</f>
        <v>0</v>
      </c>
      <c r="T60" s="325"/>
      <c r="U60" s="1426">
        <f>ROUND(SUM(U58+U50+U42+U30),1)</f>
        <v>0</v>
      </c>
      <c r="V60" s="325"/>
      <c r="W60" s="1426">
        <f>ROUND(SUM(W58+W50+W42+W30),1)</f>
        <v>0</v>
      </c>
      <c r="X60" s="329"/>
      <c r="Y60" s="1426">
        <f>ROUND(SUM(Y58+Y50+Y42+Y30),1)</f>
        <v>0</v>
      </c>
      <c r="Z60" s="329"/>
      <c r="AA60" s="1164"/>
      <c r="AB60" s="1183">
        <f>ROUND(SUM(C60:Y60),1)</f>
        <v>59791.6</v>
      </c>
      <c r="AC60" s="325"/>
      <c r="AD60" s="647"/>
      <c r="AE60" s="1514">
        <f>ROUND(SUM(+AE30+AE42+AE50+AE58),1)</f>
        <v>66245.100000000006</v>
      </c>
      <c r="AF60" s="325"/>
      <c r="AG60" s="943"/>
      <c r="AH60" s="1514">
        <f>ROUND(+AB60-AE60,1)</f>
        <v>-6453.5</v>
      </c>
      <c r="AI60" s="325"/>
      <c r="AJ60" s="470">
        <f>ROUND(SUM(+AH60/ABS(AE60)),3)</f>
        <v>-9.7000000000000003E-2</v>
      </c>
    </row>
    <row r="61" spans="1:36" ht="15.5">
      <c r="A61" s="79"/>
      <c r="B61" s="79"/>
      <c r="C61" s="245"/>
      <c r="D61" s="245"/>
      <c r="E61" s="245"/>
      <c r="F61" s="245"/>
      <c r="G61" s="245"/>
      <c r="H61" s="245"/>
      <c r="I61" s="245"/>
      <c r="J61" s="245"/>
      <c r="K61" s="245"/>
      <c r="L61" s="245"/>
      <c r="M61" s="245"/>
      <c r="N61" s="245"/>
      <c r="O61" s="245"/>
      <c r="P61" s="245"/>
      <c r="Q61" s="245"/>
      <c r="R61" s="245"/>
      <c r="S61" s="245"/>
      <c r="T61" s="245"/>
      <c r="U61" s="245"/>
      <c r="V61" s="245"/>
      <c r="W61" s="245"/>
      <c r="X61" s="245"/>
      <c r="Y61" s="245"/>
      <c r="Z61" s="245"/>
      <c r="AA61" s="246"/>
      <c r="AB61" s="245"/>
      <c r="AC61" s="245"/>
      <c r="AD61" s="1175"/>
      <c r="AE61" s="245"/>
      <c r="AF61" s="245"/>
      <c r="AG61" s="245"/>
      <c r="AH61" s="245"/>
      <c r="AI61" s="79"/>
      <c r="AJ61" s="344"/>
    </row>
    <row r="62" spans="1:36" ht="15.5">
      <c r="A62" s="2006" t="s">
        <v>412</v>
      </c>
      <c r="B62" s="79"/>
      <c r="C62" s="245"/>
      <c r="D62" s="245"/>
      <c r="E62" s="245"/>
      <c r="F62" s="245"/>
      <c r="G62" s="245"/>
      <c r="H62" s="245"/>
      <c r="I62" s="245"/>
      <c r="J62" s="245"/>
      <c r="K62" s="245"/>
      <c r="L62" s="245"/>
      <c r="M62" s="245"/>
      <c r="N62" s="245"/>
      <c r="O62" s="245"/>
      <c r="P62" s="245"/>
      <c r="Q62" s="245"/>
      <c r="R62" s="245"/>
      <c r="S62" s="245"/>
      <c r="T62" s="245"/>
      <c r="U62" s="245"/>
      <c r="V62" s="245"/>
      <c r="W62" s="245"/>
      <c r="X62" s="245"/>
      <c r="Y62" s="245"/>
      <c r="Z62" s="245"/>
      <c r="AA62" s="246"/>
      <c r="AB62" s="245"/>
      <c r="AC62" s="245"/>
      <c r="AD62" s="1175"/>
      <c r="AE62" s="245"/>
      <c r="AF62" s="245"/>
      <c r="AG62" s="245"/>
      <c r="AH62" s="245"/>
      <c r="AI62" s="79"/>
      <c r="AJ62" s="327"/>
    </row>
    <row r="63" spans="1:36" ht="15.5">
      <c r="A63" s="427" t="s">
        <v>413</v>
      </c>
      <c r="B63" s="79"/>
      <c r="C63" s="245"/>
      <c r="D63" s="245"/>
      <c r="E63" s="245"/>
      <c r="F63" s="245"/>
      <c r="G63" s="245"/>
      <c r="H63" s="245"/>
      <c r="I63" s="245"/>
      <c r="J63" s="245"/>
      <c r="K63" s="245"/>
      <c r="L63" s="245"/>
      <c r="M63" s="245"/>
      <c r="N63" s="245"/>
      <c r="O63" s="245"/>
      <c r="P63" s="245"/>
      <c r="Q63" s="245"/>
      <c r="R63" s="245"/>
      <c r="S63" s="245"/>
      <c r="T63" s="245"/>
      <c r="U63" s="245"/>
      <c r="V63" s="245"/>
      <c r="W63" s="245"/>
      <c r="X63" s="245"/>
      <c r="Y63" s="245"/>
      <c r="Z63" s="245"/>
      <c r="AA63" s="246"/>
      <c r="AB63" s="245"/>
      <c r="AC63" s="245"/>
      <c r="AD63" s="1175"/>
      <c r="AE63" s="245"/>
      <c r="AF63" s="245"/>
      <c r="AG63" s="245"/>
      <c r="AH63" s="245"/>
      <c r="AI63" s="79"/>
      <c r="AJ63" s="327"/>
    </row>
    <row r="64" spans="1:36" ht="15.5">
      <c r="A64" s="427" t="s">
        <v>414</v>
      </c>
      <c r="B64" s="79"/>
      <c r="C64" s="245">
        <f>+'Exhibit F'!D59+'Exhibit G State'!D42</f>
        <v>1.5</v>
      </c>
      <c r="D64" s="245"/>
      <c r="E64" s="245">
        <f>+'Exhibit F'!F59+'Exhibit G State'!F42</f>
        <v>0.99999999999999989</v>
      </c>
      <c r="F64" s="245"/>
      <c r="G64" s="245">
        <f>+'Exhibit F'!H59+'Exhibit G State'!H42</f>
        <v>0.79999999999999993</v>
      </c>
      <c r="H64" s="245"/>
      <c r="I64" s="245">
        <f>+'Exhibit F'!J59+'Exhibit G State'!J42</f>
        <v>1.0000000000000004</v>
      </c>
      <c r="J64" s="245"/>
      <c r="K64" s="245">
        <f>+'Exhibit F'!L59+'Exhibit G State'!L42</f>
        <v>11.2</v>
      </c>
      <c r="L64" s="245"/>
      <c r="M64" s="245">
        <f>+'Exhibit F'!N59+'Exhibit G State'!N42</f>
        <v>101.6</v>
      </c>
      <c r="N64" s="245"/>
      <c r="O64" s="245">
        <f>+'Exhibit F'!P59+'Exhibit G State'!P42</f>
        <v>30.999999999999993</v>
      </c>
      <c r="P64" s="245"/>
      <c r="Q64" s="245">
        <f>ROUND((+'Exhibit F'!R59+'Exhibit G State'!R42),1)</f>
        <v>131.19999999999999</v>
      </c>
      <c r="R64" s="245"/>
      <c r="S64" s="245"/>
      <c r="T64" s="245"/>
      <c r="U64" s="245"/>
      <c r="V64" s="245"/>
      <c r="W64" s="245"/>
      <c r="X64" s="245"/>
      <c r="Y64" s="245"/>
      <c r="Z64" s="245"/>
      <c r="AA64" s="246"/>
      <c r="AB64" s="245">
        <f>ROUND(SUM(C64:Y64),1)</f>
        <v>279.3</v>
      </c>
      <c r="AC64" s="245"/>
      <c r="AD64" s="1175"/>
      <c r="AE64" s="245">
        <f>+'Exhibit F'!AF59+'Exhibit G State'!AG42</f>
        <v>279</v>
      </c>
      <c r="AF64" s="245"/>
      <c r="AG64" s="245"/>
      <c r="AH64" s="245">
        <f t="shared" ref="AH64:AH105" si="15">ROUND(SUM(AB64-AE64),1)</f>
        <v>0.3</v>
      </c>
      <c r="AI64" s="79"/>
      <c r="AJ64" s="344">
        <f>ROUND(SUM(AH64/ABS(AE64)),3)</f>
        <v>1E-3</v>
      </c>
    </row>
    <row r="65" spans="1:36" ht="15.5">
      <c r="A65" s="427" t="s">
        <v>415</v>
      </c>
      <c r="B65" s="79"/>
      <c r="C65" s="245">
        <f>+'Exhibit F'!D60</f>
        <v>0.4</v>
      </c>
      <c r="D65" s="245"/>
      <c r="E65" s="245">
        <f>+'Exhibit F'!F60</f>
        <v>4</v>
      </c>
      <c r="F65" s="245"/>
      <c r="G65" s="245">
        <f>+'Exhibit F'!H60</f>
        <v>11.799999999999999</v>
      </c>
      <c r="H65" s="245"/>
      <c r="I65" s="245">
        <f>+'Exhibit F'!J60</f>
        <v>0.90000000000000391</v>
      </c>
      <c r="J65" s="245"/>
      <c r="K65" s="245">
        <f>+'Exhibit F'!L60</f>
        <v>9.9999999999997868E-2</v>
      </c>
      <c r="L65" s="245"/>
      <c r="M65" s="245">
        <f>+'Exhibit F'!N60</f>
        <v>39.900000000000006</v>
      </c>
      <c r="N65" s="245"/>
      <c r="O65" s="245">
        <f>+'Exhibit F'!P60</f>
        <v>0.5</v>
      </c>
      <c r="P65" s="245"/>
      <c r="Q65" s="245">
        <f>+'Exhibit F'!R60</f>
        <v>0.39999999999999147</v>
      </c>
      <c r="R65" s="245"/>
      <c r="S65" s="245"/>
      <c r="T65" s="245"/>
      <c r="U65" s="245"/>
      <c r="V65" s="245"/>
      <c r="W65" s="245"/>
      <c r="X65" s="245"/>
      <c r="Y65" s="245"/>
      <c r="Z65" s="245"/>
      <c r="AA65" s="246"/>
      <c r="AB65" s="245">
        <f>ROUND(SUM(C65:Y65),1)</f>
        <v>58</v>
      </c>
      <c r="AC65" s="245"/>
      <c r="AD65" s="1175"/>
      <c r="AE65" s="245">
        <f>+'Exhibit F'!AF60</f>
        <v>48.7</v>
      </c>
      <c r="AF65" s="245"/>
      <c r="AG65" s="245"/>
      <c r="AH65" s="245">
        <f t="shared" si="15"/>
        <v>9.3000000000000007</v>
      </c>
      <c r="AI65" s="79"/>
      <c r="AJ65" s="769">
        <f>ROUND(SUM(AH65/ABS(AE65)),3)</f>
        <v>0.191</v>
      </c>
    </row>
    <row r="66" spans="1:36" ht="15.5">
      <c r="A66" s="427" t="s">
        <v>416</v>
      </c>
      <c r="B66" s="79"/>
      <c r="C66" s="245"/>
      <c r="D66" s="245"/>
      <c r="E66" s="245"/>
      <c r="F66" s="245"/>
      <c r="G66" s="245"/>
      <c r="H66" s="245"/>
      <c r="I66" s="245"/>
      <c r="J66" s="245"/>
      <c r="K66" s="245"/>
      <c r="L66" s="245"/>
      <c r="M66" s="245"/>
      <c r="N66" s="245"/>
      <c r="O66" s="245"/>
      <c r="P66" s="245"/>
      <c r="Q66" s="245"/>
      <c r="R66" s="245"/>
      <c r="S66" s="245"/>
      <c r="T66" s="245"/>
      <c r="U66" s="245"/>
      <c r="V66" s="245"/>
      <c r="W66" s="245"/>
      <c r="X66" s="245"/>
      <c r="Y66" s="245"/>
      <c r="Z66" s="245"/>
      <c r="AA66" s="246"/>
      <c r="AB66" s="245"/>
      <c r="AC66" s="245"/>
      <c r="AD66" s="1175"/>
      <c r="AE66" s="245"/>
      <c r="AF66" s="245"/>
      <c r="AG66" s="245"/>
      <c r="AH66" s="245" t="s">
        <v>104</v>
      </c>
      <c r="AI66" s="79" t="s">
        <v>104</v>
      </c>
      <c r="AJ66" s="327" t="s">
        <v>104</v>
      </c>
    </row>
    <row r="67" spans="1:36" ht="15.5">
      <c r="A67" s="427" t="s">
        <v>417</v>
      </c>
      <c r="B67" s="79"/>
      <c r="C67" s="245">
        <f>+'Exhibit F'!D62+'Exhibit G State'!D44</f>
        <v>47.4</v>
      </c>
      <c r="D67" s="245"/>
      <c r="E67" s="245">
        <f>+'Exhibit F'!F62+'Exhibit G State'!F44</f>
        <v>-73.2</v>
      </c>
      <c r="F67" s="245"/>
      <c r="G67" s="245">
        <f>+'Exhibit F'!H62+'Exhibit G State'!H44</f>
        <v>94</v>
      </c>
      <c r="H67" s="245"/>
      <c r="I67" s="245">
        <f>+'Exhibit F'!J62+'Exhibit G State'!J44</f>
        <v>87</v>
      </c>
      <c r="J67" s="245"/>
      <c r="K67" s="245">
        <f>+'Exhibit F'!L62+'Exhibit G State'!L44</f>
        <v>82</v>
      </c>
      <c r="L67" s="245"/>
      <c r="M67" s="245">
        <f>+'Exhibit F'!N62+'Exhibit G State'!N44</f>
        <v>99.100000000000023</v>
      </c>
      <c r="N67" s="245"/>
      <c r="O67" s="245">
        <f>+'Exhibit F'!P62+'Exhibit G State'!P44</f>
        <v>82.300000000000011</v>
      </c>
      <c r="P67" s="245"/>
      <c r="Q67" s="245">
        <f>+'Exhibit F'!R62+'Exhibit G State'!R44</f>
        <v>-11.300000000000034</v>
      </c>
      <c r="R67" s="245"/>
      <c r="S67" s="245"/>
      <c r="T67" s="245"/>
      <c r="U67" s="245"/>
      <c r="V67" s="245"/>
      <c r="W67" s="245"/>
      <c r="X67" s="245"/>
      <c r="Y67" s="245"/>
      <c r="Z67" s="245"/>
      <c r="AA67" s="246"/>
      <c r="AB67" s="245">
        <f>ROUND(SUM(C67:Y67),1)</f>
        <v>407.3</v>
      </c>
      <c r="AC67" s="245"/>
      <c r="AD67" s="1175"/>
      <c r="AE67" s="245">
        <f>+'Exhibit F'!AF62+'Exhibit G State'!AG44</f>
        <v>415.6</v>
      </c>
      <c r="AF67" s="245"/>
      <c r="AG67" s="245"/>
      <c r="AH67" s="245">
        <f t="shared" si="15"/>
        <v>-8.3000000000000007</v>
      </c>
      <c r="AI67" s="79"/>
      <c r="AJ67" s="344">
        <f>ROUND(SUM(AH67/ABS(AE67)),3)</f>
        <v>-0.02</v>
      </c>
    </row>
    <row r="68" spans="1:36" ht="15.5">
      <c r="A68" s="427" t="s">
        <v>418</v>
      </c>
      <c r="B68" s="79"/>
      <c r="C68" s="245">
        <f>+'Exhibit F'!D63+'Exhibit G State'!D45</f>
        <v>632.29999999999995</v>
      </c>
      <c r="D68" s="245"/>
      <c r="E68" s="245">
        <f>+'Exhibit F'!F63+'Exhibit G State'!F45</f>
        <v>621.60000000000014</v>
      </c>
      <c r="F68" s="245"/>
      <c r="G68" s="245">
        <f>+'Exhibit F'!H63+'Exhibit G State'!H45</f>
        <v>592.59999999999991</v>
      </c>
      <c r="H68" s="245"/>
      <c r="I68" s="245">
        <f>+'Exhibit F'!J63+'Exhibit G State'!J45</f>
        <v>648.09999999999991</v>
      </c>
      <c r="J68" s="245"/>
      <c r="K68" s="245">
        <f>+'Exhibit F'!L63+'Exhibit G State'!L45</f>
        <v>655.39999999999964</v>
      </c>
      <c r="L68" s="245"/>
      <c r="M68" s="245">
        <f>+'Exhibit F'!N63+'Exhibit G State'!N45</f>
        <v>600.20000000000016</v>
      </c>
      <c r="N68" s="245"/>
      <c r="O68" s="245">
        <f>+'Exhibit F'!P63+'Exhibit G State'!P45</f>
        <v>672.70000000000061</v>
      </c>
      <c r="P68" s="245"/>
      <c r="Q68" s="245">
        <f>+'Exhibit F'!R63+'Exhibit G State'!R45</f>
        <v>597.79999999999984</v>
      </c>
      <c r="R68" s="245"/>
      <c r="S68" s="245"/>
      <c r="T68" s="245"/>
      <c r="U68" s="245"/>
      <c r="V68" s="245"/>
      <c r="W68" s="245"/>
      <c r="X68" s="245"/>
      <c r="Y68" s="245"/>
      <c r="Z68" s="245"/>
      <c r="AA68" s="246"/>
      <c r="AB68" s="245">
        <f>ROUND(SUM(C68:Y68),1)</f>
        <v>5020.7</v>
      </c>
      <c r="AC68" s="245"/>
      <c r="AD68" s="1175"/>
      <c r="AE68" s="245">
        <f>+'Exhibit F'!AF63+'Exhibit G State'!AG45+'Exhibit H'!AD33</f>
        <v>4403.1999999999989</v>
      </c>
      <c r="AF68" s="245"/>
      <c r="AG68" s="245"/>
      <c r="AH68" s="245">
        <f t="shared" si="15"/>
        <v>617.5</v>
      </c>
      <c r="AI68" s="79"/>
      <c r="AJ68" s="344">
        <f>ROUND(SUM(AH68/ABS(AE68)),3)</f>
        <v>0.14000000000000001</v>
      </c>
    </row>
    <row r="69" spans="1:36" ht="15.5">
      <c r="A69" s="427" t="s">
        <v>419</v>
      </c>
      <c r="B69" s="79"/>
      <c r="C69" s="245">
        <f>+'Exhibit F'!D64+'Exhibit G State'!D46</f>
        <v>0.7</v>
      </c>
      <c r="D69" s="245"/>
      <c r="E69" s="245">
        <f>+'Exhibit F'!F64+'Exhibit G State'!F46</f>
        <v>0</v>
      </c>
      <c r="F69" s="245"/>
      <c r="G69" s="245">
        <f>+'Exhibit F'!H64+'Exhibit G State'!H46</f>
        <v>0.7</v>
      </c>
      <c r="H69" s="245"/>
      <c r="I69" s="245">
        <f>+'Exhibit F'!J64+'Exhibit G State'!J46</f>
        <v>0</v>
      </c>
      <c r="J69" s="245"/>
      <c r="K69" s="245">
        <f>+'Exhibit F'!L64+'Exhibit G State'!L46</f>
        <v>0.20000000000000018</v>
      </c>
      <c r="L69" s="245"/>
      <c r="M69" s="245">
        <f>+'Exhibit F'!N64+'Exhibit G State'!N46</f>
        <v>61.199999999999989</v>
      </c>
      <c r="N69" s="245"/>
      <c r="O69" s="245">
        <f>+'Exhibit F'!P64+'Exhibit G State'!P46</f>
        <v>0.5</v>
      </c>
      <c r="P69" s="245"/>
      <c r="Q69" s="245">
        <f>+'Exhibit F'!R64+'Exhibit G State'!R46</f>
        <v>-31.899999999999988</v>
      </c>
      <c r="R69" s="245"/>
      <c r="S69" s="245"/>
      <c r="T69" s="245"/>
      <c r="U69" s="245"/>
      <c r="V69" s="245"/>
      <c r="W69" s="245"/>
      <c r="X69" s="245"/>
      <c r="Y69" s="245"/>
      <c r="Z69" s="245"/>
      <c r="AA69" s="246"/>
      <c r="AB69" s="245">
        <f>ROUND(SUM(C69:Y69),1)</f>
        <v>31.4</v>
      </c>
      <c r="AC69" s="245"/>
      <c r="AD69" s="1175"/>
      <c r="AE69" s="245">
        <f>+'Exhibit F'!AF64+'Exhibit G State'!AG46</f>
        <v>64.2</v>
      </c>
      <c r="AF69" s="245"/>
      <c r="AG69" s="245"/>
      <c r="AH69" s="245">
        <f t="shared" si="15"/>
        <v>-32.799999999999997</v>
      </c>
      <c r="AI69" s="79"/>
      <c r="AJ69" s="670">
        <f>ROUND(IF(AE69=0,0,AH69/ABS(AE69)),3)</f>
        <v>-0.51100000000000001</v>
      </c>
    </row>
    <row r="70" spans="1:36" ht="15.5">
      <c r="A70" s="427" t="s">
        <v>420</v>
      </c>
      <c r="B70" s="79"/>
      <c r="C70" s="245">
        <f>+'Exhibit F'!D65+'Exhibit G State'!D47</f>
        <v>0</v>
      </c>
      <c r="D70" s="245"/>
      <c r="E70" s="245">
        <f>+'Exhibit F'!F65+'Exhibit G State'!F47</f>
        <v>0.2</v>
      </c>
      <c r="F70" s="245"/>
      <c r="G70" s="245">
        <f>+'Exhibit F'!H65+'Exhibit G State'!H47</f>
        <v>0</v>
      </c>
      <c r="H70" s="245"/>
      <c r="I70" s="245">
        <f>+'Exhibit F'!J65+'Exhibit G State'!J47</f>
        <v>0</v>
      </c>
      <c r="J70" s="245"/>
      <c r="K70" s="245">
        <f>+'Exhibit F'!L65+'Exhibit G State'!L47</f>
        <v>0.1</v>
      </c>
      <c r="L70" s="245"/>
      <c r="M70" s="245">
        <f>+'Exhibit F'!N65+'Exhibit G State'!N47</f>
        <v>0.1</v>
      </c>
      <c r="N70" s="245"/>
      <c r="O70" s="245">
        <f>+'Exhibit F'!P65+'Exhibit G State'!P47</f>
        <v>0</v>
      </c>
      <c r="P70" s="245"/>
      <c r="Q70" s="245">
        <f>+'Exhibit F'!R65+'Exhibit G State'!R47</f>
        <v>9.9999999999999978E-2</v>
      </c>
      <c r="R70" s="245"/>
      <c r="S70" s="245"/>
      <c r="T70" s="245"/>
      <c r="U70" s="245"/>
      <c r="V70" s="245"/>
      <c r="W70" s="245"/>
      <c r="X70" s="245"/>
      <c r="Y70" s="245"/>
      <c r="Z70" s="245"/>
      <c r="AA70" s="246"/>
      <c r="AB70" s="245">
        <f>ROUND(SUM(C70:Y70),1)</f>
        <v>0.5</v>
      </c>
      <c r="AC70" s="245"/>
      <c r="AD70" s="1175"/>
      <c r="AE70" s="245">
        <f>+'Exhibit F'!AF65+'Exhibit G State'!AG47</f>
        <v>0.5</v>
      </c>
      <c r="AF70" s="245"/>
      <c r="AG70" s="245"/>
      <c r="AH70" s="245">
        <f t="shared" si="15"/>
        <v>0</v>
      </c>
      <c r="AI70" s="79"/>
      <c r="AJ70" s="327">
        <f>ROUND(IF(AE70=0,1,AH70/ABS(AE70)),3)</f>
        <v>0</v>
      </c>
    </row>
    <row r="71" spans="1:36" ht="15.5">
      <c r="A71" s="427" t="s">
        <v>421</v>
      </c>
      <c r="B71" s="79"/>
      <c r="C71" s="245"/>
      <c r="D71" s="245"/>
      <c r="E71" s="245"/>
      <c r="F71" s="245"/>
      <c r="G71" s="245"/>
      <c r="H71" s="245"/>
      <c r="I71" s="245"/>
      <c r="J71" s="245"/>
      <c r="K71" s="245"/>
      <c r="L71" s="245"/>
      <c r="M71" s="245"/>
      <c r="N71" s="245"/>
      <c r="O71" s="245"/>
      <c r="P71" s="245"/>
      <c r="Q71" s="245"/>
      <c r="R71" s="245"/>
      <c r="S71" s="245"/>
      <c r="T71" s="245"/>
      <c r="U71" s="245"/>
      <c r="V71" s="245"/>
      <c r="W71" s="245"/>
      <c r="X71" s="245"/>
      <c r="Y71" s="245"/>
      <c r="Z71" s="245"/>
      <c r="AA71" s="246"/>
      <c r="AB71" s="245"/>
      <c r="AC71" s="245"/>
      <c r="AD71" s="1175"/>
      <c r="AE71" s="245"/>
      <c r="AF71" s="245"/>
      <c r="AG71" s="245"/>
      <c r="AH71" s="245"/>
      <c r="AI71" s="79"/>
      <c r="AJ71" s="327"/>
    </row>
    <row r="72" spans="1:36" ht="15.5">
      <c r="A72" s="427" t="s">
        <v>422</v>
      </c>
      <c r="B72" s="79"/>
      <c r="C72" s="245">
        <f>+'Exhibit F'!D67+'Exhibit H'!B35</f>
        <v>5.9</v>
      </c>
      <c r="D72" s="245"/>
      <c r="E72" s="245">
        <f>+'Exhibit F'!F67+'Exhibit H'!D35</f>
        <v>6.6999999999999993</v>
      </c>
      <c r="F72" s="245"/>
      <c r="G72" s="245">
        <f>+'Exhibit F'!H67+'Exhibit H'!F35</f>
        <v>5.2000000000000011</v>
      </c>
      <c r="H72" s="245"/>
      <c r="I72" s="245">
        <f>+'Exhibit F'!J67+'Exhibit H'!H35</f>
        <v>4.8999999999999968</v>
      </c>
      <c r="J72" s="245"/>
      <c r="K72" s="245">
        <f>+'Exhibit F'!L67+'Exhibit H'!J35</f>
        <v>6.1000000000000014</v>
      </c>
      <c r="L72" s="245"/>
      <c r="M72" s="245">
        <f>+'Exhibit F'!N67+'Exhibit H'!L35</f>
        <v>4.7000000000000028</v>
      </c>
      <c r="N72" s="245"/>
      <c r="O72" s="245">
        <f>+'Exhibit F'!P67+'Exhibit H'!N35</f>
        <v>5.2000000000000028</v>
      </c>
      <c r="P72" s="245"/>
      <c r="Q72" s="245">
        <f>+'Exhibit F'!R67+'Exhibit H'!P35</f>
        <v>3.5999999999999943</v>
      </c>
      <c r="R72" s="245"/>
      <c r="S72" s="245"/>
      <c r="T72" s="245"/>
      <c r="U72" s="245"/>
      <c r="V72" s="245"/>
      <c r="W72" s="245"/>
      <c r="X72" s="245"/>
      <c r="Y72" s="245"/>
      <c r="Z72" s="245"/>
      <c r="AA72" s="246"/>
      <c r="AB72" s="245">
        <f t="shared" ref="AB72:AB79" si="16">ROUND(SUM(C72:Y72),1)</f>
        <v>42.3</v>
      </c>
      <c r="AC72" s="245"/>
      <c r="AD72" s="1175"/>
      <c r="AE72" s="245">
        <f>+'Exhibit F'!AF67+'Exhibit H'!AD35</f>
        <v>47</v>
      </c>
      <c r="AF72" s="245"/>
      <c r="AG72" s="245"/>
      <c r="AH72" s="245">
        <f t="shared" si="15"/>
        <v>-4.7</v>
      </c>
      <c r="AI72" s="79"/>
      <c r="AJ72" s="344">
        <f>ROUND(SUM(AH72/ABS(AE72)),3)</f>
        <v>-0.1</v>
      </c>
    </row>
    <row r="73" spans="1:36" ht="15.5">
      <c r="A73" s="427" t="s">
        <v>423</v>
      </c>
      <c r="B73" s="79"/>
      <c r="C73" s="245">
        <f>'Exhibit G State'!D49</f>
        <v>0.1</v>
      </c>
      <c r="D73" s="245"/>
      <c r="E73" s="245">
        <f>'Exhibit G State'!F49</f>
        <v>0.19999999999999998</v>
      </c>
      <c r="F73" s="245"/>
      <c r="G73" s="245">
        <f>'Exhibit G State'!H49</f>
        <v>1.9999999999999998</v>
      </c>
      <c r="H73" s="245"/>
      <c r="I73" s="245">
        <f>'Exhibit G State'!J49</f>
        <v>9.9999999999999867E-2</v>
      </c>
      <c r="J73" s="245"/>
      <c r="K73" s="245">
        <f>'Exhibit G State'!L49</f>
        <v>0.10000000000000009</v>
      </c>
      <c r="L73" s="245"/>
      <c r="M73" s="245">
        <f>'Exhibit G State'!N49</f>
        <v>0</v>
      </c>
      <c r="N73" s="245"/>
      <c r="O73" s="245">
        <f>'Exhibit G State'!P49</f>
        <v>0.10000000000000009</v>
      </c>
      <c r="P73" s="245"/>
      <c r="Q73" s="245">
        <f>'Exhibit G State'!R49</f>
        <v>0</v>
      </c>
      <c r="R73" s="245"/>
      <c r="S73" s="245"/>
      <c r="T73" s="245"/>
      <c r="U73" s="245"/>
      <c r="V73" s="245"/>
      <c r="W73" s="245"/>
      <c r="X73" s="245"/>
      <c r="Y73" s="245"/>
      <c r="Z73" s="245"/>
      <c r="AA73" s="246"/>
      <c r="AB73" s="245">
        <f t="shared" si="16"/>
        <v>2.6</v>
      </c>
      <c r="AC73" s="245"/>
      <c r="AD73" s="1175"/>
      <c r="AE73" s="245">
        <f>'Exhibit G State'!AG49</f>
        <v>2.2999999999999998</v>
      </c>
      <c r="AF73" s="245"/>
      <c r="AG73" s="245"/>
      <c r="AH73" s="245">
        <f t="shared" si="15"/>
        <v>0.3</v>
      </c>
      <c r="AI73" s="79"/>
      <c r="AJ73" s="327">
        <f>ROUND(IF(AE73=0,1,AH73/ABS(AE73)),3)</f>
        <v>0.13</v>
      </c>
    </row>
    <row r="74" spans="1:36" ht="15.5">
      <c r="A74" s="427" t="s">
        <v>424</v>
      </c>
      <c r="B74" s="79"/>
      <c r="C74" s="245">
        <f>+'Exhibit F'!D69+'Exhibit G State'!D50+'Exhibit H'!B36</f>
        <v>48.599999999999994</v>
      </c>
      <c r="D74" s="245"/>
      <c r="E74" s="245">
        <f>+'Exhibit F'!F69+'Exhibit G State'!F50+'Exhibit H'!D36</f>
        <v>52.100000000000009</v>
      </c>
      <c r="F74" s="245"/>
      <c r="G74" s="245">
        <f>+'Exhibit F'!H69+'Exhibit G State'!H50+'Exhibit H'!F36</f>
        <v>119.69999999999999</v>
      </c>
      <c r="H74" s="245"/>
      <c r="I74" s="245">
        <f>+'Exhibit F'!J69+'Exhibit G State'!J50+'Exhibit H'!H36</f>
        <v>47.200000000000017</v>
      </c>
      <c r="J74" s="245"/>
      <c r="K74" s="245">
        <f>+'Exhibit F'!L69+'Exhibit G State'!L50+'Exhibit H'!J36</f>
        <v>63.09999999999998</v>
      </c>
      <c r="L74" s="245"/>
      <c r="M74" s="245">
        <f>+'Exhibit F'!N69+'Exhibit G State'!N50+'Exhibit H'!L36</f>
        <v>109.90000000000005</v>
      </c>
      <c r="N74" s="245"/>
      <c r="O74" s="245">
        <f>+'Exhibit F'!P69+'Exhibit G State'!P50+'Exhibit H'!N36</f>
        <v>75.599999999999994</v>
      </c>
      <c r="P74" s="245"/>
      <c r="Q74" s="245">
        <f>+'Exhibit F'!R69+'Exhibit G State'!R50+'Exhibit H'!P36</f>
        <v>54.400000000000006</v>
      </c>
      <c r="R74" s="245"/>
      <c r="S74" s="245"/>
      <c r="T74" s="245"/>
      <c r="U74" s="245"/>
      <c r="V74" s="245"/>
      <c r="W74" s="245"/>
      <c r="X74" s="245"/>
      <c r="Y74" s="245"/>
      <c r="Z74" s="245"/>
      <c r="AA74" s="246"/>
      <c r="AB74" s="245">
        <f t="shared" si="16"/>
        <v>570.6</v>
      </c>
      <c r="AC74" s="245"/>
      <c r="AD74" s="1175"/>
      <c r="AE74" s="245">
        <f>+'Exhibit F'!AF69+'Exhibit G State'!AG50+'Exhibit H'!AD36</f>
        <v>579.09999999999991</v>
      </c>
      <c r="AF74" s="245"/>
      <c r="AG74" s="245"/>
      <c r="AH74" s="245">
        <f t="shared" si="15"/>
        <v>-8.5</v>
      </c>
      <c r="AI74" s="79"/>
      <c r="AJ74" s="344">
        <f>ROUND(SUM(AH74/AE74),3)</f>
        <v>-1.4999999999999999E-2</v>
      </c>
    </row>
    <row r="75" spans="1:36" ht="15.5">
      <c r="A75" s="427" t="s">
        <v>425</v>
      </c>
      <c r="B75" s="79"/>
      <c r="C75" s="245">
        <f>+'Exhibit F'!D70+'Exhibit G State'!D51+'Exhibit H'!B37</f>
        <v>22.5</v>
      </c>
      <c r="D75" s="245"/>
      <c r="E75" s="245">
        <f>+'Exhibit F'!F70+'Exhibit G State'!F51+'Exhibit H'!D37</f>
        <v>11.2</v>
      </c>
      <c r="F75" s="245"/>
      <c r="G75" s="245">
        <f>+'Exhibit F'!H70+'Exhibit G State'!H51+'Exhibit H'!F37</f>
        <v>11.500000000000004</v>
      </c>
      <c r="H75" s="245"/>
      <c r="I75" s="245">
        <f>+'Exhibit F'!J70+'Exhibit G State'!J51+'Exhibit H'!H37</f>
        <v>25.4</v>
      </c>
      <c r="J75" s="245"/>
      <c r="K75" s="245">
        <f>+'Exhibit F'!L70+'Exhibit G State'!L51+'Exhibit H'!J37</f>
        <v>39.799999999999997</v>
      </c>
      <c r="L75" s="245"/>
      <c r="M75" s="245">
        <f>+'Exhibit F'!N70+'Exhibit G State'!N51+'Exhibit H'!L37</f>
        <v>28.4</v>
      </c>
      <c r="N75" s="245"/>
      <c r="O75" s="245">
        <f>+'Exhibit F'!P70+'Exhibit G State'!P51+'Exhibit H'!N37</f>
        <v>18.799999999999994</v>
      </c>
      <c r="P75" s="245"/>
      <c r="Q75" s="245">
        <f>+'Exhibit F'!R70+'Exhibit G State'!R51+'Exhibit H'!P37</f>
        <v>27.200000000000021</v>
      </c>
      <c r="R75" s="245"/>
      <c r="S75" s="245"/>
      <c r="T75" s="245"/>
      <c r="U75" s="245"/>
      <c r="V75" s="245"/>
      <c r="W75" s="245"/>
      <c r="X75" s="245"/>
      <c r="Y75" s="245"/>
      <c r="Z75" s="245"/>
      <c r="AA75" s="246"/>
      <c r="AB75" s="245">
        <f t="shared" si="16"/>
        <v>184.8</v>
      </c>
      <c r="AC75" s="245"/>
      <c r="AD75" s="1175"/>
      <c r="AE75" s="245">
        <f>+'Exhibit F'!AF70+'Exhibit G State'!AG51+'Exhibit H'!AD37</f>
        <v>165.4</v>
      </c>
      <c r="AF75" s="245"/>
      <c r="AG75" s="245"/>
      <c r="AH75" s="245">
        <f t="shared" si="15"/>
        <v>19.399999999999999</v>
      </c>
      <c r="AI75" s="79"/>
      <c r="AJ75" s="344">
        <f>ROUND(SUM(AH75/ABS(AE75)),3)</f>
        <v>0.11700000000000001</v>
      </c>
    </row>
    <row r="76" spans="1:36" ht="15.5">
      <c r="A76" s="427" t="s">
        <v>426</v>
      </c>
      <c r="B76" s="79"/>
      <c r="C76" s="245">
        <f>+'Exhibit F'!D71+'Exhibit G State'!D52+'Exhibit H'!B38</f>
        <v>0.4</v>
      </c>
      <c r="D76" s="245"/>
      <c r="E76" s="245">
        <f>+'Exhibit F'!F71+'Exhibit G State'!F52+'Exhibit H'!D38</f>
        <v>0.39999999999999997</v>
      </c>
      <c r="F76" s="245"/>
      <c r="G76" s="245">
        <f>+'Exhibit F'!H71+'Exhibit G State'!H52+'Exhibit H'!F38</f>
        <v>0.4</v>
      </c>
      <c r="H76" s="245"/>
      <c r="I76" s="245">
        <f>+'Exhibit F'!J71+'Exhibit G State'!J52+'Exhibit H'!H38</f>
        <v>0.49999999999999994</v>
      </c>
      <c r="J76" s="245"/>
      <c r="K76" s="245">
        <f>+'Exhibit F'!L71+'Exhibit G State'!L52+'Exhibit H'!J38</f>
        <v>1.2000000000000002</v>
      </c>
      <c r="L76" s="245"/>
      <c r="M76" s="245">
        <f>+'Exhibit F'!N71+'Exhibit G State'!N52+'Exhibit H'!L38</f>
        <v>0.80000000000000038</v>
      </c>
      <c r="N76" s="245"/>
      <c r="O76" s="245">
        <f>+'Exhibit F'!P71+'Exhibit G State'!P52+'Exhibit H'!N38</f>
        <v>0.29999999999999971</v>
      </c>
      <c r="P76" s="245"/>
      <c r="Q76" s="245">
        <f>+'Exhibit F'!R71+'Exhibit G State'!R52+'Exhibit H'!P38</f>
        <v>0.70000000000000018</v>
      </c>
      <c r="R76" s="245"/>
      <c r="S76" s="245"/>
      <c r="T76" s="245"/>
      <c r="U76" s="245"/>
      <c r="V76" s="245"/>
      <c r="W76" s="245"/>
      <c r="X76" s="245"/>
      <c r="Y76" s="245"/>
      <c r="Z76" s="245"/>
      <c r="AA76" s="246"/>
      <c r="AB76" s="245">
        <f t="shared" si="16"/>
        <v>4.7</v>
      </c>
      <c r="AC76" s="245"/>
      <c r="AD76" s="1175"/>
      <c r="AE76" s="245">
        <f>+'Exhibit F'!AF71+'Exhibit G State'!AG52+'Exhibit H'!AD38</f>
        <v>4.1000000000000005</v>
      </c>
      <c r="AF76" s="245"/>
      <c r="AG76" s="245"/>
      <c r="AH76" s="245">
        <f t="shared" si="15"/>
        <v>0.6</v>
      </c>
      <c r="AI76" s="79"/>
      <c r="AJ76" s="344">
        <f>ROUND(SUM(AH76/ABS(AE76)),3)</f>
        <v>0.14599999999999999</v>
      </c>
    </row>
    <row r="77" spans="1:36" ht="15.5">
      <c r="A77" s="427" t="s">
        <v>427</v>
      </c>
      <c r="B77" s="79"/>
      <c r="C77" s="245">
        <f>+'Exhibit F'!D72+'Exhibit G State'!D53+'Exhibit H'!B39</f>
        <v>52.5</v>
      </c>
      <c r="D77" s="245"/>
      <c r="E77" s="245">
        <f>+'Exhibit F'!F72+'Exhibit G State'!F53+'Exhibit H'!D39</f>
        <v>81.8</v>
      </c>
      <c r="F77" s="245"/>
      <c r="G77" s="245">
        <f>+'Exhibit F'!H72+'Exhibit G State'!H53+'Exhibit H'!F39</f>
        <v>43</v>
      </c>
      <c r="H77" s="245"/>
      <c r="I77" s="245">
        <f>+'Exhibit F'!J72+'Exhibit G State'!J53+'Exhibit H'!H39</f>
        <v>32.299999999999997</v>
      </c>
      <c r="J77" s="245"/>
      <c r="K77" s="245">
        <f>+'Exhibit F'!L72+'Exhibit G State'!L53+'Exhibit H'!J39</f>
        <v>63.000000000000014</v>
      </c>
      <c r="L77" s="245"/>
      <c r="M77" s="245">
        <f>+'Exhibit F'!N72+'Exhibit G State'!N53+'Exhibit H'!L39</f>
        <v>7.4999999999999858</v>
      </c>
      <c r="N77" s="245"/>
      <c r="O77" s="245">
        <f>+'Exhibit F'!P72+'Exhibit G State'!P53+'Exhibit H'!N39</f>
        <v>46.3</v>
      </c>
      <c r="P77" s="245"/>
      <c r="Q77" s="245">
        <f>+'Exhibit F'!R72+'Exhibit G State'!R53+'Exhibit H'!P39</f>
        <v>52.8</v>
      </c>
      <c r="R77" s="245"/>
      <c r="S77" s="245"/>
      <c r="T77" s="245"/>
      <c r="U77" s="245"/>
      <c r="V77" s="245"/>
      <c r="W77" s="245"/>
      <c r="X77" s="245"/>
      <c r="Y77" s="245"/>
      <c r="Z77" s="245"/>
      <c r="AA77" s="246"/>
      <c r="AB77" s="245">
        <f t="shared" si="16"/>
        <v>379.2</v>
      </c>
      <c r="AC77" s="245"/>
      <c r="AD77" s="1175"/>
      <c r="AE77" s="245">
        <f>+'Exhibit F'!AF72+'Exhibit G State'!AG53+'Exhibit H'!AD39</f>
        <v>360</v>
      </c>
      <c r="AF77" s="245"/>
      <c r="AG77" s="245"/>
      <c r="AH77" s="245">
        <f t="shared" si="15"/>
        <v>19.2</v>
      </c>
      <c r="AI77" s="79"/>
      <c r="AJ77" s="327">
        <f>ROUND(IF(AE77=0,0,AH77/ABS(AE77)),3)</f>
        <v>5.2999999999999999E-2</v>
      </c>
    </row>
    <row r="78" spans="1:36" ht="15.5">
      <c r="A78" s="427" t="s">
        <v>428</v>
      </c>
      <c r="B78" s="79"/>
      <c r="C78" s="245">
        <f>+'Exhibit F'!D73+'Exhibit G State'!D54+'Exhibit H'!B40</f>
        <v>74.5</v>
      </c>
      <c r="D78" s="245"/>
      <c r="E78" s="245">
        <f>+'Exhibit F'!F73+'Exhibit G State'!F54+'Exhibit H'!D40</f>
        <v>38.800000000000004</v>
      </c>
      <c r="F78" s="245"/>
      <c r="G78" s="245">
        <f>+'Exhibit F'!H73+'Exhibit G State'!H54+'Exhibit H'!F40</f>
        <v>58.600000000000009</v>
      </c>
      <c r="H78" s="245"/>
      <c r="I78" s="245">
        <f>+'Exhibit F'!J73+'Exhibit G State'!J54+'Exhibit H'!H40</f>
        <v>70.599999999999966</v>
      </c>
      <c r="J78" s="245"/>
      <c r="K78" s="245">
        <f>+'Exhibit F'!L73+'Exhibit G State'!L54+'Exhibit H'!J40</f>
        <v>141.6</v>
      </c>
      <c r="L78" s="245"/>
      <c r="M78" s="245">
        <f>+'Exhibit F'!N73+'Exhibit G State'!N54+'Exhibit H'!L40</f>
        <v>159.50000000000003</v>
      </c>
      <c r="N78" s="245"/>
      <c r="O78" s="245">
        <f>+'Exhibit F'!P73+'Exhibit G State'!P54+'Exhibit H'!N40</f>
        <v>110.50000000000009</v>
      </c>
      <c r="P78" s="245"/>
      <c r="Q78" s="245">
        <f>+'Exhibit F'!R73+'Exhibit G State'!R54+'Exhibit H'!P40</f>
        <v>65.299999999999983</v>
      </c>
      <c r="R78" s="245"/>
      <c r="S78" s="245"/>
      <c r="T78" s="245"/>
      <c r="U78" s="245"/>
      <c r="V78" s="245"/>
      <c r="W78" s="245"/>
      <c r="X78" s="245"/>
      <c r="Y78" s="245"/>
      <c r="Z78" s="245"/>
      <c r="AA78" s="246"/>
      <c r="AB78" s="245">
        <f t="shared" si="16"/>
        <v>719.4</v>
      </c>
      <c r="AC78" s="245"/>
      <c r="AD78" s="1175"/>
      <c r="AE78" s="245">
        <f>+'Exhibit F'!AF73+'Exhibit G State'!AG54+'Exhibit H'!AD40</f>
        <v>711.80000000000007</v>
      </c>
      <c r="AF78" s="245"/>
      <c r="AG78" s="245"/>
      <c r="AH78" s="245">
        <f t="shared" si="15"/>
        <v>7.6</v>
      </c>
      <c r="AI78" s="79"/>
      <c r="AJ78" s="344">
        <f>ROUND(SUM(AH78/ABS(AE78)),3)</f>
        <v>1.0999999999999999E-2</v>
      </c>
    </row>
    <row r="79" spans="1:36" ht="15.5">
      <c r="A79" s="427" t="s">
        <v>429</v>
      </c>
      <c r="B79" s="79"/>
      <c r="C79" s="245">
        <f>+'Exhibit F'!D74+'Exhibit G State'!D55</f>
        <v>39.900000000000006</v>
      </c>
      <c r="D79" s="245"/>
      <c r="E79" s="245">
        <f>+'Exhibit F'!F74+'Exhibit G State'!F55</f>
        <v>27.4</v>
      </c>
      <c r="F79" s="245"/>
      <c r="G79" s="245">
        <f>+'Exhibit F'!H74+'Exhibit G State'!H55</f>
        <v>30.099999999999994</v>
      </c>
      <c r="H79" s="245"/>
      <c r="I79" s="245">
        <f>+'Exhibit F'!J74+'Exhibit G State'!J55</f>
        <v>30.300000000000008</v>
      </c>
      <c r="J79" s="245"/>
      <c r="K79" s="245">
        <f>+'Exhibit F'!L74+'Exhibit G State'!L55</f>
        <v>47.2</v>
      </c>
      <c r="L79" s="245"/>
      <c r="M79" s="245">
        <f>+'Exhibit F'!N74+'Exhibit G State'!N55</f>
        <v>32.500000000000007</v>
      </c>
      <c r="N79" s="245"/>
      <c r="O79" s="245">
        <f>+'Exhibit F'!P74+'Exhibit G State'!P55</f>
        <v>47.099999999999987</v>
      </c>
      <c r="P79" s="245"/>
      <c r="Q79" s="245">
        <f>+'Exhibit F'!R74+'Exhibit G State'!R55</f>
        <v>68.90000000000002</v>
      </c>
      <c r="R79" s="245"/>
      <c r="S79" s="245"/>
      <c r="T79" s="245"/>
      <c r="U79" s="245"/>
      <c r="V79" s="245"/>
      <c r="W79" s="245"/>
      <c r="X79" s="245"/>
      <c r="Y79" s="245"/>
      <c r="Z79" s="245"/>
      <c r="AA79" s="246"/>
      <c r="AB79" s="245">
        <f t="shared" si="16"/>
        <v>323.39999999999998</v>
      </c>
      <c r="AC79" s="245"/>
      <c r="AD79" s="1175"/>
      <c r="AE79" s="245">
        <f>+'Exhibit F'!AF74+'Exhibit G State'!AG55</f>
        <v>286.40000000000003</v>
      </c>
      <c r="AF79" s="245"/>
      <c r="AG79" s="245"/>
      <c r="AH79" s="245">
        <f t="shared" si="15"/>
        <v>37</v>
      </c>
      <c r="AI79" s="79"/>
      <c r="AJ79" s="344">
        <f>ROUND(SUM(AH79/ABS(AE79)),3)</f>
        <v>0.129</v>
      </c>
    </row>
    <row r="80" spans="1:36" ht="15.5">
      <c r="A80" s="427" t="s">
        <v>430</v>
      </c>
      <c r="B80" s="79"/>
      <c r="C80" s="245"/>
      <c r="D80" s="245"/>
      <c r="E80" s="245"/>
      <c r="F80" s="245"/>
      <c r="G80" s="245"/>
      <c r="H80" s="245"/>
      <c r="I80" s="245"/>
      <c r="J80" s="245"/>
      <c r="K80" s="245"/>
      <c r="L80" s="245"/>
      <c r="M80" s="245"/>
      <c r="N80" s="245"/>
      <c r="O80" s="245"/>
      <c r="P80" s="245"/>
      <c r="Q80" s="245"/>
      <c r="R80" s="245"/>
      <c r="S80" s="245"/>
      <c r="T80" s="245"/>
      <c r="U80" s="245"/>
      <c r="V80" s="245"/>
      <c r="W80" s="245"/>
      <c r="X80" s="245"/>
      <c r="Y80" s="245"/>
      <c r="Z80" s="245"/>
      <c r="AA80" s="246"/>
      <c r="AB80" s="245"/>
      <c r="AC80" s="245"/>
      <c r="AD80" s="1175"/>
      <c r="AE80" s="245"/>
      <c r="AF80" s="245"/>
      <c r="AG80" s="245"/>
      <c r="AH80" s="245"/>
      <c r="AI80" s="79"/>
      <c r="AJ80" s="344" t="s">
        <v>104</v>
      </c>
    </row>
    <row r="81" spans="1:36" ht="15.5">
      <c r="A81" s="427" t="s">
        <v>431</v>
      </c>
      <c r="B81" s="79"/>
      <c r="C81" s="245">
        <f>+'Exhibit G State'!D57</f>
        <v>41.6</v>
      </c>
      <c r="D81" s="245"/>
      <c r="E81" s="245">
        <f>+'Exhibit G State'!F57</f>
        <v>15</v>
      </c>
      <c r="F81" s="245"/>
      <c r="G81" s="245">
        <f>+'Exhibit G State'!H57</f>
        <v>45.4</v>
      </c>
      <c r="H81" s="245"/>
      <c r="I81" s="245">
        <f>+'Exhibit G State'!J57</f>
        <v>36.79999999999999</v>
      </c>
      <c r="J81" s="245"/>
      <c r="K81" s="245">
        <f>+'Exhibit G State'!L57</f>
        <v>17.000000000000028</v>
      </c>
      <c r="L81" s="245"/>
      <c r="M81" s="245">
        <f>+'Exhibit G State'!N57</f>
        <v>44.699999999999982</v>
      </c>
      <c r="N81" s="245"/>
      <c r="O81" s="245">
        <f>+'Exhibit G State'!P57</f>
        <v>36.400000000000041</v>
      </c>
      <c r="P81" s="245"/>
      <c r="Q81" s="245">
        <f>+'Exhibit G State'!R57</f>
        <v>20.300000000000011</v>
      </c>
      <c r="R81" s="245"/>
      <c r="S81" s="245"/>
      <c r="T81" s="245"/>
      <c r="U81" s="245"/>
      <c r="V81" s="245"/>
      <c r="W81" s="245"/>
      <c r="X81" s="245"/>
      <c r="Y81" s="245"/>
      <c r="Z81" s="245"/>
      <c r="AA81" s="246"/>
      <c r="AB81" s="245">
        <f t="shared" ref="AB81:AB86" si="17">ROUND(SUM(C81:Y81),1)</f>
        <v>257.2</v>
      </c>
      <c r="AC81" s="245"/>
      <c r="AD81" s="1175"/>
      <c r="AE81" s="325">
        <f>+'Exhibit G State'!AG57</f>
        <v>245</v>
      </c>
      <c r="AF81" s="245"/>
      <c r="AG81" s="245"/>
      <c r="AH81" s="245">
        <f t="shared" si="15"/>
        <v>12.2</v>
      </c>
      <c r="AI81" s="79"/>
      <c r="AJ81" s="327">
        <f>ROUND(IF(AE81=0,1,AH81/ABS(AE81)),3)</f>
        <v>0.05</v>
      </c>
    </row>
    <row r="82" spans="1:36" ht="15.5">
      <c r="A82" s="427" t="s">
        <v>432</v>
      </c>
      <c r="B82" s="79"/>
      <c r="C82" s="245">
        <f>+'Exhibit G State'!D58</f>
        <v>185</v>
      </c>
      <c r="D82" s="245"/>
      <c r="E82" s="245">
        <f>+'Exhibit G State'!F58</f>
        <v>223.7</v>
      </c>
      <c r="F82" s="245"/>
      <c r="G82" s="245">
        <f>+'Exhibit G State'!H58</f>
        <v>184.09999999999997</v>
      </c>
      <c r="H82" s="245"/>
      <c r="I82" s="245">
        <f>+'Exhibit G State'!J58</f>
        <v>213.10000000000002</v>
      </c>
      <c r="J82" s="245"/>
      <c r="K82" s="245">
        <f>+'Exhibit G State'!L58</f>
        <v>255.09999999999997</v>
      </c>
      <c r="L82" s="245"/>
      <c r="M82" s="245">
        <f>+'Exhibit G State'!N58</f>
        <v>181.59999999999997</v>
      </c>
      <c r="N82" s="245"/>
      <c r="O82" s="245">
        <f>+'Exhibit G State'!P58</f>
        <v>211.30000000000018</v>
      </c>
      <c r="P82" s="245"/>
      <c r="Q82" s="245">
        <f>+'Exhibit G State'!R58</f>
        <v>218.49999999999994</v>
      </c>
      <c r="R82" s="245"/>
      <c r="S82" s="245"/>
      <c r="T82" s="245"/>
      <c r="U82" s="245"/>
      <c r="V82" s="245"/>
      <c r="W82" s="245"/>
      <c r="X82" s="245"/>
      <c r="Y82" s="245"/>
      <c r="Z82" s="245"/>
      <c r="AA82" s="246"/>
      <c r="AB82" s="245">
        <f t="shared" si="17"/>
        <v>1672.4</v>
      </c>
      <c r="AC82" s="245"/>
      <c r="AD82" s="1175"/>
      <c r="AE82" s="245">
        <f>+'Exhibit G State'!AG58</f>
        <v>1695.4</v>
      </c>
      <c r="AF82" s="245"/>
      <c r="AG82" s="245"/>
      <c r="AH82" s="245">
        <f t="shared" ref="AH82:AH83" si="18">ROUND(SUM(AB82-AE82),1)</f>
        <v>-23</v>
      </c>
      <c r="AI82" s="79"/>
      <c r="AJ82" s="327">
        <f t="shared" ref="AJ82:AJ83" si="19">ROUND(IF(AE82=0,1,AH82/ABS(AE82)),3)</f>
        <v>-1.4E-2</v>
      </c>
    </row>
    <row r="83" spans="1:36" ht="15.5">
      <c r="A83" s="427" t="s">
        <v>433</v>
      </c>
      <c r="B83" s="79"/>
      <c r="C83" s="245">
        <f>+'Exhibit G State'!D59+'Exhibit F'!D76</f>
        <v>59.1</v>
      </c>
      <c r="D83" s="245"/>
      <c r="E83" s="245">
        <f>+'Exhibit G State'!F59+'Exhibit F'!F76</f>
        <v>90.4</v>
      </c>
      <c r="F83" s="245"/>
      <c r="G83" s="245">
        <f>+'Exhibit G State'!H59+'Exhibit F'!H76</f>
        <v>47.5</v>
      </c>
      <c r="H83" s="245"/>
      <c r="I83" s="245">
        <f>+'Exhibit G State'!J59+'Exhibit F'!J76</f>
        <v>53.400000000000006</v>
      </c>
      <c r="J83" s="245"/>
      <c r="K83" s="245">
        <f>+'Exhibit G State'!L59+'Exhibit F'!L76</f>
        <v>59.599999999999994</v>
      </c>
      <c r="L83" s="245"/>
      <c r="M83" s="245">
        <f>+'Exhibit G State'!N59+'Exhibit F'!N76</f>
        <v>66.899999999999949</v>
      </c>
      <c r="N83" s="245"/>
      <c r="O83" s="245">
        <f>+'Exhibit G State'!P59+'Exhibit F'!P76</f>
        <v>93.9</v>
      </c>
      <c r="P83" s="245"/>
      <c r="Q83" s="245">
        <f>+'Exhibit G State'!R59+'Exhibit F'!R76</f>
        <v>76.000000000000028</v>
      </c>
      <c r="R83" s="245"/>
      <c r="S83" s="245"/>
      <c r="T83" s="245"/>
      <c r="U83" s="245"/>
      <c r="V83" s="245"/>
      <c r="W83" s="245"/>
      <c r="X83" s="245"/>
      <c r="Y83" s="245"/>
      <c r="Z83" s="245"/>
      <c r="AA83" s="246"/>
      <c r="AB83" s="245">
        <f t="shared" si="17"/>
        <v>546.79999999999995</v>
      </c>
      <c r="AC83" s="245"/>
      <c r="AD83" s="1175"/>
      <c r="AE83" s="245">
        <f>+'Exhibit G State'!AG59+'Exhibit F'!AF76</f>
        <v>449.5</v>
      </c>
      <c r="AF83" s="245"/>
      <c r="AG83" s="245"/>
      <c r="AH83" s="245">
        <f t="shared" si="18"/>
        <v>97.3</v>
      </c>
      <c r="AI83" s="79"/>
      <c r="AJ83" s="327">
        <f t="shared" si="19"/>
        <v>0.216</v>
      </c>
    </row>
    <row r="84" spans="1:36" ht="15.5">
      <c r="A84" s="427" t="s">
        <v>434</v>
      </c>
      <c r="B84" s="79"/>
      <c r="C84" s="245">
        <f>+'Exhibit G State'!D60</f>
        <v>76.2</v>
      </c>
      <c r="D84" s="245"/>
      <c r="E84" s="245">
        <f>+'Exhibit G State'!F60</f>
        <v>74.499999999999986</v>
      </c>
      <c r="F84" s="245"/>
      <c r="G84" s="245">
        <f>+'Exhibit G State'!H60</f>
        <v>96.899999999999991</v>
      </c>
      <c r="H84" s="245"/>
      <c r="I84" s="245">
        <f>+'Exhibit G State'!J60</f>
        <v>84.700000000000031</v>
      </c>
      <c r="J84" s="245"/>
      <c r="K84" s="245">
        <f>+'Exhibit G State'!L60</f>
        <v>103.2</v>
      </c>
      <c r="L84" s="245"/>
      <c r="M84" s="245">
        <f>+'Exhibit G State'!N60</f>
        <v>81.200000000000031</v>
      </c>
      <c r="N84" s="245"/>
      <c r="O84" s="245">
        <f>+'Exhibit G State'!P60</f>
        <v>78.799999999999912</v>
      </c>
      <c r="P84" s="245"/>
      <c r="Q84" s="245">
        <f>+'Exhibit G State'!R60</f>
        <v>100.79999999999994</v>
      </c>
      <c r="R84" s="245"/>
      <c r="S84" s="245"/>
      <c r="T84" s="245"/>
      <c r="U84" s="245"/>
      <c r="V84" s="245"/>
      <c r="W84" s="245"/>
      <c r="X84" s="245"/>
      <c r="Y84" s="245"/>
      <c r="Z84" s="245"/>
      <c r="AA84" s="246"/>
      <c r="AB84" s="245">
        <f t="shared" si="17"/>
        <v>696.3</v>
      </c>
      <c r="AC84" s="245"/>
      <c r="AD84" s="1175"/>
      <c r="AE84" s="325">
        <f>+'Exhibit G State'!AG60</f>
        <v>663.9</v>
      </c>
      <c r="AF84" s="245"/>
      <c r="AG84" s="245"/>
      <c r="AH84" s="245">
        <f t="shared" si="15"/>
        <v>32.4</v>
      </c>
      <c r="AI84" s="79"/>
      <c r="AJ84" s="670">
        <f>ROUND(IF(AE84=0,1,AH84/ABS(AE84)),3)</f>
        <v>4.9000000000000002E-2</v>
      </c>
    </row>
    <row r="85" spans="1:36" ht="15.5">
      <c r="A85" s="427" t="s">
        <v>435</v>
      </c>
      <c r="B85" s="79"/>
      <c r="C85" s="245">
        <f>+'Exhibit F'!D77+'Exhibit H'!B41+'Exhibit G State'!D61</f>
        <v>256.8</v>
      </c>
      <c r="D85" s="245"/>
      <c r="E85" s="245">
        <f>+'Exhibit F'!F77+'Exhibit H'!D41+'Exhibit G State'!F61</f>
        <v>231</v>
      </c>
      <c r="F85" s="245"/>
      <c r="G85" s="245">
        <f>+'Exhibit F'!H77+'Exhibit H'!F41+'Exhibit G State'!H61</f>
        <v>257.89999999999998</v>
      </c>
      <c r="H85" s="245"/>
      <c r="I85" s="245">
        <f>+'Exhibit F'!J77+'Exhibit H'!H41+'Exhibit G State'!J61</f>
        <v>245.60000000000002</v>
      </c>
      <c r="J85" s="245"/>
      <c r="K85" s="245">
        <f>+'Exhibit F'!L77+'Exhibit H'!J41+'Exhibit G State'!L61</f>
        <v>265.40000000000009</v>
      </c>
      <c r="L85" s="245"/>
      <c r="M85" s="245">
        <f>+'Exhibit F'!N77+'Exhibit H'!L41+'Exhibit G State'!N61</f>
        <v>272.29999999999995</v>
      </c>
      <c r="N85" s="245"/>
      <c r="O85" s="245">
        <f>+'Exhibit F'!P77+'Exhibit H'!N41+'Exhibit G State'!P61</f>
        <v>277.40000000000003</v>
      </c>
      <c r="P85" s="245"/>
      <c r="Q85" s="245">
        <f>+'Exhibit F'!R77+'Exhibit H'!P41+'Exhibit G State'!R61</f>
        <v>308.39999999999981</v>
      </c>
      <c r="R85" s="245"/>
      <c r="S85" s="245"/>
      <c r="T85" s="245"/>
      <c r="U85" s="245"/>
      <c r="V85" s="245"/>
      <c r="W85" s="245"/>
      <c r="X85" s="245"/>
      <c r="Y85" s="245"/>
      <c r="Z85" s="245"/>
      <c r="AA85" s="246"/>
      <c r="AB85" s="245">
        <f t="shared" si="17"/>
        <v>2114.8000000000002</v>
      </c>
      <c r="AC85" s="245"/>
      <c r="AD85" s="1175"/>
      <c r="AE85" s="325">
        <f>+'Exhibit F'!AF77+'Exhibit H'!AD41+'Exhibit G State'!AG61</f>
        <v>544.5</v>
      </c>
      <c r="AF85" s="245"/>
      <c r="AG85" s="245"/>
      <c r="AH85" s="245">
        <f t="shared" si="15"/>
        <v>1570.3</v>
      </c>
      <c r="AI85" s="79"/>
      <c r="AJ85" s="769">
        <f>ROUND(SUM(AH85/ABS(AE85)),3)</f>
        <v>2.8839999999999999</v>
      </c>
    </row>
    <row r="86" spans="1:36" ht="15.5">
      <c r="A86" s="427" t="s">
        <v>436</v>
      </c>
      <c r="B86" s="79"/>
      <c r="C86" s="245">
        <f>+'Exhibit F'!D78+'Exhibit H'!B42+'Exhibit G State'!D62</f>
        <v>6.8</v>
      </c>
      <c r="D86" s="245"/>
      <c r="E86" s="245">
        <f>+'Exhibit F'!F78+'Exhibit H'!D42+'Exhibit G State'!F62</f>
        <v>1.6000000000000005</v>
      </c>
      <c r="F86" s="245"/>
      <c r="G86" s="245">
        <f>+'Exhibit F'!H78+'Exhibit H'!F42+'Exhibit G State'!H62</f>
        <v>7.0000000000000009</v>
      </c>
      <c r="H86" s="245"/>
      <c r="I86" s="245">
        <f>+'Exhibit F'!J78+'Exhibit H'!H42+'Exhibit G State'!J62</f>
        <v>2.9999999999999956</v>
      </c>
      <c r="J86" s="245"/>
      <c r="K86" s="245">
        <f>+'Exhibit F'!L78+'Exhibit H'!J42+'Exhibit G State'!L62</f>
        <v>1.5000000000000022</v>
      </c>
      <c r="L86" s="245"/>
      <c r="M86" s="245">
        <f>+'Exhibit F'!N78+'Exhibit H'!L42+'Exhibit G State'!N62</f>
        <v>80</v>
      </c>
      <c r="N86" s="245"/>
      <c r="O86" s="245">
        <f>+'Exhibit F'!P78+'Exhibit H'!N42+'Exhibit G State'!P62</f>
        <v>3.1000000000000085</v>
      </c>
      <c r="P86" s="245"/>
      <c r="Q86" s="245">
        <f>+'Exhibit F'!R78+'Exhibit H'!P42+'Exhibit G State'!R62</f>
        <v>1</v>
      </c>
      <c r="R86" s="245"/>
      <c r="S86" s="245"/>
      <c r="T86" s="245"/>
      <c r="U86" s="245"/>
      <c r="V86" s="245"/>
      <c r="W86" s="245"/>
      <c r="X86" s="245"/>
      <c r="Y86" s="245"/>
      <c r="Z86" s="245"/>
      <c r="AA86" s="246"/>
      <c r="AB86" s="245">
        <f t="shared" si="17"/>
        <v>104</v>
      </c>
      <c r="AC86" s="245"/>
      <c r="AD86" s="1175"/>
      <c r="AE86" s="245">
        <f>+'Exhibit F'!AF78+'Exhibit H'!AD42+'Exhibit G State'!AG62</f>
        <v>108.1</v>
      </c>
      <c r="AF86" s="245"/>
      <c r="AG86" s="245"/>
      <c r="AH86" s="245">
        <f>ROUND(SUM(AB86-AE86),1)</f>
        <v>-4.0999999999999996</v>
      </c>
      <c r="AI86" s="79"/>
      <c r="AJ86" s="769">
        <f>ROUND(SUM(AH86/ABS(AE86)),3)</f>
        <v>-3.7999999999999999E-2</v>
      </c>
    </row>
    <row r="87" spans="1:36" ht="15.5">
      <c r="A87" s="427" t="s">
        <v>437</v>
      </c>
      <c r="B87" s="79"/>
      <c r="C87" s="245"/>
      <c r="D87" s="245"/>
      <c r="E87" s="245"/>
      <c r="F87" s="245"/>
      <c r="G87" s="245"/>
      <c r="H87" s="245"/>
      <c r="I87" s="245"/>
      <c r="J87" s="245"/>
      <c r="K87" s="245"/>
      <c r="L87" s="245"/>
      <c r="M87" s="245"/>
      <c r="N87" s="245"/>
      <c r="O87" s="245"/>
      <c r="P87" s="245"/>
      <c r="Q87" s="245"/>
      <c r="R87" s="245"/>
      <c r="S87" s="245"/>
      <c r="T87" s="245"/>
      <c r="U87" s="245"/>
      <c r="V87" s="245"/>
      <c r="W87" s="245"/>
      <c r="X87" s="245"/>
      <c r="Y87" s="245"/>
      <c r="Z87" s="245"/>
      <c r="AA87" s="246"/>
      <c r="AB87" s="245"/>
      <c r="AC87" s="245"/>
      <c r="AD87" s="1175"/>
      <c r="AE87" s="245"/>
      <c r="AF87" s="245"/>
      <c r="AG87" s="245"/>
      <c r="AH87" s="245"/>
      <c r="AI87" s="79"/>
      <c r="AJ87" s="327"/>
    </row>
    <row r="88" spans="1:36" ht="15.5">
      <c r="A88" s="427" t="s">
        <v>438</v>
      </c>
      <c r="B88" s="79"/>
      <c r="C88" s="245">
        <f>+'Exhibit G State'!D64</f>
        <v>0</v>
      </c>
      <c r="D88" s="245"/>
      <c r="E88" s="245">
        <f>+'Exhibit G State'!F64</f>
        <v>0</v>
      </c>
      <c r="F88" s="245"/>
      <c r="G88" s="245">
        <f>+'Exhibit G State'!H64</f>
        <v>0</v>
      </c>
      <c r="H88" s="245"/>
      <c r="I88" s="245">
        <f>+'Exhibit G State'!J64</f>
        <v>0</v>
      </c>
      <c r="J88" s="245"/>
      <c r="K88" s="245">
        <f>+'Exhibit G State'!L64</f>
        <v>0</v>
      </c>
      <c r="L88" s="245"/>
      <c r="M88" s="245">
        <f>+'Exhibit G State'!N64</f>
        <v>0</v>
      </c>
      <c r="N88" s="245"/>
      <c r="O88" s="245">
        <f>+'Exhibit G State'!P64</f>
        <v>0</v>
      </c>
      <c r="P88" s="245"/>
      <c r="Q88" s="245">
        <f>+'Exhibit G State'!R64</f>
        <v>0</v>
      </c>
      <c r="R88" s="245"/>
      <c r="S88" s="245"/>
      <c r="T88" s="245"/>
      <c r="U88" s="245"/>
      <c r="V88" s="245"/>
      <c r="W88" s="245"/>
      <c r="X88" s="245"/>
      <c r="Y88" s="245"/>
      <c r="Z88" s="245"/>
      <c r="AA88" s="246"/>
      <c r="AB88" s="245">
        <f t="shared" ref="AB88:AB92" si="20">ROUND(SUM(C88:Y88),1)</f>
        <v>0</v>
      </c>
      <c r="AC88" s="245"/>
      <c r="AD88" s="1175"/>
      <c r="AE88" s="245">
        <f>+'Exhibit G State'!AG64+'Exhibit H'!AD44+'Exhibit F'!AF80</f>
        <v>0</v>
      </c>
      <c r="AF88" s="245"/>
      <c r="AG88" s="245"/>
      <c r="AH88" s="245">
        <f t="shared" si="15"/>
        <v>0</v>
      </c>
      <c r="AI88" s="79"/>
      <c r="AJ88" s="327">
        <f>ROUND(IF(AE88=0,0,AH88/ABS(AE88)),3)</f>
        <v>0</v>
      </c>
    </row>
    <row r="89" spans="1:36" ht="15.5">
      <c r="A89" s="427" t="s">
        <v>439</v>
      </c>
      <c r="B89" s="79"/>
      <c r="C89" s="245">
        <f>+'Exhibit F'!D81+'Exhibit G State'!D65</f>
        <v>0.4</v>
      </c>
      <c r="D89" s="245"/>
      <c r="E89" s="245">
        <f>+'Exhibit F'!F81+'Exhibit G State'!F65</f>
        <v>0</v>
      </c>
      <c r="F89" s="245"/>
      <c r="G89" s="245">
        <f>+'Exhibit F'!H81+'Exhibit G State'!H65</f>
        <v>0</v>
      </c>
      <c r="H89" s="245"/>
      <c r="I89" s="245">
        <f>+'Exhibit F'!J81+'Exhibit G State'!J65</f>
        <v>0</v>
      </c>
      <c r="J89" s="245"/>
      <c r="K89" s="245">
        <f>+'Exhibit F'!L81+'Exhibit G State'!L65</f>
        <v>0</v>
      </c>
      <c r="L89" s="245"/>
      <c r="M89" s="245">
        <f>+'Exhibit F'!N81+'Exhibit G State'!N65</f>
        <v>0</v>
      </c>
      <c r="N89" s="245"/>
      <c r="O89" s="245">
        <f>+'Exhibit F'!P81+'Exhibit G State'!P65</f>
        <v>22.700000000000003</v>
      </c>
      <c r="P89" s="245"/>
      <c r="Q89" s="245">
        <f>+'Exhibit F'!R81+'Exhibit G State'!R65</f>
        <v>0</v>
      </c>
      <c r="R89" s="245"/>
      <c r="S89" s="245"/>
      <c r="T89" s="245"/>
      <c r="U89" s="245"/>
      <c r="V89" s="245"/>
      <c r="W89" s="245"/>
      <c r="X89" s="245"/>
      <c r="Y89" s="245"/>
      <c r="Z89" s="245"/>
      <c r="AA89" s="246"/>
      <c r="AB89" s="245">
        <f t="shared" si="20"/>
        <v>23.1</v>
      </c>
      <c r="AC89" s="245"/>
      <c r="AD89" s="1175"/>
      <c r="AE89" s="245">
        <f>+'Exhibit F'!AF81+'Exhibit G State'!AG65</f>
        <v>35.799999999999997</v>
      </c>
      <c r="AF89" s="245"/>
      <c r="AG89" s="245"/>
      <c r="AH89" s="245">
        <f t="shared" si="15"/>
        <v>-12.7</v>
      </c>
      <c r="AI89" s="79"/>
      <c r="AJ89" s="344">
        <f>ROUND(IF(AE89=0,1,AH89/ABS(AE89)),3)</f>
        <v>-0.35499999999999998</v>
      </c>
    </row>
    <row r="90" spans="1:36" ht="15.5">
      <c r="A90" s="427" t="s">
        <v>440</v>
      </c>
      <c r="B90" s="79"/>
      <c r="C90" s="245">
        <f>+'Exhibit F'!D82+'Exhibit G State'!D66</f>
        <v>0.3</v>
      </c>
      <c r="D90" s="245"/>
      <c r="E90" s="245">
        <f>+'Exhibit F'!F82+'Exhibit G State'!F66</f>
        <v>0</v>
      </c>
      <c r="F90" s="245"/>
      <c r="G90" s="245">
        <f>+'Exhibit F'!H82+'Exhibit G State'!H66</f>
        <v>2.4000000000000004</v>
      </c>
      <c r="H90" s="245"/>
      <c r="I90" s="245">
        <f>+'Exhibit F'!J82+'Exhibit G State'!J66</f>
        <v>5.6</v>
      </c>
      <c r="J90" s="245"/>
      <c r="K90" s="245">
        <f>+'Exhibit F'!L82+'Exhibit G State'!L66</f>
        <v>9.7000000000000011</v>
      </c>
      <c r="L90" s="245"/>
      <c r="M90" s="245">
        <f>+'Exhibit F'!N82+'Exhibit G State'!N66</f>
        <v>10.599999999999996</v>
      </c>
      <c r="N90" s="245"/>
      <c r="O90" s="245">
        <f>+'Exhibit F'!P82+'Exhibit G State'!P66</f>
        <v>9.2000000000000011</v>
      </c>
      <c r="P90" s="245"/>
      <c r="Q90" s="245">
        <f>+'Exhibit F'!R82+'Exhibit G State'!R66</f>
        <v>0.89999999999999858</v>
      </c>
      <c r="R90" s="245"/>
      <c r="S90" s="245"/>
      <c r="T90" s="245"/>
      <c r="U90" s="245"/>
      <c r="V90" s="245"/>
      <c r="W90" s="245"/>
      <c r="X90" s="245"/>
      <c r="Y90" s="245"/>
      <c r="Z90" s="245"/>
      <c r="AA90" s="246"/>
      <c r="AB90" s="245">
        <f t="shared" si="20"/>
        <v>38.700000000000003</v>
      </c>
      <c r="AC90" s="245"/>
      <c r="AD90" s="1175"/>
      <c r="AE90" s="245">
        <f>+'Exhibit F'!AF82+'Exhibit G State'!AG66</f>
        <v>53.5</v>
      </c>
      <c r="AF90" s="245"/>
      <c r="AG90" s="245"/>
      <c r="AH90" s="245">
        <f t="shared" si="15"/>
        <v>-14.8</v>
      </c>
      <c r="AI90" s="79"/>
      <c r="AJ90" s="769">
        <f>ROUND(SUM(AH90/ABS(AE90)),3)</f>
        <v>-0.27700000000000002</v>
      </c>
    </row>
    <row r="91" spans="1:36" ht="15.5">
      <c r="A91" s="427" t="s">
        <v>441</v>
      </c>
      <c r="B91" s="79"/>
      <c r="C91" s="245">
        <f>+'Exhibit F'!D83+'Exhibit G State'!D67</f>
        <v>4.9000000000000004</v>
      </c>
      <c r="D91" s="245"/>
      <c r="E91" s="245">
        <f>+'Exhibit F'!F83+'Exhibit G State'!F67</f>
        <v>9.9999999999999645E-2</v>
      </c>
      <c r="F91" s="245"/>
      <c r="G91" s="245">
        <f>+'Exhibit F'!H83+'Exhibit G State'!H67</f>
        <v>10.8</v>
      </c>
      <c r="H91" s="245"/>
      <c r="I91" s="245">
        <f>+'Exhibit F'!J83+'Exhibit G State'!J67</f>
        <v>4.6999999999999993</v>
      </c>
      <c r="J91" s="245"/>
      <c r="K91" s="245">
        <f>+'Exhibit F'!L83+'Exhibit G State'!L67</f>
        <v>5.6000000000000014</v>
      </c>
      <c r="L91" s="245"/>
      <c r="M91" s="245">
        <f>+'Exhibit F'!N83+'Exhibit G State'!N67</f>
        <v>4.5</v>
      </c>
      <c r="N91" s="245"/>
      <c r="O91" s="245">
        <f>+'Exhibit F'!P83+'Exhibit G State'!P67</f>
        <v>12.299999999999997</v>
      </c>
      <c r="P91" s="245"/>
      <c r="Q91" s="245">
        <f>+'Exhibit F'!R83+'Exhibit G State'!R67</f>
        <v>4.5</v>
      </c>
      <c r="R91" s="245"/>
      <c r="S91" s="245"/>
      <c r="T91" s="245"/>
      <c r="U91" s="245"/>
      <c r="V91" s="245"/>
      <c r="W91" s="245"/>
      <c r="X91" s="245"/>
      <c r="Y91" s="245"/>
      <c r="Z91" s="245"/>
      <c r="AA91" s="246"/>
      <c r="AB91" s="245">
        <f t="shared" si="20"/>
        <v>47.4</v>
      </c>
      <c r="AC91" s="245"/>
      <c r="AD91" s="1175"/>
      <c r="AE91" s="245">
        <f>+'Exhibit F'!AF83+'Exhibit G State'!AG67</f>
        <v>42</v>
      </c>
      <c r="AF91" s="245"/>
      <c r="AG91" s="245"/>
      <c r="AH91" s="245">
        <f t="shared" si="15"/>
        <v>5.4</v>
      </c>
      <c r="AI91" s="79"/>
      <c r="AJ91" s="769">
        <f>ROUND(SUM(AH91/ABS(AE91)),3)</f>
        <v>0.129</v>
      </c>
    </row>
    <row r="92" spans="1:36" ht="15.5">
      <c r="A92" s="427" t="s">
        <v>442</v>
      </c>
      <c r="B92" s="79"/>
      <c r="C92" s="245">
        <f>+'Exhibit F'!D84+'Exhibit H'!B45+'Exhibit G State'!D68</f>
        <v>27.3</v>
      </c>
      <c r="D92" s="245"/>
      <c r="E92" s="245">
        <f>+'Exhibit F'!F84+'Exhibit H'!D45+'Exhibit G State'!F68</f>
        <v>16.100000000000001</v>
      </c>
      <c r="F92" s="245"/>
      <c r="G92" s="245">
        <f>+'Exhibit F'!H84+'Exhibit H'!F45+'Exhibit G State'!H68</f>
        <v>2.2000000000000015</v>
      </c>
      <c r="H92" s="245"/>
      <c r="I92" s="245">
        <f>+'Exhibit F'!J84+'Exhibit H'!H45+'Exhibit G State'!J68</f>
        <v>0.89999999999999569</v>
      </c>
      <c r="J92" s="245"/>
      <c r="K92" s="245">
        <f>+'Exhibit F'!L84+'Exhibit H'!J45+'Exhibit G State'!L68</f>
        <v>10.1</v>
      </c>
      <c r="L92" s="245"/>
      <c r="M92" s="245">
        <f>+'Exhibit F'!N84+'Exhibit H'!L45+'Exhibit G State'!N68</f>
        <v>-1.4</v>
      </c>
      <c r="N92" s="245"/>
      <c r="O92" s="245">
        <f>+'Exhibit F'!P84+'Exhibit H'!N45+'Exhibit G State'!P68</f>
        <v>0.80000000000000282</v>
      </c>
      <c r="P92" s="245"/>
      <c r="Q92" s="245">
        <f>+'Exhibit F'!R84+'Exhibit H'!P45+'Exhibit G State'!R68</f>
        <v>94.799999999999983</v>
      </c>
      <c r="R92" s="245"/>
      <c r="S92" s="245"/>
      <c r="T92" s="245"/>
      <c r="U92" s="245"/>
      <c r="V92" s="245"/>
      <c r="W92" s="245"/>
      <c r="X92" s="245"/>
      <c r="Y92" s="245"/>
      <c r="Z92" s="245"/>
      <c r="AA92" s="246"/>
      <c r="AB92" s="245">
        <f t="shared" si="20"/>
        <v>150.80000000000001</v>
      </c>
      <c r="AC92" s="245"/>
      <c r="AD92" s="1175"/>
      <c r="AE92" s="245">
        <f>+'Exhibit F'!AF84+'Exhibit H'!AD45+'Exhibit G State'!AG68</f>
        <v>154.19999999999999</v>
      </c>
      <c r="AF92" s="245"/>
      <c r="AG92" s="245"/>
      <c r="AH92" s="245">
        <f t="shared" si="15"/>
        <v>-3.4</v>
      </c>
      <c r="AI92" s="79"/>
      <c r="AJ92" s="769">
        <f>ROUND(SUM(AH92/ABS(AE92)),3)</f>
        <v>-2.1999999999999999E-2</v>
      </c>
    </row>
    <row r="93" spans="1:36" ht="15.5">
      <c r="A93" s="427" t="s">
        <v>443</v>
      </c>
      <c r="B93" s="79"/>
      <c r="C93" s="245"/>
      <c r="D93" s="245"/>
      <c r="E93" s="245"/>
      <c r="F93" s="245"/>
      <c r="G93" s="245"/>
      <c r="H93" s="245"/>
      <c r="I93" s="245"/>
      <c r="J93" s="245"/>
      <c r="K93" s="245"/>
      <c r="L93" s="245"/>
      <c r="M93" s="245"/>
      <c r="N93" s="245"/>
      <c r="O93" s="245"/>
      <c r="P93" s="245"/>
      <c r="Q93" s="245"/>
      <c r="R93" s="245"/>
      <c r="S93" s="245"/>
      <c r="T93" s="245"/>
      <c r="U93" s="245"/>
      <c r="V93" s="245"/>
      <c r="W93" s="245"/>
      <c r="X93" s="245"/>
      <c r="Y93" s="245"/>
      <c r="Z93" s="245"/>
      <c r="AA93" s="246"/>
      <c r="AB93" s="245"/>
      <c r="AC93" s="245"/>
      <c r="AD93" s="1175"/>
      <c r="AE93" s="245"/>
      <c r="AF93" s="245"/>
      <c r="AG93" s="245"/>
      <c r="AH93" s="245"/>
      <c r="AI93" s="79"/>
      <c r="AJ93" s="327"/>
    </row>
    <row r="94" spans="1:36" ht="15.5">
      <c r="A94" s="427" t="s">
        <v>444</v>
      </c>
      <c r="B94" s="79"/>
      <c r="C94" s="245">
        <f>+'Exhibit F'!D86+'Exhibit G State'!D70</f>
        <v>8.6999999999999993</v>
      </c>
      <c r="D94" s="245"/>
      <c r="E94" s="245">
        <f>+'Exhibit F'!F86+'Exhibit G State'!F70</f>
        <v>26.799999999999997</v>
      </c>
      <c r="F94" s="245"/>
      <c r="G94" s="245">
        <f>+'Exhibit F'!H86+'Exhibit G State'!H70</f>
        <v>24.9</v>
      </c>
      <c r="H94" s="245"/>
      <c r="I94" s="245">
        <f>+'Exhibit F'!J86+'Exhibit G State'!J70</f>
        <v>25.000000000000004</v>
      </c>
      <c r="J94" s="245"/>
      <c r="K94" s="245">
        <f>+'Exhibit F'!L86+'Exhibit G State'!L70</f>
        <v>10</v>
      </c>
      <c r="L94" s="245"/>
      <c r="M94" s="245">
        <f>+'Exhibit F'!N86+'Exhibit G State'!N70</f>
        <v>24.100000000000005</v>
      </c>
      <c r="N94" s="245"/>
      <c r="O94" s="245">
        <f>+'Exhibit F'!P86+'Exhibit G State'!P70</f>
        <v>25.4</v>
      </c>
      <c r="P94" s="245"/>
      <c r="Q94" s="245">
        <f>+'Exhibit F'!R86+'Exhibit G State'!R70</f>
        <v>8.2999999999999901</v>
      </c>
      <c r="R94" s="245"/>
      <c r="S94" s="245"/>
      <c r="T94" s="245"/>
      <c r="U94" s="245"/>
      <c r="V94" s="245"/>
      <c r="W94" s="245"/>
      <c r="X94" s="245"/>
      <c r="Y94" s="245"/>
      <c r="Z94" s="245"/>
      <c r="AA94" s="246"/>
      <c r="AB94" s="245">
        <f t="shared" ref="AB94:AB105" si="21">ROUND(SUM(C94:Y94),1)</f>
        <v>153.19999999999999</v>
      </c>
      <c r="AC94" s="245"/>
      <c r="AD94" s="1175"/>
      <c r="AE94" s="245">
        <f>+'Exhibit F'!AF86+'Exhibit G State'!AG70</f>
        <v>151.29999999999998</v>
      </c>
      <c r="AF94" s="245"/>
      <c r="AG94" s="245"/>
      <c r="AH94" s="245">
        <f t="shared" si="15"/>
        <v>1.9</v>
      </c>
      <c r="AI94" s="79"/>
      <c r="AJ94" s="769">
        <f>ROUND(SUM(AH94/ABS(AE94)),3)</f>
        <v>1.2999999999999999E-2</v>
      </c>
    </row>
    <row r="95" spans="1:36" ht="15.5">
      <c r="A95" s="427" t="s">
        <v>445</v>
      </c>
      <c r="B95" s="79"/>
      <c r="C95" s="245">
        <f>+'Exhibit G State'!D71+'Exhibit F'!D87</f>
        <v>1</v>
      </c>
      <c r="D95" s="245"/>
      <c r="E95" s="245">
        <f>+'Exhibit G State'!F71+'Exhibit F'!F87</f>
        <v>0.29999999999999583</v>
      </c>
      <c r="F95" s="245"/>
      <c r="G95" s="245">
        <f>+'Exhibit G State'!H71+'Exhibit F'!H87</f>
        <v>0.20000000000000129</v>
      </c>
      <c r="H95" s="245"/>
      <c r="I95" s="245">
        <f>+'Exhibit G State'!J71+'Exhibit F'!J87</f>
        <v>-0.19999999999999996</v>
      </c>
      <c r="J95" s="245"/>
      <c r="K95" s="245">
        <f>+'Exhibit G State'!L71+'Exhibit F'!L87</f>
        <v>0.59999999999995446</v>
      </c>
      <c r="L95" s="245"/>
      <c r="M95" s="245">
        <f>+'Exhibit G State'!N71+'Exhibit F'!N87</f>
        <v>0</v>
      </c>
      <c r="N95" s="245"/>
      <c r="O95" s="245">
        <f>+'Exhibit G State'!P71+'Exhibit F'!P87</f>
        <v>0.10000000000002573</v>
      </c>
      <c r="P95" s="245"/>
      <c r="Q95" s="245">
        <f>+'Exhibit G State'!R71+'Exhibit F'!R87</f>
        <v>0.10000000000002274</v>
      </c>
      <c r="R95" s="245"/>
      <c r="S95" s="245"/>
      <c r="T95" s="245"/>
      <c r="U95" s="245"/>
      <c r="V95" s="245"/>
      <c r="W95" s="245"/>
      <c r="X95" s="245"/>
      <c r="Y95" s="245"/>
      <c r="Z95" s="245"/>
      <c r="AA95" s="246"/>
      <c r="AB95" s="245">
        <f t="shared" si="21"/>
        <v>2.1</v>
      </c>
      <c r="AC95" s="245"/>
      <c r="AD95" s="1175"/>
      <c r="AE95" s="245">
        <f>+'Exhibit G State'!AG71+'Exhibit F'!AF87</f>
        <v>8.7999999999999776</v>
      </c>
      <c r="AF95" s="245"/>
      <c r="AG95" s="245"/>
      <c r="AH95" s="245">
        <f t="shared" si="15"/>
        <v>-6.7</v>
      </c>
      <c r="AI95" s="79"/>
      <c r="AJ95" s="670">
        <f>ROUND(IF(AE95=0,1,AH95/ABS(AE95)),3)</f>
        <v>-0.76100000000000001</v>
      </c>
    </row>
    <row r="96" spans="1:36" ht="15.5">
      <c r="A96" s="427" t="s">
        <v>446</v>
      </c>
      <c r="B96" s="79"/>
      <c r="C96" s="245">
        <f>'Exhibit G State'!D72</f>
        <v>0</v>
      </c>
      <c r="D96" s="245"/>
      <c r="E96" s="245">
        <f>'Exhibit G State'!F72</f>
        <v>0</v>
      </c>
      <c r="F96" s="245"/>
      <c r="G96" s="245">
        <f>'Exhibit G State'!H72</f>
        <v>0</v>
      </c>
      <c r="H96" s="245"/>
      <c r="I96" s="245">
        <f>'Exhibit G State'!J72</f>
        <v>0</v>
      </c>
      <c r="J96" s="245"/>
      <c r="K96" s="245">
        <f>'Exhibit G State'!L72</f>
        <v>0</v>
      </c>
      <c r="L96" s="245"/>
      <c r="M96" s="245">
        <f>'Exhibit G State'!N72</f>
        <v>0</v>
      </c>
      <c r="N96" s="245"/>
      <c r="O96" s="245">
        <f>'Exhibit G State'!P72</f>
        <v>0</v>
      </c>
      <c r="P96" s="245"/>
      <c r="Q96" s="245">
        <f>'Exhibit G State'!R72</f>
        <v>0</v>
      </c>
      <c r="R96" s="245"/>
      <c r="S96" s="245"/>
      <c r="T96" s="245"/>
      <c r="U96" s="245"/>
      <c r="V96" s="245"/>
      <c r="W96" s="245"/>
      <c r="X96" s="245"/>
      <c r="Y96" s="245"/>
      <c r="Z96" s="245"/>
      <c r="AA96" s="246"/>
      <c r="AB96" s="245">
        <f t="shared" si="21"/>
        <v>0</v>
      </c>
      <c r="AC96" s="245"/>
      <c r="AD96" s="1175"/>
      <c r="AE96" s="245">
        <f>+'Exhibit G State'!AG72</f>
        <v>0</v>
      </c>
      <c r="AF96" s="245"/>
      <c r="AG96" s="245"/>
      <c r="AH96" s="245">
        <f t="shared" si="15"/>
        <v>0</v>
      </c>
      <c r="AI96" s="79"/>
      <c r="AJ96" s="327">
        <f>ROUND(IF(AE96=0,0,AH96/ABS(AE96)),3)</f>
        <v>0</v>
      </c>
    </row>
    <row r="97" spans="1:45" ht="15.5">
      <c r="A97" s="427" t="s">
        <v>447</v>
      </c>
      <c r="B97" s="79"/>
      <c r="C97" s="245">
        <f>+'Exhibit F'!D88+'Exhibit G State'!D73</f>
        <v>0.3</v>
      </c>
      <c r="D97" s="245"/>
      <c r="E97" s="245">
        <f>+'Exhibit F'!F88+'Exhibit G State'!F73</f>
        <v>1.3</v>
      </c>
      <c r="F97" s="245"/>
      <c r="G97" s="245">
        <f>+'Exhibit F'!H88+'Exhibit G State'!H73</f>
        <v>19.7</v>
      </c>
      <c r="H97" s="245"/>
      <c r="I97" s="245">
        <f>+'Exhibit F'!J88+'Exhibit G State'!J73</f>
        <v>0.30000000000000071</v>
      </c>
      <c r="J97" s="245"/>
      <c r="K97" s="245">
        <f>+'Exhibit F'!L88+'Exhibit G State'!L73</f>
        <v>1</v>
      </c>
      <c r="L97" s="245"/>
      <c r="M97" s="245">
        <f>+'Exhibit F'!N88+'Exhibit G State'!N73</f>
        <v>0.59999999999999787</v>
      </c>
      <c r="N97" s="245"/>
      <c r="O97" s="245">
        <f>+'Exhibit F'!P88+'Exhibit G State'!P73</f>
        <v>1.1000000000000014</v>
      </c>
      <c r="P97" s="245"/>
      <c r="Q97" s="245">
        <f>+'Exhibit F'!R88+'Exhibit G State'!R73</f>
        <v>1.8000000000000007</v>
      </c>
      <c r="R97" s="245"/>
      <c r="S97" s="245"/>
      <c r="T97" s="245"/>
      <c r="U97" s="245"/>
      <c r="V97" s="245"/>
      <c r="W97" s="245"/>
      <c r="X97" s="245"/>
      <c r="Y97" s="245"/>
      <c r="Z97" s="245"/>
      <c r="AA97" s="246"/>
      <c r="AB97" s="245">
        <f t="shared" si="21"/>
        <v>26.1</v>
      </c>
      <c r="AC97" s="245"/>
      <c r="AD97" s="1175"/>
      <c r="AE97" s="245">
        <f>+'Exhibit F'!AF88+'Exhibit G State'!AG73</f>
        <v>4.4000000000000004</v>
      </c>
      <c r="AF97" s="245"/>
      <c r="AG97" s="245"/>
      <c r="AH97" s="245">
        <f t="shared" si="15"/>
        <v>21.7</v>
      </c>
      <c r="AI97" s="79"/>
      <c r="AJ97" s="769">
        <f t="shared" ref="AJ97:AJ104" si="22">ROUND(SUM(AH97/ABS(AE97)),3)</f>
        <v>4.9320000000000004</v>
      </c>
    </row>
    <row r="98" spans="1:45" ht="15.5">
      <c r="A98" s="427" t="s">
        <v>448</v>
      </c>
      <c r="B98" s="79"/>
      <c r="C98" s="245">
        <f>+'Exhibit F'!D89+'Exhibit G State'!D74</f>
        <v>0</v>
      </c>
      <c r="D98" s="245"/>
      <c r="E98" s="245">
        <f>+'Exhibit F'!F89+'Exhibit G State'!F74</f>
        <v>14.2</v>
      </c>
      <c r="F98" s="245"/>
      <c r="G98" s="245">
        <f>+'Exhibit F'!H89+'Exhibit G State'!H74</f>
        <v>7.5000000000000018</v>
      </c>
      <c r="H98" s="245"/>
      <c r="I98" s="245">
        <f>+'Exhibit F'!J89+'Exhibit G State'!J74</f>
        <v>5.5999999999999979</v>
      </c>
      <c r="J98" s="245"/>
      <c r="K98" s="245">
        <f>+'Exhibit F'!L89+'Exhibit G State'!L74</f>
        <v>6.0999999999999979</v>
      </c>
      <c r="L98" s="245"/>
      <c r="M98" s="245">
        <f>+'Exhibit F'!N89+'Exhibit G State'!N74</f>
        <v>6.5</v>
      </c>
      <c r="N98" s="245"/>
      <c r="O98" s="245">
        <f>+'Exhibit F'!P89+'Exhibit G State'!P74</f>
        <v>5.5</v>
      </c>
      <c r="P98" s="245"/>
      <c r="Q98" s="245">
        <f>+'Exhibit F'!R89+'Exhibit G State'!R74</f>
        <v>10.199999999999996</v>
      </c>
      <c r="R98" s="245"/>
      <c r="S98" s="245"/>
      <c r="T98" s="245"/>
      <c r="U98" s="245"/>
      <c r="V98" s="245"/>
      <c r="W98" s="245"/>
      <c r="X98" s="245"/>
      <c r="Y98" s="245"/>
      <c r="Z98" s="245"/>
      <c r="AA98" s="246"/>
      <c r="AB98" s="245">
        <f t="shared" si="21"/>
        <v>55.6</v>
      </c>
      <c r="AC98" s="245"/>
      <c r="AD98" s="1175"/>
      <c r="AE98" s="245">
        <f>+'Exhibit F'!AF89+'Exhibit G State'!AG74</f>
        <v>57.699999999999996</v>
      </c>
      <c r="AF98" s="245"/>
      <c r="AG98" s="245"/>
      <c r="AH98" s="245">
        <f t="shared" si="15"/>
        <v>-2.1</v>
      </c>
      <c r="AI98" s="79"/>
      <c r="AJ98" s="344">
        <f t="shared" si="22"/>
        <v>-3.5999999999999997E-2</v>
      </c>
    </row>
    <row r="99" spans="1:45" ht="15.5">
      <c r="A99" s="427" t="s">
        <v>449</v>
      </c>
      <c r="B99" s="79"/>
      <c r="C99" s="245">
        <f>+'Exhibit F'!D90+'Exhibit H'!B47+'Exhibit G State'!D75</f>
        <v>306.89999999999998</v>
      </c>
      <c r="D99" s="245"/>
      <c r="E99" s="245">
        <f>+'Exhibit F'!F90+'Exhibit H'!D47+'Exhibit G State'!F75</f>
        <v>-305.60000000000002</v>
      </c>
      <c r="F99" s="245"/>
      <c r="G99" s="245">
        <f>+'Exhibit F'!H90+'Exhibit H'!F47+'Exhibit G State'!H75</f>
        <v>756.3</v>
      </c>
      <c r="H99" s="245"/>
      <c r="I99" s="245">
        <f>+'Exhibit F'!J90+'Exhibit H'!H47+'Exhibit G State'!J75</f>
        <v>417.8</v>
      </c>
      <c r="J99" s="245"/>
      <c r="K99" s="245">
        <f>+'Exhibit F'!L90+'Exhibit H'!J47+'Exhibit G State'!L75</f>
        <v>327.10000000000008</v>
      </c>
      <c r="L99" s="245"/>
      <c r="M99" s="245">
        <f>+'Exhibit F'!N90+'Exhibit H'!L47+'Exhibit G State'!N75</f>
        <v>252.1</v>
      </c>
      <c r="N99" s="245"/>
      <c r="O99" s="245">
        <f>+'Exhibit F'!P90+'Exhibit H'!N47+'Exhibit G State'!P75</f>
        <v>180.3</v>
      </c>
      <c r="P99" s="245"/>
      <c r="Q99" s="245">
        <f>+'Exhibit F'!R90+'Exhibit H'!P47+'Exhibit G State'!R75</f>
        <v>225.89999999999978</v>
      </c>
      <c r="R99" s="245"/>
      <c r="S99" s="245"/>
      <c r="T99" s="245"/>
      <c r="U99" s="245"/>
      <c r="V99" s="245"/>
      <c r="W99" s="245"/>
      <c r="X99" s="245"/>
      <c r="Y99" s="245"/>
      <c r="Z99" s="245"/>
      <c r="AA99" s="246"/>
      <c r="AB99" s="245">
        <f t="shared" si="21"/>
        <v>2160.8000000000002</v>
      </c>
      <c r="AC99" s="245"/>
      <c r="AD99" s="1175"/>
      <c r="AE99" s="245">
        <f>+'Exhibit F'!AF90+'Exhibit H'!AD47+'Exhibit G State'!AG75</f>
        <v>1979</v>
      </c>
      <c r="AF99" s="245"/>
      <c r="AG99" s="245"/>
      <c r="AH99" s="245">
        <f t="shared" si="15"/>
        <v>181.8</v>
      </c>
      <c r="AI99" s="79"/>
      <c r="AJ99" s="344">
        <f t="shared" si="22"/>
        <v>9.1999999999999998E-2</v>
      </c>
    </row>
    <row r="100" spans="1:45" ht="15.5">
      <c r="A100" s="427" t="s">
        <v>450</v>
      </c>
      <c r="B100" s="79"/>
      <c r="C100" s="245">
        <f>+'Exhibit G State'!D76+'Exhibit F'!D91</f>
        <v>4.0999999999999996</v>
      </c>
      <c r="D100" s="245"/>
      <c r="E100" s="245">
        <f>+'Exhibit G State'!F76+'Exhibit F'!F91</f>
        <v>2.2999999999999998</v>
      </c>
      <c r="F100" s="245"/>
      <c r="G100" s="245">
        <f>+'Exhibit G State'!H76+'Exhibit F'!H91</f>
        <v>6.8999999999999995</v>
      </c>
      <c r="H100" s="245"/>
      <c r="I100" s="245">
        <f>+'Exhibit G State'!J76+'Exhibit F'!J91</f>
        <v>4.9999999999999991</v>
      </c>
      <c r="J100" s="245"/>
      <c r="K100" s="245">
        <f>+'Exhibit G State'!L76+'Exhibit F'!L91</f>
        <v>3.400000000000003</v>
      </c>
      <c r="L100" s="245"/>
      <c r="M100" s="245">
        <f>+'Exhibit G State'!N76+'Exhibit F'!N91</f>
        <v>5.599999999999997</v>
      </c>
      <c r="N100" s="245"/>
      <c r="O100" s="245">
        <f>+'Exhibit G State'!P76+'Exhibit F'!P91</f>
        <v>4.0000000000000009</v>
      </c>
      <c r="P100" s="245"/>
      <c r="Q100" s="245">
        <f>+'Exhibit G State'!R76+'Exhibit F'!R91</f>
        <v>5.0000000000000018</v>
      </c>
      <c r="R100" s="245"/>
      <c r="S100" s="245"/>
      <c r="T100" s="245"/>
      <c r="U100" s="245"/>
      <c r="V100" s="245"/>
      <c r="W100" s="245"/>
      <c r="X100" s="245"/>
      <c r="Y100" s="245"/>
      <c r="Z100" s="245"/>
      <c r="AA100" s="246"/>
      <c r="AB100" s="245">
        <f t="shared" si="21"/>
        <v>36.299999999999997</v>
      </c>
      <c r="AC100" s="245"/>
      <c r="AD100" s="1175"/>
      <c r="AE100" s="245">
        <f>+'Exhibit G State'!AG76+'Exhibit F'!AF91</f>
        <v>32.699999999999996</v>
      </c>
      <c r="AF100" s="245"/>
      <c r="AG100" s="245"/>
      <c r="AH100" s="245">
        <f t="shared" si="15"/>
        <v>3.6</v>
      </c>
      <c r="AI100" s="79"/>
      <c r="AJ100" s="344">
        <f>ROUND(SUM(AH100/ABS(AE100)),3)</f>
        <v>0.11</v>
      </c>
    </row>
    <row r="101" spans="1:45" ht="15.5">
      <c r="A101" s="427" t="s">
        <v>451</v>
      </c>
      <c r="B101" s="79"/>
      <c r="C101" s="245">
        <f>+'Exhibit F'!D92+'Exhibit G State'!D77</f>
        <v>4.5</v>
      </c>
      <c r="D101" s="245"/>
      <c r="E101" s="245">
        <f>+'Exhibit F'!F92+'Exhibit G State'!F77</f>
        <v>0.80000000000000016</v>
      </c>
      <c r="F101" s="245"/>
      <c r="G101" s="245">
        <f>+'Exhibit F'!H92+'Exhibit G State'!H77</f>
        <v>1.7000000000000002</v>
      </c>
      <c r="H101" s="245"/>
      <c r="I101" s="245">
        <f>+'Exhibit F'!J92+'Exhibit G State'!J77</f>
        <v>14.800000000000002</v>
      </c>
      <c r="J101" s="245"/>
      <c r="K101" s="245">
        <f>+'Exhibit F'!L92+'Exhibit G State'!L77</f>
        <v>34.699999999999989</v>
      </c>
      <c r="L101" s="245"/>
      <c r="M101" s="245">
        <f>+'Exhibit F'!N92+'Exhibit G State'!N77</f>
        <v>0.40000000000000424</v>
      </c>
      <c r="N101" s="245"/>
      <c r="O101" s="245">
        <f>+'Exhibit F'!P92+'Exhibit G State'!P77</f>
        <v>0.8999999999999958</v>
      </c>
      <c r="P101" s="245"/>
      <c r="Q101" s="245">
        <f>+'Exhibit F'!R92+'Exhibit G State'!R77</f>
        <v>11.400000000000006</v>
      </c>
      <c r="R101" s="245"/>
      <c r="S101" s="245"/>
      <c r="T101" s="245"/>
      <c r="U101" s="245"/>
      <c r="V101" s="245"/>
      <c r="W101" s="245"/>
      <c r="X101" s="245"/>
      <c r="Y101" s="245"/>
      <c r="Z101" s="245"/>
      <c r="AA101" s="246"/>
      <c r="AB101" s="245">
        <f t="shared" si="21"/>
        <v>69.2</v>
      </c>
      <c r="AC101" s="245"/>
      <c r="AD101" s="1175"/>
      <c r="AE101" s="245">
        <f>+'Exhibit F'!AF92+'Exhibit G State'!AG77</f>
        <v>210.3</v>
      </c>
      <c r="AF101" s="245"/>
      <c r="AG101" s="245"/>
      <c r="AH101" s="245">
        <f t="shared" si="15"/>
        <v>-141.1</v>
      </c>
      <c r="AI101" s="79"/>
      <c r="AJ101" s="769">
        <f t="shared" si="22"/>
        <v>-0.67100000000000004</v>
      </c>
    </row>
    <row r="102" spans="1:45" ht="15.5">
      <c r="A102" s="427" t="s">
        <v>452</v>
      </c>
      <c r="B102" s="79"/>
      <c r="C102" s="245">
        <f>+'Exhibit F'!D93+'Exhibit G State'!D78</f>
        <v>13.1</v>
      </c>
      <c r="D102" s="245"/>
      <c r="E102" s="245">
        <f>+'Exhibit F'!F93+'Exhibit G State'!F78</f>
        <v>-3.9000000000000004</v>
      </c>
      <c r="F102" s="245"/>
      <c r="G102" s="245">
        <f>+'Exhibit F'!H93+'Exhibit G State'!H78</f>
        <v>1</v>
      </c>
      <c r="H102" s="245"/>
      <c r="I102" s="245">
        <f>+'Exhibit F'!J93+'Exhibit G State'!J78</f>
        <v>11.400000000000002</v>
      </c>
      <c r="J102" s="245"/>
      <c r="K102" s="245">
        <f>+'Exhibit F'!L93+'Exhibit G State'!L78</f>
        <v>1.2999999999999972</v>
      </c>
      <c r="L102" s="245"/>
      <c r="M102" s="245">
        <f>+'Exhibit F'!N93+'Exhibit G State'!N78</f>
        <v>2.7000000000000028</v>
      </c>
      <c r="N102" s="245"/>
      <c r="O102" s="245">
        <f>+'Exhibit F'!P93+'Exhibit G State'!P78</f>
        <v>1.5999999999999979</v>
      </c>
      <c r="P102" s="245"/>
      <c r="Q102" s="245">
        <f>+'Exhibit F'!R93+'Exhibit G State'!R78</f>
        <v>1.6000000000000014</v>
      </c>
      <c r="R102" s="245"/>
      <c r="S102" s="245"/>
      <c r="T102" s="245"/>
      <c r="U102" s="245"/>
      <c r="V102" s="245"/>
      <c r="W102" s="245"/>
      <c r="X102" s="245"/>
      <c r="Y102" s="245"/>
      <c r="Z102" s="245"/>
      <c r="AA102" s="246"/>
      <c r="AB102" s="245">
        <f t="shared" si="21"/>
        <v>28.8</v>
      </c>
      <c r="AC102" s="245"/>
      <c r="AD102" s="1175"/>
      <c r="AE102" s="245">
        <f>+'Exhibit F'!AF93+'Exhibit G State'!AG78</f>
        <v>10</v>
      </c>
      <c r="AF102" s="245"/>
      <c r="AG102" s="245"/>
      <c r="AH102" s="245">
        <f t="shared" si="15"/>
        <v>18.8</v>
      </c>
      <c r="AI102" s="79"/>
      <c r="AJ102" s="344">
        <f t="shared" si="22"/>
        <v>1.88</v>
      </c>
    </row>
    <row r="103" spans="1:45" ht="15.5">
      <c r="A103" s="427" t="s">
        <v>453</v>
      </c>
      <c r="B103" s="79"/>
      <c r="C103" s="245">
        <f>+'Exhibit F'!D94+'Exhibit G State'!D79+'Exhibit H'!B48</f>
        <v>77.599999999999994</v>
      </c>
      <c r="D103" s="245"/>
      <c r="E103" s="245">
        <f>+'Exhibit F'!F94+'Exhibit G State'!F79+'Exhibit H'!D48</f>
        <v>102.9</v>
      </c>
      <c r="F103" s="245"/>
      <c r="G103" s="245">
        <f>+'Exhibit F'!H94+'Exhibit G State'!H79+'Exhibit H'!F48</f>
        <v>94.3</v>
      </c>
      <c r="H103" s="245"/>
      <c r="I103" s="245">
        <f>+'Exhibit F'!J94+'Exhibit G State'!J79+'Exhibit H'!H48</f>
        <v>61.000000000000014</v>
      </c>
      <c r="J103" s="245"/>
      <c r="K103" s="245">
        <f>+'Exhibit F'!L94+'Exhibit G State'!L79+'Exhibit H'!J48</f>
        <v>-27.700000000000017</v>
      </c>
      <c r="L103" s="245"/>
      <c r="M103" s="245">
        <f>+'Exhibit F'!N94+'Exhibit G State'!N79+'Exhibit H'!L48</f>
        <v>44.200000000000031</v>
      </c>
      <c r="N103" s="245"/>
      <c r="O103" s="245">
        <f>+'Exhibit F'!P94+'Exhibit G State'!P79+'Exhibit H'!N48</f>
        <v>45.399999999999977</v>
      </c>
      <c r="P103" s="245"/>
      <c r="Q103" s="245">
        <f>+'Exhibit F'!R94+'Exhibit G State'!R79+'Exhibit H'!P48</f>
        <v>36.500000000000021</v>
      </c>
      <c r="R103" s="245"/>
      <c r="S103" s="245"/>
      <c r="T103" s="245"/>
      <c r="U103" s="245"/>
      <c r="V103" s="245"/>
      <c r="W103" s="245"/>
      <c r="X103" s="245"/>
      <c r="Y103" s="245"/>
      <c r="Z103" s="245"/>
      <c r="AA103" s="246"/>
      <c r="AB103" s="245">
        <f t="shared" si="21"/>
        <v>434.2</v>
      </c>
      <c r="AC103" s="245"/>
      <c r="AD103" s="1175"/>
      <c r="AE103" s="245">
        <f>+'Exhibit F'!AF94+'Exhibit G State'!AG79+'Exhibit H'!AD48</f>
        <v>506.5</v>
      </c>
      <c r="AF103" s="245"/>
      <c r="AG103" s="245"/>
      <c r="AH103" s="245">
        <f t="shared" si="15"/>
        <v>-72.3</v>
      </c>
      <c r="AI103" s="79"/>
      <c r="AJ103" s="769">
        <f t="shared" si="22"/>
        <v>-0.14299999999999999</v>
      </c>
    </row>
    <row r="104" spans="1:45" ht="15.5">
      <c r="A104" s="427" t="s">
        <v>454</v>
      </c>
      <c r="B104" s="79"/>
      <c r="C104" s="245">
        <f>+'Exhibit F'!D95+'Exhibit G State'!D80+'Exhibit H'!B49</f>
        <v>0.6</v>
      </c>
      <c r="D104" s="245"/>
      <c r="E104" s="245">
        <f>+'Exhibit F'!F95+'Exhibit G State'!F80+'Exhibit H'!D49</f>
        <v>2.1</v>
      </c>
      <c r="F104" s="245"/>
      <c r="G104" s="245">
        <f>+'Exhibit F'!H95+'Exhibit G State'!H80+'Exhibit H'!F49</f>
        <v>1.0999999999999996</v>
      </c>
      <c r="H104" s="245"/>
      <c r="I104" s="245">
        <f>+'Exhibit F'!J95+'Exhibit G State'!J80+'Exhibit H'!H49</f>
        <v>1.3000000000000003</v>
      </c>
      <c r="J104" s="245"/>
      <c r="K104" s="245">
        <f>+'Exhibit F'!L95+'Exhibit G State'!L80+'Exhibit H'!J49</f>
        <v>1.6</v>
      </c>
      <c r="L104" s="245"/>
      <c r="M104" s="245">
        <f>+'Exhibit F'!N95+'Exhibit G State'!N80+'Exhibit H'!L49</f>
        <v>1.2000000000000011</v>
      </c>
      <c r="N104" s="245"/>
      <c r="O104" s="245">
        <f>+'Exhibit F'!P95+'Exhibit G State'!P80+'Exhibit H'!N49</f>
        <v>0.4</v>
      </c>
      <c r="P104" s="245"/>
      <c r="Q104" s="245">
        <f>+'Exhibit F'!R95+'Exhibit G State'!R80+'Exhibit H'!P49</f>
        <v>2.6999999999999993</v>
      </c>
      <c r="R104" s="245"/>
      <c r="S104" s="245"/>
      <c r="T104" s="245"/>
      <c r="U104" s="245"/>
      <c r="V104" s="245"/>
      <c r="W104" s="245"/>
      <c r="X104" s="245"/>
      <c r="Y104" s="245"/>
      <c r="Z104" s="245"/>
      <c r="AA104" s="246"/>
      <c r="AB104" s="245">
        <f t="shared" si="21"/>
        <v>11</v>
      </c>
      <c r="AC104" s="245"/>
      <c r="AD104" s="1175"/>
      <c r="AE104" s="245">
        <f>+'Exhibit F'!AF95+'Exhibit G State'!AG80+'Exhibit H'!AD49</f>
        <v>10.7</v>
      </c>
      <c r="AF104" s="245"/>
      <c r="AG104" s="245"/>
      <c r="AH104" s="245">
        <f t="shared" si="15"/>
        <v>0.3</v>
      </c>
      <c r="AI104" s="79"/>
      <c r="AJ104" s="344">
        <f t="shared" si="22"/>
        <v>2.8000000000000001E-2</v>
      </c>
    </row>
    <row r="105" spans="1:45" ht="15.5">
      <c r="A105" s="427" t="s">
        <v>455</v>
      </c>
      <c r="B105" s="79"/>
      <c r="C105" s="245">
        <f>+'Exhibit G State'!D81</f>
        <v>-25.2</v>
      </c>
      <c r="D105" s="245"/>
      <c r="E105" s="245">
        <f>+'Exhibit G State'!F81</f>
        <v>31.299999999999997</v>
      </c>
      <c r="F105" s="245"/>
      <c r="G105" s="245">
        <f>+'Exhibit G State'!H81</f>
        <v>60.900000000000006</v>
      </c>
      <c r="H105" s="245"/>
      <c r="I105" s="245">
        <f>+'Exhibit G State'!J81</f>
        <v>14.699999999999989</v>
      </c>
      <c r="J105" s="245"/>
      <c r="K105" s="245">
        <f>+'Exhibit G State'!L81</f>
        <v>217.4</v>
      </c>
      <c r="L105" s="245"/>
      <c r="M105" s="245">
        <f>+'Exhibit G State'!N81</f>
        <v>268.70000000000005</v>
      </c>
      <c r="N105" s="245"/>
      <c r="O105" s="245">
        <f>+'Exhibit G State'!P81</f>
        <v>152.60000000000002</v>
      </c>
      <c r="P105" s="245"/>
      <c r="Q105" s="245">
        <f>+'Exhibit G State'!R81</f>
        <v>38</v>
      </c>
      <c r="R105" s="245"/>
      <c r="S105" s="245"/>
      <c r="T105" s="245"/>
      <c r="U105" s="245"/>
      <c r="V105" s="245"/>
      <c r="W105" s="245"/>
      <c r="X105" s="245"/>
      <c r="Y105" s="245"/>
      <c r="Z105" s="245"/>
      <c r="AA105" s="246"/>
      <c r="AB105" s="245">
        <f t="shared" si="21"/>
        <v>758.4</v>
      </c>
      <c r="AC105" s="245"/>
      <c r="AD105" s="1175"/>
      <c r="AE105" s="245">
        <f>+'Exhibit G State'!AG81</f>
        <v>771.5</v>
      </c>
      <c r="AF105" s="245"/>
      <c r="AG105" s="245"/>
      <c r="AH105" s="245">
        <f t="shared" si="15"/>
        <v>-13.1</v>
      </c>
      <c r="AI105" s="79"/>
      <c r="AJ105" s="344">
        <f>ROUND(SUM(AH105/ABS(AE105)),3)</f>
        <v>-1.7000000000000001E-2</v>
      </c>
    </row>
    <row r="106" spans="1:45" ht="15.5">
      <c r="A106" s="118" t="s">
        <v>456</v>
      </c>
      <c r="B106" s="72"/>
      <c r="C106" s="100">
        <f>ROUND(SUM(C64:C105),1)</f>
        <v>1976.7</v>
      </c>
      <c r="D106" s="531"/>
      <c r="E106" s="100">
        <f>ROUND(SUM(E64:E105),1)</f>
        <v>1297.0999999999999</v>
      </c>
      <c r="F106" s="531"/>
      <c r="G106" s="100">
        <f>ROUND(SUM(G64:G105),1)</f>
        <v>2599.1</v>
      </c>
      <c r="H106" s="16"/>
      <c r="I106" s="100">
        <f>ROUND(SUM(I64:I105),1)</f>
        <v>2152.8000000000002</v>
      </c>
      <c r="J106" s="16"/>
      <c r="K106" s="100">
        <f>ROUND(SUM(K64:K105),1)</f>
        <v>2413.8000000000002</v>
      </c>
      <c r="L106" s="16"/>
      <c r="M106" s="100">
        <f>ROUND(SUM(M64:M105),1)</f>
        <v>2591.9</v>
      </c>
      <c r="N106" s="16"/>
      <c r="O106" s="100">
        <f>ROUND(SUM(O64:O105),1)</f>
        <v>2254.1</v>
      </c>
      <c r="P106" s="16"/>
      <c r="Q106" s="100">
        <f>ROUND(SUM(Q64:Q105),1)</f>
        <v>2125.9</v>
      </c>
      <c r="R106" s="16"/>
      <c r="S106" s="100">
        <f>ROUND(SUM(S64:S105),1)</f>
        <v>0</v>
      </c>
      <c r="T106" s="16"/>
      <c r="U106" s="100">
        <f>ROUND(SUM(U64:U105),1)</f>
        <v>0</v>
      </c>
      <c r="V106" s="16"/>
      <c r="W106" s="100">
        <f>ROUND(SUM(W64:W105),1)</f>
        <v>0</v>
      </c>
      <c r="X106" s="51"/>
      <c r="Y106" s="100">
        <f>ROUND(SUM(Y64:Y105),1)</f>
        <v>0</v>
      </c>
      <c r="Z106" s="51"/>
      <c r="AA106" s="101"/>
      <c r="AB106" s="100">
        <f>ROUND(SUM(AB64:AB105),1)</f>
        <v>17411.400000000001</v>
      </c>
      <c r="AC106" s="16"/>
      <c r="AD106" s="18"/>
      <c r="AE106" s="100">
        <f>ROUND(SUM(AE64:AE105),1)</f>
        <v>15102.1</v>
      </c>
      <c r="AF106" s="16"/>
      <c r="AG106" s="1176"/>
      <c r="AH106" s="100">
        <f>ROUND(SUM(AH64:AH105),1)</f>
        <v>2309.3000000000002</v>
      </c>
      <c r="AI106" s="16"/>
      <c r="AJ106" s="529">
        <f>ROUND(SUM(+AH106/ABS(AE106)),3)</f>
        <v>0.153</v>
      </c>
    </row>
    <row r="107" spans="1:45" ht="15.5">
      <c r="A107" s="79"/>
      <c r="B107" s="79"/>
      <c r="C107" s="245"/>
      <c r="D107" s="245"/>
      <c r="E107" s="245"/>
      <c r="F107" s="245"/>
      <c r="G107" s="245"/>
      <c r="H107" s="245"/>
      <c r="I107" s="245"/>
      <c r="J107" s="245"/>
      <c r="K107" s="245"/>
      <c r="L107" s="245"/>
      <c r="M107" s="245"/>
      <c r="N107" s="245"/>
      <c r="O107" s="245"/>
      <c r="P107" s="245"/>
      <c r="Q107" s="245"/>
      <c r="R107" s="245"/>
      <c r="S107" s="245"/>
      <c r="T107" s="245"/>
      <c r="U107" s="245"/>
      <c r="V107" s="245"/>
      <c r="W107" s="245"/>
      <c r="X107" s="245"/>
      <c r="Y107" s="245"/>
      <c r="Z107" s="245"/>
      <c r="AA107" s="246"/>
      <c r="AB107" s="245"/>
      <c r="AC107" s="245"/>
      <c r="AD107" s="246"/>
      <c r="AE107" s="245"/>
      <c r="AF107" s="245"/>
      <c r="AG107" s="245"/>
      <c r="AH107" s="245"/>
      <c r="AI107" s="79"/>
      <c r="AJ107" s="344"/>
    </row>
    <row r="108" spans="1:45" ht="15.5">
      <c r="A108" s="79" t="s">
        <v>121</v>
      </c>
      <c r="B108" s="79"/>
      <c r="C108" s="247">
        <f>+'Exhibit F'!D98+'Exhibit G State'!D84+'Exhibit H'!B52</f>
        <v>3.2</v>
      </c>
      <c r="D108" s="245"/>
      <c r="E108" s="247">
        <f>+'Exhibit F'!F98+'Exhibit G State'!F84+'Exhibit H'!D52</f>
        <v>0</v>
      </c>
      <c r="F108" s="245"/>
      <c r="G108" s="247">
        <f>+'Exhibit F'!H98+'Exhibit G State'!H84+'Exhibit H'!F52</f>
        <v>0.99999999999999944</v>
      </c>
      <c r="H108" s="245"/>
      <c r="I108" s="247">
        <f>+'Exhibit F'!J98+'Exhibit G State'!J84+'Exhibit H'!H52</f>
        <v>30.8</v>
      </c>
      <c r="J108" s="245"/>
      <c r="K108" s="247">
        <f>+'Exhibit F'!L98+'Exhibit G State'!L84+'Exhibit H'!J52</f>
        <v>0</v>
      </c>
      <c r="L108" s="245"/>
      <c r="M108" s="247">
        <f>+'Exhibit F'!N98+'Exhibit G State'!N84+'Exhibit H'!L52</f>
        <v>0</v>
      </c>
      <c r="N108" s="245"/>
      <c r="O108" s="247">
        <f>+'Exhibit F'!P98+'Exhibit G State'!P84+'Exhibit H'!N52</f>
        <v>0.19999999999999998</v>
      </c>
      <c r="P108" s="245"/>
      <c r="Q108" s="247">
        <f>+'Exhibit F'!R98+'Exhibit G State'!R84+'Exhibit H'!P52</f>
        <v>0.9</v>
      </c>
      <c r="R108" s="245"/>
      <c r="S108" s="247"/>
      <c r="T108" s="245"/>
      <c r="U108" s="247"/>
      <c r="V108" s="245"/>
      <c r="W108" s="247"/>
      <c r="X108" s="245"/>
      <c r="Y108" s="247"/>
      <c r="Z108" s="245"/>
      <c r="AA108" s="246"/>
      <c r="AB108" s="247">
        <f>ROUND(SUM(C108:Y108),1)</f>
        <v>36.1</v>
      </c>
      <c r="AC108" s="245"/>
      <c r="AD108" s="1175"/>
      <c r="AE108" s="247">
        <f>'Exhibit F'!AF98+'Exhibit G State'!AG84+'Exhibit H'!AD52</f>
        <v>52.8</v>
      </c>
      <c r="AF108" s="245"/>
      <c r="AG108" s="245"/>
      <c r="AH108" s="247">
        <f>ROUND(SUM(AB108-AE108),1)</f>
        <v>-16.7</v>
      </c>
      <c r="AI108" s="79"/>
      <c r="AJ108" s="700">
        <f>ROUND(IF(AE108=0,1,AH108/ABS(AE108)),3)</f>
        <v>-0.316</v>
      </c>
    </row>
    <row r="109" spans="1:45" ht="15.5">
      <c r="A109" s="79"/>
      <c r="B109" s="79"/>
      <c r="C109" s="245"/>
      <c r="D109" s="245"/>
      <c r="E109" s="245"/>
      <c r="F109" s="245"/>
      <c r="G109" s="245"/>
      <c r="H109" s="245"/>
      <c r="I109" s="245"/>
      <c r="J109" s="245"/>
      <c r="K109" s="245"/>
      <c r="L109" s="245"/>
      <c r="M109" s="245"/>
      <c r="N109" s="245"/>
      <c r="O109" s="245"/>
      <c r="P109" s="245"/>
      <c r="Q109" s="245"/>
      <c r="R109" s="245"/>
      <c r="S109" s="245"/>
      <c r="T109" s="245"/>
      <c r="U109" s="245"/>
      <c r="V109" s="245"/>
      <c r="W109" s="245"/>
      <c r="X109" s="245"/>
      <c r="Y109" s="245"/>
      <c r="Z109" s="245"/>
      <c r="AA109" s="246"/>
      <c r="AB109" s="245"/>
      <c r="AC109" s="245"/>
      <c r="AD109" s="1175"/>
      <c r="AE109" s="245"/>
      <c r="AF109" s="245"/>
      <c r="AG109" s="245"/>
      <c r="AH109" s="245"/>
      <c r="AI109" s="79"/>
      <c r="AJ109" s="1515"/>
    </row>
    <row r="110" spans="1:45" ht="15.5">
      <c r="A110" s="6" t="s">
        <v>457</v>
      </c>
      <c r="B110" s="466"/>
      <c r="C110" s="434">
        <f>ROUND(SUM(C108+C106+C60),1)</f>
        <v>12786.5</v>
      </c>
      <c r="D110" s="16"/>
      <c r="E110" s="434">
        <f>ROUND(SUM(E108+E106+E60),1)</f>
        <v>5801.7</v>
      </c>
      <c r="F110" s="16"/>
      <c r="G110" s="434">
        <f>ROUND(SUM(G108+G106+G60),1)</f>
        <v>14574</v>
      </c>
      <c r="H110" s="16"/>
      <c r="I110" s="434">
        <f>ROUND(SUM(I108+I106+I60),1)</f>
        <v>7756.8</v>
      </c>
      <c r="J110" s="16"/>
      <c r="K110" s="434">
        <f>ROUND(SUM(K108+K106+K60),1)</f>
        <v>8308.1</v>
      </c>
      <c r="L110" s="16"/>
      <c r="M110" s="434">
        <f>ROUND(SUM(M108+M106+M60),1)</f>
        <v>14567.5</v>
      </c>
      <c r="N110" s="16"/>
      <c r="O110" s="434">
        <f>ROUND(SUM(O108+O106+O60),1)</f>
        <v>5850.8</v>
      </c>
      <c r="P110" s="16"/>
      <c r="Q110" s="434">
        <f>ROUND(SUM(Q108+Q106+Q60),1)</f>
        <v>7593.7</v>
      </c>
      <c r="R110" s="16"/>
      <c r="S110" s="434">
        <f>ROUND(SUM(S108+S106+S60),1)</f>
        <v>0</v>
      </c>
      <c r="T110" s="16"/>
      <c r="U110" s="434">
        <f>ROUND(SUM(U108+U106+U60),1)</f>
        <v>0</v>
      </c>
      <c r="V110" s="16"/>
      <c r="W110" s="434">
        <f>ROUND(SUM(W108+W106+W60),1)</f>
        <v>0</v>
      </c>
      <c r="X110" s="51"/>
      <c r="Y110" s="434">
        <f>ROUND(SUM(Y108+Y106+Y60),1)</f>
        <v>0</v>
      </c>
      <c r="Z110" s="1997"/>
      <c r="AA110" s="6"/>
      <c r="AB110" s="434">
        <f>ROUND(SUM(AB108+AB106+AB60),1)</f>
        <v>77239.100000000006</v>
      </c>
      <c r="AC110" s="16"/>
      <c r="AD110" s="18"/>
      <c r="AE110" s="434">
        <f>ROUND(SUM(AE108+AE106+AE60),1)</f>
        <v>81400</v>
      </c>
      <c r="AF110" s="16"/>
      <c r="AG110" s="1176"/>
      <c r="AH110" s="434">
        <f>ROUND(SUM(AH108+AH106+AH60),1)</f>
        <v>-4160.8999999999996</v>
      </c>
      <c r="AI110" s="16"/>
      <c r="AJ110" s="470">
        <f>ROUND(SUM(+AH110/ABS(AE110)),3)</f>
        <v>-5.0999999999999997E-2</v>
      </c>
      <c r="AK110" s="180"/>
      <c r="AL110" s="180"/>
      <c r="AM110" s="180"/>
      <c r="AN110" s="180"/>
      <c r="AO110" s="180"/>
      <c r="AP110" s="180"/>
      <c r="AQ110" s="180"/>
      <c r="AR110" s="180"/>
      <c r="AS110" s="180"/>
    </row>
    <row r="111" spans="1:45" ht="15.5">
      <c r="A111" s="51"/>
      <c r="B111" s="79"/>
      <c r="C111" s="14"/>
      <c r="D111" s="245"/>
      <c r="E111" s="14"/>
      <c r="F111" s="245"/>
      <c r="G111" s="14"/>
      <c r="H111" s="245"/>
      <c r="I111" s="14"/>
      <c r="J111" s="245"/>
      <c r="K111" s="14"/>
      <c r="L111" s="245"/>
      <c r="M111" s="14"/>
      <c r="N111" s="245"/>
      <c r="O111" s="14"/>
      <c r="P111" s="245"/>
      <c r="Q111" s="14"/>
      <c r="R111" s="245"/>
      <c r="S111" s="14"/>
      <c r="T111" s="245"/>
      <c r="U111" s="14"/>
      <c r="V111" s="245"/>
      <c r="W111" s="14"/>
      <c r="X111" s="245"/>
      <c r="Y111" s="14"/>
      <c r="Z111" s="245"/>
      <c r="AA111" s="246"/>
      <c r="AB111" s="14"/>
      <c r="AC111" s="245"/>
      <c r="AD111" s="1175"/>
      <c r="AE111" s="14"/>
      <c r="AF111" s="245"/>
      <c r="AG111" s="245"/>
      <c r="AH111" s="325"/>
      <c r="AI111" s="79"/>
      <c r="AJ111" s="329"/>
    </row>
    <row r="112" spans="1:45" ht="15.5">
      <c r="A112" s="51" t="s">
        <v>123</v>
      </c>
      <c r="B112" s="79"/>
      <c r="C112" s="245"/>
      <c r="D112" s="245"/>
      <c r="E112" s="245"/>
      <c r="F112" s="245"/>
      <c r="G112" s="245"/>
      <c r="H112" s="245"/>
      <c r="I112" s="245"/>
      <c r="J112" s="245"/>
      <c r="K112" s="245"/>
      <c r="L112" s="245"/>
      <c r="M112" s="245"/>
      <c r="N112" s="245"/>
      <c r="O112" s="245"/>
      <c r="P112" s="245"/>
      <c r="Q112" s="245"/>
      <c r="R112" s="245"/>
      <c r="S112" s="245"/>
      <c r="T112" s="245"/>
      <c r="U112" s="245"/>
      <c r="V112" s="245"/>
      <c r="W112" s="245"/>
      <c r="X112" s="245"/>
      <c r="Y112" s="245"/>
      <c r="Z112" s="245"/>
      <c r="AA112" s="246"/>
      <c r="AB112" s="245"/>
      <c r="AC112" s="245"/>
      <c r="AD112" s="1175"/>
      <c r="AE112" s="245"/>
      <c r="AF112" s="245"/>
      <c r="AG112" s="245"/>
      <c r="AH112" s="325"/>
      <c r="AI112" s="79"/>
      <c r="AJ112" s="329"/>
    </row>
    <row r="113" spans="1:38" ht="15.5">
      <c r="A113" s="79" t="s">
        <v>458</v>
      </c>
      <c r="B113" s="79"/>
      <c r="C113" s="245"/>
      <c r="D113" s="245"/>
      <c r="E113" s="245"/>
      <c r="F113" s="245"/>
      <c r="G113" s="245"/>
      <c r="H113" s="245"/>
      <c r="I113" s="245"/>
      <c r="J113" s="245"/>
      <c r="K113" s="245"/>
      <c r="L113" s="245"/>
      <c r="M113" s="245"/>
      <c r="N113" s="245"/>
      <c r="O113" s="245"/>
      <c r="P113" s="245"/>
      <c r="Q113" s="245"/>
      <c r="R113" s="245"/>
      <c r="S113" s="245"/>
      <c r="T113" s="245"/>
      <c r="U113" s="245"/>
      <c r="V113" s="245"/>
      <c r="W113" s="245"/>
      <c r="X113" s="245"/>
      <c r="Y113" s="245"/>
      <c r="Z113" s="245"/>
      <c r="AA113" s="246"/>
      <c r="AB113" s="245"/>
      <c r="AC113" s="245"/>
      <c r="AD113" s="1175"/>
      <c r="AE113" s="325"/>
      <c r="AF113" s="245"/>
      <c r="AG113" s="245"/>
      <c r="AH113" s="245"/>
      <c r="AI113" s="79"/>
      <c r="AJ113" s="344"/>
    </row>
    <row r="114" spans="1:38" ht="15.5">
      <c r="A114" s="1018" t="s">
        <v>125</v>
      </c>
      <c r="B114" s="79"/>
      <c r="C114" s="245">
        <f>+'Exhibit F'!D104+'Exhibit G State'!D90</f>
        <v>1443.5</v>
      </c>
      <c r="D114" s="245"/>
      <c r="E114" s="245">
        <f>+'Exhibit F'!F104+'Exhibit G State'!F90</f>
        <v>4550.7000000000007</v>
      </c>
      <c r="F114" s="245"/>
      <c r="G114" s="245">
        <f>+'Exhibit F'!H104+'Exhibit G State'!H90</f>
        <v>3101.1999999999994</v>
      </c>
      <c r="H114" s="245"/>
      <c r="I114" s="245">
        <f>+'Exhibit F'!J104+'Exhibit G State'!J90</f>
        <v>674.6</v>
      </c>
      <c r="J114" s="245"/>
      <c r="K114" s="245">
        <f>+'Exhibit F'!L104+'Exhibit G State'!L90</f>
        <v>1652.5999999999997</v>
      </c>
      <c r="L114" s="245"/>
      <c r="M114" s="245">
        <f>+'Exhibit F'!N104+'Exhibit G State'!N90</f>
        <v>5122.5</v>
      </c>
      <c r="N114" s="245"/>
      <c r="O114" s="245">
        <f>+'Exhibit F'!P104+'Exhibit G State'!P90</f>
        <v>1572.7000000000007</v>
      </c>
      <c r="P114" s="245"/>
      <c r="Q114" s="245">
        <f>+'Exhibit F'!R104+'Exhibit G State'!R90</f>
        <v>2386.7000000000007</v>
      </c>
      <c r="R114" s="245"/>
      <c r="S114" s="245"/>
      <c r="T114" s="245"/>
      <c r="U114" s="245"/>
      <c r="V114" s="245"/>
      <c r="W114" s="245"/>
      <c r="X114" s="245"/>
      <c r="Y114" s="245"/>
      <c r="Z114" s="245"/>
      <c r="AA114" s="246"/>
      <c r="AB114" s="325">
        <f>ROUND(SUM(C114:Y114),1)</f>
        <v>20504.5</v>
      </c>
      <c r="AC114" s="245"/>
      <c r="AD114" s="1175"/>
      <c r="AE114" s="325">
        <f>+'Exhibit F'!AF104+'Exhibit G State'!AG90</f>
        <v>18865.3</v>
      </c>
      <c r="AF114" s="245"/>
      <c r="AG114" s="245"/>
      <c r="AH114" s="245">
        <f>ROUND(SUM(AB114-AE114),1)</f>
        <v>1639.2</v>
      </c>
      <c r="AI114" s="79"/>
      <c r="AJ114" s="344">
        <f>ROUND(SUM(AH114/ABS(AE114)),3)</f>
        <v>8.6999999999999994E-2</v>
      </c>
    </row>
    <row r="115" spans="1:38" ht="15.5">
      <c r="A115" s="1018" t="s">
        <v>126</v>
      </c>
      <c r="B115" s="79"/>
      <c r="C115" s="245">
        <f>+'Exhibit F'!D105+'Exhibit G State'!D91</f>
        <v>0.1</v>
      </c>
      <c r="D115" s="245"/>
      <c r="E115" s="245">
        <f>+'Exhibit F'!F105+'Exhibit G State'!F91</f>
        <v>0.30000000000000004</v>
      </c>
      <c r="F115" s="245"/>
      <c r="G115" s="245">
        <f>+'Exhibit F'!H105+'Exhibit G State'!H91</f>
        <v>9.9999999999999978E-2</v>
      </c>
      <c r="H115" s="245"/>
      <c r="I115" s="245">
        <f>+'Exhibit F'!J105+'Exhibit G State'!J91</f>
        <v>1.5</v>
      </c>
      <c r="J115" s="245"/>
      <c r="K115" s="245">
        <f>+'Exhibit F'!L105+'Exhibit G State'!L91</f>
        <v>0.4</v>
      </c>
      <c r="L115" s="245"/>
      <c r="M115" s="245">
        <f>+'Exhibit F'!N105+'Exhibit G State'!N91</f>
        <v>1.2999999999999998</v>
      </c>
      <c r="N115" s="245"/>
      <c r="O115" s="245">
        <f>+'Exhibit F'!P105+'Exhibit G State'!P91</f>
        <v>0.10000000000000009</v>
      </c>
      <c r="P115" s="245"/>
      <c r="Q115" s="245">
        <f>+'Exhibit F'!R105+'Exhibit G State'!R91</f>
        <v>1.9999999999999991</v>
      </c>
      <c r="R115" s="245"/>
      <c r="S115" s="245"/>
      <c r="T115" s="245"/>
      <c r="U115" s="245"/>
      <c r="V115" s="245"/>
      <c r="W115" s="245"/>
      <c r="X115" s="245"/>
      <c r="Y115" s="245"/>
      <c r="Z115" s="245"/>
      <c r="AA115" s="246"/>
      <c r="AB115" s="325">
        <f t="shared" ref="AB115:AB122" si="23">ROUND(SUM(C115:Y115),1)</f>
        <v>5.8</v>
      </c>
      <c r="AC115" s="245"/>
      <c r="AD115" s="1175"/>
      <c r="AE115" s="325">
        <f>+'Exhibit F'!AF105+'Exhibit G State'!AG91</f>
        <v>5.8999999999999995</v>
      </c>
      <c r="AF115" s="245"/>
      <c r="AG115" s="245"/>
      <c r="AH115" s="245">
        <f t="shared" ref="AH115:AH122" si="24">ROUND(SUM(AB115-AE115),1)</f>
        <v>-0.1</v>
      </c>
      <c r="AI115" s="79"/>
      <c r="AJ115" s="769">
        <f>ROUND(IF(AE115=0,1,AH115/ABS(AE115)),3)</f>
        <v>-1.7000000000000001E-2</v>
      </c>
    </row>
    <row r="116" spans="1:38" ht="15.5">
      <c r="A116" s="1018" t="s">
        <v>127</v>
      </c>
      <c r="B116" s="79"/>
      <c r="C116" s="245">
        <f>+'Exhibit F'!D106+'Exhibit G State'!D92</f>
        <v>31.3</v>
      </c>
      <c r="D116" s="245"/>
      <c r="E116" s="245">
        <f>+'Exhibit F'!F106+'Exhibit G State'!F92</f>
        <v>92.800000000000011</v>
      </c>
      <c r="F116" s="245"/>
      <c r="G116" s="245">
        <f>+'Exhibit F'!H106+'Exhibit G State'!H92</f>
        <v>459.8</v>
      </c>
      <c r="H116" s="245"/>
      <c r="I116" s="245">
        <f>+'Exhibit F'!J106+'Exhibit G State'!J92</f>
        <v>34.900000000000055</v>
      </c>
      <c r="J116" s="245"/>
      <c r="K116" s="245">
        <f>+'Exhibit F'!L106+'Exhibit G State'!L92</f>
        <v>63.299999999999933</v>
      </c>
      <c r="L116" s="245"/>
      <c r="M116" s="245">
        <f>+'Exhibit F'!N106+'Exhibit G State'!N92</f>
        <v>131.40000000000003</v>
      </c>
      <c r="N116" s="245"/>
      <c r="O116" s="245">
        <f>+'Exhibit F'!P106+'Exhibit G State'!P92</f>
        <v>46.799999999999955</v>
      </c>
      <c r="P116" s="245"/>
      <c r="Q116" s="245">
        <f>+'Exhibit F'!R106+'Exhibit G State'!R92</f>
        <v>64.600000000000051</v>
      </c>
      <c r="R116" s="245"/>
      <c r="S116" s="245"/>
      <c r="T116" s="245"/>
      <c r="U116" s="245"/>
      <c r="V116" s="245"/>
      <c r="W116" s="245"/>
      <c r="X116" s="245"/>
      <c r="Y116" s="245"/>
      <c r="Z116" s="245"/>
      <c r="AA116" s="246"/>
      <c r="AB116" s="325">
        <f t="shared" si="23"/>
        <v>924.9</v>
      </c>
      <c r="AC116" s="245"/>
      <c r="AD116" s="1175"/>
      <c r="AE116" s="325">
        <f>+'Exhibit F'!AF106+'Exhibit G State'!AG92</f>
        <v>1014.0999999999999</v>
      </c>
      <c r="AF116" s="245"/>
      <c r="AG116" s="245"/>
      <c r="AH116" s="245">
        <f t="shared" si="24"/>
        <v>-89.2</v>
      </c>
      <c r="AI116" s="79"/>
      <c r="AJ116" s="344">
        <f>ROUND(SUM(AH116/ABS(AE116)),3)</f>
        <v>-8.7999999999999995E-2</v>
      </c>
    </row>
    <row r="117" spans="1:38" ht="15.5">
      <c r="A117" s="1018" t="s">
        <v>128</v>
      </c>
      <c r="B117" s="79"/>
      <c r="C117" s="245"/>
      <c r="D117" s="245"/>
      <c r="E117" s="245"/>
      <c r="F117" s="245"/>
      <c r="G117" s="245"/>
      <c r="H117" s="245"/>
      <c r="I117" s="245"/>
      <c r="J117" s="245"/>
      <c r="K117" s="245"/>
      <c r="L117" s="245"/>
      <c r="M117" s="245"/>
      <c r="N117" s="245"/>
      <c r="O117" s="245"/>
      <c r="P117" s="245"/>
      <c r="Q117" s="245"/>
      <c r="R117" s="245"/>
      <c r="S117" s="245"/>
      <c r="T117" s="245"/>
      <c r="U117" s="245"/>
      <c r="V117" s="245"/>
      <c r="W117" s="245"/>
      <c r="X117" s="245"/>
      <c r="Y117" s="245"/>
      <c r="Z117" s="245"/>
      <c r="AA117" s="246"/>
      <c r="AB117" s="325"/>
      <c r="AC117" s="245"/>
      <c r="AD117" s="1175"/>
      <c r="AE117" s="336"/>
      <c r="AF117" s="245"/>
      <c r="AG117" s="245"/>
      <c r="AH117" s="245" t="s">
        <v>104</v>
      </c>
      <c r="AI117" s="79"/>
      <c r="AJ117" s="344"/>
    </row>
    <row r="118" spans="1:38" ht="15.5">
      <c r="A118" s="1019" t="s">
        <v>129</v>
      </c>
      <c r="B118" s="79"/>
      <c r="C118" s="245">
        <f>+'Exhibit F'!D108+'Exhibit G State'!D94</f>
        <v>3897.5</v>
      </c>
      <c r="D118" s="245"/>
      <c r="E118" s="245">
        <f>+'Exhibit F'!F108+'Exhibit G State'!F94</f>
        <v>3299.7999999999997</v>
      </c>
      <c r="F118" s="245"/>
      <c r="G118" s="245">
        <f>+'Exhibit F'!H108+'Exhibit G State'!H94</f>
        <v>2945.099999999999</v>
      </c>
      <c r="H118" s="245"/>
      <c r="I118" s="245">
        <f>+'Exhibit F'!J108+'Exhibit G State'!J94</f>
        <v>2972.8000000000011</v>
      </c>
      <c r="J118" s="245"/>
      <c r="K118" s="245">
        <f>+'Exhibit F'!L108+'Exhibit G State'!L94</f>
        <v>3486.7999999999993</v>
      </c>
      <c r="L118" s="245"/>
      <c r="M118" s="245">
        <f>+'Exhibit F'!N108+'Exhibit G State'!N94</f>
        <v>3122.6999999999994</v>
      </c>
      <c r="N118" s="245"/>
      <c r="O118" s="245">
        <f>+'Exhibit F'!P108+'Exhibit G State'!P94</f>
        <v>514.10000000000309</v>
      </c>
      <c r="P118" s="245"/>
      <c r="Q118" s="245">
        <f>+'Exhibit F'!R108+'Exhibit G State'!R94</f>
        <v>2149.5999999999972</v>
      </c>
      <c r="R118" s="245"/>
      <c r="S118" s="245"/>
      <c r="T118" s="245"/>
      <c r="U118" s="245"/>
      <c r="V118" s="245"/>
      <c r="W118" s="245"/>
      <c r="X118" s="245"/>
      <c r="Y118" s="245"/>
      <c r="Z118" s="245"/>
      <c r="AA118" s="246"/>
      <c r="AB118" s="325">
        <f t="shared" si="23"/>
        <v>22388.400000000001</v>
      </c>
      <c r="AC118" s="245"/>
      <c r="AD118" s="1175"/>
      <c r="AE118" s="325">
        <f>+'Exhibit F'!AF108+'Exhibit G State'!AG94</f>
        <v>19215</v>
      </c>
      <c r="AF118" s="245"/>
      <c r="AG118" s="245"/>
      <c r="AH118" s="245">
        <f t="shared" si="24"/>
        <v>3173.4</v>
      </c>
      <c r="AI118" s="79"/>
      <c r="AJ118" s="344">
        <f t="shared" ref="AJ118:AJ124" si="25">ROUND(SUM(AH118/ABS(AE118)),3)</f>
        <v>0.16500000000000001</v>
      </c>
    </row>
    <row r="119" spans="1:38" ht="15.5">
      <c r="A119" s="1018" t="s">
        <v>130</v>
      </c>
      <c r="B119" s="79"/>
      <c r="C119" s="245">
        <f>+'Exhibit F'!D109+'Exhibit G State'!D95</f>
        <v>132.19999999999999</v>
      </c>
      <c r="D119" s="245"/>
      <c r="E119" s="245">
        <f>+'Exhibit F'!F109+'Exhibit G State'!F95</f>
        <v>226.5</v>
      </c>
      <c r="F119" s="245"/>
      <c r="G119" s="245">
        <f>+'Exhibit F'!H109+'Exhibit G State'!H95</f>
        <v>501.00000000000011</v>
      </c>
      <c r="H119" s="245"/>
      <c r="I119" s="245">
        <f>+'Exhibit F'!J109+'Exhibit G State'!J95</f>
        <v>318.20000000000005</v>
      </c>
      <c r="J119" s="245"/>
      <c r="K119" s="245">
        <f>+'Exhibit F'!L109+'Exhibit G State'!L95</f>
        <v>204.40000000000003</v>
      </c>
      <c r="L119" s="245"/>
      <c r="M119" s="245">
        <f>+'Exhibit F'!N109+'Exhibit G State'!N95</f>
        <v>542.19999999999982</v>
      </c>
      <c r="N119" s="245"/>
      <c r="O119" s="245">
        <f>+'Exhibit F'!P109+'Exhibit G State'!P95</f>
        <v>223.30000000000007</v>
      </c>
      <c r="P119" s="245"/>
      <c r="Q119" s="245">
        <f>+'Exhibit F'!R109+'Exhibit G State'!R95</f>
        <v>103.79999999999984</v>
      </c>
      <c r="R119" s="245"/>
      <c r="S119" s="245"/>
      <c r="T119" s="245"/>
      <c r="U119" s="245"/>
      <c r="V119" s="245"/>
      <c r="W119" s="245"/>
      <c r="X119" s="245"/>
      <c r="Y119" s="245"/>
      <c r="Z119" s="245"/>
      <c r="AA119" s="246"/>
      <c r="AB119" s="325">
        <f t="shared" si="23"/>
        <v>2251.6</v>
      </c>
      <c r="AC119" s="1998"/>
      <c r="AD119" s="245"/>
      <c r="AE119" s="325">
        <f>+'Exhibit F'!AF109+'Exhibit G State'!AG95</f>
        <v>2283.6</v>
      </c>
      <c r="AF119" s="245"/>
      <c r="AG119" s="245"/>
      <c r="AH119" s="245">
        <f t="shared" si="24"/>
        <v>-32</v>
      </c>
      <c r="AI119" s="79"/>
      <c r="AJ119" s="344">
        <f t="shared" si="25"/>
        <v>-1.4E-2</v>
      </c>
    </row>
    <row r="120" spans="1:38" ht="15.5">
      <c r="A120" s="1018" t="s">
        <v>131</v>
      </c>
      <c r="B120" s="79"/>
      <c r="C120" s="245">
        <f>+'Exhibit F'!D110+'Exhibit G State'!D96</f>
        <v>14.600000000000001</v>
      </c>
      <c r="D120" s="245"/>
      <c r="E120" s="245">
        <f>+'Exhibit F'!F110+'Exhibit G State'!F96</f>
        <v>34.700000000000003</v>
      </c>
      <c r="F120" s="245"/>
      <c r="G120" s="245">
        <f>+'Exhibit F'!H110+'Exhibit G State'!H96</f>
        <v>31.000000000000007</v>
      </c>
      <c r="H120" s="245"/>
      <c r="I120" s="245">
        <f>+'Exhibit F'!J110+'Exhibit G State'!J96</f>
        <v>32.200000000000003</v>
      </c>
      <c r="J120" s="245"/>
      <c r="K120" s="245">
        <f>+'Exhibit F'!L110+'Exhibit G State'!L96</f>
        <v>44.8</v>
      </c>
      <c r="L120" s="245"/>
      <c r="M120" s="245">
        <f>+'Exhibit F'!N110+'Exhibit G State'!N96</f>
        <v>110.39999999999998</v>
      </c>
      <c r="N120" s="245"/>
      <c r="O120" s="245">
        <f>+'Exhibit F'!P110+'Exhibit G State'!P96</f>
        <v>94.5</v>
      </c>
      <c r="P120" s="245"/>
      <c r="Q120" s="245">
        <f>+'Exhibit F'!R110+'Exhibit G State'!R96</f>
        <v>50.59999999999998</v>
      </c>
      <c r="R120" s="245"/>
      <c r="S120" s="245"/>
      <c r="T120" s="245"/>
      <c r="U120" s="245"/>
      <c r="V120" s="245"/>
      <c r="W120" s="245"/>
      <c r="X120" s="245"/>
      <c r="Y120" s="245"/>
      <c r="Z120" s="245"/>
      <c r="AA120" s="246"/>
      <c r="AB120" s="325">
        <f t="shared" si="23"/>
        <v>412.8</v>
      </c>
      <c r="AC120" s="2042"/>
      <c r="AD120" s="1175"/>
      <c r="AE120" s="325">
        <f>+'Exhibit F'!AF110+'Exhibit G State'!AG96</f>
        <v>282.5</v>
      </c>
      <c r="AF120" s="245"/>
      <c r="AG120" s="245"/>
      <c r="AH120" s="245">
        <f t="shared" si="24"/>
        <v>130.30000000000001</v>
      </c>
      <c r="AI120" s="79"/>
      <c r="AJ120" s="344">
        <f t="shared" si="25"/>
        <v>0.46100000000000002</v>
      </c>
    </row>
    <row r="121" spans="1:38" ht="15.5">
      <c r="A121" s="1018" t="s">
        <v>132</v>
      </c>
      <c r="B121" s="79"/>
      <c r="C121" s="245">
        <f>+'Exhibit F'!D111+'Exhibit G State'!D97</f>
        <v>189.89999999999998</v>
      </c>
      <c r="D121" s="245"/>
      <c r="E121" s="245">
        <f>+'Exhibit F'!F111+'Exhibit G State'!F97</f>
        <v>202</v>
      </c>
      <c r="F121" s="245"/>
      <c r="G121" s="245">
        <f>+'Exhibit F'!H111+'Exhibit G State'!H97</f>
        <v>344.3</v>
      </c>
      <c r="H121" s="245"/>
      <c r="I121" s="245">
        <f>+'Exhibit F'!J111+'Exhibit G State'!J97</f>
        <v>511.09999999999997</v>
      </c>
      <c r="J121" s="245"/>
      <c r="K121" s="245">
        <f>+'Exhibit F'!L111+'Exhibit G State'!L97</f>
        <v>211.69999999999993</v>
      </c>
      <c r="L121" s="245"/>
      <c r="M121" s="245">
        <f>+'Exhibit F'!N111+'Exhibit G State'!N97</f>
        <v>384.09999999999997</v>
      </c>
      <c r="N121" s="245"/>
      <c r="O121" s="245">
        <f>+'Exhibit F'!P111+'Exhibit G State'!P97</f>
        <v>200.80000000000018</v>
      </c>
      <c r="P121" s="245"/>
      <c r="Q121" s="245">
        <f>+'Exhibit F'!R111+'Exhibit G State'!R97</f>
        <v>507.80000000000047</v>
      </c>
      <c r="R121" s="245"/>
      <c r="S121" s="245"/>
      <c r="T121" s="245"/>
      <c r="U121" s="245"/>
      <c r="V121" s="245"/>
      <c r="W121" s="245"/>
      <c r="X121" s="245"/>
      <c r="Y121" s="245"/>
      <c r="Z121" s="245"/>
      <c r="AA121" s="246"/>
      <c r="AB121" s="325">
        <f t="shared" si="23"/>
        <v>2551.6999999999998</v>
      </c>
      <c r="AC121" s="2042"/>
      <c r="AD121" s="1175"/>
      <c r="AE121" s="325">
        <f>+'Exhibit F'!AF111+'Exhibit G State'!AG97</f>
        <v>2201.1</v>
      </c>
      <c r="AF121" s="245"/>
      <c r="AG121" s="245"/>
      <c r="AH121" s="245">
        <f t="shared" si="24"/>
        <v>350.6</v>
      </c>
      <c r="AI121" s="79"/>
      <c r="AJ121" s="344">
        <f t="shared" si="25"/>
        <v>0.159</v>
      </c>
    </row>
    <row r="122" spans="1:38" ht="15.5">
      <c r="A122" s="1018" t="s">
        <v>133</v>
      </c>
      <c r="B122" s="79"/>
      <c r="C122" s="245">
        <f>+'Exhibit F'!D112+'Exhibit G State'!D98</f>
        <v>13.3</v>
      </c>
      <c r="D122" s="245"/>
      <c r="E122" s="245">
        <f>+'Exhibit F'!F112+'Exhibit G State'!F98</f>
        <v>14.9</v>
      </c>
      <c r="F122" s="245"/>
      <c r="G122" s="245">
        <f>+'Exhibit F'!H112+'Exhibit G State'!H98</f>
        <v>9.1000000000000014</v>
      </c>
      <c r="H122" s="245"/>
      <c r="I122" s="245">
        <f>+'Exhibit F'!J112+'Exhibit G State'!J98</f>
        <v>38.5</v>
      </c>
      <c r="J122" s="245"/>
      <c r="K122" s="245">
        <f>+'Exhibit F'!L112+'Exhibit G State'!L98</f>
        <v>18.5</v>
      </c>
      <c r="L122" s="245"/>
      <c r="M122" s="245">
        <f>+'Exhibit F'!N112+'Exhibit G State'!N98</f>
        <v>18.5</v>
      </c>
      <c r="N122" s="245"/>
      <c r="O122" s="245">
        <f>+'Exhibit F'!P112+'Exhibit G State'!P98</f>
        <v>16.899999999999999</v>
      </c>
      <c r="P122" s="245"/>
      <c r="Q122" s="245">
        <f>+'Exhibit F'!R112+'Exhibit G State'!R98</f>
        <v>12.20000000000001</v>
      </c>
      <c r="R122" s="245"/>
      <c r="S122" s="245"/>
      <c r="T122" s="245"/>
      <c r="U122" s="245"/>
      <c r="V122" s="245"/>
      <c r="W122" s="245"/>
      <c r="X122" s="245"/>
      <c r="Y122" s="245"/>
      <c r="Z122" s="245"/>
      <c r="AA122" s="246"/>
      <c r="AB122" s="325">
        <f t="shared" si="23"/>
        <v>141.9</v>
      </c>
      <c r="AC122" s="2042"/>
      <c r="AD122" s="1175"/>
      <c r="AE122" s="325">
        <f>+'Exhibit F'!AF112+'Exhibit G State'!AG98</f>
        <v>665.4</v>
      </c>
      <c r="AF122" s="245"/>
      <c r="AG122" s="245"/>
      <c r="AH122" s="245">
        <f t="shared" si="24"/>
        <v>-523.5</v>
      </c>
      <c r="AI122" s="79"/>
      <c r="AJ122" s="344">
        <f t="shared" si="25"/>
        <v>-0.78700000000000003</v>
      </c>
    </row>
    <row r="123" spans="1:38" ht="15.5">
      <c r="A123" s="1018" t="s">
        <v>134</v>
      </c>
      <c r="B123" s="79"/>
      <c r="C123" s="245">
        <f>+'Exhibit F'!D113+'Exhibit G State'!D99</f>
        <v>84.2</v>
      </c>
      <c r="D123" s="245"/>
      <c r="E123" s="245">
        <f>+'Exhibit F'!F113+'Exhibit G State'!F99</f>
        <v>619.79999999999995</v>
      </c>
      <c r="F123" s="245"/>
      <c r="G123" s="245">
        <f>+'Exhibit F'!H113+'Exhibit G State'!H99</f>
        <v>362.00000000000006</v>
      </c>
      <c r="H123" s="245"/>
      <c r="I123" s="245">
        <f>+'Exhibit F'!J113+'Exhibit G State'!J99</f>
        <v>380.59999999999997</v>
      </c>
      <c r="J123" s="245"/>
      <c r="K123" s="245">
        <f>+'Exhibit F'!L113+'Exhibit G State'!L99</f>
        <v>584.19999999999982</v>
      </c>
      <c r="L123" s="245"/>
      <c r="M123" s="245">
        <f>+'Exhibit F'!N113+'Exhibit G State'!N99</f>
        <v>360.20000000000044</v>
      </c>
      <c r="N123" s="245"/>
      <c r="O123" s="245">
        <f>+'Exhibit F'!P113+'Exhibit G State'!P99</f>
        <v>431.8</v>
      </c>
      <c r="P123" s="245"/>
      <c r="Q123" s="245">
        <f>+'Exhibit F'!R113+'Exhibit G State'!R99</f>
        <v>726.5999999999998</v>
      </c>
      <c r="R123" s="245"/>
      <c r="S123" s="245"/>
      <c r="T123" s="245"/>
      <c r="U123" s="245"/>
      <c r="V123" s="245"/>
      <c r="W123" s="245"/>
      <c r="X123" s="245"/>
      <c r="Y123" s="245"/>
      <c r="Z123" s="245"/>
      <c r="AA123" s="246"/>
      <c r="AB123" s="245">
        <f>ROUND(SUM(C123:Y123),1)</f>
        <v>3549.4</v>
      </c>
      <c r="AC123" s="2042"/>
      <c r="AD123" s="1175"/>
      <c r="AE123" s="325">
        <f>+'Exhibit F'!AF113+'Exhibit G State'!AG99</f>
        <v>3269.8999999999996</v>
      </c>
      <c r="AF123" s="245"/>
      <c r="AG123" s="245"/>
      <c r="AH123" s="245">
        <f>ROUND(SUM(AB123-AE123),1)</f>
        <v>279.5</v>
      </c>
      <c r="AI123" s="79"/>
      <c r="AJ123" s="344">
        <f t="shared" si="25"/>
        <v>8.5000000000000006E-2</v>
      </c>
    </row>
    <row r="124" spans="1:38" ht="15.5">
      <c r="A124" s="79" t="s">
        <v>135</v>
      </c>
      <c r="B124" s="79"/>
      <c r="C124" s="1516">
        <f>ROUND(SUM(C114:C123),1)</f>
        <v>5806.6</v>
      </c>
      <c r="D124" s="248"/>
      <c r="E124" s="1516">
        <f>ROUND(SUM(E114:E123),1)</f>
        <v>9041.5</v>
      </c>
      <c r="F124" s="248"/>
      <c r="G124" s="1516">
        <f>ROUND(SUM(G114:G123),1)</f>
        <v>7753.6</v>
      </c>
      <c r="H124" s="248"/>
      <c r="I124" s="1516">
        <f>ROUND(SUM(I114:I123),1)</f>
        <v>4964.3999999999996</v>
      </c>
      <c r="J124" s="248"/>
      <c r="K124" s="1516">
        <f>ROUND(SUM(K114:K123),1)</f>
        <v>6266.7</v>
      </c>
      <c r="L124" s="248"/>
      <c r="M124" s="1516">
        <f>ROUND(SUM(M114:M123),1)</f>
        <v>9793.2999999999993</v>
      </c>
      <c r="N124" s="248"/>
      <c r="O124" s="1516">
        <f>ROUND(SUM(O114:O123),1)</f>
        <v>3101</v>
      </c>
      <c r="P124" s="248"/>
      <c r="Q124" s="1516">
        <f>ROUND(SUM(Q114:Q123),1)</f>
        <v>6003.9</v>
      </c>
      <c r="R124" s="248"/>
      <c r="S124" s="1516">
        <f>ROUND(SUM(S114:S123),1)</f>
        <v>0</v>
      </c>
      <c r="T124" s="248"/>
      <c r="U124" s="1516">
        <f>ROUND(SUM(U114:U123),1)</f>
        <v>0</v>
      </c>
      <c r="V124" s="248"/>
      <c r="W124" s="1516">
        <f>ROUND(SUM(W114:W123),1)</f>
        <v>0</v>
      </c>
      <c r="X124" s="248"/>
      <c r="Y124" s="1516">
        <f>ROUND(SUM(Y114:Y123),1)</f>
        <v>0</v>
      </c>
      <c r="Z124" s="248"/>
      <c r="AA124" s="1692"/>
      <c r="AB124" s="1516">
        <f>ROUND(SUM(AB114:AB123),1)</f>
        <v>52731</v>
      </c>
      <c r="AC124" s="2043"/>
      <c r="AD124" s="1178"/>
      <c r="AE124" s="100">
        <f>ROUND(SUM(AE114:AE123),1)</f>
        <v>47802.8</v>
      </c>
      <c r="AF124" s="248"/>
      <c r="AG124" s="248"/>
      <c r="AH124" s="100">
        <f>ROUND(SUM(AH114:AH123),1)</f>
        <v>4928.2</v>
      </c>
      <c r="AI124" s="238"/>
      <c r="AJ124" s="529">
        <f t="shared" si="25"/>
        <v>0.10299999999999999</v>
      </c>
      <c r="AK124" s="180"/>
      <c r="AL124" s="180"/>
    </row>
    <row r="125" spans="1:38" ht="15.5">
      <c r="A125" s="79" t="s">
        <v>136</v>
      </c>
      <c r="B125" s="79"/>
      <c r="C125" s="245"/>
      <c r="D125" s="245"/>
      <c r="E125" s="245"/>
      <c r="F125" s="245"/>
      <c r="G125" s="245"/>
      <c r="H125" s="245"/>
      <c r="I125" s="245"/>
      <c r="J125" s="245"/>
      <c r="K125" s="245"/>
      <c r="L125" s="245"/>
      <c r="M125" s="245"/>
      <c r="N125" s="245"/>
      <c r="O125" s="245"/>
      <c r="P125" s="245"/>
      <c r="Q125" s="245"/>
      <c r="R125" s="245"/>
      <c r="S125" s="245"/>
      <c r="T125" s="245"/>
      <c r="U125" s="245"/>
      <c r="V125" s="245"/>
      <c r="W125" s="245"/>
      <c r="X125" s="245"/>
      <c r="Y125" s="245"/>
      <c r="Z125" s="245"/>
      <c r="AA125" s="246"/>
      <c r="AB125" s="245"/>
      <c r="AC125" s="245"/>
      <c r="AD125" s="1175"/>
      <c r="AE125" s="325"/>
      <c r="AF125" s="245"/>
      <c r="AG125" s="245"/>
      <c r="AH125" s="325"/>
      <c r="AI125" s="79"/>
      <c r="AJ125" s="329"/>
    </row>
    <row r="126" spans="1:38" ht="15.5">
      <c r="A126" s="79" t="s">
        <v>459</v>
      </c>
      <c r="B126" s="79"/>
      <c r="C126" s="245">
        <f>+'Exhibit F'!D116+'Exhibit G State'!D102</f>
        <v>1249.7</v>
      </c>
      <c r="D126" s="245"/>
      <c r="E126" s="245">
        <f>+'Exhibit F'!F116+'Exhibit G State'!F102</f>
        <v>1233.3</v>
      </c>
      <c r="F126" s="245"/>
      <c r="G126" s="245">
        <f>+'Exhibit F'!H116+'Exhibit G State'!H102</f>
        <v>1312.1</v>
      </c>
      <c r="H126" s="245"/>
      <c r="I126" s="245">
        <f>+'Exhibit F'!J116+'Exhibit G State'!J102</f>
        <v>1158.9000000000003</v>
      </c>
      <c r="J126" s="245"/>
      <c r="K126" s="245">
        <f>+'Exhibit F'!L116+'Exhibit G State'!L102</f>
        <v>1616.5</v>
      </c>
      <c r="L126" s="245"/>
      <c r="M126" s="245">
        <f>+'Exhibit F'!N116+'Exhibit G State'!N102</f>
        <v>1172.3999999999992</v>
      </c>
      <c r="N126" s="245"/>
      <c r="O126" s="245">
        <f>+'Exhibit F'!P116+'Exhibit G State'!P102</f>
        <v>1198.8000000000002</v>
      </c>
      <c r="P126" s="245"/>
      <c r="Q126" s="245">
        <f>+'Exhibit F'!R116+'Exhibit G State'!R102</f>
        <v>1585.8000000000013</v>
      </c>
      <c r="R126" s="245"/>
      <c r="S126" s="245"/>
      <c r="T126" s="245"/>
      <c r="U126" s="245"/>
      <c r="V126" s="245"/>
      <c r="W126" s="245"/>
      <c r="X126" s="245"/>
      <c r="Y126" s="245"/>
      <c r="Z126" s="245"/>
      <c r="AA126" s="246"/>
      <c r="AB126" s="245">
        <f>ROUND(SUM(C126:Y126),1)</f>
        <v>10527.5</v>
      </c>
      <c r="AC126" s="245"/>
      <c r="AD126" s="1175"/>
      <c r="AE126" s="325">
        <f>+'Exhibit F'!AF116+'Exhibit G State'!AG102</f>
        <v>9670.4000000000015</v>
      </c>
      <c r="AF126" s="245"/>
      <c r="AG126" s="245"/>
      <c r="AH126" s="245">
        <f>ROUND(SUM(AB126-AE126),1)</f>
        <v>857.1</v>
      </c>
      <c r="AI126" s="79"/>
      <c r="AJ126" s="344">
        <f>ROUND(SUM(AH126/ABS(AE126)),3)</f>
        <v>8.8999999999999996E-2</v>
      </c>
    </row>
    <row r="127" spans="1:38" ht="15.5">
      <c r="A127" s="79" t="s">
        <v>460</v>
      </c>
      <c r="B127" s="79"/>
      <c r="C127" s="245">
        <f>+'Exhibit F'!D117+'Exhibit G State'!D103+'Exhibit H'!B58</f>
        <v>376.1</v>
      </c>
      <c r="D127" s="245"/>
      <c r="E127" s="245">
        <f>+'Exhibit F'!F117+'Exhibit G State'!F103+'Exhibit H'!D58</f>
        <v>503.20000000000005</v>
      </c>
      <c r="F127" s="245"/>
      <c r="G127" s="245">
        <f>+'Exhibit F'!H117+'Exhibit G State'!H103+'Exhibit H'!F58</f>
        <v>-134.10000000000002</v>
      </c>
      <c r="H127" s="245"/>
      <c r="I127" s="245">
        <f>+'Exhibit F'!J117+'Exhibit G State'!J103+'Exhibit H'!H58</f>
        <v>462.8</v>
      </c>
      <c r="J127" s="245"/>
      <c r="K127" s="245">
        <f>+'Exhibit F'!L117+'Exhibit G State'!L103+'Exhibit H'!J58</f>
        <v>592.89999999999986</v>
      </c>
      <c r="L127" s="245"/>
      <c r="M127" s="245">
        <f>+'Exhibit F'!N117+'Exhibit G State'!N103+'Exhibit H'!L58</f>
        <v>461.20000000000016</v>
      </c>
      <c r="N127" s="245"/>
      <c r="O127" s="245">
        <f>+'Exhibit F'!P117+'Exhibit G State'!P103+'Exhibit H'!N58</f>
        <v>595.29999999999995</v>
      </c>
      <c r="P127" s="245"/>
      <c r="Q127" s="245">
        <f>+'Exhibit F'!R117+'Exhibit G State'!R103+'Exhibit H'!P58</f>
        <v>567.69999999999982</v>
      </c>
      <c r="R127" s="245"/>
      <c r="S127" s="245"/>
      <c r="T127" s="245"/>
      <c r="U127" s="245"/>
      <c r="V127" s="245"/>
      <c r="W127" s="245"/>
      <c r="X127" s="245"/>
      <c r="Y127" s="245"/>
      <c r="Z127" s="245"/>
      <c r="AA127" s="246"/>
      <c r="AB127" s="245">
        <f>ROUND(SUM(C127:Y127),1)</f>
        <v>3425.1</v>
      </c>
      <c r="AC127" s="245"/>
      <c r="AD127" s="1175"/>
      <c r="AE127" s="325">
        <f>+'Exhibit F'!AF117+'Exhibit G State'!AG103+'Exhibit H'!AD58</f>
        <v>3829.8999999999996</v>
      </c>
      <c r="AF127" s="245"/>
      <c r="AG127" s="245"/>
      <c r="AH127" s="245">
        <f>ROUND(SUM(AB127-AE127),1)</f>
        <v>-404.8</v>
      </c>
      <c r="AI127" s="79"/>
      <c r="AJ127" s="344">
        <f>ROUND(SUM(AH127/ABS(AE127)),3)</f>
        <v>-0.106</v>
      </c>
    </row>
    <row r="128" spans="1:38" ht="15.5">
      <c r="A128" s="79" t="s">
        <v>139</v>
      </c>
      <c r="B128" s="79"/>
      <c r="C128" s="245">
        <f>+'Exhibit F'!D118+'Exhibit G State'!D104</f>
        <v>687</v>
      </c>
      <c r="D128" s="245"/>
      <c r="E128" s="245">
        <f>+'Exhibit F'!F118+'Exhibit G State'!F104</f>
        <v>1944.6000000000004</v>
      </c>
      <c r="F128" s="245"/>
      <c r="G128" s="245">
        <f>+'Exhibit F'!H118+'Exhibit G State'!H104</f>
        <v>563.69999999999959</v>
      </c>
      <c r="H128" s="245"/>
      <c r="I128" s="245">
        <f>+'Exhibit F'!J118+'Exhibit G State'!J104</f>
        <v>500.80000000000018</v>
      </c>
      <c r="J128" s="245"/>
      <c r="K128" s="245">
        <f>+'Exhibit F'!L118+'Exhibit G State'!L104</f>
        <v>609.39999999999986</v>
      </c>
      <c r="L128" s="245"/>
      <c r="M128" s="245">
        <f>+'Exhibit F'!N118+'Exhibit G State'!N104</f>
        <v>555.39999999999952</v>
      </c>
      <c r="N128" s="245"/>
      <c r="O128" s="245">
        <f>+'Exhibit F'!P118+'Exhibit G State'!P104</f>
        <v>560.50000000000023</v>
      </c>
      <c r="P128" s="245"/>
      <c r="Q128" s="245">
        <f>+'Exhibit F'!R118+'Exhibit G State'!R104</f>
        <v>532.20000000000016</v>
      </c>
      <c r="R128" s="245"/>
      <c r="S128" s="245"/>
      <c r="T128" s="245"/>
      <c r="U128" s="245"/>
      <c r="V128" s="245"/>
      <c r="W128" s="245"/>
      <c r="X128" s="245"/>
      <c r="Y128" s="245"/>
      <c r="Z128" s="245"/>
      <c r="AA128" s="246"/>
      <c r="AB128" s="245">
        <f>ROUND(SUM(C128:Y128),1)</f>
        <v>5953.6</v>
      </c>
      <c r="AC128" s="245"/>
      <c r="AD128" s="1175"/>
      <c r="AE128" s="325">
        <f>+'Exhibit F'!AF118+'Exhibit G State'!AG104</f>
        <v>6216</v>
      </c>
      <c r="AF128" s="245"/>
      <c r="AG128" s="245"/>
      <c r="AH128" s="245">
        <f>ROUND(SUM(AB128-AE128),1)</f>
        <v>-262.39999999999998</v>
      </c>
      <c r="AI128" s="79"/>
      <c r="AJ128" s="344">
        <f>ROUND(SUM(AH128/ABS(AE128)),3)</f>
        <v>-4.2000000000000003E-2</v>
      </c>
    </row>
    <row r="129" spans="1:44" ht="15.5">
      <c r="A129" s="79" t="s">
        <v>140</v>
      </c>
      <c r="B129" s="79"/>
      <c r="C129" s="245"/>
      <c r="D129" s="245"/>
      <c r="E129" s="245"/>
      <c r="F129" s="245"/>
      <c r="G129" s="245"/>
      <c r="H129" s="245"/>
      <c r="I129" s="245"/>
      <c r="J129" s="245"/>
      <c r="K129" s="245"/>
      <c r="L129" s="245"/>
      <c r="M129" s="245"/>
      <c r="N129" s="245"/>
      <c r="O129" s="245"/>
      <c r="P129" s="245"/>
      <c r="Q129" s="245"/>
      <c r="R129" s="245"/>
      <c r="S129" s="245"/>
      <c r="T129" s="245"/>
      <c r="U129" s="245"/>
      <c r="V129" s="245"/>
      <c r="W129" s="245"/>
      <c r="X129" s="245"/>
      <c r="Y129" s="245"/>
      <c r="Z129" s="245"/>
      <c r="AA129" s="246"/>
      <c r="AB129" s="245"/>
      <c r="AC129" s="245"/>
      <c r="AD129" s="1175"/>
      <c r="AE129" s="245"/>
      <c r="AF129" s="245"/>
      <c r="AG129" s="245"/>
      <c r="AH129" s="245"/>
      <c r="AI129" s="79"/>
      <c r="AJ129" s="344"/>
    </row>
    <row r="130" spans="1:44" ht="15.5">
      <c r="A130" s="79" t="s">
        <v>141</v>
      </c>
      <c r="B130" s="79"/>
      <c r="C130" s="245">
        <f>+'Exhibit H'!B60</f>
        <v>35.200000000000003</v>
      </c>
      <c r="D130" s="245"/>
      <c r="E130" s="245">
        <f>+'Exhibit H'!D60</f>
        <v>28.5</v>
      </c>
      <c r="F130" s="245"/>
      <c r="G130" s="245">
        <f>+'Exhibit H'!F60</f>
        <v>4.8999999999999915</v>
      </c>
      <c r="H130" s="245"/>
      <c r="I130" s="245">
        <f>+'Exhibit H'!H60</f>
        <v>4.5</v>
      </c>
      <c r="J130" s="245"/>
      <c r="K130" s="245">
        <f>+'Exhibit H'!J60</f>
        <v>61.400000000000006</v>
      </c>
      <c r="L130" s="245"/>
      <c r="M130" s="245">
        <f>+'Exhibit H'!L60</f>
        <v>426.9</v>
      </c>
      <c r="N130" s="245"/>
      <c r="O130" s="245">
        <f>+'Exhibit H'!N60</f>
        <v>5.3000000000000682</v>
      </c>
      <c r="P130" s="245"/>
      <c r="Q130" s="245">
        <f>+'Exhibit H'!P60</f>
        <v>13.799999999999955</v>
      </c>
      <c r="R130" s="245"/>
      <c r="S130" s="245"/>
      <c r="T130" s="245"/>
      <c r="U130" s="245"/>
      <c r="V130" s="245"/>
      <c r="W130" s="245"/>
      <c r="X130" s="245"/>
      <c r="Y130" s="245"/>
      <c r="Z130" s="245"/>
      <c r="AA130" s="246"/>
      <c r="AB130" s="245">
        <f>ROUND(SUM(C130:Y130),1)</f>
        <v>580.5</v>
      </c>
      <c r="AC130" s="245"/>
      <c r="AD130" s="1175"/>
      <c r="AE130" s="325">
        <f>+'Exhibit H'!AD60</f>
        <v>1440.6</v>
      </c>
      <c r="AF130" s="245"/>
      <c r="AG130" s="245"/>
      <c r="AH130" s="245">
        <f>ROUND(SUM(AB130-AE130),1)</f>
        <v>-860.1</v>
      </c>
      <c r="AI130" s="79"/>
      <c r="AJ130" s="344">
        <f>ROUND(SUM(AH130/ABS(AE130)),3)</f>
        <v>-0.59699999999999998</v>
      </c>
    </row>
    <row r="131" spans="1:44" ht="15.5">
      <c r="A131" s="79" t="s">
        <v>462</v>
      </c>
      <c r="B131" s="79"/>
      <c r="C131" s="245">
        <f>'Exhibit G State'!D105</f>
        <v>0</v>
      </c>
      <c r="D131" s="245"/>
      <c r="E131" s="245">
        <f>'Exhibit G State'!F105</f>
        <v>0</v>
      </c>
      <c r="F131" s="245"/>
      <c r="G131" s="245">
        <f>'Exhibit G State'!H105</f>
        <v>0</v>
      </c>
      <c r="H131" s="245"/>
      <c r="I131" s="245">
        <f>'Exhibit G State'!J105</f>
        <v>0</v>
      </c>
      <c r="J131" s="245"/>
      <c r="K131" s="245">
        <f>'Exhibit G State'!L105</f>
        <v>0</v>
      </c>
      <c r="L131" s="245"/>
      <c r="M131" s="245">
        <f>'Exhibit G State'!N105</f>
        <v>0</v>
      </c>
      <c r="N131" s="245"/>
      <c r="O131" s="245">
        <f>'Exhibit G State'!P105</f>
        <v>0</v>
      </c>
      <c r="P131" s="245"/>
      <c r="Q131" s="245">
        <f>'Exhibit G State'!R105</f>
        <v>0</v>
      </c>
      <c r="R131" s="245"/>
      <c r="S131" s="245"/>
      <c r="T131" s="245"/>
      <c r="U131" s="245"/>
      <c r="V131" s="245"/>
      <c r="W131" s="245"/>
      <c r="X131" s="245"/>
      <c r="Y131" s="245"/>
      <c r="Z131" s="245"/>
      <c r="AA131" s="246"/>
      <c r="AB131" s="245">
        <f>ROUND(SUM(C131:Y131),1)</f>
        <v>0</v>
      </c>
      <c r="AC131" s="245"/>
      <c r="AD131" s="1175"/>
      <c r="AE131" s="325">
        <f>+'Exhibit G'!AG107</f>
        <v>0</v>
      </c>
      <c r="AF131" s="245"/>
      <c r="AG131" s="245"/>
      <c r="AH131" s="245">
        <f>ROUND(SUM(AB131-AE131),1)</f>
        <v>0</v>
      </c>
      <c r="AI131" s="79"/>
      <c r="AJ131" s="327">
        <f>ROUND(IF(AE131=0,0,AH131/ABS(AE131)),3)</f>
        <v>0</v>
      </c>
    </row>
    <row r="132" spans="1:44" ht="16.5" customHeight="1">
      <c r="A132" s="79"/>
      <c r="B132" s="79"/>
      <c r="C132" s="1221"/>
      <c r="D132" s="245"/>
      <c r="E132" s="1221"/>
      <c r="F132" s="245"/>
      <c r="G132" s="1221"/>
      <c r="H132" s="245"/>
      <c r="I132" s="1221"/>
      <c r="J132" s="245"/>
      <c r="K132" s="1221"/>
      <c r="L132" s="245"/>
      <c r="M132" s="1221"/>
      <c r="N132" s="245"/>
      <c r="O132" s="1221"/>
      <c r="P132" s="245"/>
      <c r="Q132" s="1221"/>
      <c r="R132" s="245"/>
      <c r="S132" s="1221"/>
      <c r="T132" s="245"/>
      <c r="U132" s="1221"/>
      <c r="V132" s="245"/>
      <c r="W132" s="1221"/>
      <c r="X132" s="245"/>
      <c r="Y132" s="1221"/>
      <c r="Z132" s="245"/>
      <c r="AA132" s="246"/>
      <c r="AB132" s="1221"/>
      <c r="AC132" s="245"/>
      <c r="AD132" s="1175"/>
      <c r="AE132" s="1221"/>
      <c r="AF132" s="245"/>
      <c r="AG132" s="245"/>
      <c r="AH132" s="1221"/>
      <c r="AI132" s="79"/>
      <c r="AJ132" s="1222"/>
    </row>
    <row r="133" spans="1:44" ht="16.5" customHeight="1">
      <c r="A133" s="51" t="s">
        <v>164</v>
      </c>
      <c r="B133" s="79"/>
      <c r="C133" s="1020">
        <f>ROUND(SUM(C124:C131),1)</f>
        <v>8154.6</v>
      </c>
      <c r="D133" s="248"/>
      <c r="E133" s="1020">
        <f>ROUND(SUM(E124:E131),1)</f>
        <v>12751.1</v>
      </c>
      <c r="F133" s="248"/>
      <c r="G133" s="1020">
        <f>ROUND(SUM(G124:G131),1)</f>
        <v>9500.2000000000007</v>
      </c>
      <c r="H133" s="248"/>
      <c r="I133" s="1020">
        <f>ROUND(SUM(I124:I131),1)</f>
        <v>7091.4</v>
      </c>
      <c r="J133" s="248"/>
      <c r="K133" s="1020">
        <f>ROUND(SUM(K124:K131),1)</f>
        <v>9146.9</v>
      </c>
      <c r="L133" s="248"/>
      <c r="M133" s="1020">
        <f>ROUND(SUM(M124:M131),1)</f>
        <v>12409.2</v>
      </c>
      <c r="N133" s="248"/>
      <c r="O133" s="1020">
        <f>ROUND(SUM(O124:O131),1)</f>
        <v>5460.9</v>
      </c>
      <c r="P133" s="248"/>
      <c r="Q133" s="1020">
        <f>ROUND(SUM(Q124:Q131),1)</f>
        <v>8703.4</v>
      </c>
      <c r="R133" s="248"/>
      <c r="S133" s="1020">
        <f>ROUND(SUM(S124:S131),1)</f>
        <v>0</v>
      </c>
      <c r="T133" s="248"/>
      <c r="U133" s="1020">
        <f>ROUND(SUM(U124:U131),1)</f>
        <v>0</v>
      </c>
      <c r="V133" s="248"/>
      <c r="W133" s="1020">
        <f>ROUND(SUM(W124:W131),1)</f>
        <v>0</v>
      </c>
      <c r="X133" s="248"/>
      <c r="Y133" s="1020">
        <f>ROUND(SUM(Y124:Y131),1)</f>
        <v>0</v>
      </c>
      <c r="Z133" s="248"/>
      <c r="AA133" s="1692"/>
      <c r="AB133" s="1020">
        <f>ROUND(SUM(AB124:AB131),1)</f>
        <v>73217.7</v>
      </c>
      <c r="AC133" s="248"/>
      <c r="AD133" s="1178"/>
      <c r="AE133" s="434">
        <f>ROUND(SUM(AE124:AE132),1)</f>
        <v>68959.7</v>
      </c>
      <c r="AF133" s="248"/>
      <c r="AG133" s="248"/>
      <c r="AH133" s="434">
        <f>ROUND(SUM(AH124:AH132),1)</f>
        <v>4258</v>
      </c>
      <c r="AI133" s="238"/>
      <c r="AJ133" s="470">
        <f>ROUND(SUM(AH133/ABS(AE133)),3)</f>
        <v>6.2E-2</v>
      </c>
      <c r="AK133" s="180"/>
      <c r="AL133" s="180"/>
      <c r="AM133" s="180"/>
      <c r="AN133" s="180"/>
      <c r="AO133" s="180"/>
      <c r="AP133" s="180"/>
      <c r="AQ133" s="180"/>
      <c r="AR133" s="180"/>
    </row>
    <row r="134" spans="1:44" ht="16.5" customHeight="1">
      <c r="A134" s="51"/>
      <c r="B134" s="79"/>
      <c r="C134" s="245"/>
      <c r="D134" s="245"/>
      <c r="E134" s="245"/>
      <c r="F134" s="245"/>
      <c r="G134" s="245"/>
      <c r="H134" s="245"/>
      <c r="I134" s="245"/>
      <c r="J134" s="245"/>
      <c r="K134" s="245"/>
      <c r="L134" s="245"/>
      <c r="M134" s="245"/>
      <c r="N134" s="245"/>
      <c r="O134" s="245"/>
      <c r="P134" s="245"/>
      <c r="Q134" s="245"/>
      <c r="R134" s="245"/>
      <c r="S134" s="245"/>
      <c r="T134" s="245"/>
      <c r="U134" s="245"/>
      <c r="V134" s="245"/>
      <c r="W134" s="245"/>
      <c r="X134" s="245"/>
      <c r="Y134" s="245"/>
      <c r="Z134" s="245"/>
      <c r="AA134" s="246"/>
      <c r="AB134" s="245"/>
      <c r="AC134" s="245"/>
      <c r="AD134" s="1175"/>
      <c r="AE134" s="245"/>
      <c r="AF134" s="245"/>
      <c r="AG134" s="245"/>
      <c r="AH134" s="325"/>
      <c r="AI134" s="79"/>
      <c r="AJ134" s="329"/>
    </row>
    <row r="135" spans="1:44" ht="16.5" customHeight="1">
      <c r="A135" s="51" t="s">
        <v>145</v>
      </c>
      <c r="B135" s="79"/>
      <c r="C135" s="245"/>
      <c r="D135" s="245"/>
      <c r="E135" s="245"/>
      <c r="F135" s="245"/>
      <c r="G135" s="245"/>
      <c r="H135" s="245"/>
      <c r="I135" s="245"/>
      <c r="J135" s="245"/>
      <c r="K135" s="245"/>
      <c r="L135" s="245"/>
      <c r="M135" s="245"/>
      <c r="N135" s="245"/>
      <c r="O135" s="245"/>
      <c r="P135" s="245"/>
      <c r="Q135" s="245"/>
      <c r="R135" s="245"/>
      <c r="S135" s="245"/>
      <c r="T135" s="245"/>
      <c r="U135" s="245"/>
      <c r="V135" s="245"/>
      <c r="W135" s="245"/>
      <c r="X135" s="245"/>
      <c r="Y135" s="245"/>
      <c r="Z135" s="245"/>
      <c r="AA135" s="246"/>
      <c r="AB135" s="245"/>
      <c r="AC135" s="245"/>
      <c r="AD135" s="1175"/>
      <c r="AE135" s="245"/>
      <c r="AF135" s="245"/>
      <c r="AG135" s="245"/>
      <c r="AH135" s="325"/>
      <c r="AI135" s="79"/>
      <c r="AJ135" s="329"/>
    </row>
    <row r="136" spans="1:44" ht="16.5" customHeight="1">
      <c r="A136" s="51" t="s">
        <v>146</v>
      </c>
      <c r="B136" s="79"/>
      <c r="C136" s="1020">
        <f>ROUND(SUM(C110-C133),1)</f>
        <v>4631.8999999999996</v>
      </c>
      <c r="D136" s="248"/>
      <c r="E136" s="1020">
        <f>ROUND(SUM(E110-E133),1)</f>
        <v>-6949.4</v>
      </c>
      <c r="F136" s="248"/>
      <c r="G136" s="1020">
        <f>ROUND(SUM(G110-G133),1)</f>
        <v>5073.8</v>
      </c>
      <c r="H136" s="248"/>
      <c r="I136" s="1020">
        <f>ROUND(SUM(I110-I133),1)</f>
        <v>665.4</v>
      </c>
      <c r="J136" s="248"/>
      <c r="K136" s="1020">
        <f>ROUND(SUM(K110-K133),1)</f>
        <v>-838.8</v>
      </c>
      <c r="L136" s="248"/>
      <c r="M136" s="1020">
        <f>ROUND(SUM(M110-M133),1)</f>
        <v>2158.3000000000002</v>
      </c>
      <c r="N136" s="248"/>
      <c r="O136" s="1020">
        <f>ROUND(SUM(O110-O133),1)</f>
        <v>389.9</v>
      </c>
      <c r="P136" s="248"/>
      <c r="Q136" s="1020">
        <f>ROUND(SUM(Q110-Q133),1)</f>
        <v>-1109.7</v>
      </c>
      <c r="R136" s="248"/>
      <c r="S136" s="1020">
        <f>ROUND(SUM(S110-S133),1)</f>
        <v>0</v>
      </c>
      <c r="T136" s="248"/>
      <c r="U136" s="1020">
        <f>ROUND(SUM(U110-U133),1)</f>
        <v>0</v>
      </c>
      <c r="V136" s="248"/>
      <c r="W136" s="1020">
        <f>ROUND(SUM(W110-W133),1)</f>
        <v>0</v>
      </c>
      <c r="X136" s="248"/>
      <c r="Y136" s="1020">
        <f>ROUND(SUM(Y110-Y133),1)</f>
        <v>0</v>
      </c>
      <c r="Z136" s="248"/>
      <c r="AA136" s="1692"/>
      <c r="AB136" s="1020">
        <f>ROUND(SUM(AB110-AB133),1)</f>
        <v>4021.4</v>
      </c>
      <c r="AC136" s="248"/>
      <c r="AD136" s="1178"/>
      <c r="AE136" s="1020">
        <f>ROUND(SUM(AE110-AE133),1)</f>
        <v>12440.3</v>
      </c>
      <c r="AF136" s="248"/>
      <c r="AG136" s="248"/>
      <c r="AH136" s="1183">
        <f>ROUND(SUM(AB136-AE136),1)</f>
        <v>-8418.9</v>
      </c>
      <c r="AI136" s="238"/>
      <c r="AJ136" s="779">
        <f>ROUND(SUM(AH136/ABS(AE136)),3)</f>
        <v>-0.67700000000000005</v>
      </c>
      <c r="AK136" s="180"/>
      <c r="AL136" s="180"/>
    </row>
    <row r="137" spans="1:44" ht="16.5" customHeight="1">
      <c r="A137" s="329"/>
      <c r="B137" s="79"/>
      <c r="C137" s="14"/>
      <c r="D137" s="245"/>
      <c r="E137" s="14"/>
      <c r="F137" s="245"/>
      <c r="G137" s="14"/>
      <c r="H137" s="245"/>
      <c r="I137" s="14"/>
      <c r="J137" s="245"/>
      <c r="K137" s="14"/>
      <c r="L137" s="245"/>
      <c r="M137" s="14"/>
      <c r="N137" s="245"/>
      <c r="O137" s="14"/>
      <c r="P137" s="245"/>
      <c r="Q137" s="14"/>
      <c r="R137" s="245"/>
      <c r="S137" s="14"/>
      <c r="T137" s="245"/>
      <c r="U137" s="14"/>
      <c r="V137" s="245"/>
      <c r="W137" s="14"/>
      <c r="X137" s="245"/>
      <c r="Y137" s="14"/>
      <c r="Z137" s="142"/>
      <c r="AA137" s="246"/>
      <c r="AB137" s="14"/>
      <c r="AC137" s="245"/>
      <c r="AD137" s="1175"/>
      <c r="AE137" s="14"/>
      <c r="AF137" s="245"/>
      <c r="AG137" s="245"/>
      <c r="AH137" s="325"/>
      <c r="AI137" s="79"/>
      <c r="AJ137" s="329"/>
    </row>
    <row r="138" spans="1:44" ht="16.5" customHeight="1">
      <c r="A138" s="51" t="s">
        <v>147</v>
      </c>
      <c r="B138" s="79"/>
      <c r="C138" s="245"/>
      <c r="D138" s="245"/>
      <c r="E138" s="245"/>
      <c r="F138" s="251"/>
      <c r="G138" s="245"/>
      <c r="H138" s="251"/>
      <c r="I138" s="251"/>
      <c r="J138" s="251"/>
      <c r="K138" s="251"/>
      <c r="L138" s="251"/>
      <c r="M138" s="251"/>
      <c r="N138" s="251"/>
      <c r="O138" s="251"/>
      <c r="P138" s="251"/>
      <c r="Q138" s="251"/>
      <c r="R138" s="251"/>
      <c r="S138" s="251"/>
      <c r="T138" s="251"/>
      <c r="U138" s="251"/>
      <c r="V138" s="245"/>
      <c r="W138" s="251"/>
      <c r="X138" s="245"/>
      <c r="Y138" s="251"/>
      <c r="Z138" s="1998"/>
      <c r="AA138" s="246"/>
      <c r="AB138" s="245"/>
      <c r="AC138" s="1998"/>
      <c r="AD138" s="245"/>
      <c r="AE138" s="245"/>
      <c r="AF138" s="245"/>
      <c r="AG138" s="245"/>
      <c r="AH138" s="325"/>
      <c r="AI138" s="79"/>
      <c r="AJ138" s="329"/>
    </row>
    <row r="139" spans="1:44" ht="16.5" customHeight="1">
      <c r="A139" s="79" t="s">
        <v>303</v>
      </c>
      <c r="B139" s="79"/>
      <c r="C139" s="875">
        <f>+'Exhibit F'!D127+'Exhibit F'!D128+'Exhibit F'!D129+'Exhibit F'!D130+'Exhibit G State'!D113+'Exhibit H'!B68</f>
        <v>5084.3999999999987</v>
      </c>
      <c r="D139" s="875"/>
      <c r="E139" s="875">
        <f>+'Exhibit F'!F127+'Exhibit F'!F128+'Exhibit F'!F129+'Exhibit F'!F130+'Exhibit G State'!F113+'Exhibit H'!D68</f>
        <v>2952.9</v>
      </c>
      <c r="F139" s="875"/>
      <c r="G139" s="875">
        <f>+'Exhibit F'!H127+'Exhibit F'!H128+'Exhibit F'!H129+'Exhibit F'!H130+'Exhibit G State'!H113+'Exhibit H'!F68</f>
        <v>5433.5999999999995</v>
      </c>
      <c r="H139" s="245"/>
      <c r="I139" s="875">
        <f>+'Exhibit F'!J127+'Exhibit F'!J128+'Exhibit F'!J129+'Exhibit F'!J130+'Exhibit G State'!J113+'Exhibit H'!H68</f>
        <v>2948.6000000000017</v>
      </c>
      <c r="J139" s="245"/>
      <c r="K139" s="875">
        <f>+'Exhibit F'!L127+'Exhibit F'!L128+'Exhibit F'!L129+'Exhibit F'!L130+'Exhibit G State'!L113+'Exhibit H'!J68</f>
        <v>2601.7999999999984</v>
      </c>
      <c r="L139" s="245"/>
      <c r="M139" s="875">
        <f>+'Exhibit F'!N127+'Exhibit F'!N128+'Exhibit F'!N129+'Exhibit F'!N130+'Exhibit G State'!N113+'Exhibit H'!L68</f>
        <v>5391.4000000000015</v>
      </c>
      <c r="N139" s="245"/>
      <c r="O139" s="875">
        <f>+'Exhibit F'!P127+'Exhibit F'!P128+'Exhibit F'!P129+'Exhibit F'!P130+'Exhibit G State'!P113+'Exhibit H'!N68</f>
        <v>1686.4000000000005</v>
      </c>
      <c r="P139" s="245"/>
      <c r="Q139" s="875">
        <f>+'Exhibit F'!R127+'Exhibit F'!R128+'Exhibit F'!R129+'Exhibit F'!R130+'Exhibit G State'!R113+'Exhibit H'!P68</f>
        <v>3341.3999999999965</v>
      </c>
      <c r="R139" s="875"/>
      <c r="S139" s="875"/>
      <c r="T139" s="875"/>
      <c r="U139" s="875"/>
      <c r="V139" s="875"/>
      <c r="W139" s="875"/>
      <c r="X139" s="875"/>
      <c r="Y139" s="875"/>
      <c r="Z139" s="245"/>
      <c r="AA139" s="246"/>
      <c r="AB139" s="245">
        <f>ROUND(SUM(C139:Y139),1)</f>
        <v>29440.5</v>
      </c>
      <c r="AC139" s="245"/>
      <c r="AD139" s="246"/>
      <c r="AE139" s="245">
        <f>'Exhibit F'!AF127+'Exhibit F'!AF128+'Exhibit F'!AF129+'Exhibit F'!AF130+'Exhibit G State'!AG113+'Exhibit H'!AD68</f>
        <v>34145.299999999996</v>
      </c>
      <c r="AF139" s="245"/>
      <c r="AG139" s="245"/>
      <c r="AH139" s="245">
        <f>ROUND(SUM(AB139-AE139),1)</f>
        <v>-4704.8</v>
      </c>
      <c r="AI139" s="79"/>
      <c r="AJ139" s="344">
        <f>ROUND(SUM(AH139/ABS(AE139)),3)</f>
        <v>-0.13800000000000001</v>
      </c>
    </row>
    <row r="140" spans="1:44" ht="16.5" customHeight="1">
      <c r="A140" s="79" t="s">
        <v>304</v>
      </c>
      <c r="C140" s="1021">
        <f>+'Exhibit F'!D131+'Exhibit F'!D132+'Exhibit F'!D133+'Exhibit F'!D134+'Exhibit G State'!D114+'Exhibit H'!B69</f>
        <v>-5088.5</v>
      </c>
      <c r="D140" s="875"/>
      <c r="E140" s="1021">
        <f>+'Exhibit F'!F131+'Exhibit F'!F132+'Exhibit F'!F133+'Exhibit F'!F134+'Exhibit G State'!F114+'Exhibit H'!D69</f>
        <v>-2526.3000000000002</v>
      </c>
      <c r="F140" s="875"/>
      <c r="G140" s="1021">
        <f>+'Exhibit F'!H131+'Exhibit F'!H132+'Exhibit F'!H133+'Exhibit F'!H134+'Exhibit G State'!H114+'Exhibit H'!F69</f>
        <v>-5573.6</v>
      </c>
      <c r="H140" s="14"/>
      <c r="I140" s="1021">
        <f>+'Exhibit F'!J131+'Exhibit F'!J132+'Exhibit F'!J133+'Exhibit F'!J134+'Exhibit G State'!J114+'Exhibit H'!H69</f>
        <v>-2658.7000000000007</v>
      </c>
      <c r="J140" s="14"/>
      <c r="K140" s="1021">
        <f>+'Exhibit F'!L131+'Exhibit F'!L132+'Exhibit F'!L133+'Exhibit F'!L134+'Exhibit G State'!L114+'Exhibit H'!J69</f>
        <v>-2816.5999999999995</v>
      </c>
      <c r="L140" s="14"/>
      <c r="M140" s="1021">
        <f>+'Exhibit F'!N131+'Exhibit F'!N132+'Exhibit F'!N133+'Exhibit F'!N134+'Exhibit G State'!N114+'Exhibit H'!L69</f>
        <v>-5318.6999999999962</v>
      </c>
      <c r="N140" s="14"/>
      <c r="O140" s="1021">
        <f>+'Exhibit F'!P131+'Exhibit F'!P132+'Exhibit F'!P133+'Exhibit F'!P134+'Exhibit G State'!P114+'Exhibit H'!N69</f>
        <v>-2357.1000000000049</v>
      </c>
      <c r="P140" s="14"/>
      <c r="Q140" s="1021">
        <f>+'Exhibit F'!R131+'Exhibit F'!R132+'Exhibit F'!R133+'Exhibit F'!R134+'Exhibit G State'!R114+'Exhibit H'!P69</f>
        <v>-3381.0000000000009</v>
      </c>
      <c r="R140" s="875"/>
      <c r="S140" s="1021"/>
      <c r="T140" s="875"/>
      <c r="U140" s="1021"/>
      <c r="V140" s="875"/>
      <c r="W140" s="1021"/>
      <c r="X140" s="875"/>
      <c r="Y140" s="1021"/>
      <c r="Z140" s="14"/>
      <c r="AA140" s="252"/>
      <c r="AB140" s="247">
        <f>ROUND(SUM(C140:Y140),1)</f>
        <v>-29720.5</v>
      </c>
      <c r="AC140" s="14"/>
      <c r="AD140" s="252"/>
      <c r="AE140" s="247">
        <f>'Exhibit F'!AF131+'Exhibit F'!AF132+'Exhibit F'!AF133+'Exhibit F'!AF134+'Exhibit G State'!AG114+'Exhibit H'!AD69</f>
        <v>-33487.1</v>
      </c>
      <c r="AF140" s="14"/>
      <c r="AG140" s="14"/>
      <c r="AH140" s="247">
        <f>ROUND(SUM(-AB140+AE140),1)</f>
        <v>-3766.6</v>
      </c>
      <c r="AI140" s="329"/>
      <c r="AJ140" s="1184">
        <f>ROUND(SUM(AH140/ABS(AE140)),3)</f>
        <v>-0.112</v>
      </c>
    </row>
    <row r="141" spans="1:44" ht="16.5" customHeight="1">
      <c r="A141" s="79"/>
      <c r="C141" s="245"/>
      <c r="D141" s="14"/>
      <c r="E141" s="245"/>
      <c r="F141" s="14"/>
      <c r="G141" s="245"/>
      <c r="H141" s="14"/>
      <c r="I141" s="245"/>
      <c r="J141" s="14"/>
      <c r="K141" s="245"/>
      <c r="L141" s="14"/>
      <c r="M141" s="245"/>
      <c r="N141" s="14"/>
      <c r="O141" s="245"/>
      <c r="P141" s="14"/>
      <c r="Q141" s="245"/>
      <c r="R141" s="14"/>
      <c r="S141" s="245"/>
      <c r="T141" s="14"/>
      <c r="U141" s="245"/>
      <c r="V141" s="14"/>
      <c r="W141" s="245"/>
      <c r="X141" s="14"/>
      <c r="Y141" s="245"/>
      <c r="Z141" s="14"/>
      <c r="AA141" s="252"/>
      <c r="AB141" s="245"/>
      <c r="AC141" s="14"/>
      <c r="AD141" s="252"/>
      <c r="AE141" s="245"/>
      <c r="AF141" s="14"/>
      <c r="AG141" s="14"/>
      <c r="AH141" s="245"/>
      <c r="AI141" s="329"/>
      <c r="AJ141" s="344"/>
    </row>
    <row r="142" spans="1:44" ht="16.5" customHeight="1">
      <c r="A142" s="51" t="s">
        <v>152</v>
      </c>
      <c r="C142" s="1020">
        <f>ROUND(SUM(C139:C140),1)</f>
        <v>-4.0999999999999996</v>
      </c>
      <c r="D142" s="253"/>
      <c r="E142" s="1020">
        <f>ROUND(SUM(E139:E140),1)</f>
        <v>426.6</v>
      </c>
      <c r="F142" s="253"/>
      <c r="G142" s="1020">
        <f>ROUND(SUM(G139:G140),1)</f>
        <v>-140</v>
      </c>
      <c r="H142" s="253"/>
      <c r="I142" s="1020">
        <f>ROUND(SUM(I139:I140),1)</f>
        <v>289.89999999999998</v>
      </c>
      <c r="J142" s="253"/>
      <c r="K142" s="1020">
        <f>ROUND(SUM(K139:K140),1)</f>
        <v>-214.8</v>
      </c>
      <c r="L142" s="253"/>
      <c r="M142" s="1020">
        <f>ROUND(SUM(M139:M140),1)</f>
        <v>72.7</v>
      </c>
      <c r="N142" s="253"/>
      <c r="O142" s="1020">
        <f>ROUND(SUM(O139:O140),1)</f>
        <v>-670.7</v>
      </c>
      <c r="P142" s="253"/>
      <c r="Q142" s="1020">
        <f>ROUND(SUM(Q139:Q140),1)</f>
        <v>-39.6</v>
      </c>
      <c r="R142" s="253"/>
      <c r="S142" s="1020">
        <f>ROUND(SUM(S139:S140),1)</f>
        <v>0</v>
      </c>
      <c r="T142" s="253"/>
      <c r="U142" s="1020">
        <f>ROUND(SUM(U139:U140),1)</f>
        <v>0</v>
      </c>
      <c r="V142" s="253"/>
      <c r="W142" s="1020">
        <f>ROUND(SUM(W139:W140),1)</f>
        <v>0</v>
      </c>
      <c r="X142" s="253"/>
      <c r="Y142" s="1020">
        <f>ROUND(SUM(Y139:Y140),1)</f>
        <v>0</v>
      </c>
      <c r="Z142" s="253"/>
      <c r="AA142" s="254"/>
      <c r="AB142" s="1020">
        <f>ROUND(SUM(AB139:AB140),1)</f>
        <v>-280</v>
      </c>
      <c r="AC142" s="253"/>
      <c r="AD142" s="254"/>
      <c r="AE142" s="1020">
        <f>ROUND(SUM(AE139:AE140),1)</f>
        <v>658.2</v>
      </c>
      <c r="AF142" s="253"/>
      <c r="AG142" s="14"/>
      <c r="AH142" s="1020">
        <f>ROUND(SUM(AH139-AH140),1)</f>
        <v>-938.2</v>
      </c>
      <c r="AI142" s="51"/>
      <c r="AJ142" s="779">
        <f>ROUND(SUM(AH142/ABS(AE142)),3)</f>
        <v>-1.425</v>
      </c>
      <c r="AK142" s="180"/>
      <c r="AL142" s="180"/>
    </row>
    <row r="143" spans="1:44" ht="16.5" customHeight="1">
      <c r="A143" s="329"/>
      <c r="C143" s="14"/>
      <c r="D143" s="14"/>
      <c r="E143" s="14"/>
      <c r="F143" s="14"/>
      <c r="G143" s="14"/>
      <c r="H143" s="14"/>
      <c r="I143" s="14"/>
      <c r="J143" s="14"/>
      <c r="K143" s="14"/>
      <c r="L143" s="14"/>
      <c r="M143" s="14"/>
      <c r="N143" s="14"/>
      <c r="O143" s="14"/>
      <c r="P143" s="14"/>
      <c r="Q143" s="14"/>
      <c r="R143" s="14"/>
      <c r="S143" s="14"/>
      <c r="T143" s="14"/>
      <c r="U143" s="14"/>
      <c r="V143" s="14"/>
      <c r="W143" s="14"/>
      <c r="X143" s="14"/>
      <c r="Y143" s="14"/>
      <c r="Z143" s="14"/>
      <c r="AA143" s="252"/>
      <c r="AB143" s="14"/>
      <c r="AC143" s="14"/>
      <c r="AD143" s="252"/>
      <c r="AE143" s="14"/>
      <c r="AF143" s="14"/>
      <c r="AH143" s="325"/>
      <c r="AI143" s="329"/>
      <c r="AJ143" s="329"/>
    </row>
    <row r="144" spans="1:44" ht="16.5" customHeight="1">
      <c r="A144" s="51" t="s">
        <v>145</v>
      </c>
      <c r="C144" s="245"/>
      <c r="D144" s="14"/>
      <c r="E144" s="245"/>
      <c r="F144" s="14"/>
      <c r="G144" s="245"/>
      <c r="H144" s="14"/>
      <c r="I144" s="245"/>
      <c r="J144" s="14"/>
      <c r="K144" s="245"/>
      <c r="L144" s="14"/>
      <c r="M144" s="245"/>
      <c r="N144" s="14"/>
      <c r="O144" s="245"/>
      <c r="P144" s="14"/>
      <c r="Q144" s="245"/>
      <c r="R144" s="14"/>
      <c r="S144" s="245"/>
      <c r="T144" s="14"/>
      <c r="U144" s="245"/>
      <c r="V144" s="14"/>
      <c r="W144" s="245"/>
      <c r="X144" s="14"/>
      <c r="Y144" s="245"/>
      <c r="Z144" s="14"/>
      <c r="AA144" s="252"/>
      <c r="AB144" s="245"/>
      <c r="AC144" s="14"/>
      <c r="AD144" s="252"/>
      <c r="AE144" s="245"/>
      <c r="AF144" s="14"/>
      <c r="AG144" s="99"/>
      <c r="AH144" s="325"/>
      <c r="AI144" s="329"/>
      <c r="AJ144" s="329"/>
    </row>
    <row r="145" spans="1:59" ht="16.5" customHeight="1">
      <c r="A145" s="51" t="s">
        <v>153</v>
      </c>
      <c r="C145" s="248"/>
      <c r="D145" s="253"/>
      <c r="E145" s="248"/>
      <c r="F145" s="253"/>
      <c r="G145" s="248"/>
      <c r="H145" s="253"/>
      <c r="I145" s="248"/>
      <c r="J145" s="253"/>
      <c r="K145" s="248"/>
      <c r="L145" s="253"/>
      <c r="M145" s="248"/>
      <c r="N145" s="253"/>
      <c r="O145" s="248"/>
      <c r="P145" s="253"/>
      <c r="Q145" s="248"/>
      <c r="R145" s="253"/>
      <c r="S145" s="248"/>
      <c r="T145" s="253"/>
      <c r="U145" s="248"/>
      <c r="V145" s="253"/>
      <c r="W145" s="248"/>
      <c r="X145" s="253"/>
      <c r="Y145" s="248"/>
      <c r="Z145" s="253"/>
      <c r="AA145" s="254"/>
      <c r="AB145" s="248"/>
      <c r="AC145" s="253"/>
      <c r="AD145" s="254"/>
      <c r="AE145" s="248"/>
      <c r="AF145" s="14"/>
      <c r="AG145" s="99"/>
      <c r="AH145" s="16"/>
      <c r="AI145" s="51"/>
      <c r="AJ145" s="51"/>
      <c r="AK145" s="180"/>
      <c r="AL145" s="180"/>
      <c r="AM145" s="180"/>
      <c r="AN145" s="180"/>
      <c r="AO145" s="180"/>
      <c r="AP145" s="180"/>
      <c r="AQ145" s="180"/>
      <c r="AR145" s="180"/>
      <c r="AS145" s="180"/>
      <c r="AT145" s="180"/>
      <c r="AU145" s="180"/>
      <c r="AV145" s="180"/>
      <c r="AW145" s="180"/>
      <c r="AX145" s="180"/>
      <c r="AY145" s="180"/>
      <c r="AZ145" s="180"/>
      <c r="BA145" s="180"/>
      <c r="BB145" s="180"/>
      <c r="BC145" s="180"/>
      <c r="BD145" s="180"/>
      <c r="BE145" s="180"/>
      <c r="BF145" s="180"/>
      <c r="BG145" s="180"/>
    </row>
    <row r="146" spans="1:59" ht="16.5" customHeight="1">
      <c r="A146" s="51" t="s">
        <v>154</v>
      </c>
      <c r="C146" s="255">
        <f>ROUND(SUM(C136+C142),1)</f>
        <v>4627.8</v>
      </c>
      <c r="D146" s="253"/>
      <c r="E146" s="255">
        <f>ROUND(SUM(E136+E142),1)</f>
        <v>-6522.8</v>
      </c>
      <c r="F146" s="253"/>
      <c r="G146" s="255">
        <f>ROUND(SUM(G136+G142),1)</f>
        <v>4933.8</v>
      </c>
      <c r="H146" s="253"/>
      <c r="I146" s="255">
        <f>ROUND(SUM(I136+I142),1)</f>
        <v>955.3</v>
      </c>
      <c r="J146" s="253"/>
      <c r="K146" s="255">
        <f>ROUND(SUM(K136+K142),1)</f>
        <v>-1053.5999999999999</v>
      </c>
      <c r="L146" s="253"/>
      <c r="M146" s="255">
        <f>ROUND(SUM(M136+M142),1)</f>
        <v>2231</v>
      </c>
      <c r="N146" s="253"/>
      <c r="O146" s="255">
        <f>ROUND(SUM(O136+O142),1)</f>
        <v>-280.8</v>
      </c>
      <c r="P146" s="253"/>
      <c r="Q146" s="255">
        <f>ROUND(SUM(Q136+Q142),1)</f>
        <v>-1149.3</v>
      </c>
      <c r="R146" s="253"/>
      <c r="S146" s="255">
        <f>ROUND(SUM(S136+S142),1)</f>
        <v>0</v>
      </c>
      <c r="T146" s="253"/>
      <c r="U146" s="255">
        <f>ROUND(SUM(U136+U142),1)</f>
        <v>0</v>
      </c>
      <c r="V146" s="253"/>
      <c r="W146" s="255">
        <f>ROUND(SUM(W136+W142),1)</f>
        <v>0</v>
      </c>
      <c r="X146" s="253"/>
      <c r="Y146" s="255">
        <f>ROUND(SUM(Y136+Y142),1)</f>
        <v>0</v>
      </c>
      <c r="Z146" s="253"/>
      <c r="AA146" s="254"/>
      <c r="AB146" s="255">
        <f>ROUND(SUM(AB136+AB142),1)</f>
        <v>3741.4</v>
      </c>
      <c r="AC146" s="253"/>
      <c r="AD146" s="254"/>
      <c r="AE146" s="255">
        <f>ROUND(SUM(AE136+AE142),1)</f>
        <v>13098.5</v>
      </c>
      <c r="AF146" s="14"/>
      <c r="AG146" s="99"/>
      <c r="AH146" s="1183">
        <f>ROUND(SUM(AB146-AE146),1)</f>
        <v>-9357.1</v>
      </c>
      <c r="AI146" s="51"/>
      <c r="AJ146" s="779">
        <f>ROUND(SUM(AH146/ABS(AE146)),3)</f>
        <v>-0.71399999999999997</v>
      </c>
      <c r="AK146" s="180"/>
      <c r="AL146" s="180"/>
      <c r="AM146" s="180"/>
      <c r="AN146" s="180"/>
      <c r="AO146" s="180"/>
      <c r="AP146" s="180"/>
      <c r="AQ146" s="180"/>
      <c r="AR146" s="180"/>
      <c r="AS146" s="180"/>
      <c r="AT146" s="180"/>
      <c r="AU146" s="180"/>
      <c r="AV146" s="180"/>
      <c r="AW146" s="180"/>
      <c r="AX146" s="180"/>
      <c r="AY146" s="180"/>
      <c r="AZ146" s="180"/>
      <c r="BA146" s="180"/>
      <c r="BB146" s="180"/>
      <c r="BC146" s="180"/>
      <c r="BD146" s="180"/>
      <c r="BE146" s="180"/>
      <c r="BF146" s="180"/>
      <c r="BG146" s="180"/>
    </row>
    <row r="147" spans="1:59" ht="15.5">
      <c r="A147" s="51"/>
      <c r="C147" s="1506"/>
      <c r="E147" s="1506"/>
      <c r="G147" s="1506"/>
      <c r="I147" s="1506"/>
      <c r="K147" s="1506"/>
      <c r="M147" s="1506"/>
      <c r="O147" s="1506"/>
      <c r="Q147" s="1506"/>
      <c r="S147" s="1506"/>
      <c r="U147" s="1506"/>
      <c r="W147" s="1506"/>
      <c r="Y147" s="1506"/>
      <c r="AA147" s="256"/>
      <c r="AB147" s="1506"/>
      <c r="AD147" s="256"/>
      <c r="AE147" s="1517"/>
      <c r="AF147" s="14"/>
      <c r="AG147" s="99"/>
      <c r="AH147" s="329"/>
      <c r="AI147" s="329"/>
      <c r="AJ147" s="329"/>
    </row>
    <row r="148" spans="1:59" ht="16" thickBot="1">
      <c r="A148" s="257" t="s">
        <v>463</v>
      </c>
      <c r="C148" s="258">
        <f>ROUND(SUM(C16+C146),1)</f>
        <v>57351.6</v>
      </c>
      <c r="D148" s="99"/>
      <c r="E148" s="258">
        <f>ROUND(SUM(E16+E146),1)</f>
        <v>50828.800000000003</v>
      </c>
      <c r="F148" s="99"/>
      <c r="G148" s="258">
        <f>ROUND(SUM(G16+G146),1)</f>
        <v>55762.6</v>
      </c>
      <c r="H148" s="99"/>
      <c r="I148" s="258">
        <f>ROUND(SUM(I16+I146),1)</f>
        <v>56717.9</v>
      </c>
      <c r="J148" s="259"/>
      <c r="K148" s="258">
        <f>ROUND(SUM(K16+K146),1)</f>
        <v>55664.3</v>
      </c>
      <c r="L148" s="259"/>
      <c r="M148" s="258">
        <f>ROUND(SUM(M16+M146),1)</f>
        <v>57895.3</v>
      </c>
      <c r="N148" s="259"/>
      <c r="O148" s="258">
        <f>ROUND(SUM(O16+O146),1)</f>
        <v>57614.5</v>
      </c>
      <c r="P148" s="259"/>
      <c r="Q148" s="258">
        <f>ROUND(SUM(Q16+Q146),1)</f>
        <v>56465.2</v>
      </c>
      <c r="R148" s="259"/>
      <c r="S148" s="258">
        <f>ROUND(SUM(S16+S146),1)</f>
        <v>0</v>
      </c>
      <c r="T148" s="259"/>
      <c r="U148" s="258">
        <f>ROUND(SUM(U16+U146),1)</f>
        <v>0</v>
      </c>
      <c r="V148" s="259"/>
      <c r="W148" s="258">
        <f>ROUND(SUM(W16+W146),1)</f>
        <v>0</v>
      </c>
      <c r="X148" s="259"/>
      <c r="Y148" s="258">
        <f>ROUND(SUM(Y16+Y146),1)</f>
        <v>0</v>
      </c>
      <c r="Z148" s="99"/>
      <c r="AA148" s="260"/>
      <c r="AB148" s="258">
        <f>ROUND(SUM(AB16+AB146),1)</f>
        <v>56465.2</v>
      </c>
      <c r="AC148" s="99"/>
      <c r="AD148" s="260"/>
      <c r="AE148" s="258">
        <f>ROUND(SUM(AE16+AE146),1)</f>
        <v>53865.7</v>
      </c>
      <c r="AF148" s="14"/>
      <c r="AG148" s="99"/>
      <c r="AH148" s="258">
        <f>ROUND(SUM(AB148-AE148),1)</f>
        <v>2599.5</v>
      </c>
      <c r="AI148" s="51"/>
      <c r="AJ148" s="110">
        <f>ROUND(SUM(AH148/ABS(AE148)),3)</f>
        <v>4.8000000000000001E-2</v>
      </c>
      <c r="AK148" s="180"/>
    </row>
    <row r="149" spans="1:59" ht="16" thickTop="1">
      <c r="A149" s="261"/>
      <c r="AH149" s="329"/>
      <c r="AI149" s="329"/>
      <c r="AJ149" s="329"/>
    </row>
    <row r="150" spans="1:59" ht="15.5">
      <c r="A150" s="345" t="s">
        <v>469</v>
      </c>
      <c r="O150" s="73" t="s">
        <v>104</v>
      </c>
      <c r="AH150" s="329"/>
      <c r="AI150" s="329"/>
      <c r="AJ150" s="329"/>
    </row>
    <row r="151" spans="1:59" ht="15.5">
      <c r="A151" s="345" t="s">
        <v>470</v>
      </c>
      <c r="AB151" s="73" t="s">
        <v>104</v>
      </c>
      <c r="AH151" s="329"/>
      <c r="AI151" s="329"/>
      <c r="AJ151" s="329"/>
    </row>
    <row r="152" spans="1:59" ht="15.5">
      <c r="A152" s="543" t="s">
        <v>471</v>
      </c>
      <c r="AB152" s="73" t="s">
        <v>104</v>
      </c>
      <c r="AH152" s="329"/>
      <c r="AI152" s="329"/>
      <c r="AJ152" s="329"/>
    </row>
    <row r="153" spans="1:59" ht="16.5" customHeight="1">
      <c r="AH153" s="329"/>
      <c r="AI153" s="329"/>
      <c r="AJ153" s="329"/>
    </row>
    <row r="154" spans="1:59" ht="16.5" customHeight="1">
      <c r="AH154" s="329"/>
      <c r="AI154" s="329"/>
      <c r="AJ154" s="329"/>
    </row>
    <row r="155" spans="1:59" ht="16.5" customHeight="1">
      <c r="AH155" s="329"/>
      <c r="AI155" s="329"/>
      <c r="AJ155" s="329"/>
    </row>
    <row r="156" spans="1:59" ht="16.5" customHeight="1">
      <c r="AH156" s="329"/>
      <c r="AI156" s="329"/>
      <c r="AJ156" s="329"/>
    </row>
    <row r="157" spans="1:59" ht="16.5" customHeight="1">
      <c r="AH157" s="329"/>
      <c r="AI157" s="329"/>
      <c r="AJ157" s="329"/>
    </row>
    <row r="158" spans="1:59" ht="16.5" customHeight="1">
      <c r="AH158" s="329"/>
      <c r="AI158" s="329"/>
      <c r="AJ158" s="329"/>
    </row>
    <row r="159" spans="1:59" ht="16.5" customHeight="1">
      <c r="AH159" s="329"/>
      <c r="AI159" s="329"/>
      <c r="AJ159" s="329"/>
    </row>
    <row r="160" spans="1:59" ht="16.5" customHeight="1">
      <c r="AH160" s="329"/>
      <c r="AI160" s="329"/>
      <c r="AJ160" s="329"/>
    </row>
    <row r="161" spans="34:36" ht="16.5" customHeight="1">
      <c r="AH161" s="329"/>
      <c r="AI161" s="329"/>
      <c r="AJ161" s="329"/>
    </row>
    <row r="162" spans="34:36" ht="16.5" customHeight="1">
      <c r="AH162" s="329"/>
      <c r="AI162" s="329"/>
      <c r="AJ162" s="329"/>
    </row>
    <row r="163" spans="34:36" ht="16.5" customHeight="1">
      <c r="AH163" s="329"/>
      <c r="AI163" s="329"/>
      <c r="AJ163" s="329"/>
    </row>
    <row r="164" spans="34:36" ht="16.5" customHeight="1">
      <c r="AH164" s="329"/>
      <c r="AI164" s="329"/>
      <c r="AJ164" s="329"/>
    </row>
    <row r="165" spans="34:36" ht="16.5" customHeight="1">
      <c r="AH165" s="329"/>
      <c r="AI165" s="329"/>
      <c r="AJ165" s="329"/>
    </row>
    <row r="166" spans="34:36" ht="16.5" customHeight="1">
      <c r="AH166" s="329"/>
      <c r="AI166" s="329"/>
      <c r="AJ166" s="329"/>
    </row>
  </sheetData>
  <mergeCells count="2">
    <mergeCell ref="AC5:AJ5"/>
    <mergeCell ref="AB12:AJ12"/>
  </mergeCells>
  <pageMargins left="0.25" right="0.25" top="0.5" bottom="0.25" header="0.47" footer="0.3"/>
  <pageSetup scale="38" firstPageNumber="18" orientation="landscape" useFirstPageNumber="1" r:id="rId1"/>
  <headerFooter scaleWithDoc="0" alignWithMargins="0">
    <oddFooter>&amp;C&amp;8&amp;P</oddFooter>
  </headerFooter>
  <rowBreaks count="1" manualBreakCount="1">
    <brk id="86" max="35" man="1"/>
  </rowBreaks>
  <customProperties>
    <customPr name="SheetOptions" r:id="rId2"/>
  </customProperties>
  <ignoredErrors>
    <ignoredError sqref="AJ27:AJ32 AJ34" unlockedFormula="1"/>
    <ignoredError sqref="AH35:AI35 AJ35 AJ95 AH24 AB26 AJ37" formula="1"/>
    <ignoredError sqref="AJ87 AJ69 AJ71:AJ72 AJ74:AJ77 AJ115 AJ38 AJ36" formula="1" unlockedFormula="1"/>
  </ignoredErrors>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6"/>
  <dimension ref="A1:AO217"/>
  <sheetViews>
    <sheetView showGridLines="0" zoomScale="90" zoomScaleNormal="80" workbookViewId="0"/>
  </sheetViews>
  <sheetFormatPr defaultColWidth="8.84375" defaultRowHeight="12.5"/>
  <cols>
    <col min="1" max="1" width="2.53515625" style="71" customWidth="1"/>
    <col min="2" max="2" width="48.53515625" style="71" customWidth="1"/>
    <col min="3" max="3" width="1.07421875" style="71" customWidth="1"/>
    <col min="4" max="4" width="12.4609375" style="71" bestFit="1" customWidth="1"/>
    <col min="5" max="5" width="1.84375" style="71" customWidth="1"/>
    <col min="6" max="6" width="12.84375" style="71" bestFit="1" customWidth="1"/>
    <col min="7" max="7" width="1.84375" style="71" customWidth="1"/>
    <col min="8" max="8" width="12.84375" style="71" bestFit="1" customWidth="1"/>
    <col min="9" max="9" width="1.84375" style="71" customWidth="1"/>
    <col min="10" max="10" width="13.84375" style="943" customWidth="1"/>
    <col min="11" max="11" width="1.84375" style="71" customWidth="1"/>
    <col min="12" max="12" width="12.84375" style="71" bestFit="1" customWidth="1"/>
    <col min="13" max="13" width="1.84375" style="71" customWidth="1"/>
    <col min="14" max="14" width="13.84375" style="71" customWidth="1"/>
    <col min="15" max="15" width="1.84375" style="71" customWidth="1"/>
    <col min="16" max="16" width="12.84375" style="71" bestFit="1" customWidth="1"/>
    <col min="17" max="17" width="1.84375" style="71" customWidth="1"/>
    <col min="18" max="18" width="12.07421875" style="71" customWidth="1"/>
    <col min="19" max="19" width="1.84375" style="71" customWidth="1"/>
    <col min="20" max="20" width="14.84375" style="71" customWidth="1"/>
    <col min="21" max="21" width="1.84375" style="71" customWidth="1"/>
    <col min="22" max="22" width="12.07421875" style="71" customWidth="1"/>
    <col min="23" max="23" width="1.84375" style="71" customWidth="1"/>
    <col min="24" max="24" width="12.84375" style="71" customWidth="1"/>
    <col min="25" max="25" width="1.84375" style="71" customWidth="1"/>
    <col min="26" max="26" width="14.53515625" style="71" customWidth="1"/>
    <col min="27" max="27" width="1.53515625" style="71" customWidth="1"/>
    <col min="28" max="28" width="1.84375" style="71" customWidth="1"/>
    <col min="29" max="29" width="13.07421875" style="71" customWidth="1"/>
    <col min="30" max="30" width="1.4609375" style="71" customWidth="1"/>
    <col min="31" max="31" width="1.07421875" style="71" customWidth="1"/>
    <col min="32" max="32" width="15.07421875" style="71" customWidth="1"/>
    <col min="33" max="33" width="1" style="71" customWidth="1"/>
    <col min="34" max="34" width="1.07421875" style="71" customWidth="1"/>
    <col min="35" max="35" width="13.07421875" style="71" bestFit="1" customWidth="1"/>
    <col min="36" max="36" width="1" style="71" customWidth="1"/>
    <col min="37" max="37" width="13.84375" style="944" bestFit="1" customWidth="1"/>
    <col min="38" max="38" width="10.07421875" style="71" customWidth="1"/>
    <col min="39" max="16384" width="8.84375" style="71"/>
  </cols>
  <sheetData>
    <row r="1" spans="1:37" ht="15.5">
      <c r="B1" s="345" t="s">
        <v>98</v>
      </c>
    </row>
    <row r="2" spans="1:37">
      <c r="A2" s="95"/>
      <c r="B2" s="95"/>
      <c r="C2" s="95"/>
      <c r="D2" s="95"/>
      <c r="E2" s="95"/>
      <c r="F2" s="95"/>
      <c r="G2" s="95"/>
      <c r="H2" s="95"/>
      <c r="I2" s="95"/>
      <c r="J2" s="535"/>
      <c r="K2" s="95"/>
      <c r="L2" s="95"/>
      <c r="M2" s="95"/>
      <c r="N2" s="95"/>
      <c r="O2" s="95"/>
      <c r="P2" s="95"/>
      <c r="Q2" s="95"/>
      <c r="R2" s="95"/>
      <c r="S2" s="95"/>
      <c r="T2" s="95"/>
      <c r="U2" s="95"/>
      <c r="V2" s="95"/>
      <c r="W2" s="95"/>
      <c r="X2" s="95"/>
      <c r="Y2" s="95"/>
      <c r="Z2" s="95"/>
      <c r="AA2" s="95"/>
      <c r="AB2" s="95"/>
      <c r="AC2" s="95"/>
      <c r="AD2" s="95"/>
      <c r="AE2" s="95"/>
      <c r="AF2" s="95"/>
      <c r="AG2" s="95"/>
    </row>
    <row r="3" spans="1:37" ht="18">
      <c r="A3" s="95"/>
      <c r="B3" s="96" t="s">
        <v>99</v>
      </c>
      <c r="C3" s="95"/>
      <c r="D3" s="95"/>
      <c r="E3" s="95"/>
      <c r="F3" s="50"/>
      <c r="G3" s="95"/>
      <c r="H3" s="95"/>
      <c r="I3" s="95"/>
      <c r="J3" s="535"/>
      <c r="K3" s="95"/>
      <c r="L3" s="95"/>
      <c r="M3" s="6"/>
      <c r="N3" s="72"/>
      <c r="O3" s="95"/>
      <c r="P3" s="95"/>
      <c r="Q3" s="95"/>
      <c r="R3" s="95"/>
      <c r="S3" s="95"/>
      <c r="T3" s="95"/>
      <c r="U3" s="95"/>
      <c r="V3" s="95"/>
      <c r="W3" s="95"/>
      <c r="X3" s="95"/>
      <c r="Y3" s="95"/>
      <c r="Z3" s="95"/>
      <c r="AA3" s="95"/>
      <c r="AB3" s="95"/>
      <c r="AC3" s="95"/>
      <c r="AD3" s="95"/>
      <c r="AE3" s="95"/>
      <c r="AF3" s="95"/>
      <c r="AG3" s="95"/>
      <c r="AK3" s="98" t="s">
        <v>472</v>
      </c>
    </row>
    <row r="4" spans="1:37" ht="18">
      <c r="A4" s="95"/>
      <c r="B4" s="97" t="s">
        <v>473</v>
      </c>
      <c r="C4" s="95"/>
      <c r="D4" s="95"/>
      <c r="E4" s="95"/>
      <c r="F4" s="50"/>
      <c r="G4" s="95"/>
      <c r="H4" s="95" t="s">
        <v>104</v>
      </c>
      <c r="I4" s="95"/>
      <c r="J4" s="535"/>
      <c r="K4" s="95"/>
      <c r="L4" s="95"/>
      <c r="M4" s="6"/>
      <c r="N4" s="72"/>
      <c r="O4" s="95"/>
      <c r="P4" s="95"/>
      <c r="Q4" s="95"/>
      <c r="R4" s="95"/>
      <c r="S4" s="95"/>
      <c r="T4" s="95"/>
      <c r="U4" s="95"/>
      <c r="V4" s="95"/>
      <c r="W4" s="95"/>
      <c r="X4" s="95"/>
      <c r="Y4" s="95"/>
      <c r="Z4" s="95"/>
      <c r="AA4" s="95"/>
      <c r="AB4" s="95"/>
      <c r="AC4" s="945"/>
      <c r="AD4" s="945"/>
      <c r="AE4" s="945"/>
      <c r="AF4" s="945"/>
      <c r="AG4" s="945"/>
    </row>
    <row r="5" spans="1:37" ht="18">
      <c r="A5" s="95"/>
      <c r="B5" s="97" t="s">
        <v>474</v>
      </c>
      <c r="C5" s="95"/>
      <c r="D5" s="95"/>
      <c r="E5" s="95"/>
      <c r="F5" s="50"/>
      <c r="G5" s="95"/>
      <c r="H5" s="95"/>
      <c r="I5" s="95"/>
      <c r="J5" s="535"/>
      <c r="K5" s="95"/>
      <c r="L5" s="95"/>
      <c r="M5" s="6"/>
      <c r="N5" s="72"/>
      <c r="O5" s="95"/>
      <c r="P5" s="95"/>
      <c r="Q5" s="95"/>
      <c r="R5" s="95"/>
      <c r="S5" s="95"/>
      <c r="T5" s="95"/>
      <c r="U5" s="95"/>
      <c r="V5" s="95"/>
      <c r="W5" s="95"/>
      <c r="X5" s="95"/>
      <c r="Y5" s="95"/>
      <c r="Z5" s="95"/>
      <c r="AA5" s="95"/>
      <c r="AB5" s="95"/>
      <c r="AD5" s="1163"/>
      <c r="AE5" s="1163"/>
    </row>
    <row r="6" spans="1:37" ht="18" customHeight="1">
      <c r="A6" s="95"/>
      <c r="B6" s="668" t="str">
        <f>'Cashflow Governmental'!A6</f>
        <v>FISCAL YEAR 2023-2024</v>
      </c>
      <c r="C6" s="95"/>
      <c r="D6" s="95"/>
      <c r="E6" s="95"/>
      <c r="F6" s="50"/>
      <c r="G6" s="95"/>
      <c r="H6" s="95"/>
      <c r="I6" s="95"/>
      <c r="J6" s="535"/>
      <c r="K6" s="95"/>
      <c r="L6" s="95"/>
      <c r="M6" s="6"/>
      <c r="N6" s="72"/>
      <c r="O6" s="95"/>
      <c r="P6" s="95"/>
      <c r="Q6" s="95"/>
      <c r="R6" s="95"/>
      <c r="S6" s="95"/>
      <c r="T6" s="95"/>
      <c r="U6" s="95"/>
      <c r="V6" s="95"/>
      <c r="W6" s="95"/>
      <c r="X6" s="95"/>
      <c r="Y6" s="95"/>
      <c r="Z6" s="95"/>
      <c r="AA6" s="95"/>
      <c r="AB6" s="95"/>
      <c r="AC6" s="95"/>
      <c r="AD6" s="95"/>
      <c r="AE6" s="95"/>
      <c r="AF6" s="95"/>
      <c r="AG6" s="95"/>
    </row>
    <row r="7" spans="1:37" ht="15" customHeight="1">
      <c r="A7" s="95"/>
      <c r="B7" s="97" t="s">
        <v>103</v>
      </c>
      <c r="C7" s="95"/>
      <c r="D7" s="95"/>
      <c r="E7" s="95"/>
      <c r="F7" s="50"/>
      <c r="G7" s="95"/>
      <c r="H7" s="95"/>
      <c r="I7" s="95"/>
      <c r="J7" s="535"/>
      <c r="K7" s="95"/>
      <c r="L7" s="72"/>
      <c r="M7" s="6"/>
      <c r="N7" s="95"/>
      <c r="O7" s="95"/>
      <c r="P7" s="2124"/>
      <c r="Q7" s="95"/>
      <c r="R7" s="95"/>
      <c r="S7" s="95"/>
      <c r="T7" s="95"/>
      <c r="U7" s="95"/>
      <c r="V7" s="95"/>
      <c r="W7" s="95"/>
      <c r="X7" s="95"/>
      <c r="Y7" s="95"/>
      <c r="Z7" s="95"/>
      <c r="AA7" s="95"/>
      <c r="AB7" s="95"/>
      <c r="AC7" s="95"/>
      <c r="AD7" s="95"/>
      <c r="AE7" s="95"/>
      <c r="AF7" s="95"/>
      <c r="AG7" s="95"/>
    </row>
    <row r="8" spans="1:37" ht="15.5">
      <c r="A8" s="95"/>
      <c r="B8" s="95"/>
      <c r="C8" s="95"/>
      <c r="D8" s="95"/>
      <c r="E8" s="95"/>
      <c r="F8" s="50"/>
      <c r="G8" s="95"/>
      <c r="H8" s="95"/>
      <c r="I8" s="95"/>
      <c r="J8" s="535"/>
      <c r="K8" s="95"/>
      <c r="L8" s="95"/>
      <c r="M8" s="95"/>
      <c r="N8" s="95"/>
      <c r="O8" s="95"/>
      <c r="P8" s="95"/>
      <c r="Q8" s="95"/>
      <c r="R8" s="95"/>
      <c r="S8" s="95"/>
      <c r="T8" s="95"/>
      <c r="U8" s="95"/>
      <c r="V8" s="95"/>
      <c r="W8" s="95"/>
      <c r="X8" s="95"/>
      <c r="Y8" s="95"/>
      <c r="Z8" s="95"/>
      <c r="AA8" s="95"/>
      <c r="AB8" s="2228" t="str">
        <f>+'Cashflow Governmental'!AB12:AJ12</f>
        <v>8 Months Ended November 30</v>
      </c>
      <c r="AC8" s="2228"/>
      <c r="AD8" s="2228"/>
      <c r="AE8" s="2228"/>
      <c r="AF8" s="2228"/>
      <c r="AG8" s="2228"/>
      <c r="AH8" s="2228"/>
      <c r="AI8" s="2228"/>
      <c r="AJ8" s="2228"/>
      <c r="AK8" s="2228"/>
    </row>
    <row r="9" spans="1:37" ht="15" customHeight="1">
      <c r="A9" s="95"/>
      <c r="B9" s="466"/>
      <c r="C9" s="466"/>
      <c r="D9" s="1720" t="str">
        <f>'Cashflow Governmental'!C13</f>
        <v>2023</v>
      </c>
      <c r="E9" s="238"/>
      <c r="F9" s="238"/>
      <c r="G9" s="238"/>
      <c r="H9" s="238"/>
      <c r="I9" s="238"/>
      <c r="J9" s="238"/>
      <c r="K9" s="238"/>
      <c r="L9" s="238"/>
      <c r="M9" s="238"/>
      <c r="N9" s="238"/>
      <c r="O9" s="238"/>
      <c r="P9" s="238"/>
      <c r="Q9" s="238"/>
      <c r="R9" s="238"/>
      <c r="S9" s="238"/>
      <c r="T9" s="238"/>
      <c r="U9" s="238"/>
      <c r="V9" s="695">
        <f>'Cashflow Governmental'!U13</f>
        <v>2024</v>
      </c>
      <c r="W9" s="238"/>
      <c r="X9" s="238"/>
      <c r="Y9" s="238"/>
      <c r="Z9" s="238"/>
      <c r="AA9" s="72"/>
      <c r="AB9" s="6"/>
      <c r="AC9" s="72"/>
      <c r="AD9" s="6"/>
      <c r="AE9" s="6"/>
      <c r="AF9" s="72"/>
      <c r="AG9" s="72"/>
      <c r="AH9" s="74"/>
      <c r="AI9" s="389" t="s">
        <v>111</v>
      </c>
      <c r="AJ9" s="72"/>
      <c r="AK9" s="390" t="s">
        <v>112</v>
      </c>
    </row>
    <row r="10" spans="1:37" ht="15" customHeight="1">
      <c r="A10" s="95"/>
      <c r="B10" s="466"/>
      <c r="C10" s="466"/>
      <c r="D10" s="66" t="s">
        <v>358</v>
      </c>
      <c r="E10" s="6"/>
      <c r="F10" s="1721" t="s">
        <v>359</v>
      </c>
      <c r="G10" s="6"/>
      <c r="H10" s="1721" t="s">
        <v>360</v>
      </c>
      <c r="I10" s="6"/>
      <c r="J10" s="22" t="s">
        <v>361</v>
      </c>
      <c r="K10" s="6"/>
      <c r="L10" s="390" t="s">
        <v>362</v>
      </c>
      <c r="M10" s="6"/>
      <c r="N10" s="390" t="s">
        <v>475</v>
      </c>
      <c r="O10" s="6"/>
      <c r="P10" s="390" t="s">
        <v>476</v>
      </c>
      <c r="Q10" s="6"/>
      <c r="R10" s="390" t="s">
        <v>365</v>
      </c>
      <c r="S10" s="6"/>
      <c r="T10" s="390" t="s">
        <v>366</v>
      </c>
      <c r="U10" s="6"/>
      <c r="V10" s="390" t="s">
        <v>367</v>
      </c>
      <c r="W10" s="6"/>
      <c r="X10" s="390" t="s">
        <v>368</v>
      </c>
      <c r="Y10" s="6"/>
      <c r="Z10" s="390" t="s">
        <v>477</v>
      </c>
      <c r="AA10" s="390"/>
      <c r="AB10" s="6"/>
      <c r="AC10" s="1518">
        <f>'Cashflow Governmental'!AB14</f>
        <v>2023</v>
      </c>
      <c r="AD10" s="6" t="s">
        <v>104</v>
      </c>
      <c r="AE10" s="6"/>
      <c r="AF10" s="1518">
        <f>'Cashflow Governmental'!AE14</f>
        <v>2022</v>
      </c>
      <c r="AG10" s="946"/>
      <c r="AH10" s="74"/>
      <c r="AI10" s="2009" t="s">
        <v>113</v>
      </c>
      <c r="AJ10" s="72"/>
      <c r="AK10" s="1444" t="s">
        <v>114</v>
      </c>
    </row>
    <row r="11" spans="1:37" ht="5.25" customHeight="1">
      <c r="A11" s="95"/>
      <c r="B11" s="466"/>
      <c r="C11" s="466"/>
      <c r="D11" s="1443" t="s">
        <v>104</v>
      </c>
      <c r="E11" s="466"/>
      <c r="F11" s="1722"/>
      <c r="G11" s="466"/>
      <c r="H11" s="1443"/>
      <c r="I11" s="466"/>
      <c r="J11" s="783"/>
      <c r="K11" s="466"/>
      <c r="L11" s="1443"/>
      <c r="M11" s="466"/>
      <c r="N11" s="1443"/>
      <c r="O11" s="466"/>
      <c r="P11" s="1443"/>
      <c r="Q11" s="466"/>
      <c r="R11" s="1443"/>
      <c r="S11" s="466"/>
      <c r="T11" s="1443"/>
      <c r="U11" s="466"/>
      <c r="V11" s="1443"/>
      <c r="W11" s="466"/>
      <c r="X11" s="1443"/>
      <c r="Y11" s="466"/>
      <c r="Z11" s="1443"/>
      <c r="AA11" s="466"/>
      <c r="AB11" s="466"/>
      <c r="AC11" s="466"/>
      <c r="AD11" s="466"/>
      <c r="AE11" s="466"/>
      <c r="AF11" s="466"/>
      <c r="AG11" s="466"/>
      <c r="AH11" s="947"/>
    </row>
    <row r="12" spans="1:37" ht="15" customHeight="1">
      <c r="A12" s="46"/>
      <c r="B12" s="9" t="s">
        <v>370</v>
      </c>
      <c r="C12" s="353"/>
      <c r="D12" s="117">
        <v>43450.6</v>
      </c>
      <c r="E12" s="117"/>
      <c r="F12" s="117">
        <f>D143</f>
        <v>46939.4</v>
      </c>
      <c r="G12" s="117"/>
      <c r="H12" s="117">
        <f t="shared" ref="H12:R12" si="0">F143</f>
        <v>40447.599999999999</v>
      </c>
      <c r="I12" s="56"/>
      <c r="J12" s="117">
        <f t="shared" si="0"/>
        <v>44183.9</v>
      </c>
      <c r="K12" s="56"/>
      <c r="L12" s="117">
        <f t="shared" si="0"/>
        <v>44319</v>
      </c>
      <c r="M12" s="56"/>
      <c r="N12" s="117">
        <f t="shared" si="0"/>
        <v>42520.3</v>
      </c>
      <c r="O12" s="56"/>
      <c r="P12" s="117">
        <f t="shared" si="0"/>
        <v>47971.9</v>
      </c>
      <c r="Q12" s="56"/>
      <c r="R12" s="117">
        <f t="shared" si="0"/>
        <v>47424.9</v>
      </c>
      <c r="S12" s="26"/>
      <c r="T12" s="117"/>
      <c r="U12" s="26"/>
      <c r="V12" s="117"/>
      <c r="W12" s="26"/>
      <c r="X12" s="117"/>
      <c r="Y12" s="26"/>
      <c r="Z12" s="117"/>
      <c r="AA12" s="56"/>
      <c r="AB12" s="948"/>
      <c r="AC12" s="26">
        <f>D12</f>
        <v>43450.6</v>
      </c>
      <c r="AD12" s="56"/>
      <c r="AE12" s="948"/>
      <c r="AF12" s="2075">
        <v>33052.699999999997</v>
      </c>
      <c r="AG12" s="56"/>
      <c r="AH12" s="949"/>
      <c r="AI12" s="26">
        <f>ROUND(SUM(+AC12-AF12),1)</f>
        <v>10397.9</v>
      </c>
      <c r="AJ12" s="950"/>
      <c r="AK12" s="342">
        <f>ROUND(IF(AF12=0,0,AI12/ABS(AF12)),3)</f>
        <v>0.315</v>
      </c>
    </row>
    <row r="13" spans="1:37" ht="15" customHeight="1">
      <c r="A13" s="46"/>
      <c r="B13" s="353"/>
      <c r="C13" s="353"/>
      <c r="D13" s="353"/>
      <c r="E13" s="353"/>
      <c r="F13" s="488"/>
      <c r="G13" s="353"/>
      <c r="H13" s="488"/>
      <c r="I13" s="353"/>
      <c r="J13" s="325"/>
      <c r="K13" s="353"/>
      <c r="L13" s="488"/>
      <c r="M13" s="353"/>
      <c r="N13" s="466"/>
      <c r="O13" s="353"/>
      <c r="P13" s="466"/>
      <c r="Q13" s="353"/>
      <c r="R13" s="466"/>
      <c r="S13" s="353"/>
      <c r="T13" s="466"/>
      <c r="U13" s="353"/>
      <c r="V13" s="466"/>
      <c r="W13" s="353"/>
      <c r="X13" s="466"/>
      <c r="Y13" s="353"/>
      <c r="Z13" s="466"/>
      <c r="AA13" s="466"/>
      <c r="AB13" s="1164"/>
      <c r="AC13" s="466"/>
      <c r="AD13" s="353"/>
      <c r="AE13" s="1164"/>
      <c r="AF13" s="466"/>
      <c r="AG13" s="466"/>
      <c r="AH13" s="947"/>
      <c r="AI13" s="95"/>
      <c r="AJ13" s="95"/>
      <c r="AK13" s="404"/>
    </row>
    <row r="14" spans="1:37" ht="15" customHeight="1">
      <c r="A14" s="46"/>
      <c r="B14" s="6" t="s">
        <v>115</v>
      </c>
      <c r="C14" s="353"/>
      <c r="D14" s="353"/>
      <c r="E14" s="353"/>
      <c r="F14" s="466"/>
      <c r="G14" s="353"/>
      <c r="H14" s="466"/>
      <c r="I14" s="353"/>
      <c r="J14" s="325"/>
      <c r="K14" s="353"/>
      <c r="L14" s="466"/>
      <c r="M14" s="353"/>
      <c r="N14" s="466"/>
      <c r="O14" s="353"/>
      <c r="P14" s="466"/>
      <c r="Q14" s="353"/>
      <c r="R14" s="466"/>
      <c r="S14" s="353"/>
      <c r="T14" s="466"/>
      <c r="U14" s="353"/>
      <c r="V14" s="466"/>
      <c r="W14" s="353"/>
      <c r="X14" s="466"/>
      <c r="Y14" s="353"/>
      <c r="Z14" s="466"/>
      <c r="AA14" s="466"/>
      <c r="AB14" s="1164"/>
      <c r="AC14" s="466"/>
      <c r="AD14" s="353"/>
      <c r="AE14" s="1164"/>
      <c r="AF14" s="466"/>
      <c r="AG14" s="466"/>
      <c r="AH14" s="947"/>
      <c r="AI14" s="95"/>
      <c r="AJ14" s="95"/>
      <c r="AK14" s="404"/>
    </row>
    <row r="15" spans="1:37" ht="15" customHeight="1">
      <c r="A15" s="46"/>
      <c r="B15" s="2006" t="s">
        <v>371</v>
      </c>
      <c r="C15" s="353"/>
      <c r="D15" s="353"/>
      <c r="E15" s="353"/>
      <c r="F15" s="466"/>
      <c r="G15" s="353"/>
      <c r="H15" s="466"/>
      <c r="I15" s="353"/>
      <c r="J15" s="325"/>
      <c r="K15" s="353"/>
      <c r="L15" s="466"/>
      <c r="M15" s="353"/>
      <c r="N15" s="466"/>
      <c r="O15" s="353"/>
      <c r="P15" s="466"/>
      <c r="Q15" s="353"/>
      <c r="R15" s="466"/>
      <c r="S15" s="353"/>
      <c r="T15" s="466"/>
      <c r="U15" s="353"/>
      <c r="V15" s="466"/>
      <c r="W15" s="353"/>
      <c r="X15" s="466"/>
      <c r="Y15" s="353"/>
      <c r="Z15" s="466"/>
      <c r="AA15" s="466"/>
      <c r="AB15" s="1164"/>
      <c r="AC15" s="466"/>
      <c r="AD15" s="353"/>
      <c r="AE15" s="1164"/>
      <c r="AF15" s="466"/>
      <c r="AG15" s="466"/>
      <c r="AH15" s="947"/>
      <c r="AI15" s="95"/>
      <c r="AJ15" s="95"/>
      <c r="AK15" s="404"/>
    </row>
    <row r="16" spans="1:37" ht="15" customHeight="1">
      <c r="A16" s="46"/>
      <c r="B16" s="525" t="s">
        <v>465</v>
      </c>
      <c r="C16" s="353"/>
      <c r="D16" s="353"/>
      <c r="E16" s="353"/>
      <c r="F16" s="466"/>
      <c r="G16" s="353"/>
      <c r="H16" s="466"/>
      <c r="I16" s="353"/>
      <c r="J16" s="325"/>
      <c r="K16" s="353"/>
      <c r="L16" s="466"/>
      <c r="M16" s="353"/>
      <c r="N16" s="466"/>
      <c r="O16" s="353"/>
      <c r="P16" s="466"/>
      <c r="Q16" s="353"/>
      <c r="R16" s="466"/>
      <c r="S16" s="353"/>
      <c r="T16" s="466"/>
      <c r="U16" s="353"/>
      <c r="V16" s="466"/>
      <c r="W16" s="353"/>
      <c r="X16" s="466"/>
      <c r="Y16" s="353"/>
      <c r="Z16" s="466"/>
      <c r="AA16" s="466"/>
      <c r="AB16" s="1164"/>
      <c r="AC16" s="466"/>
      <c r="AD16" s="353"/>
      <c r="AE16" s="1164"/>
      <c r="AF16" s="466"/>
      <c r="AG16" s="466"/>
      <c r="AH16" s="947"/>
      <c r="AI16" s="95"/>
      <c r="AJ16" s="95"/>
      <c r="AK16" s="404"/>
    </row>
    <row r="17" spans="1:38" ht="15" customHeight="1">
      <c r="A17" s="46"/>
      <c r="B17" s="345" t="s">
        <v>373</v>
      </c>
      <c r="C17" s="353"/>
      <c r="D17" s="659">
        <v>3783.8</v>
      </c>
      <c r="E17" s="635"/>
      <c r="F17" s="659">
        <v>3939.7000000000003</v>
      </c>
      <c r="G17" s="635"/>
      <c r="H17" s="659">
        <v>4133.5</v>
      </c>
      <c r="I17" s="650"/>
      <c r="J17" s="659">
        <v>3618.8999999999978</v>
      </c>
      <c r="K17" s="635"/>
      <c r="L17" s="659">
        <v>4079.7000000000007</v>
      </c>
      <c r="M17" s="690"/>
      <c r="N17" s="659">
        <v>3450.4000000000015</v>
      </c>
      <c r="O17" s="690"/>
      <c r="P17" s="659">
        <v>3676.5999999999985</v>
      </c>
      <c r="Q17" s="690"/>
      <c r="R17" s="659">
        <f>$AC17-$D17-$F17-$H17-$J17-$L17-$N17-$P17</f>
        <v>4086.7000000000007</v>
      </c>
      <c r="S17" s="635"/>
      <c r="T17" s="635"/>
      <c r="U17" s="635"/>
      <c r="V17" s="635"/>
      <c r="W17" s="635"/>
      <c r="X17" s="635"/>
      <c r="Y17" s="635"/>
      <c r="Z17" s="635"/>
      <c r="AA17" s="351"/>
      <c r="AB17" s="648"/>
      <c r="AC17" s="659">
        <v>30769.3</v>
      </c>
      <c r="AD17" s="325"/>
      <c r="AE17" s="648" t="s">
        <v>104</v>
      </c>
      <c r="AF17" s="659">
        <v>29799.3</v>
      </c>
      <c r="AG17" s="466"/>
      <c r="AH17" s="947"/>
      <c r="AI17" s="325">
        <f>ROUND(SUM(+AC17-AF17),1)</f>
        <v>970</v>
      </c>
      <c r="AJ17" s="95"/>
      <c r="AK17" s="327">
        <f t="shared" ref="AK17:AK21" si="1">ROUND(IF(AF17=0,0,AI17/ABS(AF17)),3)</f>
        <v>3.3000000000000002E-2</v>
      </c>
      <c r="AL17" s="71" t="s">
        <v>104</v>
      </c>
    </row>
    <row r="18" spans="1:38" ht="15" customHeight="1">
      <c r="A18" s="46"/>
      <c r="B18" s="345" t="s">
        <v>374</v>
      </c>
      <c r="C18" s="353"/>
      <c r="D18" s="659">
        <v>4875.8999999999996</v>
      </c>
      <c r="E18" s="635"/>
      <c r="F18" s="659">
        <v>110.4</v>
      </c>
      <c r="G18" s="635"/>
      <c r="H18" s="659">
        <v>1299.5999999999999</v>
      </c>
      <c r="I18" s="353"/>
      <c r="J18" s="659">
        <v>85.800000000000182</v>
      </c>
      <c r="K18" s="690"/>
      <c r="L18" s="659">
        <v>85.5</v>
      </c>
      <c r="M18" s="690"/>
      <c r="N18" s="659">
        <v>1473.4000000000005</v>
      </c>
      <c r="O18" s="690"/>
      <c r="P18" s="659">
        <v>159.59999999999945</v>
      </c>
      <c r="Q18" s="690"/>
      <c r="R18" s="659">
        <f t="shared" ref="R18:R21" si="2">$AC18-$D18-$F18-$H18-$J18-$L18-$N18-$P18</f>
        <v>91</v>
      </c>
      <c r="S18" s="635"/>
      <c r="T18" s="635"/>
      <c r="U18" s="690"/>
      <c r="V18" s="635"/>
      <c r="W18" s="635"/>
      <c r="X18" s="635"/>
      <c r="Y18" s="690"/>
      <c r="Z18" s="635"/>
      <c r="AA18" s="351"/>
      <c r="AB18" s="648"/>
      <c r="AC18" s="659">
        <v>8181.2</v>
      </c>
      <c r="AD18" s="325"/>
      <c r="AE18" s="648" t="s">
        <v>104</v>
      </c>
      <c r="AF18" s="659">
        <v>15432.6</v>
      </c>
      <c r="AG18" s="466"/>
      <c r="AH18" s="947"/>
      <c r="AI18" s="325">
        <f>ROUND(SUM(+AC18-AF18),1)</f>
        <v>-7251.4</v>
      </c>
      <c r="AJ18" s="95"/>
      <c r="AK18" s="670">
        <f t="shared" si="1"/>
        <v>-0.47</v>
      </c>
      <c r="AL18" s="71" t="s">
        <v>104</v>
      </c>
    </row>
    <row r="19" spans="1:38" ht="15" customHeight="1">
      <c r="A19" s="46"/>
      <c r="B19" s="345" t="s">
        <v>375</v>
      </c>
      <c r="C19" s="353"/>
      <c r="D19" s="659">
        <v>2097.1</v>
      </c>
      <c r="E19" s="635"/>
      <c r="F19" s="659">
        <v>131</v>
      </c>
      <c r="G19" s="635"/>
      <c r="H19" s="659">
        <v>85.5</v>
      </c>
      <c r="I19" s="353"/>
      <c r="J19" s="659">
        <v>61</v>
      </c>
      <c r="K19" s="690"/>
      <c r="L19" s="659">
        <v>63.099999999999909</v>
      </c>
      <c r="M19" s="690"/>
      <c r="N19" s="659">
        <v>87.800000000000182</v>
      </c>
      <c r="O19" s="690"/>
      <c r="P19" s="659">
        <v>764.40000000000009</v>
      </c>
      <c r="Q19" s="690"/>
      <c r="R19" s="659">
        <f>$AC19-$D19-$F19-$H19-$J19-$L19-$N19-$P19</f>
        <v>71.799999999999727</v>
      </c>
      <c r="S19" s="635"/>
      <c r="T19" s="635"/>
      <c r="U19" s="690"/>
      <c r="V19" s="635"/>
      <c r="W19" s="635"/>
      <c r="X19" s="635"/>
      <c r="Y19" s="690"/>
      <c r="Z19" s="635"/>
      <c r="AA19" s="351"/>
      <c r="AB19" s="648"/>
      <c r="AC19" s="659">
        <v>3361.7</v>
      </c>
      <c r="AD19" s="325"/>
      <c r="AE19" s="648" t="s">
        <v>104</v>
      </c>
      <c r="AF19" s="659">
        <v>5028.1000000000004</v>
      </c>
      <c r="AG19" s="466"/>
      <c r="AH19" s="947"/>
      <c r="AI19" s="325">
        <f>ROUND(SUM(+AC19-AF19),1)</f>
        <v>-1666.4</v>
      </c>
      <c r="AJ19" s="95"/>
      <c r="AK19" s="327">
        <f t="shared" si="1"/>
        <v>-0.33100000000000002</v>
      </c>
      <c r="AL19" s="71" t="s">
        <v>104</v>
      </c>
    </row>
    <row r="20" spans="1:38" s="1992" customFormat="1" ht="15" customHeight="1">
      <c r="A20" s="1983"/>
      <c r="B20" s="1984" t="s">
        <v>376</v>
      </c>
      <c r="C20" s="1985"/>
      <c r="D20" s="1921">
        <v>-509.9</v>
      </c>
      <c r="E20" s="1697"/>
      <c r="F20" s="1921">
        <v>-69.2</v>
      </c>
      <c r="G20" s="1697"/>
      <c r="H20" s="1921">
        <v>-49.4</v>
      </c>
      <c r="I20" s="1985"/>
      <c r="J20" s="659">
        <v>-46.199999999999953</v>
      </c>
      <c r="K20" s="1986"/>
      <c r="L20" s="659">
        <v>-98.000000000000114</v>
      </c>
      <c r="M20" s="1986"/>
      <c r="N20" s="659">
        <v>-119.69999999999996</v>
      </c>
      <c r="O20" s="1986"/>
      <c r="P20" s="659">
        <v>-423.6</v>
      </c>
      <c r="Q20" s="1986"/>
      <c r="R20" s="659">
        <f t="shared" si="2"/>
        <v>121.59999999999991</v>
      </c>
      <c r="S20" s="1697"/>
      <c r="T20" s="1697"/>
      <c r="U20" s="1986"/>
      <c r="V20" s="1697"/>
      <c r="W20" s="1697"/>
      <c r="X20" s="1697"/>
      <c r="Y20" s="1986"/>
      <c r="Z20" s="1697"/>
      <c r="AA20" s="1987"/>
      <c r="AB20" s="1988"/>
      <c r="AC20" s="1921">
        <v>-1194.4000000000001</v>
      </c>
      <c r="AD20" s="1922"/>
      <c r="AE20" s="1988" t="s">
        <v>104</v>
      </c>
      <c r="AF20" s="1921">
        <v>-1841.1</v>
      </c>
      <c r="AG20" s="1989"/>
      <c r="AH20" s="1990"/>
      <c r="AI20" s="1922">
        <f>-ROUND(SUM(+AC20-AF20),1)</f>
        <v>-646.70000000000005</v>
      </c>
      <c r="AJ20" s="1991"/>
      <c r="AK20" s="1918">
        <f t="shared" si="1"/>
        <v>-0.35099999999999998</v>
      </c>
      <c r="AL20" s="1992" t="s">
        <v>104</v>
      </c>
    </row>
    <row r="21" spans="1:38" ht="15" customHeight="1">
      <c r="A21" s="46"/>
      <c r="B21" s="533" t="s">
        <v>377</v>
      </c>
      <c r="C21" s="353"/>
      <c r="D21" s="659">
        <v>242.1</v>
      </c>
      <c r="E21" s="635"/>
      <c r="F21" s="659">
        <v>174.6</v>
      </c>
      <c r="G21" s="635"/>
      <c r="H21" s="659">
        <v>128.30000000000001</v>
      </c>
      <c r="I21" s="353"/>
      <c r="J21" s="659">
        <v>109.70000000000002</v>
      </c>
      <c r="K21" s="690"/>
      <c r="L21" s="659">
        <v>100.6999999999999</v>
      </c>
      <c r="M21" s="690"/>
      <c r="N21" s="659">
        <v>113.30000000000007</v>
      </c>
      <c r="O21" s="690"/>
      <c r="P21" s="659">
        <v>137.9</v>
      </c>
      <c r="Q21" s="690"/>
      <c r="R21" s="659">
        <f t="shared" si="2"/>
        <v>113.80000000000004</v>
      </c>
      <c r="S21" s="635"/>
      <c r="T21" s="635"/>
      <c r="U21" s="690"/>
      <c r="V21" s="635"/>
      <c r="W21" s="635"/>
      <c r="X21" s="635"/>
      <c r="Y21" s="690"/>
      <c r="Z21" s="635"/>
      <c r="AA21" s="351"/>
      <c r="AB21" s="648"/>
      <c r="AC21" s="659">
        <v>1120.4000000000001</v>
      </c>
      <c r="AD21" s="325"/>
      <c r="AE21" s="648" t="s">
        <v>104</v>
      </c>
      <c r="AF21" s="659">
        <v>1115</v>
      </c>
      <c r="AG21" s="466"/>
      <c r="AH21" s="947"/>
      <c r="AI21" s="325">
        <f>ROUND(SUM(+AC21-AF21),1)</f>
        <v>5.4</v>
      </c>
      <c r="AJ21" s="95"/>
      <c r="AK21" s="327">
        <f t="shared" si="1"/>
        <v>5.0000000000000001E-3</v>
      </c>
      <c r="AL21" s="71" t="s">
        <v>104</v>
      </c>
    </row>
    <row r="22" spans="1:38" ht="15" customHeight="1">
      <c r="A22" s="46"/>
      <c r="B22" s="346" t="s">
        <v>378</v>
      </c>
      <c r="C22" s="353"/>
      <c r="D22" s="842">
        <f>ROUND(SUM(D17:D21),1)</f>
        <v>10489</v>
      </c>
      <c r="E22" s="353"/>
      <c r="F22" s="842">
        <f>ROUND(SUM(F17:F21),1)</f>
        <v>4286.5</v>
      </c>
      <c r="G22" s="353"/>
      <c r="H22" s="842">
        <f>ROUND(SUM(H17:H21),1)</f>
        <v>5597.5</v>
      </c>
      <c r="I22" s="353"/>
      <c r="J22" s="842">
        <f>ROUND(SUM(J17:J21),1)</f>
        <v>3829.2</v>
      </c>
      <c r="K22" s="353"/>
      <c r="L22" s="842">
        <f>ROUND(SUM(L17:L21),1)</f>
        <v>4231</v>
      </c>
      <c r="M22" s="353"/>
      <c r="N22" s="842">
        <f>ROUND(SUM(N17:N21),1)</f>
        <v>5005.2</v>
      </c>
      <c r="O22" s="325"/>
      <c r="P22" s="842">
        <f>ROUND(SUM(P17:P21),1)</f>
        <v>4314.8999999999996</v>
      </c>
      <c r="Q22" s="325"/>
      <c r="R22" s="842">
        <f>ROUND(SUM(R17:R21),1)</f>
        <v>4484.8999999999996</v>
      </c>
      <c r="S22" s="16"/>
      <c r="T22" s="842">
        <f>ROUND(SUM(T17:T21),1)</f>
        <v>0</v>
      </c>
      <c r="U22" s="325"/>
      <c r="V22" s="842">
        <f>ROUND(SUM(V17:V21),1)</f>
        <v>0</v>
      </c>
      <c r="W22" s="325"/>
      <c r="X22" s="842">
        <f>ROUND(SUM(X17:X21),1)</f>
        <v>0</v>
      </c>
      <c r="Y22" s="325"/>
      <c r="Z22" s="842">
        <f>ROUND(SUM(Z17:Z21),1)</f>
        <v>0</v>
      </c>
      <c r="AA22" s="466"/>
      <c r="AB22" s="1164"/>
      <c r="AC22" s="842">
        <f>ROUND(SUM(AC17:AC21),1)</f>
        <v>42238.2</v>
      </c>
      <c r="AD22" s="353"/>
      <c r="AE22" s="1164" t="s">
        <v>104</v>
      </c>
      <c r="AF22" s="842">
        <f>ROUND(SUM(AF17:AF21),1)</f>
        <v>49533.9</v>
      </c>
      <c r="AG22" s="466"/>
      <c r="AH22" s="947"/>
      <c r="AI22" s="842">
        <f>ROUND(SUM(AC22-AF22),1)</f>
        <v>-7295.7</v>
      </c>
      <c r="AJ22" s="95"/>
      <c r="AK22" s="1274">
        <f>ROUND(SUM(+AI22/AF22),3)</f>
        <v>-0.14699999999999999</v>
      </c>
      <c r="AL22" s="71" t="s">
        <v>104</v>
      </c>
    </row>
    <row r="23" spans="1:38" ht="15" customHeight="1">
      <c r="A23" s="46"/>
      <c r="B23" s="533" t="s">
        <v>379</v>
      </c>
      <c r="C23" s="353"/>
      <c r="D23" s="659">
        <v>0</v>
      </c>
      <c r="E23" s="635"/>
      <c r="F23" s="659">
        <v>0</v>
      </c>
      <c r="G23" s="635"/>
      <c r="H23" s="659">
        <v>0</v>
      </c>
      <c r="I23" s="353"/>
      <c r="J23" s="659">
        <v>0</v>
      </c>
      <c r="K23" s="690"/>
      <c r="L23" s="659">
        <v>0</v>
      </c>
      <c r="M23" s="690"/>
      <c r="N23" s="659">
        <v>0</v>
      </c>
      <c r="O23" s="690"/>
      <c r="P23" s="659">
        <v>0</v>
      </c>
      <c r="Q23" s="690"/>
      <c r="R23" s="659">
        <f>$AC23-$D23-$F23-$H23-$J23-$L23-$N23-$P23</f>
        <v>-0.1</v>
      </c>
      <c r="S23" s="690"/>
      <c r="T23" s="635"/>
      <c r="U23" s="690"/>
      <c r="V23" s="635"/>
      <c r="W23" s="690"/>
      <c r="X23" s="635"/>
      <c r="Y23" s="690"/>
      <c r="Z23" s="635"/>
      <c r="AA23" s="351"/>
      <c r="AB23" s="648"/>
      <c r="AC23" s="659">
        <v>-0.1</v>
      </c>
      <c r="AD23" s="325"/>
      <c r="AE23" s="648" t="s">
        <v>104</v>
      </c>
      <c r="AF23" s="659">
        <v>-1.1000000000000001</v>
      </c>
      <c r="AG23" s="466"/>
      <c r="AH23" s="947"/>
      <c r="AI23" s="325">
        <f>-ROUND(SUM(+AC23-AF23),1)</f>
        <v>-1</v>
      </c>
      <c r="AJ23" s="95"/>
      <c r="AK23" s="327">
        <f>ROUND(IF(AF23=0,0,AI23/ABS(AF23)),3)</f>
        <v>-0.90900000000000003</v>
      </c>
    </row>
    <row r="24" spans="1:38" ht="15" customHeight="1">
      <c r="A24" s="46"/>
      <c r="B24" s="533" t="s">
        <v>380</v>
      </c>
      <c r="C24" s="353"/>
      <c r="D24" s="659">
        <v>-3727.2</v>
      </c>
      <c r="E24" s="635"/>
      <c r="F24" s="659">
        <v>-1044.3000000000002</v>
      </c>
      <c r="G24" s="635"/>
      <c r="H24" s="659">
        <v>-2497.3000000000002</v>
      </c>
      <c r="I24" s="353"/>
      <c r="J24" s="659">
        <v>-1712.9999999999991</v>
      </c>
      <c r="K24" s="690"/>
      <c r="L24" s="659">
        <v>-1850.1000000000004</v>
      </c>
      <c r="M24" s="690"/>
      <c r="N24" s="659">
        <v>-2158.6000000000004</v>
      </c>
      <c r="O24" s="690"/>
      <c r="P24" s="659">
        <v>-1142.2999999999993</v>
      </c>
      <c r="Q24" s="690"/>
      <c r="R24" s="659">
        <f t="shared" ref="R24:R25" si="3">$AC24-$D24-$F24-$H24-$J24-$L24-$N24-$P24</f>
        <v>-1685.4000000000024</v>
      </c>
      <c r="S24" s="690"/>
      <c r="T24" s="635"/>
      <c r="U24" s="690"/>
      <c r="V24" s="635"/>
      <c r="W24" s="690"/>
      <c r="X24" s="635"/>
      <c r="Y24" s="690"/>
      <c r="Z24" s="635"/>
      <c r="AA24" s="351"/>
      <c r="AB24" s="648"/>
      <c r="AC24" s="659">
        <v>-15818.2</v>
      </c>
      <c r="AD24" s="325"/>
      <c r="AE24" s="648" t="s">
        <v>104</v>
      </c>
      <c r="AF24" s="659">
        <v>-18918.599999999999</v>
      </c>
      <c r="AG24" s="466"/>
      <c r="AH24" s="947"/>
      <c r="AI24" s="325">
        <f>-ROUND(SUM(+AC24-AF24),1)</f>
        <v>-3100.4</v>
      </c>
      <c r="AJ24" s="95"/>
      <c r="AK24" s="327">
        <f>ROUND(IF(AF24=0,0,AI24/ABS(AF24)),3)</f>
        <v>-0.16400000000000001</v>
      </c>
    </row>
    <row r="25" spans="1:38" ht="15" customHeight="1">
      <c r="A25" s="46"/>
      <c r="B25" s="345" t="s">
        <v>381</v>
      </c>
      <c r="C25" s="353"/>
      <c r="D25" s="659">
        <v>-3034.6</v>
      </c>
      <c r="E25" s="635"/>
      <c r="F25" s="659">
        <v>-2197.9</v>
      </c>
      <c r="G25" s="635"/>
      <c r="H25" s="659">
        <v>-602.89999999999964</v>
      </c>
      <c r="I25" s="353"/>
      <c r="J25" s="659">
        <v>-403.30000000000018</v>
      </c>
      <c r="K25" s="690"/>
      <c r="L25" s="659">
        <v>-530.69999999999982</v>
      </c>
      <c r="M25" s="690"/>
      <c r="N25" s="659">
        <v>-687.99999999999955</v>
      </c>
      <c r="O25" s="690"/>
      <c r="P25" s="659">
        <v>-2030.3000000000015</v>
      </c>
      <c r="Q25" s="690"/>
      <c r="R25" s="659">
        <f t="shared" si="3"/>
        <v>-1114.0999999999985</v>
      </c>
      <c r="S25" s="690"/>
      <c r="T25" s="635"/>
      <c r="U25" s="690"/>
      <c r="V25" s="635"/>
      <c r="W25" s="690"/>
      <c r="X25" s="635"/>
      <c r="Y25" s="690"/>
      <c r="Z25" s="635"/>
      <c r="AA25" s="351"/>
      <c r="AB25" s="648"/>
      <c r="AC25" s="659">
        <v>-10601.8</v>
      </c>
      <c r="AD25" s="325"/>
      <c r="AE25" s="648" t="s">
        <v>104</v>
      </c>
      <c r="AF25" s="659">
        <v>-11696.8</v>
      </c>
      <c r="AG25" s="466"/>
      <c r="AH25" s="947"/>
      <c r="AI25" s="325">
        <f>-ROUND(SUM(+AC25-AF25),1)</f>
        <v>-1095</v>
      </c>
      <c r="AJ25" s="95"/>
      <c r="AK25" s="327">
        <f>ROUND(IF(AF25=0,0,AI25/ABS(AF25)),3)</f>
        <v>-9.4E-2</v>
      </c>
    </row>
    <row r="26" spans="1:38" ht="15" customHeight="1">
      <c r="A26" s="46"/>
      <c r="B26" s="118" t="s">
        <v>382</v>
      </c>
      <c r="C26" s="466"/>
      <c r="D26" s="842">
        <f>ROUND(SUM(D22:D25),1)</f>
        <v>3727.2</v>
      </c>
      <c r="E26" s="325"/>
      <c r="F26" s="842">
        <f>ROUND(SUM(F22:F25),1)</f>
        <v>1044.3</v>
      </c>
      <c r="G26" s="325"/>
      <c r="H26" s="842">
        <f>ROUND(SUM(H22:H25),1)</f>
        <v>2497.3000000000002</v>
      </c>
      <c r="I26" s="325"/>
      <c r="J26" s="842">
        <f>ROUND(SUM(J22:J25),1)</f>
        <v>1712.9</v>
      </c>
      <c r="K26" s="325"/>
      <c r="L26" s="842">
        <f>ROUND(SUM(L22:L25),1)</f>
        <v>1850.2</v>
      </c>
      <c r="M26" s="325"/>
      <c r="N26" s="842">
        <f>ROUND(SUM(N22:N25),1)</f>
        <v>2158.6</v>
      </c>
      <c r="O26" s="325"/>
      <c r="P26" s="842">
        <f>ROUND(SUM(P22:P25),1)</f>
        <v>1142.3</v>
      </c>
      <c r="Q26" s="325"/>
      <c r="R26" s="842">
        <f>ROUND(SUM(R22:R25),1)</f>
        <v>1685.3</v>
      </c>
      <c r="S26" s="16"/>
      <c r="T26" s="842">
        <f>ROUND(SUM(T22:T25),1)</f>
        <v>0</v>
      </c>
      <c r="U26" s="325"/>
      <c r="V26" s="842">
        <f>ROUND(SUM(V22:V25),1)</f>
        <v>0</v>
      </c>
      <c r="W26" s="325"/>
      <c r="X26" s="842">
        <f>ROUND(SUM(X22:X25),1)</f>
        <v>0</v>
      </c>
      <c r="Y26" s="325"/>
      <c r="Z26" s="842">
        <f>ROUND(SUM(Z22:Z25),1)</f>
        <v>0</v>
      </c>
      <c r="AA26" s="329"/>
      <c r="AB26" s="1164"/>
      <c r="AC26" s="842">
        <f>ROUND(SUM(AC22:AC25),1)</f>
        <v>15818.1</v>
      </c>
      <c r="AD26" s="325"/>
      <c r="AE26" s="647" t="s">
        <v>104</v>
      </c>
      <c r="AF26" s="842">
        <f>ROUND(SUM(AF22:AF25),1)</f>
        <v>18917.400000000001</v>
      </c>
      <c r="AG26" s="325"/>
      <c r="AH26" s="951"/>
      <c r="AI26" s="842">
        <f>ROUND(SUM(AI22-AI23-AI24-AI25),1)</f>
        <v>-3099.3</v>
      </c>
      <c r="AJ26" s="325"/>
      <c r="AK26" s="1274">
        <f>ROUND(SUM(+AI26/AF26),3)</f>
        <v>-0.16400000000000001</v>
      </c>
    </row>
    <row r="27" spans="1:38" ht="15" customHeight="1">
      <c r="A27" s="46"/>
      <c r="B27" s="525" t="s">
        <v>383</v>
      </c>
      <c r="C27" s="466"/>
      <c r="D27" s="16"/>
      <c r="E27" s="325"/>
      <c r="F27" s="16"/>
      <c r="G27" s="325"/>
      <c r="H27" s="16"/>
      <c r="I27" s="325"/>
      <c r="J27" s="16"/>
      <c r="K27" s="325"/>
      <c r="L27" s="16"/>
      <c r="M27" s="325"/>
      <c r="N27" s="16"/>
      <c r="O27" s="325"/>
      <c r="P27" s="16"/>
      <c r="Q27" s="325"/>
      <c r="R27" s="16"/>
      <c r="S27" s="325"/>
      <c r="T27" s="16"/>
      <c r="U27" s="325"/>
      <c r="V27" s="16"/>
      <c r="W27" s="325"/>
      <c r="X27" s="16"/>
      <c r="Y27" s="325"/>
      <c r="Z27" s="16"/>
      <c r="AA27" s="329"/>
      <c r="AB27" s="1164"/>
      <c r="AC27" s="16"/>
      <c r="AD27" s="325"/>
      <c r="AE27" s="647" t="s">
        <v>104</v>
      </c>
      <c r="AF27" s="16"/>
      <c r="AG27" s="325"/>
      <c r="AH27" s="951"/>
      <c r="AI27" s="16"/>
      <c r="AJ27" s="325"/>
      <c r="AK27" s="107"/>
    </row>
    <row r="28" spans="1:38" ht="15" customHeight="1">
      <c r="A28" s="46"/>
      <c r="B28" s="345" t="s">
        <v>384</v>
      </c>
      <c r="C28" s="466"/>
      <c r="D28" s="659">
        <v>679.2</v>
      </c>
      <c r="E28" s="635"/>
      <c r="F28" s="659">
        <v>687.8</v>
      </c>
      <c r="G28" s="635"/>
      <c r="H28" s="659">
        <v>920.09999999999991</v>
      </c>
      <c r="I28" s="325"/>
      <c r="J28" s="659">
        <v>739.90000000000032</v>
      </c>
      <c r="K28" s="690"/>
      <c r="L28" s="659">
        <v>719.19999999999959</v>
      </c>
      <c r="M28" s="690"/>
      <c r="N28" s="659">
        <v>917.60000000000036</v>
      </c>
      <c r="O28" s="690"/>
      <c r="P28" s="659">
        <v>721.89999999999986</v>
      </c>
      <c r="Q28" s="690"/>
      <c r="R28" s="659">
        <f t="shared" ref="R28:R36" si="4">$AC28-$D28-$F28-$H28-$J28-$L28-$N28-$P28</f>
        <v>727.40000000000032</v>
      </c>
      <c r="S28" s="690"/>
      <c r="T28" s="635"/>
      <c r="U28" s="690"/>
      <c r="V28" s="635"/>
      <c r="W28" s="690"/>
      <c r="X28" s="635"/>
      <c r="Y28" s="690"/>
      <c r="Z28" s="635"/>
      <c r="AA28" s="351"/>
      <c r="AB28" s="648"/>
      <c r="AC28" s="659">
        <v>6113.1</v>
      </c>
      <c r="AD28" s="325"/>
      <c r="AE28" s="648" t="s">
        <v>104</v>
      </c>
      <c r="AF28" s="659">
        <v>3587.6</v>
      </c>
      <c r="AG28" s="325"/>
      <c r="AH28" s="951"/>
      <c r="AI28" s="325">
        <f t="shared" ref="AI28:AI34" si="5">ROUND(SUM(+AC28-AF28),1)</f>
        <v>2525.5</v>
      </c>
      <c r="AJ28" s="325"/>
      <c r="AK28" s="327">
        <f t="shared" ref="AK28:AK36" si="6">ROUND(IF(AF28=0,0,AI28/ABS(AF28)),3)</f>
        <v>0.70399999999999996</v>
      </c>
    </row>
    <row r="29" spans="1:38" ht="15" customHeight="1">
      <c r="A29" s="46"/>
      <c r="B29" s="345" t="s">
        <v>385</v>
      </c>
      <c r="C29" s="466"/>
      <c r="D29" s="659">
        <v>0</v>
      </c>
      <c r="E29" s="635"/>
      <c r="F29" s="659">
        <v>0</v>
      </c>
      <c r="G29" s="635"/>
      <c r="H29" s="659">
        <v>0</v>
      </c>
      <c r="I29" s="325"/>
      <c r="J29" s="659">
        <v>0</v>
      </c>
      <c r="K29" s="690"/>
      <c r="L29" s="659">
        <v>0</v>
      </c>
      <c r="M29" s="690"/>
      <c r="N29" s="659">
        <v>0</v>
      </c>
      <c r="O29" s="690"/>
      <c r="P29" s="659">
        <v>0</v>
      </c>
      <c r="Q29" s="690"/>
      <c r="R29" s="659">
        <f t="shared" si="4"/>
        <v>0</v>
      </c>
      <c r="S29" s="690"/>
      <c r="T29" s="635"/>
      <c r="U29" s="690"/>
      <c r="V29" s="635"/>
      <c r="W29" s="690"/>
      <c r="X29" s="635"/>
      <c r="Y29" s="690"/>
      <c r="Z29" s="635"/>
      <c r="AA29" s="351"/>
      <c r="AB29" s="648"/>
      <c r="AC29" s="659">
        <v>0</v>
      </c>
      <c r="AD29" s="325"/>
      <c r="AE29" s="648" t="s">
        <v>104</v>
      </c>
      <c r="AF29" s="659">
        <v>0</v>
      </c>
      <c r="AG29" s="325"/>
      <c r="AH29" s="951"/>
      <c r="AI29" s="325">
        <f t="shared" si="5"/>
        <v>0</v>
      </c>
      <c r="AJ29" s="325"/>
      <c r="AK29" s="327">
        <f t="shared" si="6"/>
        <v>0</v>
      </c>
    </row>
    <row r="30" spans="1:38" ht="15" customHeight="1">
      <c r="A30" s="46"/>
      <c r="B30" s="345" t="s">
        <v>386</v>
      </c>
      <c r="C30" s="466"/>
      <c r="D30" s="659">
        <v>24.3</v>
      </c>
      <c r="E30" s="635"/>
      <c r="F30" s="659">
        <v>21.499999999999996</v>
      </c>
      <c r="G30" s="635"/>
      <c r="H30" s="659">
        <v>22.200000000000006</v>
      </c>
      <c r="I30" s="325"/>
      <c r="J30" s="659">
        <v>23.299999999999994</v>
      </c>
      <c r="K30" s="690"/>
      <c r="L30" s="659">
        <v>23.100000000000012</v>
      </c>
      <c r="M30" s="690"/>
      <c r="N30" s="659">
        <v>25.399999999999974</v>
      </c>
      <c r="O30" s="690"/>
      <c r="P30" s="659">
        <v>25.399999999999995</v>
      </c>
      <c r="Q30" s="690"/>
      <c r="R30" s="659">
        <f t="shared" si="4"/>
        <v>23.600000000000019</v>
      </c>
      <c r="S30" s="690"/>
      <c r="T30" s="635"/>
      <c r="U30" s="690"/>
      <c r="V30" s="635"/>
      <c r="W30" s="690"/>
      <c r="X30" s="635"/>
      <c r="Y30" s="690"/>
      <c r="Z30" s="635"/>
      <c r="AA30" s="351"/>
      <c r="AB30" s="648"/>
      <c r="AC30" s="659">
        <v>188.8</v>
      </c>
      <c r="AD30" s="325"/>
      <c r="AE30" s="648" t="s">
        <v>104</v>
      </c>
      <c r="AF30" s="659">
        <v>201.70000000000002</v>
      </c>
      <c r="AG30" s="325"/>
      <c r="AH30" s="951"/>
      <c r="AI30" s="325">
        <f t="shared" si="5"/>
        <v>-12.9</v>
      </c>
      <c r="AJ30" s="325"/>
      <c r="AK30" s="327">
        <f t="shared" si="6"/>
        <v>-6.4000000000000001E-2</v>
      </c>
    </row>
    <row r="31" spans="1:38" ht="15" customHeight="1">
      <c r="A31" s="46"/>
      <c r="B31" s="345" t="s">
        <v>388</v>
      </c>
      <c r="C31" s="466"/>
      <c r="D31" s="659">
        <v>0</v>
      </c>
      <c r="E31" s="635"/>
      <c r="F31" s="659">
        <v>0</v>
      </c>
      <c r="G31" s="635"/>
      <c r="H31" s="659">
        <v>0</v>
      </c>
      <c r="I31" s="325"/>
      <c r="J31" s="659">
        <v>0</v>
      </c>
      <c r="K31" s="690"/>
      <c r="L31" s="659">
        <v>0</v>
      </c>
      <c r="M31" s="690"/>
      <c r="N31" s="659">
        <v>0</v>
      </c>
      <c r="O31" s="690"/>
      <c r="P31" s="659">
        <v>0</v>
      </c>
      <c r="Q31" s="690"/>
      <c r="R31" s="659">
        <f t="shared" si="4"/>
        <v>0</v>
      </c>
      <c r="S31" s="690"/>
      <c r="T31" s="635"/>
      <c r="U31" s="690"/>
      <c r="V31" s="635"/>
      <c r="W31" s="690"/>
      <c r="X31" s="635"/>
      <c r="Y31" s="690"/>
      <c r="Z31" s="635"/>
      <c r="AA31" s="351"/>
      <c r="AB31" s="648"/>
      <c r="AC31" s="659">
        <v>0</v>
      </c>
      <c r="AD31" s="325"/>
      <c r="AE31" s="648" t="s">
        <v>104</v>
      </c>
      <c r="AF31" s="659">
        <v>0</v>
      </c>
      <c r="AG31" s="325"/>
      <c r="AH31" s="951"/>
      <c r="AI31" s="325">
        <f t="shared" si="5"/>
        <v>0</v>
      </c>
      <c r="AJ31" s="325"/>
      <c r="AK31" s="327">
        <f>ROUND(IF(AF31=0,0,AI31/ABS(AF31)),3)</f>
        <v>0</v>
      </c>
    </row>
    <row r="32" spans="1:38" ht="15" customHeight="1">
      <c r="A32" s="46"/>
      <c r="B32" s="534" t="s">
        <v>389</v>
      </c>
      <c r="C32" s="466"/>
      <c r="D32" s="659">
        <v>-1.4</v>
      </c>
      <c r="E32" s="635"/>
      <c r="F32" s="659">
        <v>0</v>
      </c>
      <c r="G32" s="635"/>
      <c r="H32" s="659">
        <v>0.39999999999999991</v>
      </c>
      <c r="I32" s="325"/>
      <c r="J32" s="659">
        <v>0</v>
      </c>
      <c r="K32" s="690"/>
      <c r="L32" s="659">
        <v>0</v>
      </c>
      <c r="M32" s="690"/>
      <c r="N32" s="659">
        <v>0.4</v>
      </c>
      <c r="O32" s="690"/>
      <c r="P32" s="659">
        <v>0</v>
      </c>
      <c r="Q32" s="690"/>
      <c r="R32" s="659">
        <f t="shared" si="4"/>
        <v>0</v>
      </c>
      <c r="S32" s="690"/>
      <c r="T32" s="635"/>
      <c r="U32" s="690"/>
      <c r="V32" s="635"/>
      <c r="W32" s="690"/>
      <c r="X32" s="635"/>
      <c r="Y32" s="690"/>
      <c r="Z32" s="635"/>
      <c r="AA32" s="351"/>
      <c r="AB32" s="648"/>
      <c r="AC32" s="659">
        <v>-0.6</v>
      </c>
      <c r="AD32" s="325"/>
      <c r="AE32" s="648" t="s">
        <v>104</v>
      </c>
      <c r="AF32" s="659">
        <v>0</v>
      </c>
      <c r="AG32" s="325"/>
      <c r="AH32" s="951"/>
      <c r="AI32" s="325">
        <f t="shared" ref="AI32" si="7">ROUND(SUM(+AC32-AF32),1)</f>
        <v>-0.6</v>
      </c>
      <c r="AJ32" s="325"/>
      <c r="AK32" s="327">
        <f>-ROUND(IF(AF32=0,1,AI32/ABS(AF32)),3)</f>
        <v>-1</v>
      </c>
    </row>
    <row r="33" spans="1:41" ht="15" customHeight="1">
      <c r="A33" s="46"/>
      <c r="B33" s="345" t="s">
        <v>390</v>
      </c>
      <c r="C33" s="466"/>
      <c r="D33" s="659">
        <v>21.8</v>
      </c>
      <c r="E33" s="635"/>
      <c r="F33" s="659">
        <v>20.3</v>
      </c>
      <c r="G33" s="635"/>
      <c r="H33" s="659">
        <v>25.999999999999996</v>
      </c>
      <c r="I33" s="325"/>
      <c r="J33" s="659">
        <v>27.300000000000015</v>
      </c>
      <c r="K33" s="690"/>
      <c r="L33" s="659">
        <v>21.799999999999979</v>
      </c>
      <c r="M33" s="690"/>
      <c r="N33" s="659">
        <v>26.600000000000026</v>
      </c>
      <c r="O33" s="690"/>
      <c r="P33" s="659">
        <v>20.099999999999977</v>
      </c>
      <c r="Q33" s="690"/>
      <c r="R33" s="659">
        <f t="shared" si="4"/>
        <v>22.699999999999978</v>
      </c>
      <c r="S33" s="690"/>
      <c r="T33" s="635"/>
      <c r="U33" s="690"/>
      <c r="V33" s="635"/>
      <c r="W33" s="690"/>
      <c r="X33" s="635"/>
      <c r="Y33" s="690"/>
      <c r="Z33" s="635"/>
      <c r="AA33" s="351"/>
      <c r="AB33" s="648"/>
      <c r="AC33" s="659">
        <v>186.6</v>
      </c>
      <c r="AD33" s="325"/>
      <c r="AE33" s="648" t="s">
        <v>104</v>
      </c>
      <c r="AF33" s="659">
        <v>192.5</v>
      </c>
      <c r="AG33" s="325"/>
      <c r="AH33" s="951"/>
      <c r="AI33" s="325">
        <f t="shared" si="5"/>
        <v>-5.9</v>
      </c>
      <c r="AJ33" s="325"/>
      <c r="AK33" s="327">
        <f t="shared" si="6"/>
        <v>-3.1E-2</v>
      </c>
    </row>
    <row r="34" spans="1:41" ht="15" customHeight="1">
      <c r="A34" s="46"/>
      <c r="B34" s="345" t="s">
        <v>391</v>
      </c>
      <c r="C34" s="466"/>
      <c r="D34" s="659">
        <v>0</v>
      </c>
      <c r="E34" s="635"/>
      <c r="F34" s="659">
        <v>0</v>
      </c>
      <c r="G34" s="635"/>
      <c r="H34" s="659">
        <v>0</v>
      </c>
      <c r="I34" s="325"/>
      <c r="J34" s="659">
        <v>0</v>
      </c>
      <c r="K34" s="690"/>
      <c r="L34" s="659">
        <v>0</v>
      </c>
      <c r="M34" s="690"/>
      <c r="N34" s="659">
        <v>0</v>
      </c>
      <c r="O34" s="690"/>
      <c r="P34" s="659">
        <v>0</v>
      </c>
      <c r="Q34" s="690"/>
      <c r="R34" s="659">
        <f t="shared" si="4"/>
        <v>0</v>
      </c>
      <c r="S34" s="690"/>
      <c r="T34" s="635"/>
      <c r="U34" s="690"/>
      <c r="V34" s="635"/>
      <c r="W34" s="690"/>
      <c r="X34" s="635"/>
      <c r="Y34" s="690"/>
      <c r="Z34" s="635"/>
      <c r="AA34" s="351"/>
      <c r="AB34" s="648"/>
      <c r="AC34" s="659">
        <v>0</v>
      </c>
      <c r="AD34" s="325"/>
      <c r="AE34" s="648" t="s">
        <v>104</v>
      </c>
      <c r="AF34" s="659">
        <v>0</v>
      </c>
      <c r="AG34" s="325"/>
      <c r="AH34" s="951"/>
      <c r="AI34" s="325">
        <f t="shared" si="5"/>
        <v>0</v>
      </c>
      <c r="AJ34" s="325"/>
      <c r="AK34" s="327">
        <f t="shared" si="6"/>
        <v>0</v>
      </c>
    </row>
    <row r="35" spans="1:41" ht="15" customHeight="1">
      <c r="A35" s="46"/>
      <c r="B35" s="345" t="s">
        <v>467</v>
      </c>
      <c r="C35" s="466"/>
      <c r="D35" s="659">
        <v>0</v>
      </c>
      <c r="E35" s="635"/>
      <c r="F35" s="659">
        <v>0</v>
      </c>
      <c r="G35" s="635"/>
      <c r="H35" s="659">
        <v>0</v>
      </c>
      <c r="I35" s="325"/>
      <c r="J35" s="659">
        <v>0</v>
      </c>
      <c r="K35" s="690"/>
      <c r="L35" s="659">
        <v>0</v>
      </c>
      <c r="M35" s="690"/>
      <c r="N35" s="659">
        <v>0</v>
      </c>
      <c r="O35" s="690"/>
      <c r="P35" s="659">
        <v>0</v>
      </c>
      <c r="Q35" s="690"/>
      <c r="R35" s="659">
        <f t="shared" si="4"/>
        <v>0</v>
      </c>
      <c r="S35" s="690"/>
      <c r="T35" s="635"/>
      <c r="U35" s="690"/>
      <c r="V35" s="635"/>
      <c r="W35" s="690"/>
      <c r="X35" s="635"/>
      <c r="Y35" s="690"/>
      <c r="Z35" s="635"/>
      <c r="AA35" s="351"/>
      <c r="AB35" s="648"/>
      <c r="AC35" s="659">
        <v>0</v>
      </c>
      <c r="AD35" s="325"/>
      <c r="AE35" s="648" t="s">
        <v>104</v>
      </c>
      <c r="AF35" s="659">
        <v>0</v>
      </c>
      <c r="AG35" s="325"/>
      <c r="AH35" s="951"/>
      <c r="AI35" s="325">
        <f>ROUND(SUM(+AC35-AF35),1)</f>
        <v>0</v>
      </c>
      <c r="AJ35" s="325"/>
      <c r="AK35" s="327">
        <f>ROUND(IF(AF35=0,0,AI35/ABS(AF35)),3)</f>
        <v>0</v>
      </c>
    </row>
    <row r="36" spans="1:41" ht="15" customHeight="1">
      <c r="A36" s="46"/>
      <c r="B36" s="345" t="s">
        <v>393</v>
      </c>
      <c r="C36" s="466"/>
      <c r="D36" s="659">
        <v>6</v>
      </c>
      <c r="E36" s="635"/>
      <c r="F36" s="659">
        <v>0.20000000000000018</v>
      </c>
      <c r="G36" s="635"/>
      <c r="H36" s="659">
        <v>0.20000000000000018</v>
      </c>
      <c r="I36" s="325"/>
      <c r="J36" s="659">
        <v>4.2999999999999989</v>
      </c>
      <c r="K36" s="690"/>
      <c r="L36" s="659">
        <v>0.10000000000000142</v>
      </c>
      <c r="M36" s="690"/>
      <c r="N36" s="659">
        <v>9.9999999999999645E-2</v>
      </c>
      <c r="O36" s="690"/>
      <c r="P36" s="659">
        <v>5.9000000000000021</v>
      </c>
      <c r="Q36" s="690"/>
      <c r="R36" s="659">
        <f t="shared" si="4"/>
        <v>0</v>
      </c>
      <c r="S36" s="690"/>
      <c r="T36" s="635"/>
      <c r="U36" s="690"/>
      <c r="V36" s="635"/>
      <c r="W36" s="690"/>
      <c r="X36" s="635"/>
      <c r="Y36" s="690"/>
      <c r="Z36" s="635"/>
      <c r="AA36" s="351"/>
      <c r="AB36" s="648"/>
      <c r="AC36" s="659">
        <v>16.8</v>
      </c>
      <c r="AD36" s="325"/>
      <c r="AE36" s="648" t="s">
        <v>104</v>
      </c>
      <c r="AF36" s="659">
        <v>19.600000000000001</v>
      </c>
      <c r="AG36" s="325"/>
      <c r="AH36" s="951"/>
      <c r="AI36" s="325">
        <f t="shared" ref="AI36" si="8">ROUND(SUM(+AC36-AF36),1)</f>
        <v>-2.8</v>
      </c>
      <c r="AJ36" s="325"/>
      <c r="AK36" s="327">
        <f t="shared" si="6"/>
        <v>-0.14299999999999999</v>
      </c>
    </row>
    <row r="37" spans="1:41" s="74" customFormat="1" ht="15" customHeight="1">
      <c r="A37" s="530"/>
      <c r="B37" s="118" t="s">
        <v>394</v>
      </c>
      <c r="C37" s="72"/>
      <c r="D37" s="842">
        <f>ROUND(SUM(D28:D36),1)</f>
        <v>729.9</v>
      </c>
      <c r="E37" s="16"/>
      <c r="F37" s="842">
        <f>ROUND(SUM(F28:F36),1)</f>
        <v>729.8</v>
      </c>
      <c r="G37" s="16"/>
      <c r="H37" s="842">
        <f>ROUND(SUM(H28:H36),1)</f>
        <v>968.9</v>
      </c>
      <c r="I37" s="16"/>
      <c r="J37" s="842">
        <f>ROUND(SUM(J28:J36),1)</f>
        <v>794.8</v>
      </c>
      <c r="K37" s="16"/>
      <c r="L37" s="842">
        <f>ROUND(SUM(L28:L36),1)</f>
        <v>764.2</v>
      </c>
      <c r="M37" s="16"/>
      <c r="N37" s="842">
        <f>ROUND(SUM(N28:N36),1)</f>
        <v>970.1</v>
      </c>
      <c r="O37" s="16"/>
      <c r="P37" s="842">
        <f>ROUND(SUM(P28:P36),1)</f>
        <v>773.3</v>
      </c>
      <c r="Q37" s="16"/>
      <c r="R37" s="842">
        <f>ROUND(SUM(R28:R36),1)</f>
        <v>773.7</v>
      </c>
      <c r="S37" s="16"/>
      <c r="T37" s="842">
        <f>ROUND(SUM(T28:T36),1)</f>
        <v>0</v>
      </c>
      <c r="U37" s="16"/>
      <c r="V37" s="842">
        <f>ROUND(SUM(V28:V36),1)</f>
        <v>0</v>
      </c>
      <c r="W37" s="16"/>
      <c r="X37" s="842">
        <f>ROUND(SUM(X28:X36),1)</f>
        <v>0</v>
      </c>
      <c r="Y37" s="16"/>
      <c r="Z37" s="842">
        <f>ROUND(SUM(Z28:Z36),1)</f>
        <v>0</v>
      </c>
      <c r="AA37" s="51"/>
      <c r="AB37" s="101"/>
      <c r="AC37" s="842">
        <f>ROUND(SUM(AC28:AC36),1)</f>
        <v>6504.7</v>
      </c>
      <c r="AD37" s="16"/>
      <c r="AE37" s="18"/>
      <c r="AF37" s="842">
        <f>ROUND(SUM(AF28:AF36),1)</f>
        <v>4001.4</v>
      </c>
      <c r="AG37" s="16"/>
      <c r="AH37" s="952"/>
      <c r="AI37" s="842">
        <f>ROUND(SUM(AI28:AI36),1)</f>
        <v>2503.3000000000002</v>
      </c>
      <c r="AJ37" s="16"/>
      <c r="AK37" s="1274">
        <f>ROUND(SUM(+AI37/AF37),3)</f>
        <v>0.626</v>
      </c>
      <c r="AL37" s="71"/>
      <c r="AO37" s="71"/>
    </row>
    <row r="38" spans="1:41" s="74" customFormat="1" ht="15" customHeight="1">
      <c r="A38" s="530"/>
      <c r="B38" s="525" t="s">
        <v>395</v>
      </c>
      <c r="C38" s="72"/>
      <c r="D38" s="16"/>
      <c r="E38" s="16"/>
      <c r="F38" s="16"/>
      <c r="G38" s="16"/>
      <c r="H38" s="16"/>
      <c r="I38" s="16"/>
      <c r="J38" s="325"/>
      <c r="K38" s="16"/>
      <c r="L38" s="16"/>
      <c r="M38" s="16"/>
      <c r="N38" s="16"/>
      <c r="O38" s="16"/>
      <c r="P38" s="16"/>
      <c r="Q38" s="16"/>
      <c r="R38" s="16"/>
      <c r="S38" s="16"/>
      <c r="T38" s="16"/>
      <c r="U38" s="16"/>
      <c r="V38" s="16"/>
      <c r="W38" s="16"/>
      <c r="X38" s="16"/>
      <c r="Y38" s="16"/>
      <c r="Z38" s="16"/>
      <c r="AA38" s="51"/>
      <c r="AB38" s="101"/>
      <c r="AC38" s="16"/>
      <c r="AD38" s="16"/>
      <c r="AE38" s="18" t="s">
        <v>104</v>
      </c>
      <c r="AF38" s="16"/>
      <c r="AG38" s="16"/>
      <c r="AH38" s="952"/>
      <c r="AI38" s="16"/>
      <c r="AJ38" s="16"/>
      <c r="AK38" s="107"/>
      <c r="AL38" s="71"/>
      <c r="AO38" s="71"/>
    </row>
    <row r="39" spans="1:41" s="74" customFormat="1" ht="15" customHeight="1">
      <c r="A39" s="530"/>
      <c r="B39" s="345" t="s">
        <v>396</v>
      </c>
      <c r="C39" s="72"/>
      <c r="D39" s="659">
        <v>976.7</v>
      </c>
      <c r="E39" s="635"/>
      <c r="F39" s="659">
        <v>50.700000000000045</v>
      </c>
      <c r="G39" s="635"/>
      <c r="H39" s="659">
        <v>1298.3000000000002</v>
      </c>
      <c r="I39" s="16"/>
      <c r="J39" s="659">
        <v>190.89999999999964</v>
      </c>
      <c r="K39" s="690"/>
      <c r="L39" s="659">
        <v>55.5</v>
      </c>
      <c r="M39" s="690"/>
      <c r="N39" s="659">
        <v>1370.5</v>
      </c>
      <c r="O39" s="690"/>
      <c r="P39" s="659">
        <v>196.30000000000109</v>
      </c>
      <c r="Q39" s="690"/>
      <c r="R39" s="659">
        <f t="shared" ref="R39:R44" si="9">$AC39-$D39-$F39-$H39-$J39-$L39-$N39-$P39</f>
        <v>52.599999999999454</v>
      </c>
      <c r="S39" s="690"/>
      <c r="T39" s="635"/>
      <c r="U39" s="690"/>
      <c r="V39" s="635"/>
      <c r="W39" s="690"/>
      <c r="X39" s="635"/>
      <c r="Y39" s="690"/>
      <c r="Z39" s="635"/>
      <c r="AA39" s="351"/>
      <c r="AB39" s="648"/>
      <c r="AC39" s="659">
        <v>4191.5</v>
      </c>
      <c r="AD39" s="325"/>
      <c r="AE39" s="648" t="s">
        <v>104</v>
      </c>
      <c r="AF39" s="659">
        <v>4105.1000000000004</v>
      </c>
      <c r="AG39" s="16"/>
      <c r="AH39" s="952"/>
      <c r="AI39" s="325">
        <f t="shared" ref="AI39:AI44" si="10">ROUND(SUM(+AC39-AF39),1)</f>
        <v>86.4</v>
      </c>
      <c r="AJ39" s="16"/>
      <c r="AK39" s="327">
        <f t="shared" ref="AK39:AK41" si="11">ROUND(IF(AF39=0,0,AI39/ABS(AF39)),3)</f>
        <v>2.1000000000000001E-2</v>
      </c>
      <c r="AL39" s="71"/>
      <c r="AM39" s="71"/>
      <c r="AO39" s="71"/>
    </row>
    <row r="40" spans="1:41" s="74" customFormat="1" ht="15" customHeight="1">
      <c r="A40" s="530"/>
      <c r="B40" s="345" t="s">
        <v>397</v>
      </c>
      <c r="C40" s="72"/>
      <c r="D40" s="659">
        <v>14.7</v>
      </c>
      <c r="E40" s="635"/>
      <c r="F40" s="659">
        <v>0.40000000000000036</v>
      </c>
      <c r="G40" s="635"/>
      <c r="H40" s="659">
        <v>60.499999999999993</v>
      </c>
      <c r="I40" s="16"/>
      <c r="J40" s="659">
        <v>0.10000000000000853</v>
      </c>
      <c r="K40" s="690"/>
      <c r="L40" s="659">
        <v>1.2999999999999972</v>
      </c>
      <c r="M40" s="690"/>
      <c r="N40" s="659">
        <v>76.300000000000011</v>
      </c>
      <c r="O40" s="690"/>
      <c r="P40" s="659">
        <v>19</v>
      </c>
      <c r="Q40" s="690"/>
      <c r="R40" s="659">
        <f t="shared" si="9"/>
        <v>10.799999999999983</v>
      </c>
      <c r="S40" s="690"/>
      <c r="T40" s="635"/>
      <c r="U40" s="690"/>
      <c r="V40" s="635"/>
      <c r="W40" s="690"/>
      <c r="X40" s="635"/>
      <c r="Y40" s="690"/>
      <c r="Z40" s="635"/>
      <c r="AA40" s="351"/>
      <c r="AB40" s="648"/>
      <c r="AC40" s="659">
        <v>183.1</v>
      </c>
      <c r="AD40" s="325"/>
      <c r="AE40" s="648" t="s">
        <v>104</v>
      </c>
      <c r="AF40" s="659">
        <v>176.1</v>
      </c>
      <c r="AG40" s="16"/>
      <c r="AH40" s="952"/>
      <c r="AI40" s="325">
        <f t="shared" si="10"/>
        <v>7</v>
      </c>
      <c r="AJ40" s="16"/>
      <c r="AK40" s="670">
        <f t="shared" si="11"/>
        <v>0.04</v>
      </c>
      <c r="AL40" s="71"/>
      <c r="AM40" s="71"/>
      <c r="AO40" s="71"/>
    </row>
    <row r="41" spans="1:41" s="74" customFormat="1" ht="15" customHeight="1">
      <c r="A41" s="530"/>
      <c r="B41" s="345" t="s">
        <v>398</v>
      </c>
      <c r="C41" s="72"/>
      <c r="D41" s="659">
        <v>73.599999999999994</v>
      </c>
      <c r="E41" s="635"/>
      <c r="F41" s="659">
        <v>97.200000000000017</v>
      </c>
      <c r="G41" s="635"/>
      <c r="H41" s="659">
        <v>418.9</v>
      </c>
      <c r="I41" s="16"/>
      <c r="J41" s="659">
        <v>-9</v>
      </c>
      <c r="K41" s="690"/>
      <c r="L41" s="659">
        <v>22.199999999999932</v>
      </c>
      <c r="M41" s="690"/>
      <c r="N41" s="659">
        <v>464.80000000000007</v>
      </c>
      <c r="O41" s="690"/>
      <c r="P41" s="659">
        <v>13</v>
      </c>
      <c r="Q41" s="690"/>
      <c r="R41" s="659">
        <f t="shared" si="9"/>
        <v>10.099999999999909</v>
      </c>
      <c r="S41" s="690"/>
      <c r="T41" s="635"/>
      <c r="U41" s="690"/>
      <c r="V41" s="635"/>
      <c r="W41" s="690"/>
      <c r="X41" s="635"/>
      <c r="Y41" s="690"/>
      <c r="Z41" s="635"/>
      <c r="AA41" s="351"/>
      <c r="AB41" s="648"/>
      <c r="AC41" s="659">
        <v>1090.8</v>
      </c>
      <c r="AD41" s="325"/>
      <c r="AE41" s="648" t="s">
        <v>104</v>
      </c>
      <c r="AF41" s="659">
        <v>1116</v>
      </c>
      <c r="AG41" s="16"/>
      <c r="AH41" s="952"/>
      <c r="AI41" s="325">
        <f t="shared" si="10"/>
        <v>-25.2</v>
      </c>
      <c r="AJ41" s="16"/>
      <c r="AK41" s="327">
        <f t="shared" si="11"/>
        <v>-2.3E-2</v>
      </c>
      <c r="AL41" s="71"/>
      <c r="AM41" s="71"/>
      <c r="AO41" s="71"/>
    </row>
    <row r="42" spans="1:41" s="74" customFormat="1" ht="15" customHeight="1">
      <c r="A42" s="530"/>
      <c r="B42" s="345" t="s">
        <v>399</v>
      </c>
      <c r="C42" s="72"/>
      <c r="D42" s="659">
        <v>1.9</v>
      </c>
      <c r="E42" s="635"/>
      <c r="F42" s="659">
        <v>0</v>
      </c>
      <c r="G42" s="635"/>
      <c r="H42" s="659">
        <v>-0.29999999999999982</v>
      </c>
      <c r="I42" s="16"/>
      <c r="J42" s="659">
        <v>0.39999999999999991</v>
      </c>
      <c r="K42" s="690"/>
      <c r="L42" s="659">
        <v>-3.1</v>
      </c>
      <c r="M42" s="690"/>
      <c r="N42" s="659">
        <v>0.10000000000000009</v>
      </c>
      <c r="O42" s="690"/>
      <c r="P42" s="659">
        <v>1.2</v>
      </c>
      <c r="Q42" s="690"/>
      <c r="R42" s="659">
        <f t="shared" si="9"/>
        <v>0</v>
      </c>
      <c r="S42" s="690"/>
      <c r="T42" s="635"/>
      <c r="U42" s="690"/>
      <c r="V42" s="635"/>
      <c r="W42" s="690"/>
      <c r="X42" s="635"/>
      <c r="Y42" s="690"/>
      <c r="Z42" s="635"/>
      <c r="AA42" s="351"/>
      <c r="AB42" s="648"/>
      <c r="AC42" s="659">
        <v>0.2</v>
      </c>
      <c r="AD42" s="325"/>
      <c r="AE42" s="648" t="s">
        <v>104</v>
      </c>
      <c r="AF42" s="659">
        <v>-3.3</v>
      </c>
      <c r="AG42" s="16"/>
      <c r="AH42" s="952"/>
      <c r="AI42" s="325">
        <f t="shared" si="10"/>
        <v>3.5</v>
      </c>
      <c r="AJ42" s="16"/>
      <c r="AK42" s="670">
        <f>ROUND(IF(AF42=0,1,AI42/ABS(AF42)),3)</f>
        <v>1.0609999999999999</v>
      </c>
      <c r="AL42" s="71"/>
      <c r="AM42" s="71"/>
      <c r="AO42" s="71"/>
    </row>
    <row r="43" spans="1:41" s="74" customFormat="1" ht="15" customHeight="1">
      <c r="A43" s="530"/>
      <c r="B43" s="345" t="s">
        <v>400</v>
      </c>
      <c r="C43" s="72"/>
      <c r="D43" s="659">
        <v>49.4</v>
      </c>
      <c r="E43" s="635"/>
      <c r="F43" s="659">
        <v>65.699999999999989</v>
      </c>
      <c r="G43" s="635"/>
      <c r="H43" s="659">
        <v>1269.0999999999999</v>
      </c>
      <c r="I43" s="16"/>
      <c r="J43" s="659">
        <v>18.5</v>
      </c>
      <c r="K43" s="690"/>
      <c r="L43" s="659">
        <v>68.399999999999864</v>
      </c>
      <c r="M43" s="690"/>
      <c r="N43" s="659">
        <v>1486.6000000000001</v>
      </c>
      <c r="O43" s="690"/>
      <c r="P43" s="659">
        <v>-550.5</v>
      </c>
      <c r="Q43" s="690"/>
      <c r="R43" s="659">
        <f t="shared" si="9"/>
        <v>24.600000000000364</v>
      </c>
      <c r="S43" s="690"/>
      <c r="T43" s="635"/>
      <c r="U43" s="690"/>
      <c r="V43" s="635"/>
      <c r="W43" s="690"/>
      <c r="X43" s="635"/>
      <c r="Y43" s="690"/>
      <c r="Z43" s="635"/>
      <c r="AA43" s="351"/>
      <c r="AB43" s="648"/>
      <c r="AC43" s="659">
        <v>2431.8000000000002</v>
      </c>
      <c r="AD43" s="325"/>
      <c r="AE43" s="648" t="s">
        <v>104</v>
      </c>
      <c r="AF43" s="659">
        <v>2843.8</v>
      </c>
      <c r="AG43" s="16"/>
      <c r="AH43" s="952"/>
      <c r="AI43" s="325">
        <f t="shared" si="10"/>
        <v>-412</v>
      </c>
      <c r="AJ43" s="16"/>
      <c r="AK43" s="670">
        <f>ROUND(IF(AF43=0,1,AI43/ABS(AF43)),3)</f>
        <v>-0.14499999999999999</v>
      </c>
      <c r="AL43" s="71"/>
      <c r="AM43" s="71"/>
      <c r="AO43" s="71"/>
    </row>
    <row r="44" spans="1:41" s="74" customFormat="1" ht="15" customHeight="1">
      <c r="A44" s="530"/>
      <c r="B44" s="345" t="s">
        <v>401</v>
      </c>
      <c r="C44" s="72"/>
      <c r="D44" s="659">
        <v>0</v>
      </c>
      <c r="E44" s="635"/>
      <c r="F44" s="659">
        <v>0</v>
      </c>
      <c r="G44" s="635"/>
      <c r="H44" s="659">
        <v>0</v>
      </c>
      <c r="I44" s="16"/>
      <c r="J44" s="659">
        <v>0</v>
      </c>
      <c r="K44" s="690"/>
      <c r="L44" s="659">
        <v>0</v>
      </c>
      <c r="M44" s="690"/>
      <c r="N44" s="659">
        <v>0</v>
      </c>
      <c r="O44" s="690"/>
      <c r="P44" s="659">
        <v>0</v>
      </c>
      <c r="Q44" s="690"/>
      <c r="R44" s="659">
        <f t="shared" si="9"/>
        <v>0</v>
      </c>
      <c r="S44" s="690"/>
      <c r="T44" s="635"/>
      <c r="U44" s="690"/>
      <c r="V44" s="635"/>
      <c r="W44" s="690"/>
      <c r="X44" s="635"/>
      <c r="Y44" s="690"/>
      <c r="Z44" s="635"/>
      <c r="AA44" s="351"/>
      <c r="AB44" s="648"/>
      <c r="AC44" s="659">
        <v>0</v>
      </c>
      <c r="AD44" s="325"/>
      <c r="AE44" s="648" t="s">
        <v>104</v>
      </c>
      <c r="AF44" s="659">
        <v>0</v>
      </c>
      <c r="AG44" s="16"/>
      <c r="AH44" s="952"/>
      <c r="AI44" s="325">
        <f t="shared" si="10"/>
        <v>0</v>
      </c>
      <c r="AJ44" s="16"/>
      <c r="AK44" s="327">
        <f>ROUND(IF(AF44=0,0,AI44/ABS(AF44)),3)</f>
        <v>0</v>
      </c>
      <c r="AL44" s="71"/>
      <c r="AM44" s="71"/>
      <c r="AO44" s="71"/>
    </row>
    <row r="45" spans="1:41" s="74" customFormat="1" ht="15" customHeight="1">
      <c r="A45" s="530"/>
      <c r="B45" s="118" t="s">
        <v>402</v>
      </c>
      <c r="C45" s="72"/>
      <c r="D45" s="842">
        <f>ROUND(SUM(D39:D44),1)</f>
        <v>1116.3</v>
      </c>
      <c r="E45" s="16"/>
      <c r="F45" s="842">
        <f>ROUND(SUM(F39:F44),1)</f>
        <v>214</v>
      </c>
      <c r="G45" s="16"/>
      <c r="H45" s="842">
        <f>ROUND(SUM(H39:H44),1)</f>
        <v>3046.5</v>
      </c>
      <c r="I45" s="16"/>
      <c r="J45" s="842">
        <f>ROUND(SUM(J39:J44),1)</f>
        <v>200.9</v>
      </c>
      <c r="K45" s="16"/>
      <c r="L45" s="842">
        <f>ROUND(SUM(L39:L44),1)</f>
        <v>144.30000000000001</v>
      </c>
      <c r="M45" s="16"/>
      <c r="N45" s="842">
        <f>ROUND(SUM(N39:N44),1)</f>
        <v>3398.3</v>
      </c>
      <c r="O45" s="16"/>
      <c r="P45" s="842">
        <f>ROUND(SUM(P39:P44),1)</f>
        <v>-321</v>
      </c>
      <c r="Q45" s="16"/>
      <c r="R45" s="842">
        <f>ROUND(SUM(R39:R44),1)</f>
        <v>98.1</v>
      </c>
      <c r="S45" s="16"/>
      <c r="T45" s="842">
        <f>ROUND(SUM(T39:T44),1)</f>
        <v>0</v>
      </c>
      <c r="U45" s="16"/>
      <c r="V45" s="842">
        <f>ROUND(SUM(V39:V44),1)</f>
        <v>0</v>
      </c>
      <c r="W45" s="16"/>
      <c r="X45" s="842">
        <f>ROUND(SUM(X39:X44),1)</f>
        <v>0</v>
      </c>
      <c r="Y45" s="16"/>
      <c r="Z45" s="842">
        <f>ROUND(SUM(Z39:Z44),1)</f>
        <v>0</v>
      </c>
      <c r="AA45" s="51"/>
      <c r="AB45" s="101"/>
      <c r="AC45" s="842">
        <f>ROUND(SUM(AC39:AC44),1)</f>
        <v>7897.4</v>
      </c>
      <c r="AD45" s="16"/>
      <c r="AE45" s="18"/>
      <c r="AF45" s="842">
        <f>ROUND(SUM(AF39:AF44),1)</f>
        <v>8237.7000000000007</v>
      </c>
      <c r="AG45" s="16"/>
      <c r="AH45" s="952"/>
      <c r="AI45" s="842">
        <f>ROUND(SUM(AI39:AI44),1)</f>
        <v>-340.3</v>
      </c>
      <c r="AJ45" s="16"/>
      <c r="AK45" s="1274">
        <f>ROUND(SUM(+AI45/AF45),3)</f>
        <v>-4.1000000000000002E-2</v>
      </c>
      <c r="AL45" s="71"/>
      <c r="AM45" s="71"/>
      <c r="AO45" s="71"/>
    </row>
    <row r="46" spans="1:41" s="74" customFormat="1" ht="15" customHeight="1">
      <c r="A46" s="530"/>
      <c r="B46" s="525" t="s">
        <v>403</v>
      </c>
      <c r="C46" s="72"/>
      <c r="D46" s="16"/>
      <c r="E46" s="16"/>
      <c r="F46" s="16"/>
      <c r="G46" s="16"/>
      <c r="H46" s="16"/>
      <c r="I46" s="16"/>
      <c r="J46" s="16"/>
      <c r="K46" s="16"/>
      <c r="L46" s="16"/>
      <c r="M46" s="16"/>
      <c r="N46" s="16"/>
      <c r="O46" s="16"/>
      <c r="P46" s="16"/>
      <c r="Q46" s="16"/>
      <c r="R46" s="16"/>
      <c r="S46" s="16"/>
      <c r="T46" s="16"/>
      <c r="U46" s="16"/>
      <c r="V46" s="16"/>
      <c r="W46" s="16"/>
      <c r="X46" s="16"/>
      <c r="Y46" s="16"/>
      <c r="Z46" s="16"/>
      <c r="AA46" s="51"/>
      <c r="AB46" s="101"/>
      <c r="AC46" s="16"/>
      <c r="AD46" s="16"/>
      <c r="AE46" s="18"/>
      <c r="AF46" s="16"/>
      <c r="AG46" s="16"/>
      <c r="AH46" s="952"/>
      <c r="AI46" s="16"/>
      <c r="AJ46" s="16"/>
      <c r="AK46" s="107"/>
      <c r="AL46" s="71"/>
      <c r="AM46" s="71"/>
      <c r="AO46" s="71"/>
    </row>
    <row r="47" spans="1:41" s="74" customFormat="1" ht="15" customHeight="1">
      <c r="A47" s="530"/>
      <c r="B47" s="345" t="s">
        <v>404</v>
      </c>
      <c r="C47" s="72"/>
      <c r="D47" s="659">
        <v>0</v>
      </c>
      <c r="E47" s="635"/>
      <c r="F47" s="659">
        <v>0</v>
      </c>
      <c r="G47" s="635"/>
      <c r="H47" s="659">
        <v>0</v>
      </c>
      <c r="I47" s="16"/>
      <c r="J47" s="659">
        <v>0</v>
      </c>
      <c r="K47" s="690"/>
      <c r="L47" s="659">
        <v>0</v>
      </c>
      <c r="M47" s="690"/>
      <c r="N47" s="659">
        <v>0</v>
      </c>
      <c r="O47" s="690"/>
      <c r="P47" s="659">
        <v>0</v>
      </c>
      <c r="Q47" s="690"/>
      <c r="R47" s="659">
        <f t="shared" ref="R47:R52" si="12">$AC47-$D47-$F47-$H47-$J47-$L47-$N47-$P47</f>
        <v>0</v>
      </c>
      <c r="S47" s="690"/>
      <c r="T47" s="635"/>
      <c r="U47" s="690"/>
      <c r="V47" s="635"/>
      <c r="W47" s="690"/>
      <c r="X47" s="635"/>
      <c r="Y47" s="690"/>
      <c r="Z47" s="635"/>
      <c r="AA47" s="351"/>
      <c r="AB47" s="648"/>
      <c r="AC47" s="659">
        <v>0</v>
      </c>
      <c r="AD47" s="325"/>
      <c r="AE47" s="648" t="s">
        <v>104</v>
      </c>
      <c r="AF47" s="659">
        <v>0</v>
      </c>
      <c r="AG47" s="16"/>
      <c r="AH47" s="952"/>
      <c r="AI47" s="325">
        <f t="shared" ref="AI47:AI51" si="13">ROUND(SUM(+AC47-AF47),1)</f>
        <v>0</v>
      </c>
      <c r="AJ47" s="16"/>
      <c r="AK47" s="327">
        <f t="shared" ref="AK47:AK51" si="14">ROUND(IF(AF47=0,0,AI47/ABS(AF47)),3)</f>
        <v>0</v>
      </c>
      <c r="AL47" s="71"/>
      <c r="AM47" s="71"/>
      <c r="AO47" s="71"/>
    </row>
    <row r="48" spans="1:41" s="74" customFormat="1" ht="15" customHeight="1">
      <c r="A48" s="530"/>
      <c r="B48" s="345" t="s">
        <v>405</v>
      </c>
      <c r="C48" s="72"/>
      <c r="D48" s="659">
        <v>168.8</v>
      </c>
      <c r="E48" s="635"/>
      <c r="F48" s="659">
        <v>405.7</v>
      </c>
      <c r="G48" s="635"/>
      <c r="H48" s="659">
        <v>77.299999999999955</v>
      </c>
      <c r="I48" s="16"/>
      <c r="J48" s="659">
        <v>61.800000000000011</v>
      </c>
      <c r="K48" s="690"/>
      <c r="L48" s="659">
        <v>175.90000000000009</v>
      </c>
      <c r="M48" s="690"/>
      <c r="N48" s="659">
        <v>167.59999999999991</v>
      </c>
      <c r="O48" s="690"/>
      <c r="P48" s="659">
        <v>323.30000000000018</v>
      </c>
      <c r="Q48" s="690"/>
      <c r="R48" s="659">
        <f t="shared" si="12"/>
        <v>141.89999999999986</v>
      </c>
      <c r="S48" s="690"/>
      <c r="T48" s="635"/>
      <c r="U48" s="690"/>
      <c r="V48" s="635"/>
      <c r="W48" s="690"/>
      <c r="X48" s="635"/>
      <c r="Y48" s="690"/>
      <c r="Z48" s="635"/>
      <c r="AA48" s="351"/>
      <c r="AB48" s="648"/>
      <c r="AC48" s="659">
        <v>1522.3</v>
      </c>
      <c r="AD48" s="325"/>
      <c r="AE48" s="648" t="s">
        <v>104</v>
      </c>
      <c r="AF48" s="659">
        <v>1576.1999999999998</v>
      </c>
      <c r="AG48" s="16"/>
      <c r="AH48" s="952"/>
      <c r="AI48" s="325">
        <f t="shared" si="13"/>
        <v>-53.9</v>
      </c>
      <c r="AJ48" s="16"/>
      <c r="AK48" s="327">
        <f t="shared" si="14"/>
        <v>-3.4000000000000002E-2</v>
      </c>
      <c r="AL48" s="71"/>
      <c r="AM48" s="71"/>
      <c r="AO48" s="71"/>
    </row>
    <row r="49" spans="1:41" s="74" customFormat="1" ht="15" customHeight="1">
      <c r="A49" s="530"/>
      <c r="B49" s="345" t="s">
        <v>406</v>
      </c>
      <c r="C49" s="72"/>
      <c r="D49" s="659">
        <v>1.4</v>
      </c>
      <c r="E49" s="635"/>
      <c r="F49" s="659">
        <v>1</v>
      </c>
      <c r="G49" s="635"/>
      <c r="H49" s="659">
        <v>1.3000000000000003</v>
      </c>
      <c r="I49" s="16"/>
      <c r="J49" s="659">
        <v>1.2000000000000002</v>
      </c>
      <c r="K49" s="690"/>
      <c r="L49" s="659">
        <v>1.8000000000000003</v>
      </c>
      <c r="M49" s="690"/>
      <c r="N49" s="659">
        <v>1.6999999999999988</v>
      </c>
      <c r="O49" s="690"/>
      <c r="P49" s="659">
        <v>0.79999999999999893</v>
      </c>
      <c r="Q49" s="690"/>
      <c r="R49" s="659">
        <f t="shared" si="12"/>
        <v>0.80000000000000071</v>
      </c>
      <c r="S49" s="690"/>
      <c r="T49" s="635"/>
      <c r="U49" s="690"/>
      <c r="V49" s="635"/>
      <c r="W49" s="690"/>
      <c r="X49" s="635"/>
      <c r="Y49" s="690"/>
      <c r="Z49" s="635"/>
      <c r="AA49" s="351"/>
      <c r="AB49" s="648"/>
      <c r="AC49" s="659">
        <v>10</v>
      </c>
      <c r="AD49" s="325"/>
      <c r="AE49" s="648" t="s">
        <v>104</v>
      </c>
      <c r="AF49" s="659">
        <v>10.8</v>
      </c>
      <c r="AG49" s="16"/>
      <c r="AH49" s="952"/>
      <c r="AI49" s="325">
        <f t="shared" si="13"/>
        <v>-0.8</v>
      </c>
      <c r="AJ49" s="16"/>
      <c r="AK49" s="327">
        <f t="shared" si="14"/>
        <v>-7.3999999999999996E-2</v>
      </c>
      <c r="AL49" s="71"/>
      <c r="AM49" s="71"/>
      <c r="AO49" s="71"/>
    </row>
    <row r="50" spans="1:41" s="74" customFormat="1" ht="15" customHeight="1">
      <c r="A50" s="530"/>
      <c r="B50" s="345" t="s">
        <v>407</v>
      </c>
      <c r="C50" s="72"/>
      <c r="D50" s="659">
        <v>0</v>
      </c>
      <c r="E50" s="635"/>
      <c r="F50" s="659">
        <v>0</v>
      </c>
      <c r="G50" s="635"/>
      <c r="H50" s="659">
        <v>0</v>
      </c>
      <c r="I50" s="16"/>
      <c r="J50" s="659">
        <v>0</v>
      </c>
      <c r="K50" s="690"/>
      <c r="L50" s="659">
        <v>0</v>
      </c>
      <c r="M50" s="690"/>
      <c r="N50" s="659">
        <v>0</v>
      </c>
      <c r="O50" s="690"/>
      <c r="P50" s="659">
        <v>0</v>
      </c>
      <c r="Q50" s="690"/>
      <c r="R50" s="659">
        <f t="shared" si="12"/>
        <v>0</v>
      </c>
      <c r="S50" s="690"/>
      <c r="T50" s="635"/>
      <c r="U50" s="690"/>
      <c r="V50" s="635"/>
      <c r="W50" s="690"/>
      <c r="X50" s="635"/>
      <c r="Y50" s="690"/>
      <c r="Z50" s="635"/>
      <c r="AA50" s="351"/>
      <c r="AB50" s="648"/>
      <c r="AC50" s="659">
        <v>0</v>
      </c>
      <c r="AD50" s="325">
        <f>'Exhibit F'!AF1215</f>
        <v>0</v>
      </c>
      <c r="AE50" s="648" t="s">
        <v>104</v>
      </c>
      <c r="AF50" s="659">
        <v>0</v>
      </c>
      <c r="AG50" s="16"/>
      <c r="AH50" s="952"/>
      <c r="AI50" s="325">
        <f t="shared" si="13"/>
        <v>0</v>
      </c>
      <c r="AJ50" s="16"/>
      <c r="AK50" s="327">
        <f t="shared" si="14"/>
        <v>0</v>
      </c>
      <c r="AL50" s="71"/>
      <c r="AM50" s="71"/>
      <c r="AO50" s="71"/>
    </row>
    <row r="51" spans="1:41" s="74" customFormat="1" ht="15" customHeight="1">
      <c r="A51" s="530"/>
      <c r="B51" s="345" t="s">
        <v>408</v>
      </c>
      <c r="C51" s="72"/>
      <c r="D51" s="659">
        <v>0</v>
      </c>
      <c r="E51" s="635"/>
      <c r="F51" s="659">
        <v>0</v>
      </c>
      <c r="G51" s="635"/>
      <c r="H51" s="659">
        <v>0.1</v>
      </c>
      <c r="I51" s="16"/>
      <c r="J51" s="659">
        <v>0</v>
      </c>
      <c r="K51" s="690"/>
      <c r="L51" s="659">
        <v>0.1</v>
      </c>
      <c r="M51" s="690"/>
      <c r="N51" s="659">
        <v>0</v>
      </c>
      <c r="O51" s="690"/>
      <c r="P51" s="659">
        <v>0</v>
      </c>
      <c r="Q51" s="690"/>
      <c r="R51" s="659">
        <f t="shared" si="12"/>
        <v>1.0999999999999999</v>
      </c>
      <c r="S51" s="690"/>
      <c r="T51" s="635"/>
      <c r="U51" s="690"/>
      <c r="V51" s="635"/>
      <c r="W51" s="690"/>
      <c r="X51" s="635"/>
      <c r="Y51" s="690"/>
      <c r="Z51" s="635"/>
      <c r="AA51" s="351"/>
      <c r="AB51" s="648"/>
      <c r="AC51" s="659">
        <v>1.3</v>
      </c>
      <c r="AD51" s="325"/>
      <c r="AE51" s="648" t="s">
        <v>104</v>
      </c>
      <c r="AF51" s="659">
        <v>1.9</v>
      </c>
      <c r="AG51" s="16"/>
      <c r="AH51" s="952"/>
      <c r="AI51" s="325">
        <f t="shared" si="13"/>
        <v>-0.6</v>
      </c>
      <c r="AJ51" s="16"/>
      <c r="AK51" s="327">
        <f t="shared" si="14"/>
        <v>-0.316</v>
      </c>
      <c r="AL51" s="71"/>
      <c r="AM51" s="71"/>
      <c r="AO51" s="71"/>
    </row>
    <row r="52" spans="1:41" s="74" customFormat="1" ht="15" customHeight="1">
      <c r="A52" s="530"/>
      <c r="B52" s="533" t="s">
        <v>409</v>
      </c>
      <c r="C52" s="353"/>
      <c r="D52" s="659">
        <v>0.2</v>
      </c>
      <c r="E52" s="635"/>
      <c r="F52" s="659">
        <v>0.2</v>
      </c>
      <c r="G52" s="635"/>
      <c r="H52" s="659">
        <v>9.9999999999999978E-2</v>
      </c>
      <c r="I52" s="353"/>
      <c r="J52" s="659">
        <v>0.3000000000000001</v>
      </c>
      <c r="K52" s="690"/>
      <c r="L52" s="659">
        <v>0.3000000000000001</v>
      </c>
      <c r="M52" s="690"/>
      <c r="N52" s="659">
        <v>0.1999999999999999</v>
      </c>
      <c r="O52" s="690"/>
      <c r="P52" s="659">
        <v>0.40000000000000019</v>
      </c>
      <c r="Q52" s="690"/>
      <c r="R52" s="659">
        <f t="shared" si="12"/>
        <v>0.19999999999999968</v>
      </c>
      <c r="S52" s="690"/>
      <c r="T52" s="635"/>
      <c r="U52" s="690"/>
      <c r="V52" s="635"/>
      <c r="W52" s="690"/>
      <c r="X52" s="635"/>
      <c r="Y52" s="690"/>
      <c r="Z52" s="635"/>
      <c r="AA52" s="351"/>
      <c r="AB52" s="648"/>
      <c r="AC52" s="659">
        <v>1.9</v>
      </c>
      <c r="AD52" s="325"/>
      <c r="AE52" s="648" t="s">
        <v>104</v>
      </c>
      <c r="AF52" s="659">
        <v>1.5</v>
      </c>
      <c r="AG52" s="466"/>
      <c r="AH52" s="947"/>
      <c r="AI52" s="325">
        <f>ROUND(SUM(+AC52-AF52),1)</f>
        <v>0.4</v>
      </c>
      <c r="AJ52" s="95"/>
      <c r="AK52" s="327">
        <f>ROUND(IF(AF52=0,1,AI52/ABS(AF52)),3)</f>
        <v>0.26700000000000002</v>
      </c>
      <c r="AL52" s="71"/>
      <c r="AM52" s="71"/>
      <c r="AO52" s="71"/>
    </row>
    <row r="53" spans="1:41" s="74" customFormat="1" ht="15" customHeight="1">
      <c r="A53" s="530"/>
      <c r="B53" s="118" t="s">
        <v>410</v>
      </c>
      <c r="C53" s="72"/>
      <c r="D53" s="842">
        <f>ROUND(SUM(D47:D52),1)</f>
        <v>170.4</v>
      </c>
      <c r="E53" s="16"/>
      <c r="F53" s="842">
        <f>ROUND(SUM(F47:F52),1)</f>
        <v>406.9</v>
      </c>
      <c r="G53" s="16"/>
      <c r="H53" s="842">
        <f>ROUND(SUM(H47:H52),1)</f>
        <v>78.8</v>
      </c>
      <c r="I53" s="16"/>
      <c r="J53" s="842">
        <f>ROUND(SUM(J47:J52),1)</f>
        <v>63.3</v>
      </c>
      <c r="K53" s="16"/>
      <c r="L53" s="842">
        <f>ROUND(SUM(L47:L52),1)</f>
        <v>178.1</v>
      </c>
      <c r="M53" s="16"/>
      <c r="N53" s="842">
        <f>ROUND(SUM(N47:N52),1)</f>
        <v>169.5</v>
      </c>
      <c r="O53" s="16"/>
      <c r="P53" s="842">
        <f>ROUND(SUM(P47:P52),1)</f>
        <v>324.5</v>
      </c>
      <c r="Q53" s="16"/>
      <c r="R53" s="842">
        <f>ROUND(SUM(R47:R52),1)</f>
        <v>144</v>
      </c>
      <c r="S53" s="16"/>
      <c r="T53" s="842">
        <f>ROUND(SUM(T47:T52),1)</f>
        <v>0</v>
      </c>
      <c r="U53" s="16"/>
      <c r="V53" s="842">
        <f>ROUND(SUM(V47:V52),1)</f>
        <v>0</v>
      </c>
      <c r="W53" s="16"/>
      <c r="X53" s="842">
        <f>ROUND(SUM(X47:X52),1)</f>
        <v>0</v>
      </c>
      <c r="Y53" s="16"/>
      <c r="Z53" s="842">
        <f>ROUND(SUM(Z47:Z52),1)</f>
        <v>0</v>
      </c>
      <c r="AA53" s="51"/>
      <c r="AB53" s="101"/>
      <c r="AC53" s="842">
        <f>ROUND(SUM(AC47:AC52),1)</f>
        <v>1535.5</v>
      </c>
      <c r="AD53" s="16"/>
      <c r="AE53" s="18"/>
      <c r="AF53" s="842">
        <f>ROUND(SUM(AF47:AF52),1)</f>
        <v>1590.4</v>
      </c>
      <c r="AG53" s="16"/>
      <c r="AH53" s="952"/>
      <c r="AI53" s="842">
        <f>ROUND(SUM(AI47:AI52),1)</f>
        <v>-54.9</v>
      </c>
      <c r="AJ53" s="16"/>
      <c r="AK53" s="1274">
        <f>ROUND(SUM(+AI53/AF53),3)</f>
        <v>-3.5000000000000003E-2</v>
      </c>
      <c r="AL53" s="71"/>
      <c r="AM53" s="71"/>
      <c r="AO53" s="71"/>
    </row>
    <row r="54" spans="1:41" s="74" customFormat="1" ht="15" customHeight="1">
      <c r="A54" s="530"/>
      <c r="B54" s="118"/>
      <c r="C54" s="72"/>
      <c r="D54" s="16"/>
      <c r="E54" s="16"/>
      <c r="F54" s="16"/>
      <c r="G54" s="16"/>
      <c r="H54" s="16"/>
      <c r="I54" s="16"/>
      <c r="J54" s="16"/>
      <c r="K54" s="16"/>
      <c r="L54" s="16"/>
      <c r="M54" s="16"/>
      <c r="N54" s="16"/>
      <c r="O54" s="16"/>
      <c r="P54" s="16"/>
      <c r="Q54" s="16"/>
      <c r="R54" s="16"/>
      <c r="S54" s="16"/>
      <c r="T54" s="16"/>
      <c r="U54" s="16"/>
      <c r="V54" s="16"/>
      <c r="W54" s="16"/>
      <c r="X54" s="16"/>
      <c r="Y54" s="16"/>
      <c r="Z54" s="16"/>
      <c r="AA54" s="51"/>
      <c r="AB54" s="101"/>
      <c r="AC54" s="16"/>
      <c r="AD54" s="16"/>
      <c r="AE54" s="18"/>
      <c r="AF54" s="16"/>
      <c r="AG54" s="16"/>
      <c r="AH54" s="952"/>
      <c r="AI54" s="16"/>
      <c r="AJ54" s="16"/>
      <c r="AK54" s="107"/>
      <c r="AL54" s="71"/>
      <c r="AM54" s="71"/>
      <c r="AO54" s="71"/>
    </row>
    <row r="55" spans="1:41" ht="15" customHeight="1">
      <c r="A55" s="46"/>
      <c r="B55" s="118" t="s">
        <v>411</v>
      </c>
      <c r="C55" s="466"/>
      <c r="D55" s="953">
        <f>ROUND(SUM(D26+D37+D45+D53),1)</f>
        <v>5743.8</v>
      </c>
      <c r="E55" s="325"/>
      <c r="F55" s="953">
        <f>ROUND(SUM(F26+F37+F45+F53),1)</f>
        <v>2395</v>
      </c>
      <c r="G55" s="325"/>
      <c r="H55" s="953">
        <f>ROUND(SUM(H26+H37+H45+H53),1)</f>
        <v>6591.5</v>
      </c>
      <c r="I55" s="325"/>
      <c r="J55" s="953">
        <f>ROUND(SUM(J26+J37+J45+J53),1)</f>
        <v>2771.9</v>
      </c>
      <c r="K55" s="325"/>
      <c r="L55" s="1514">
        <f>ROUND(SUM(L26+L37+L45+L53),1)</f>
        <v>2936.8</v>
      </c>
      <c r="M55" s="325"/>
      <c r="N55" s="1514">
        <f>ROUND(SUM(N26+N37+N45+N53),1)</f>
        <v>6696.5</v>
      </c>
      <c r="O55" s="325"/>
      <c r="P55" s="1514">
        <f>ROUND(SUM(P26+P37+P45+P53),1)</f>
        <v>1919.1</v>
      </c>
      <c r="Q55" s="325"/>
      <c r="R55" s="1514">
        <f>ROUND(SUM(R26+R37+R45+R53),1)</f>
        <v>2701.1</v>
      </c>
      <c r="S55" s="839"/>
      <c r="T55" s="1514">
        <f>ROUND(SUM(T26+T37+T45+T53),1)</f>
        <v>0</v>
      </c>
      <c r="U55" s="325"/>
      <c r="V55" s="1514">
        <f>ROUND(SUM(V26+V37+V45+V53),1)</f>
        <v>0</v>
      </c>
      <c r="W55" s="325"/>
      <c r="X55" s="1514">
        <f>ROUND(SUM(X26+X37+X45+X53),1)</f>
        <v>0</v>
      </c>
      <c r="Y55" s="325"/>
      <c r="Z55" s="1514">
        <f>ROUND(SUM(Z26+Z37+Z45+Z53),1)</f>
        <v>0</v>
      </c>
      <c r="AA55" s="329"/>
      <c r="AB55" s="1164"/>
      <c r="AC55" s="953">
        <f>ROUND(SUM(AC26+AC37+AC45+AC53),1)</f>
        <v>31755.7</v>
      </c>
      <c r="AD55" s="325"/>
      <c r="AE55" s="647"/>
      <c r="AF55" s="1514">
        <f>ROUND(SUM(AF26+AF37+AF45+AF53),1)</f>
        <v>32746.9</v>
      </c>
      <c r="AG55" s="325"/>
      <c r="AH55" s="951"/>
      <c r="AI55" s="1514">
        <f>ROUND(SUM(AI26+AI37+AI45+AI53),1)</f>
        <v>-991.2</v>
      </c>
      <c r="AJ55" s="325"/>
      <c r="AK55" s="470">
        <f>ROUND(SUM(+AI55/AF55),3)</f>
        <v>-0.03</v>
      </c>
    </row>
    <row r="56" spans="1:41" ht="8.25" customHeight="1">
      <c r="A56" s="46"/>
      <c r="B56" s="353"/>
      <c r="C56" s="466"/>
      <c r="D56" s="325"/>
      <c r="E56" s="325"/>
      <c r="F56" s="325"/>
      <c r="G56" s="325"/>
      <c r="H56" s="325"/>
      <c r="I56" s="325"/>
      <c r="J56" s="325"/>
      <c r="K56" s="325"/>
      <c r="L56" s="325"/>
      <c r="M56" s="325"/>
      <c r="N56" s="325"/>
      <c r="O56" s="325"/>
      <c r="P56" s="325"/>
      <c r="Q56" s="325"/>
      <c r="R56" s="325"/>
      <c r="S56" s="325"/>
      <c r="T56" s="325"/>
      <c r="U56" s="325"/>
      <c r="V56" s="325"/>
      <c r="W56" s="325"/>
      <c r="X56" s="325"/>
      <c r="Y56" s="325"/>
      <c r="Z56" s="325"/>
      <c r="AA56" s="329"/>
      <c r="AB56" s="1164"/>
      <c r="AC56" s="325"/>
      <c r="AD56" s="325"/>
      <c r="AE56" s="647"/>
      <c r="AF56" s="325"/>
      <c r="AG56" s="325"/>
      <c r="AH56" s="951"/>
      <c r="AI56" s="325"/>
      <c r="AJ56" s="325"/>
      <c r="AK56" s="344"/>
    </row>
    <row r="57" spans="1:41" ht="15" customHeight="1">
      <c r="A57" s="46"/>
      <c r="B57" s="2006" t="s">
        <v>412</v>
      </c>
      <c r="C57" s="468"/>
      <c r="D57" s="325"/>
      <c r="E57" s="1723"/>
      <c r="F57" s="325"/>
      <c r="G57" s="1723"/>
      <c r="H57" s="325"/>
      <c r="I57" s="325"/>
      <c r="J57" s="325"/>
      <c r="K57" s="325"/>
      <c r="L57" s="325"/>
      <c r="M57" s="325"/>
      <c r="N57" s="325"/>
      <c r="O57" s="325"/>
      <c r="P57" s="325"/>
      <c r="Q57" s="325"/>
      <c r="R57" s="325"/>
      <c r="S57" s="325"/>
      <c r="T57" s="325"/>
      <c r="U57" s="325"/>
      <c r="V57" s="325"/>
      <c r="W57" s="325"/>
      <c r="X57" s="325"/>
      <c r="Y57" s="325"/>
      <c r="Z57" s="325"/>
      <c r="AA57" s="329"/>
      <c r="AB57" s="1164"/>
      <c r="AC57" s="325"/>
      <c r="AD57" s="325"/>
      <c r="AE57" s="647"/>
      <c r="AF57" s="325"/>
      <c r="AG57" s="325"/>
      <c r="AH57" s="951"/>
      <c r="AI57" s="325"/>
      <c r="AJ57" s="325"/>
      <c r="AK57" s="344"/>
    </row>
    <row r="58" spans="1:41" ht="15" customHeight="1">
      <c r="A58" s="46"/>
      <c r="B58" s="427" t="s">
        <v>413</v>
      </c>
      <c r="C58" s="468"/>
      <c r="D58" s="325"/>
      <c r="E58" s="1723"/>
      <c r="F58" s="325"/>
      <c r="G58" s="1723"/>
      <c r="H58" s="325"/>
      <c r="I58" s="325"/>
      <c r="J58" s="325"/>
      <c r="K58" s="325"/>
      <c r="L58" s="325"/>
      <c r="M58" s="325"/>
      <c r="N58" s="325"/>
      <c r="O58" s="325"/>
      <c r="P58" s="325"/>
      <c r="Q58" s="325"/>
      <c r="R58" s="325"/>
      <c r="S58" s="325"/>
      <c r="T58" s="325"/>
      <c r="U58" s="325"/>
      <c r="V58" s="325"/>
      <c r="W58" s="325"/>
      <c r="X58" s="325"/>
      <c r="Y58" s="325"/>
      <c r="Z58" s="325"/>
      <c r="AA58" s="329"/>
      <c r="AB58" s="1519"/>
      <c r="AC58" s="325"/>
      <c r="AD58" s="325"/>
      <c r="AE58" s="647"/>
      <c r="AF58" s="325"/>
      <c r="AG58" s="325"/>
      <c r="AH58" s="951"/>
      <c r="AI58" s="325"/>
      <c r="AJ58" s="325"/>
      <c r="AK58" s="344"/>
    </row>
    <row r="59" spans="1:41" ht="15" customHeight="1">
      <c r="A59" s="46"/>
      <c r="B59" s="427" t="s">
        <v>414</v>
      </c>
      <c r="C59" s="427"/>
      <c r="D59" s="659">
        <v>0.5</v>
      </c>
      <c r="E59" s="635"/>
      <c r="F59" s="659">
        <v>9.9999999999999978E-2</v>
      </c>
      <c r="G59" s="635"/>
      <c r="H59" s="659">
        <v>-9.9999999999999978E-2</v>
      </c>
      <c r="I59" s="325"/>
      <c r="J59" s="659">
        <v>9.9999999999999978E-2</v>
      </c>
      <c r="K59" s="690"/>
      <c r="L59" s="659">
        <v>9.9</v>
      </c>
      <c r="M59" s="690"/>
      <c r="N59" s="659">
        <v>100</v>
      </c>
      <c r="O59" s="690"/>
      <c r="P59" s="659">
        <v>30.099999999999994</v>
      </c>
      <c r="Q59" s="690"/>
      <c r="R59" s="659">
        <f t="shared" ref="R59:R95" si="15">$AC59-$D59-$F59-$H59-$J59-$L59-$N59-$P59</f>
        <v>130.00000000000003</v>
      </c>
      <c r="S59" s="690"/>
      <c r="T59" s="635"/>
      <c r="U59" s="690"/>
      <c r="V59" s="635"/>
      <c r="W59" s="690"/>
      <c r="X59" s="635"/>
      <c r="Y59" s="690"/>
      <c r="Z59" s="635"/>
      <c r="AA59" s="351"/>
      <c r="AB59" s="648"/>
      <c r="AC59" s="659">
        <v>270.60000000000002</v>
      </c>
      <c r="AD59" s="325"/>
      <c r="AE59" s="648" t="s">
        <v>104</v>
      </c>
      <c r="AF59" s="659">
        <v>270.89999999999998</v>
      </c>
      <c r="AG59" s="348"/>
      <c r="AH59" s="954"/>
      <c r="AI59" s="325">
        <f>ROUND(SUM(+AC59-AF59),1)</f>
        <v>-0.3</v>
      </c>
      <c r="AJ59" s="325"/>
      <c r="AK59" s="327">
        <f>ROUND(IF(AF59=0,1,AI59/ABS(AF59)),3)</f>
        <v>-1E-3</v>
      </c>
    </row>
    <row r="60" spans="1:41" ht="15" customHeight="1">
      <c r="A60" s="46"/>
      <c r="B60" s="427" t="s">
        <v>415</v>
      </c>
      <c r="C60" s="427"/>
      <c r="D60" s="659">
        <v>0.4</v>
      </c>
      <c r="E60" s="635"/>
      <c r="F60" s="659">
        <v>4</v>
      </c>
      <c r="G60" s="635"/>
      <c r="H60" s="659">
        <v>11.799999999999999</v>
      </c>
      <c r="I60" s="325"/>
      <c r="J60" s="659">
        <v>0.90000000000000391</v>
      </c>
      <c r="K60" s="690"/>
      <c r="L60" s="659">
        <v>9.9999999999997868E-2</v>
      </c>
      <c r="M60" s="690"/>
      <c r="N60" s="659">
        <v>39.900000000000006</v>
      </c>
      <c r="O60" s="690"/>
      <c r="P60" s="659">
        <v>0.5</v>
      </c>
      <c r="Q60" s="690"/>
      <c r="R60" s="659">
        <f t="shared" si="15"/>
        <v>0.39999999999999147</v>
      </c>
      <c r="S60" s="690"/>
      <c r="T60" s="635"/>
      <c r="U60" s="690"/>
      <c r="V60" s="635"/>
      <c r="W60" s="690"/>
      <c r="X60" s="635"/>
      <c r="Y60" s="690"/>
      <c r="Z60" s="635"/>
      <c r="AA60" s="351"/>
      <c r="AB60" s="648"/>
      <c r="AC60" s="659">
        <v>58</v>
      </c>
      <c r="AD60" s="325"/>
      <c r="AE60" s="648" t="s">
        <v>104</v>
      </c>
      <c r="AF60" s="659">
        <v>48.7</v>
      </c>
      <c r="AG60" s="325"/>
      <c r="AH60" s="951"/>
      <c r="AI60" s="325">
        <f>ROUND(SUM(+AC60-AF60),1)</f>
        <v>9.3000000000000007</v>
      </c>
      <c r="AJ60" s="325"/>
      <c r="AK60" s="670">
        <f>ROUND(IF(AF60=0,0,AI60/ABS(AF60)),3)</f>
        <v>0.191</v>
      </c>
    </row>
    <row r="61" spans="1:41" ht="15" customHeight="1">
      <c r="A61" s="46"/>
      <c r="B61" s="427" t="s">
        <v>416</v>
      </c>
      <c r="C61" s="427"/>
      <c r="D61" s="635" t="s">
        <v>104</v>
      </c>
      <c r="E61" s="635"/>
      <c r="F61" s="635"/>
      <c r="G61" s="635"/>
      <c r="H61" s="635"/>
      <c r="I61" s="325"/>
      <c r="J61" s="659"/>
      <c r="K61" s="325"/>
      <c r="L61" s="659"/>
      <c r="M61" s="325"/>
      <c r="N61" s="659"/>
      <c r="O61" s="325"/>
      <c r="P61" s="659"/>
      <c r="Q61" s="325"/>
      <c r="R61" s="659"/>
      <c r="S61" s="325"/>
      <c r="T61" s="635"/>
      <c r="U61" s="325"/>
      <c r="V61" s="635"/>
      <c r="W61" s="325"/>
      <c r="X61" s="635"/>
      <c r="Y61" s="325"/>
      <c r="Z61" s="635"/>
      <c r="AA61" s="329"/>
      <c r="AB61" s="1519"/>
      <c r="AC61" s="943" t="s">
        <v>104</v>
      </c>
      <c r="AD61" s="325"/>
      <c r="AE61" s="648"/>
      <c r="AF61" s="943" t="s">
        <v>104</v>
      </c>
      <c r="AG61" s="325"/>
      <c r="AH61" s="951"/>
      <c r="AI61" s="325"/>
      <c r="AJ61" s="325"/>
      <c r="AK61" s="344"/>
    </row>
    <row r="62" spans="1:41" ht="15" customHeight="1">
      <c r="A62" s="46"/>
      <c r="B62" s="427" t="s">
        <v>417</v>
      </c>
      <c r="C62" s="427"/>
      <c r="D62" s="659">
        <v>0</v>
      </c>
      <c r="E62" s="635"/>
      <c r="F62" s="659">
        <v>0</v>
      </c>
      <c r="G62" s="635"/>
      <c r="H62" s="659">
        <v>0</v>
      </c>
      <c r="I62" s="325"/>
      <c r="J62" s="659">
        <v>0</v>
      </c>
      <c r="K62" s="690"/>
      <c r="L62" s="659">
        <v>0</v>
      </c>
      <c r="M62" s="690"/>
      <c r="N62" s="659">
        <v>0</v>
      </c>
      <c r="O62" s="690"/>
      <c r="P62" s="659">
        <v>0</v>
      </c>
      <c r="Q62" s="690"/>
      <c r="R62" s="659">
        <f t="shared" si="15"/>
        <v>0.1</v>
      </c>
      <c r="S62" s="690"/>
      <c r="T62" s="635"/>
      <c r="U62" s="690"/>
      <c r="V62" s="635"/>
      <c r="W62" s="690"/>
      <c r="X62" s="635"/>
      <c r="Y62" s="690"/>
      <c r="Z62" s="635"/>
      <c r="AA62" s="351"/>
      <c r="AB62" s="648"/>
      <c r="AC62" s="659">
        <v>0.1</v>
      </c>
      <c r="AD62" s="325"/>
      <c r="AE62" s="648" t="s">
        <v>104</v>
      </c>
      <c r="AF62" s="659">
        <v>0</v>
      </c>
      <c r="AG62" s="348"/>
      <c r="AH62" s="954"/>
      <c r="AI62" s="325">
        <f>ROUND(SUM(+AC62-AF62),1)</f>
        <v>0.1</v>
      </c>
      <c r="AJ62" s="325"/>
      <c r="AK62" s="327">
        <f>ROUND(IF(AF62=0,1,AI62/ABS(AF62)),3)</f>
        <v>1</v>
      </c>
    </row>
    <row r="63" spans="1:41" ht="15" customHeight="1">
      <c r="A63" s="46"/>
      <c r="B63" s="427" t="s">
        <v>418</v>
      </c>
      <c r="C63" s="427"/>
      <c r="D63" s="659">
        <v>2</v>
      </c>
      <c r="E63" s="635"/>
      <c r="F63" s="659">
        <v>1.7000000000000002</v>
      </c>
      <c r="G63" s="635"/>
      <c r="H63" s="659">
        <v>1.7999999999999998</v>
      </c>
      <c r="I63" s="325"/>
      <c r="J63" s="659">
        <v>3.5</v>
      </c>
      <c r="K63" s="690"/>
      <c r="L63" s="659">
        <v>3.8000000000000016</v>
      </c>
      <c r="M63" s="690"/>
      <c r="N63" s="659">
        <v>6.8999999999999977</v>
      </c>
      <c r="O63" s="690"/>
      <c r="P63" s="659">
        <v>2.1000000000000023</v>
      </c>
      <c r="Q63" s="690"/>
      <c r="R63" s="659">
        <f t="shared" si="15"/>
        <v>2.0999999999999979</v>
      </c>
      <c r="S63" s="690"/>
      <c r="T63" s="635"/>
      <c r="U63" s="690"/>
      <c r="V63" s="635"/>
      <c r="W63" s="690"/>
      <c r="X63" s="635"/>
      <c r="Y63" s="690"/>
      <c r="Z63" s="635"/>
      <c r="AA63" s="351"/>
      <c r="AB63" s="648"/>
      <c r="AC63" s="659">
        <v>23.9</v>
      </c>
      <c r="AD63" s="325"/>
      <c r="AE63" s="648" t="s">
        <v>104</v>
      </c>
      <c r="AF63" s="659">
        <v>22.9</v>
      </c>
      <c r="AG63" s="348"/>
      <c r="AH63" s="954"/>
      <c r="AI63" s="325">
        <f>ROUND(SUM(+AC63-AF63),1)</f>
        <v>1</v>
      </c>
      <c r="AJ63" s="325"/>
      <c r="AK63" s="327">
        <f>ROUND(IF(AF63=0,1,AI63/ABS(AF63)),3)</f>
        <v>4.3999999999999997E-2</v>
      </c>
    </row>
    <row r="64" spans="1:41" ht="15" customHeight="1">
      <c r="A64" s="46"/>
      <c r="B64" s="427" t="s">
        <v>419</v>
      </c>
      <c r="C64" s="427"/>
      <c r="D64" s="659">
        <v>0</v>
      </c>
      <c r="E64" s="635"/>
      <c r="F64" s="659">
        <v>0</v>
      </c>
      <c r="G64" s="635"/>
      <c r="H64" s="659">
        <v>0</v>
      </c>
      <c r="I64" s="325"/>
      <c r="J64" s="659">
        <v>0</v>
      </c>
      <c r="K64" s="690"/>
      <c r="L64" s="659">
        <v>0</v>
      </c>
      <c r="M64" s="690"/>
      <c r="N64" s="659">
        <v>0</v>
      </c>
      <c r="O64" s="690"/>
      <c r="P64" s="659">
        <v>0</v>
      </c>
      <c r="Q64" s="690"/>
      <c r="R64" s="659">
        <f t="shared" si="15"/>
        <v>0</v>
      </c>
      <c r="S64" s="690"/>
      <c r="T64" s="635"/>
      <c r="U64" s="690"/>
      <c r="V64" s="635"/>
      <c r="W64" s="690"/>
      <c r="X64" s="635"/>
      <c r="Y64" s="690"/>
      <c r="Z64" s="635"/>
      <c r="AA64" s="351"/>
      <c r="AB64" s="648"/>
      <c r="AC64" s="659">
        <v>0</v>
      </c>
      <c r="AD64" s="325"/>
      <c r="AE64" s="648" t="s">
        <v>104</v>
      </c>
      <c r="AF64" s="659">
        <v>0</v>
      </c>
      <c r="AG64" s="348"/>
      <c r="AH64" s="954"/>
      <c r="AI64" s="325">
        <f>ROUND(SUM(+AC64-AF64),1)</f>
        <v>0</v>
      </c>
      <c r="AJ64" s="325"/>
      <c r="AK64" s="327">
        <f>ROUND(IF(AF64=0,0,AI64/ABS(AF64)),3)</f>
        <v>0</v>
      </c>
    </row>
    <row r="65" spans="1:39" ht="15.5">
      <c r="A65" s="46"/>
      <c r="B65" s="427" t="s">
        <v>420</v>
      </c>
      <c r="C65" s="427"/>
      <c r="D65" s="659">
        <v>0</v>
      </c>
      <c r="E65" s="635"/>
      <c r="F65" s="659">
        <v>0.1</v>
      </c>
      <c r="G65" s="635"/>
      <c r="H65" s="659">
        <v>0</v>
      </c>
      <c r="I65" s="325"/>
      <c r="J65" s="659">
        <v>0</v>
      </c>
      <c r="K65" s="690"/>
      <c r="L65" s="659">
        <v>0.1</v>
      </c>
      <c r="M65" s="690"/>
      <c r="N65" s="659">
        <v>0</v>
      </c>
      <c r="O65" s="690"/>
      <c r="P65" s="659">
        <v>0</v>
      </c>
      <c r="Q65" s="690"/>
      <c r="R65" s="659">
        <f t="shared" si="15"/>
        <v>9.9999999999999978E-2</v>
      </c>
      <c r="S65" s="690"/>
      <c r="T65" s="635"/>
      <c r="U65" s="690"/>
      <c r="V65" s="635"/>
      <c r="W65" s="690"/>
      <c r="X65" s="635"/>
      <c r="Y65" s="690"/>
      <c r="Z65" s="635"/>
      <c r="AA65" s="351"/>
      <c r="AB65" s="648"/>
      <c r="AC65" s="659">
        <v>0.3</v>
      </c>
      <c r="AD65" s="325"/>
      <c r="AE65" s="648" t="s">
        <v>104</v>
      </c>
      <c r="AF65" s="659">
        <v>0.3</v>
      </c>
      <c r="AG65" s="348"/>
      <c r="AH65" s="954"/>
      <c r="AI65" s="325">
        <f>ROUND(SUM(+AC65-AF65),1)</f>
        <v>0</v>
      </c>
      <c r="AJ65" s="325"/>
      <c r="AK65" s="670">
        <f>ROUND(IF(AF65=0,1,AI65/ABS(AF65)),3)</f>
        <v>0</v>
      </c>
    </row>
    <row r="66" spans="1:39" ht="15" customHeight="1">
      <c r="A66" s="46"/>
      <c r="B66" s="427" t="s">
        <v>421</v>
      </c>
      <c r="C66" s="427"/>
      <c r="D66" s="635" t="s">
        <v>104</v>
      </c>
      <c r="E66" s="635"/>
      <c r="F66" s="635"/>
      <c r="G66" s="635"/>
      <c r="H66" s="635"/>
      <c r="I66" s="325"/>
      <c r="J66" s="659"/>
      <c r="K66" s="325"/>
      <c r="L66" s="659"/>
      <c r="M66" s="325"/>
      <c r="N66" s="659"/>
      <c r="O66" s="325"/>
      <c r="P66" s="659"/>
      <c r="Q66" s="325"/>
      <c r="R66" s="659"/>
      <c r="S66" s="325"/>
      <c r="T66" s="635"/>
      <c r="U66" s="325"/>
      <c r="V66" s="635"/>
      <c r="W66" s="325"/>
      <c r="X66" s="635"/>
      <c r="Y66" s="325"/>
      <c r="Z66" s="635"/>
      <c r="AA66" s="329"/>
      <c r="AB66" s="1519"/>
      <c r="AC66" s="943" t="s">
        <v>104</v>
      </c>
      <c r="AD66" s="325"/>
      <c r="AE66" s="648"/>
      <c r="AF66" s="943" t="s">
        <v>104</v>
      </c>
      <c r="AG66" s="325"/>
      <c r="AH66" s="951"/>
      <c r="AI66" s="325"/>
      <c r="AJ66" s="325"/>
      <c r="AK66" s="344"/>
    </row>
    <row r="67" spans="1:39" ht="15" customHeight="1">
      <c r="A67" s="46"/>
      <c r="B67" s="427" t="s">
        <v>422</v>
      </c>
      <c r="C67" s="427"/>
      <c r="D67" s="659">
        <v>5.9</v>
      </c>
      <c r="E67" s="635"/>
      <c r="F67" s="659">
        <v>6.6999999999999993</v>
      </c>
      <c r="G67" s="635"/>
      <c r="H67" s="659">
        <v>5.2000000000000011</v>
      </c>
      <c r="I67" s="325"/>
      <c r="J67" s="659">
        <v>4.8999999999999968</v>
      </c>
      <c r="K67" s="690"/>
      <c r="L67" s="659">
        <v>6.1000000000000014</v>
      </c>
      <c r="M67" s="690"/>
      <c r="N67" s="659">
        <v>4.7000000000000028</v>
      </c>
      <c r="O67" s="690"/>
      <c r="P67" s="659">
        <v>5.2000000000000028</v>
      </c>
      <c r="Q67" s="690"/>
      <c r="R67" s="659">
        <f t="shared" si="15"/>
        <v>3.5999999999999943</v>
      </c>
      <c r="S67" s="690"/>
      <c r="T67" s="635"/>
      <c r="U67" s="690"/>
      <c r="V67" s="635"/>
      <c r="W67" s="690"/>
      <c r="X67" s="635"/>
      <c r="Y67" s="690"/>
      <c r="Z67" s="635"/>
      <c r="AA67" s="351"/>
      <c r="AB67" s="648"/>
      <c r="AC67" s="659">
        <v>42.3</v>
      </c>
      <c r="AD67" s="325"/>
      <c r="AE67" s="648" t="s">
        <v>104</v>
      </c>
      <c r="AF67" s="659">
        <v>47</v>
      </c>
      <c r="AG67" s="325"/>
      <c r="AH67" s="951"/>
      <c r="AI67" s="325">
        <f t="shared" ref="AI67:AI76" si="16">ROUND(SUM(+AC67-AF67),1)</f>
        <v>-4.7</v>
      </c>
      <c r="AJ67" s="325"/>
      <c r="AK67" s="327">
        <f>ROUND(IF(AF67=0,0,AI67/ABS(AF67)),3)</f>
        <v>-0.1</v>
      </c>
    </row>
    <row r="68" spans="1:39" ht="15" customHeight="1">
      <c r="A68" s="46"/>
      <c r="B68" s="427" t="s">
        <v>423</v>
      </c>
      <c r="C68" s="427"/>
      <c r="D68" s="659">
        <v>0</v>
      </c>
      <c r="E68" s="635"/>
      <c r="F68" s="659">
        <v>0</v>
      </c>
      <c r="G68" s="635"/>
      <c r="H68" s="659">
        <v>0</v>
      </c>
      <c r="I68" s="325"/>
      <c r="J68" s="659">
        <v>0</v>
      </c>
      <c r="K68" s="690"/>
      <c r="L68" s="659">
        <v>0</v>
      </c>
      <c r="M68" s="690"/>
      <c r="N68" s="659">
        <v>0</v>
      </c>
      <c r="O68" s="690"/>
      <c r="P68" s="659">
        <v>0</v>
      </c>
      <c r="Q68" s="690"/>
      <c r="R68" s="659">
        <f t="shared" si="15"/>
        <v>0</v>
      </c>
      <c r="S68" s="690"/>
      <c r="T68" s="635"/>
      <c r="U68" s="690"/>
      <c r="V68" s="635"/>
      <c r="W68" s="690"/>
      <c r="X68" s="635"/>
      <c r="Y68" s="690"/>
      <c r="Z68" s="635"/>
      <c r="AA68" s="351"/>
      <c r="AB68" s="648"/>
      <c r="AC68" s="659">
        <v>0</v>
      </c>
      <c r="AD68" s="325"/>
      <c r="AE68" s="648" t="s">
        <v>104</v>
      </c>
      <c r="AF68" s="659">
        <v>0</v>
      </c>
      <c r="AG68" s="325"/>
      <c r="AH68" s="951"/>
      <c r="AI68" s="325">
        <f>ROUND(SUM(+AC68-AF68),1)</f>
        <v>0</v>
      </c>
      <c r="AJ68" s="325"/>
      <c r="AK68" s="327">
        <f>ROUND(IF(AF68=0,0,AI68/ABS(AF68)),3)</f>
        <v>0</v>
      </c>
    </row>
    <row r="69" spans="1:39" ht="15" customHeight="1">
      <c r="A69" s="46"/>
      <c r="B69" s="427" t="s">
        <v>424</v>
      </c>
      <c r="C69" s="427"/>
      <c r="D69" s="659">
        <v>12.2</v>
      </c>
      <c r="E69" s="635"/>
      <c r="F69" s="659">
        <v>20.500000000000004</v>
      </c>
      <c r="G69" s="635"/>
      <c r="H69" s="659">
        <v>39.5</v>
      </c>
      <c r="I69" s="325"/>
      <c r="J69" s="659">
        <v>11</v>
      </c>
      <c r="K69" s="690"/>
      <c r="L69" s="659">
        <v>11.799999999999997</v>
      </c>
      <c r="M69" s="690"/>
      <c r="N69" s="659">
        <v>27.799999999999997</v>
      </c>
      <c r="O69" s="690"/>
      <c r="P69" s="659">
        <v>21.800000000000011</v>
      </c>
      <c r="Q69" s="690"/>
      <c r="R69" s="659">
        <f t="shared" si="15"/>
        <v>-0.29999999999998295</v>
      </c>
      <c r="S69" s="690"/>
      <c r="T69" s="635"/>
      <c r="U69" s="690"/>
      <c r="V69" s="635"/>
      <c r="W69" s="690"/>
      <c r="X69" s="635"/>
      <c r="Y69" s="690"/>
      <c r="Z69" s="635"/>
      <c r="AA69" s="351"/>
      <c r="AB69" s="648"/>
      <c r="AC69" s="659">
        <v>144.30000000000001</v>
      </c>
      <c r="AD69" s="325"/>
      <c r="AE69" s="648" t="s">
        <v>104</v>
      </c>
      <c r="AF69" s="659">
        <v>139.19999999999999</v>
      </c>
      <c r="AG69" s="348"/>
      <c r="AH69" s="954"/>
      <c r="AI69" s="325">
        <f t="shared" si="16"/>
        <v>5.0999999999999996</v>
      </c>
      <c r="AJ69" s="325"/>
      <c r="AK69" s="327">
        <f>ROUND(IF(AF69=0,0,AI69/ABS(AF69)),3)</f>
        <v>3.6999999999999998E-2</v>
      </c>
    </row>
    <row r="70" spans="1:39" ht="15" customHeight="1">
      <c r="A70" s="46"/>
      <c r="B70" s="427" t="s">
        <v>425</v>
      </c>
      <c r="C70" s="427"/>
      <c r="D70" s="659">
        <v>18.7</v>
      </c>
      <c r="E70" s="635"/>
      <c r="F70" s="659">
        <v>7.1999999999999993</v>
      </c>
      <c r="G70" s="635"/>
      <c r="H70" s="659">
        <v>7.2000000000000028</v>
      </c>
      <c r="I70" s="325"/>
      <c r="J70" s="659">
        <v>21.8</v>
      </c>
      <c r="K70" s="690"/>
      <c r="L70" s="659">
        <v>34.5</v>
      </c>
      <c r="M70" s="690"/>
      <c r="N70" s="659">
        <v>23.299999999999997</v>
      </c>
      <c r="O70" s="690"/>
      <c r="P70" s="659">
        <v>14.099999999999994</v>
      </c>
      <c r="Q70" s="690"/>
      <c r="R70" s="659">
        <f t="shared" si="15"/>
        <v>23.100000000000023</v>
      </c>
      <c r="S70" s="690"/>
      <c r="T70" s="635"/>
      <c r="U70" s="690"/>
      <c r="V70" s="635"/>
      <c r="W70" s="690"/>
      <c r="X70" s="635"/>
      <c r="Y70" s="690"/>
      <c r="Z70" s="635"/>
      <c r="AA70" s="351"/>
      <c r="AB70" s="648"/>
      <c r="AC70" s="659">
        <v>149.9</v>
      </c>
      <c r="AD70" s="325"/>
      <c r="AE70" s="648" t="s">
        <v>104</v>
      </c>
      <c r="AF70" s="659">
        <v>125.4</v>
      </c>
      <c r="AG70" s="348"/>
      <c r="AH70" s="954"/>
      <c r="AI70" s="325">
        <f t="shared" si="16"/>
        <v>24.5</v>
      </c>
      <c r="AJ70" s="325"/>
      <c r="AK70" s="670">
        <f>ROUND(IF(AF70=0,0,AI70/ABS(AF70)),3)</f>
        <v>0.19500000000000001</v>
      </c>
    </row>
    <row r="71" spans="1:39" ht="15" customHeight="1">
      <c r="A71" s="46"/>
      <c r="B71" s="427" t="s">
        <v>426</v>
      </c>
      <c r="C71" s="427"/>
      <c r="D71" s="659">
        <v>0.1</v>
      </c>
      <c r="E71" s="635"/>
      <c r="F71" s="659">
        <v>0</v>
      </c>
      <c r="G71" s="635"/>
      <c r="H71" s="659">
        <v>0.1</v>
      </c>
      <c r="I71" s="325"/>
      <c r="J71" s="659">
        <v>9.9999999999999978E-2</v>
      </c>
      <c r="K71" s="690"/>
      <c r="L71" s="659">
        <v>0.20000000000000007</v>
      </c>
      <c r="M71" s="690"/>
      <c r="N71" s="659">
        <v>9.9999999999999978E-2</v>
      </c>
      <c r="O71" s="690"/>
      <c r="P71" s="659">
        <v>9.9999999999999978E-2</v>
      </c>
      <c r="Q71" s="690"/>
      <c r="R71" s="659">
        <f t="shared" si="15"/>
        <v>0.10000000000000009</v>
      </c>
      <c r="S71" s="690"/>
      <c r="T71" s="635"/>
      <c r="U71" s="690"/>
      <c r="V71" s="635"/>
      <c r="W71" s="690"/>
      <c r="X71" s="635"/>
      <c r="Y71" s="690"/>
      <c r="Z71" s="635"/>
      <c r="AA71" s="351"/>
      <c r="AB71" s="648"/>
      <c r="AC71" s="659">
        <v>0.8</v>
      </c>
      <c r="AD71" s="325"/>
      <c r="AE71" s="648" t="s">
        <v>104</v>
      </c>
      <c r="AF71" s="659">
        <v>0.9</v>
      </c>
      <c r="AG71" s="348"/>
      <c r="AH71" s="954"/>
      <c r="AI71" s="325">
        <f t="shared" si="16"/>
        <v>-0.1</v>
      </c>
      <c r="AJ71" s="325"/>
      <c r="AK71" s="670">
        <f>ROUND(IF(AF71=0,1,AI71/ABS(AF71)),3)</f>
        <v>-0.111</v>
      </c>
    </row>
    <row r="72" spans="1:39" ht="15" customHeight="1">
      <c r="A72" s="46"/>
      <c r="B72" s="427" t="s">
        <v>427</v>
      </c>
      <c r="C72" s="427"/>
      <c r="D72" s="659">
        <v>12.8</v>
      </c>
      <c r="E72" s="635"/>
      <c r="F72" s="659">
        <v>43.8</v>
      </c>
      <c r="G72" s="635"/>
      <c r="H72" s="659">
        <v>11</v>
      </c>
      <c r="I72" s="325"/>
      <c r="J72" s="659">
        <v>15.700000000000003</v>
      </c>
      <c r="K72" s="690"/>
      <c r="L72" s="659">
        <v>35.5</v>
      </c>
      <c r="M72" s="690"/>
      <c r="N72" s="659">
        <v>-6.2999999999999972</v>
      </c>
      <c r="O72" s="690"/>
      <c r="P72" s="659">
        <v>25.5</v>
      </c>
      <c r="Q72" s="690"/>
      <c r="R72" s="659">
        <f t="shared" si="15"/>
        <v>25.199999999999974</v>
      </c>
      <c r="S72" s="690"/>
      <c r="T72" s="635"/>
      <c r="U72" s="690"/>
      <c r="V72" s="635"/>
      <c r="W72" s="690"/>
      <c r="X72" s="635"/>
      <c r="Y72" s="690"/>
      <c r="Z72" s="635"/>
      <c r="AA72" s="351"/>
      <c r="AB72" s="648"/>
      <c r="AC72" s="659">
        <v>163.19999999999999</v>
      </c>
      <c r="AD72" s="325"/>
      <c r="AE72" s="648" t="s">
        <v>104</v>
      </c>
      <c r="AF72" s="659">
        <v>179.3</v>
      </c>
      <c r="AG72" s="348"/>
      <c r="AH72" s="954"/>
      <c r="AI72" s="325">
        <f t="shared" si="16"/>
        <v>-16.100000000000001</v>
      </c>
      <c r="AJ72" s="325"/>
      <c r="AK72" s="670">
        <f>ROUND(IF(AF72=0,1,AI72/ABS(AF72)),3)</f>
        <v>-0.09</v>
      </c>
    </row>
    <row r="73" spans="1:39" ht="15" customHeight="1">
      <c r="A73" s="46"/>
      <c r="B73" s="427" t="s">
        <v>428</v>
      </c>
      <c r="C73" s="427"/>
      <c r="D73" s="659">
        <v>1.7</v>
      </c>
      <c r="E73" s="635"/>
      <c r="F73" s="659">
        <v>0.60000000000000031</v>
      </c>
      <c r="G73" s="635"/>
      <c r="H73" s="659">
        <v>1.1999999999999997</v>
      </c>
      <c r="I73" s="325"/>
      <c r="J73" s="659">
        <v>2.2999999999999994</v>
      </c>
      <c r="K73" s="690"/>
      <c r="L73" s="659">
        <v>4.1000000000000014</v>
      </c>
      <c r="M73" s="690"/>
      <c r="N73" s="659">
        <v>0.90000000000000213</v>
      </c>
      <c r="O73" s="690"/>
      <c r="P73" s="659">
        <v>29.099999999999991</v>
      </c>
      <c r="Q73" s="690"/>
      <c r="R73" s="659">
        <f>$AC73-$D73-$F73-$H73-$J73-$L73-$N73-$P73</f>
        <v>-15.599999999999994</v>
      </c>
      <c r="S73" s="690"/>
      <c r="T73" s="635"/>
      <c r="U73" s="690"/>
      <c r="V73" s="635"/>
      <c r="W73" s="690"/>
      <c r="X73" s="635"/>
      <c r="Y73" s="690"/>
      <c r="Z73" s="635"/>
      <c r="AA73" s="2044"/>
      <c r="AB73" s="325"/>
      <c r="AC73" s="659">
        <v>24.3</v>
      </c>
      <c r="AD73" s="325"/>
      <c r="AE73" s="648" t="s">
        <v>104</v>
      </c>
      <c r="AF73" s="659">
        <v>17.2</v>
      </c>
      <c r="AG73" s="348"/>
      <c r="AH73" s="954"/>
      <c r="AI73" s="325">
        <f t="shared" si="16"/>
        <v>7.1</v>
      </c>
      <c r="AJ73" s="325"/>
      <c r="AK73" s="670">
        <f>ROUND(IF(AF73=0,1,AI73/ABS(AF73)),3)</f>
        <v>0.41299999999999998</v>
      </c>
    </row>
    <row r="74" spans="1:39" ht="15" customHeight="1">
      <c r="A74" s="46"/>
      <c r="B74" s="427" t="s">
        <v>429</v>
      </c>
      <c r="C74" s="427"/>
      <c r="D74" s="659">
        <v>27.6</v>
      </c>
      <c r="E74" s="635"/>
      <c r="F74" s="659">
        <v>17.5</v>
      </c>
      <c r="G74" s="635"/>
      <c r="H74" s="659">
        <v>23.699999999999996</v>
      </c>
      <c r="I74" s="325"/>
      <c r="J74" s="659">
        <v>20.700000000000003</v>
      </c>
      <c r="K74" s="690"/>
      <c r="L74" s="659">
        <v>35.199999999999996</v>
      </c>
      <c r="M74" s="690"/>
      <c r="N74" s="659">
        <v>26.000000000000007</v>
      </c>
      <c r="O74" s="690"/>
      <c r="P74" s="659">
        <v>41.4</v>
      </c>
      <c r="Q74" s="690"/>
      <c r="R74" s="659">
        <f t="shared" si="15"/>
        <v>60.400000000000013</v>
      </c>
      <c r="S74" s="690"/>
      <c r="T74" s="635"/>
      <c r="U74" s="690"/>
      <c r="V74" s="635"/>
      <c r="W74" s="690"/>
      <c r="X74" s="635"/>
      <c r="Y74" s="690"/>
      <c r="Z74" s="635"/>
      <c r="AA74" s="2044"/>
      <c r="AB74" s="325"/>
      <c r="AC74" s="659">
        <v>252.5</v>
      </c>
      <c r="AD74" s="2045"/>
      <c r="AE74" s="325" t="s">
        <v>104</v>
      </c>
      <c r="AF74" s="659">
        <v>234.8</v>
      </c>
      <c r="AG74" s="348"/>
      <c r="AH74" s="954"/>
      <c r="AI74" s="325">
        <f t="shared" si="16"/>
        <v>17.7</v>
      </c>
      <c r="AJ74" s="325"/>
      <c r="AK74" s="670">
        <f>ROUND(IF(AF74=0,0,AI74/ABS(AF74)),3)</f>
        <v>7.4999999999999997E-2</v>
      </c>
    </row>
    <row r="75" spans="1:39" s="95" customFormat="1" ht="15" customHeight="1">
      <c r="A75" s="46"/>
      <c r="B75" s="427" t="s">
        <v>430</v>
      </c>
      <c r="C75" s="353"/>
      <c r="D75" s="635" t="s">
        <v>104</v>
      </c>
      <c r="E75" s="635"/>
      <c r="F75" s="635"/>
      <c r="G75" s="635"/>
      <c r="H75" s="635"/>
      <c r="I75" s="325"/>
      <c r="J75" s="659"/>
      <c r="K75" s="325"/>
      <c r="L75" s="659"/>
      <c r="M75" s="325"/>
      <c r="N75" s="659"/>
      <c r="O75" s="325"/>
      <c r="P75" s="659"/>
      <c r="Q75" s="325"/>
      <c r="R75" s="659"/>
      <c r="S75" s="325"/>
      <c r="T75" s="635"/>
      <c r="U75" s="325"/>
      <c r="V75" s="635"/>
      <c r="W75" s="325"/>
      <c r="X75" s="635"/>
      <c r="Y75" s="325"/>
      <c r="Z75" s="635"/>
      <c r="AA75" s="2046"/>
      <c r="AB75" s="325"/>
      <c r="AC75" s="325" t="s">
        <v>104</v>
      </c>
      <c r="AD75" s="2045"/>
      <c r="AE75" s="325"/>
      <c r="AF75" s="325" t="s">
        <v>104</v>
      </c>
      <c r="AG75" s="348"/>
      <c r="AH75" s="954"/>
      <c r="AI75" s="325"/>
      <c r="AJ75" s="325"/>
      <c r="AK75" s="325"/>
      <c r="AL75" s="344"/>
      <c r="AM75" s="404"/>
    </row>
    <row r="76" spans="1:39" s="95" customFormat="1" ht="15" customHeight="1">
      <c r="A76" s="46"/>
      <c r="B76" s="427" t="s">
        <v>478</v>
      </c>
      <c r="C76" s="353"/>
      <c r="D76" s="659">
        <v>5</v>
      </c>
      <c r="E76" s="635"/>
      <c r="F76" s="659">
        <v>0</v>
      </c>
      <c r="G76" s="635"/>
      <c r="H76" s="659">
        <v>0</v>
      </c>
      <c r="I76" s="325"/>
      <c r="J76" s="659">
        <v>0</v>
      </c>
      <c r="K76" s="690"/>
      <c r="L76" s="659">
        <v>0</v>
      </c>
      <c r="M76" s="690"/>
      <c r="N76" s="659">
        <v>0</v>
      </c>
      <c r="O76" s="690"/>
      <c r="P76" s="659">
        <v>0</v>
      </c>
      <c r="Q76" s="690"/>
      <c r="R76" s="659">
        <f t="shared" si="15"/>
        <v>0</v>
      </c>
      <c r="S76" s="690"/>
      <c r="T76" s="635"/>
      <c r="U76" s="690"/>
      <c r="V76" s="635"/>
      <c r="W76" s="690"/>
      <c r="X76" s="635"/>
      <c r="Y76" s="690"/>
      <c r="Z76" s="635"/>
      <c r="AA76" s="2044"/>
      <c r="AB76" s="325"/>
      <c r="AC76" s="348">
        <v>5</v>
      </c>
      <c r="AD76" s="2047" t="s">
        <v>104</v>
      </c>
      <c r="AE76" s="348"/>
      <c r="AF76" s="348">
        <v>5</v>
      </c>
      <c r="AG76" s="348"/>
      <c r="AH76" s="954"/>
      <c r="AI76" s="325">
        <f t="shared" si="16"/>
        <v>0</v>
      </c>
      <c r="AJ76" s="325"/>
      <c r="AK76" s="344">
        <f>ROUND(IF(AF76=0,1,AI76/ABS(AF76)),3)</f>
        <v>0</v>
      </c>
      <c r="AL76" s="670"/>
      <c r="AM76" s="404"/>
    </row>
    <row r="77" spans="1:39" ht="15" customHeight="1">
      <c r="A77" s="46"/>
      <c r="B77" s="427" t="s">
        <v>435</v>
      </c>
      <c r="C77" s="427"/>
      <c r="D77" s="659">
        <v>204</v>
      </c>
      <c r="E77" s="635"/>
      <c r="F77" s="659">
        <v>176.3</v>
      </c>
      <c r="G77" s="635"/>
      <c r="H77" s="659">
        <v>191.99999999999994</v>
      </c>
      <c r="I77" s="325"/>
      <c r="J77" s="659">
        <v>183.10000000000002</v>
      </c>
      <c r="K77" s="690"/>
      <c r="L77" s="659">
        <v>198.40000000000003</v>
      </c>
      <c r="M77" s="690"/>
      <c r="N77" s="659">
        <v>201.90000000000003</v>
      </c>
      <c r="O77" s="690"/>
      <c r="P77" s="659">
        <v>206.20000000000005</v>
      </c>
      <c r="Q77" s="690"/>
      <c r="R77" s="659">
        <f t="shared" si="15"/>
        <v>214.29999999999978</v>
      </c>
      <c r="S77" s="690"/>
      <c r="T77" s="635"/>
      <c r="U77" s="690"/>
      <c r="V77" s="635"/>
      <c r="W77" s="690"/>
      <c r="X77" s="635"/>
      <c r="Y77" s="690"/>
      <c r="Z77" s="635"/>
      <c r="AA77" s="2044"/>
      <c r="AB77" s="325"/>
      <c r="AC77" s="659">
        <v>1576.1999999999998</v>
      </c>
      <c r="AD77" s="2045"/>
      <c r="AE77" s="325" t="s">
        <v>104</v>
      </c>
      <c r="AF77" s="659">
        <v>416.9</v>
      </c>
      <c r="AG77" s="348"/>
      <c r="AH77" s="954"/>
      <c r="AI77" s="325">
        <f>ROUND(SUM(+AC77-AF77),1)</f>
        <v>1159.3</v>
      </c>
      <c r="AJ77" s="325"/>
      <c r="AK77" s="670">
        <f>ROUND(IF(AF77=0,1,AI77/ABS(AF77)),3)</f>
        <v>2.7810000000000001</v>
      </c>
    </row>
    <row r="78" spans="1:39" ht="15" customHeight="1">
      <c r="A78" s="46"/>
      <c r="B78" s="427" t="s">
        <v>436</v>
      </c>
      <c r="C78" s="427"/>
      <c r="D78" s="659">
        <v>0</v>
      </c>
      <c r="E78" s="635"/>
      <c r="F78" s="659">
        <v>0</v>
      </c>
      <c r="G78" s="635"/>
      <c r="H78" s="659">
        <v>0</v>
      </c>
      <c r="I78" s="325"/>
      <c r="J78" s="659">
        <v>0</v>
      </c>
      <c r="K78" s="690"/>
      <c r="L78" s="659">
        <v>0.1</v>
      </c>
      <c r="M78" s="690"/>
      <c r="N78" s="659">
        <v>0</v>
      </c>
      <c r="O78" s="690"/>
      <c r="P78" s="659">
        <v>0</v>
      </c>
      <c r="Q78" s="690"/>
      <c r="R78" s="659">
        <f t="shared" si="15"/>
        <v>0</v>
      </c>
      <c r="S78" s="690"/>
      <c r="T78" s="635"/>
      <c r="U78" s="690"/>
      <c r="V78" s="635"/>
      <c r="W78" s="690"/>
      <c r="X78" s="635"/>
      <c r="Y78" s="690"/>
      <c r="Z78" s="635"/>
      <c r="AA78" s="351"/>
      <c r="AB78" s="648"/>
      <c r="AC78" s="659">
        <v>0.1</v>
      </c>
      <c r="AD78" s="325"/>
      <c r="AE78" s="648" t="s">
        <v>104</v>
      </c>
      <c r="AF78" s="659">
        <v>0</v>
      </c>
      <c r="AG78" s="348"/>
      <c r="AH78" s="954"/>
      <c r="AI78" s="325">
        <f>ROUND(SUM(+AC78-AF78),1)</f>
        <v>0.1</v>
      </c>
      <c r="AJ78" s="325"/>
      <c r="AK78" s="327">
        <f>ROUND(IF(AF78=0,1,AI78/ABS(AF78)),3)</f>
        <v>1</v>
      </c>
    </row>
    <row r="79" spans="1:39" ht="15" customHeight="1">
      <c r="A79" s="46"/>
      <c r="B79" s="427" t="s">
        <v>437</v>
      </c>
      <c r="C79" s="427"/>
      <c r="D79" s="635" t="s">
        <v>104</v>
      </c>
      <c r="E79" s="635"/>
      <c r="F79" s="635"/>
      <c r="G79" s="635"/>
      <c r="H79" s="635"/>
      <c r="I79" s="325"/>
      <c r="J79" s="659"/>
      <c r="K79" s="325"/>
      <c r="L79" s="659"/>
      <c r="M79" s="325"/>
      <c r="N79" s="659"/>
      <c r="O79" s="325"/>
      <c r="P79" s="659"/>
      <c r="Q79" s="325"/>
      <c r="R79" s="659"/>
      <c r="S79" s="325"/>
      <c r="T79" s="635"/>
      <c r="U79" s="325"/>
      <c r="V79" s="635"/>
      <c r="W79" s="325"/>
      <c r="X79" s="635"/>
      <c r="Y79" s="325"/>
      <c r="Z79" s="635"/>
      <c r="AA79" s="329"/>
      <c r="AB79" s="1519"/>
      <c r="AC79" s="943" t="s">
        <v>104</v>
      </c>
      <c r="AD79" s="325"/>
      <c r="AE79" s="648"/>
      <c r="AF79" s="943" t="s">
        <v>104</v>
      </c>
      <c r="AG79" s="325"/>
      <c r="AH79" s="951"/>
      <c r="AI79" s="325"/>
      <c r="AJ79" s="325"/>
      <c r="AK79" s="344"/>
    </row>
    <row r="80" spans="1:39" ht="15" customHeight="1">
      <c r="A80" s="46"/>
      <c r="B80" s="427" t="s">
        <v>438</v>
      </c>
      <c r="C80" s="427"/>
      <c r="D80" s="659">
        <v>0</v>
      </c>
      <c r="E80" s="635"/>
      <c r="F80" s="659">
        <v>0</v>
      </c>
      <c r="G80" s="635"/>
      <c r="H80" s="659">
        <v>0</v>
      </c>
      <c r="I80" s="325"/>
      <c r="J80" s="659">
        <v>0</v>
      </c>
      <c r="K80" s="325"/>
      <c r="L80" s="659">
        <v>0</v>
      </c>
      <c r="M80" s="325"/>
      <c r="N80" s="659">
        <v>0</v>
      </c>
      <c r="O80" s="325"/>
      <c r="P80" s="659">
        <v>0</v>
      </c>
      <c r="Q80" s="325"/>
      <c r="R80" s="659">
        <f t="shared" si="15"/>
        <v>0</v>
      </c>
      <c r="S80" s="325"/>
      <c r="T80" s="635"/>
      <c r="U80" s="325"/>
      <c r="V80" s="635"/>
      <c r="W80" s="325"/>
      <c r="X80" s="635"/>
      <c r="Y80" s="325"/>
      <c r="Z80" s="635"/>
      <c r="AA80" s="329"/>
      <c r="AB80" s="1519"/>
      <c r="AC80" s="659">
        <v>0</v>
      </c>
      <c r="AD80" s="325"/>
      <c r="AE80" s="648"/>
      <c r="AF80" s="659">
        <v>0</v>
      </c>
      <c r="AG80" s="325"/>
      <c r="AH80" s="951"/>
      <c r="AI80" s="325">
        <f t="shared" ref="AI80:AI84" si="17">ROUND(SUM(+AC80-AF80),1)</f>
        <v>0</v>
      </c>
      <c r="AJ80" s="325"/>
      <c r="AK80" s="327">
        <f>ROUND(IF(AF80=0,0,AI80/ABS(AF80)),3)</f>
        <v>0</v>
      </c>
    </row>
    <row r="81" spans="1:41" ht="15" customHeight="1">
      <c r="A81" s="46"/>
      <c r="B81" s="427" t="s">
        <v>439</v>
      </c>
      <c r="C81" s="427"/>
      <c r="D81" s="659">
        <v>0</v>
      </c>
      <c r="E81" s="635"/>
      <c r="F81" s="659">
        <v>0</v>
      </c>
      <c r="G81" s="635"/>
      <c r="H81" s="659">
        <v>0</v>
      </c>
      <c r="I81" s="325"/>
      <c r="J81" s="659">
        <v>0</v>
      </c>
      <c r="K81" s="690"/>
      <c r="L81" s="659">
        <v>0</v>
      </c>
      <c r="M81" s="690"/>
      <c r="N81" s="659">
        <v>0</v>
      </c>
      <c r="O81" s="690"/>
      <c r="P81" s="659">
        <v>6</v>
      </c>
      <c r="Q81" s="690"/>
      <c r="R81" s="659">
        <f t="shared" si="15"/>
        <v>-3.3</v>
      </c>
      <c r="S81" s="690"/>
      <c r="T81" s="635"/>
      <c r="U81" s="690"/>
      <c r="V81" s="635"/>
      <c r="W81" s="690"/>
      <c r="X81" s="635"/>
      <c r="Y81" s="690"/>
      <c r="Z81" s="635"/>
      <c r="AA81" s="351"/>
      <c r="AB81" s="648"/>
      <c r="AC81" s="659">
        <v>2.7</v>
      </c>
      <c r="AD81" s="325"/>
      <c r="AE81" s="648" t="s">
        <v>104</v>
      </c>
      <c r="AF81" s="659">
        <v>15.4</v>
      </c>
      <c r="AG81" s="348"/>
      <c r="AH81" s="954"/>
      <c r="AI81" s="325">
        <f t="shared" si="17"/>
        <v>-12.7</v>
      </c>
      <c r="AJ81" s="325"/>
      <c r="AK81" s="327">
        <f t="shared" ref="AK81:AK83" si="18">ROUND(IF(AF81=0,0,AI81/ABS(AF81)),3)</f>
        <v>-0.82499999999999996</v>
      </c>
    </row>
    <row r="82" spans="1:41" ht="15" customHeight="1">
      <c r="A82" s="46"/>
      <c r="B82" s="427" t="s">
        <v>440</v>
      </c>
      <c r="C82" s="427"/>
      <c r="D82" s="659">
        <v>0</v>
      </c>
      <c r="E82" s="635"/>
      <c r="F82" s="659">
        <v>0</v>
      </c>
      <c r="G82" s="635"/>
      <c r="H82" s="659">
        <v>0</v>
      </c>
      <c r="I82" s="325"/>
      <c r="J82" s="659">
        <v>2.1</v>
      </c>
      <c r="K82" s="690"/>
      <c r="L82" s="659">
        <v>9.7000000000000011</v>
      </c>
      <c r="M82" s="690"/>
      <c r="N82" s="659">
        <v>10.599999999999996</v>
      </c>
      <c r="O82" s="690"/>
      <c r="P82" s="659">
        <v>8.2000000000000011</v>
      </c>
      <c r="Q82" s="690"/>
      <c r="R82" s="659">
        <f t="shared" si="15"/>
        <v>0.89999999999999858</v>
      </c>
      <c r="S82" s="690"/>
      <c r="T82" s="635"/>
      <c r="U82" s="690"/>
      <c r="V82" s="635"/>
      <c r="W82" s="690"/>
      <c r="X82" s="635"/>
      <c r="Y82" s="690"/>
      <c r="Z82" s="635"/>
      <c r="AA82" s="351"/>
      <c r="AB82" s="648"/>
      <c r="AC82" s="659">
        <v>31.5</v>
      </c>
      <c r="AD82" s="325"/>
      <c r="AE82" s="648" t="s">
        <v>104</v>
      </c>
      <c r="AF82" s="659">
        <v>46.3</v>
      </c>
      <c r="AG82" s="348"/>
      <c r="AH82" s="954"/>
      <c r="AI82" s="325">
        <f t="shared" si="17"/>
        <v>-14.8</v>
      </c>
      <c r="AJ82" s="325"/>
      <c r="AK82" s="327">
        <f t="shared" si="18"/>
        <v>-0.32</v>
      </c>
    </row>
    <row r="83" spans="1:41" ht="15" customHeight="1">
      <c r="A83" s="46"/>
      <c r="B83" s="427" t="s">
        <v>441</v>
      </c>
      <c r="C83" s="427"/>
      <c r="D83" s="659">
        <v>0</v>
      </c>
      <c r="E83" s="635"/>
      <c r="F83" s="659">
        <v>0</v>
      </c>
      <c r="G83" s="635"/>
      <c r="H83" s="659">
        <v>0</v>
      </c>
      <c r="I83" s="325"/>
      <c r="J83" s="659">
        <v>0</v>
      </c>
      <c r="K83" s="690"/>
      <c r="L83" s="659">
        <v>0</v>
      </c>
      <c r="M83" s="690"/>
      <c r="N83" s="659">
        <v>0</v>
      </c>
      <c r="O83" s="690"/>
      <c r="P83" s="659">
        <v>0</v>
      </c>
      <c r="Q83" s="690"/>
      <c r="R83" s="659">
        <f t="shared" si="15"/>
        <v>0</v>
      </c>
      <c r="S83" s="690"/>
      <c r="T83" s="635"/>
      <c r="U83" s="690"/>
      <c r="V83" s="635"/>
      <c r="W83" s="690"/>
      <c r="X83" s="635"/>
      <c r="Y83" s="690"/>
      <c r="Z83" s="635"/>
      <c r="AA83" s="351"/>
      <c r="AB83" s="648"/>
      <c r="AC83" s="659">
        <v>0</v>
      </c>
      <c r="AD83" s="325"/>
      <c r="AE83" s="648" t="s">
        <v>104</v>
      </c>
      <c r="AF83" s="659">
        <v>3.9</v>
      </c>
      <c r="AG83" s="348"/>
      <c r="AH83" s="954"/>
      <c r="AI83" s="325">
        <f t="shared" si="17"/>
        <v>-3.9</v>
      </c>
      <c r="AJ83" s="325"/>
      <c r="AK83" s="327">
        <f t="shared" si="18"/>
        <v>-1</v>
      </c>
    </row>
    <row r="84" spans="1:41" ht="15" customHeight="1">
      <c r="A84" s="46"/>
      <c r="B84" s="427" t="s">
        <v>442</v>
      </c>
      <c r="C84" s="427"/>
      <c r="D84" s="659">
        <v>0.1</v>
      </c>
      <c r="E84" s="635"/>
      <c r="F84" s="659">
        <v>0.19999999999999998</v>
      </c>
      <c r="G84" s="635"/>
      <c r="H84" s="659">
        <v>0.10000000000000006</v>
      </c>
      <c r="I84" s="325"/>
      <c r="J84" s="659">
        <v>0.19999999999999998</v>
      </c>
      <c r="K84" s="690"/>
      <c r="L84" s="659">
        <v>9.999999999999995E-2</v>
      </c>
      <c r="M84" s="690"/>
      <c r="N84" s="659">
        <v>0.10000000000000009</v>
      </c>
      <c r="O84" s="690"/>
      <c r="P84" s="659">
        <v>0.1</v>
      </c>
      <c r="Q84" s="690"/>
      <c r="R84" s="659">
        <f t="shared" si="15"/>
        <v>0.19999999999999993</v>
      </c>
      <c r="S84" s="690"/>
      <c r="T84" s="635"/>
      <c r="U84" s="690"/>
      <c r="V84" s="635"/>
      <c r="W84" s="690"/>
      <c r="X84" s="635"/>
      <c r="Y84" s="690"/>
      <c r="Z84" s="635"/>
      <c r="AA84" s="351"/>
      <c r="AB84" s="648"/>
      <c r="AC84" s="659">
        <v>1.1000000000000001</v>
      </c>
      <c r="AD84" s="325"/>
      <c r="AE84" s="648" t="s">
        <v>104</v>
      </c>
      <c r="AF84" s="659">
        <v>1</v>
      </c>
      <c r="AG84" s="348"/>
      <c r="AH84" s="954"/>
      <c r="AI84" s="325">
        <f t="shared" si="17"/>
        <v>0.1</v>
      </c>
      <c r="AJ84" s="325"/>
      <c r="AK84" s="327">
        <f t="shared" ref="AK84" si="19">ROUND(IF(AF84=0,0,AI84/ABS(AF84)),3)</f>
        <v>0.1</v>
      </c>
    </row>
    <row r="85" spans="1:41" ht="15" customHeight="1">
      <c r="A85" s="46"/>
      <c r="B85" s="427" t="s">
        <v>443</v>
      </c>
      <c r="C85" s="427"/>
      <c r="D85" s="635" t="s">
        <v>479</v>
      </c>
      <c r="E85" s="635"/>
      <c r="F85" s="635"/>
      <c r="G85" s="635"/>
      <c r="H85" s="635"/>
      <c r="I85" s="325"/>
      <c r="J85" s="659"/>
      <c r="K85" s="325"/>
      <c r="L85" s="659"/>
      <c r="M85" s="325"/>
      <c r="N85" s="659"/>
      <c r="O85" s="325"/>
      <c r="P85" s="659"/>
      <c r="Q85" s="325"/>
      <c r="R85" s="659"/>
      <c r="S85" s="325"/>
      <c r="T85" s="635"/>
      <c r="U85" s="325"/>
      <c r="V85" s="635"/>
      <c r="W85" s="325"/>
      <c r="X85" s="635"/>
      <c r="Y85" s="325"/>
      <c r="Z85" s="635"/>
      <c r="AA85" s="329"/>
      <c r="AB85" s="1519"/>
      <c r="AC85" s="943" t="s">
        <v>479</v>
      </c>
      <c r="AD85" s="325"/>
      <c r="AE85" s="648" t="s">
        <v>104</v>
      </c>
      <c r="AF85" s="943" t="s">
        <v>479</v>
      </c>
      <c r="AG85" s="325"/>
      <c r="AH85" s="951"/>
      <c r="AI85" s="325"/>
      <c r="AJ85" s="325"/>
      <c r="AK85" s="344"/>
    </row>
    <row r="86" spans="1:41" ht="15" customHeight="1">
      <c r="A86" s="46"/>
      <c r="B86" s="427" t="s">
        <v>444</v>
      </c>
      <c r="C86" s="427"/>
      <c r="D86" s="659">
        <v>0.6</v>
      </c>
      <c r="E86" s="635"/>
      <c r="F86" s="659">
        <v>0.6</v>
      </c>
      <c r="G86" s="635"/>
      <c r="H86" s="659">
        <v>16.699999999999996</v>
      </c>
      <c r="I86" s="325"/>
      <c r="J86" s="659">
        <v>0.50000000000000355</v>
      </c>
      <c r="K86" s="690"/>
      <c r="L86" s="659">
        <v>0.39999999999999858</v>
      </c>
      <c r="M86" s="690"/>
      <c r="N86" s="659">
        <v>15.7</v>
      </c>
      <c r="O86" s="690"/>
      <c r="P86" s="659">
        <v>0.29999999999999716</v>
      </c>
      <c r="Q86" s="690"/>
      <c r="R86" s="659">
        <f t="shared" si="15"/>
        <v>0.10000000000000142</v>
      </c>
      <c r="S86" s="690"/>
      <c r="T86" s="635"/>
      <c r="U86" s="690"/>
      <c r="V86" s="635"/>
      <c r="W86" s="690"/>
      <c r="X86" s="635"/>
      <c r="Y86" s="690"/>
      <c r="Z86" s="635"/>
      <c r="AA86" s="351"/>
      <c r="AB86" s="648"/>
      <c r="AC86" s="659">
        <v>34.9</v>
      </c>
      <c r="AD86" s="325"/>
      <c r="AE86" s="648" t="s">
        <v>104</v>
      </c>
      <c r="AF86" s="659">
        <v>29.7</v>
      </c>
      <c r="AG86" s="348"/>
      <c r="AH86" s="954"/>
      <c r="AI86" s="325">
        <f t="shared" ref="AI86:AI95" si="20">ROUND(SUM(+AC86-AF86),1)</f>
        <v>5.2</v>
      </c>
      <c r="AJ86" s="325"/>
      <c r="AK86" s="327">
        <f t="shared" ref="AK86" si="21">ROUND(IF(AF86=0,1,AI86/ABS(AF86)),3)</f>
        <v>0.17499999999999999</v>
      </c>
    </row>
    <row r="87" spans="1:41" ht="15" customHeight="1">
      <c r="A87" s="46"/>
      <c r="B87" s="427" t="s">
        <v>445</v>
      </c>
      <c r="C87" s="427"/>
      <c r="D87" s="659">
        <v>1</v>
      </c>
      <c r="E87" s="635"/>
      <c r="F87" s="659">
        <v>0.10000000000000009</v>
      </c>
      <c r="G87" s="635"/>
      <c r="H87" s="659">
        <v>9.9999999999999867E-2</v>
      </c>
      <c r="I87" s="325"/>
      <c r="J87" s="659">
        <v>-0.19999999999999996</v>
      </c>
      <c r="K87" s="690"/>
      <c r="L87" s="659">
        <v>0.19999999999999996</v>
      </c>
      <c r="M87" s="690"/>
      <c r="N87" s="659">
        <v>0</v>
      </c>
      <c r="O87" s="690"/>
      <c r="P87" s="659">
        <v>-9.9999999999999867E-2</v>
      </c>
      <c r="Q87" s="690"/>
      <c r="R87" s="659">
        <f t="shared" si="15"/>
        <v>0</v>
      </c>
      <c r="S87" s="690"/>
      <c r="T87" s="635"/>
      <c r="U87" s="690"/>
      <c r="V87" s="635"/>
      <c r="W87" s="690"/>
      <c r="X87" s="635"/>
      <c r="Y87" s="690"/>
      <c r="Z87" s="635"/>
      <c r="AA87" s="351"/>
      <c r="AB87" s="648"/>
      <c r="AC87" s="659">
        <v>1.1000000000000001</v>
      </c>
      <c r="AD87" s="325"/>
      <c r="AE87" s="648" t="s">
        <v>104</v>
      </c>
      <c r="AF87" s="659">
        <v>1.4</v>
      </c>
      <c r="AG87" s="348"/>
      <c r="AH87" s="954"/>
      <c r="AI87" s="325">
        <f t="shared" ref="AI87" si="22">ROUND(SUM(+AC87-AF87),1)</f>
        <v>-0.3</v>
      </c>
      <c r="AJ87" s="325"/>
      <c r="AK87" s="670">
        <f>ROUND(IF(AF87=0,1,AI87/ABS(AF87)),3)</f>
        <v>-0.214</v>
      </c>
    </row>
    <row r="88" spans="1:41" ht="15" customHeight="1">
      <c r="A88" s="46"/>
      <c r="B88" s="427" t="s">
        <v>447</v>
      </c>
      <c r="C88" s="427"/>
      <c r="D88" s="659">
        <v>0</v>
      </c>
      <c r="E88" s="635"/>
      <c r="F88" s="659">
        <v>0</v>
      </c>
      <c r="G88" s="635"/>
      <c r="H88" s="659">
        <v>0</v>
      </c>
      <c r="I88" s="325"/>
      <c r="J88" s="659">
        <v>0</v>
      </c>
      <c r="K88" s="690"/>
      <c r="L88" s="659">
        <v>0</v>
      </c>
      <c r="M88" s="690"/>
      <c r="N88" s="659">
        <v>0</v>
      </c>
      <c r="O88" s="690"/>
      <c r="P88" s="659">
        <v>0.5</v>
      </c>
      <c r="Q88" s="690"/>
      <c r="R88" s="659">
        <f t="shared" si="15"/>
        <v>0</v>
      </c>
      <c r="S88" s="690"/>
      <c r="T88" s="635"/>
      <c r="U88" s="690"/>
      <c r="V88" s="635"/>
      <c r="W88" s="690"/>
      <c r="X88" s="635"/>
      <c r="Y88" s="690"/>
      <c r="Z88" s="635"/>
      <c r="AA88" s="351"/>
      <c r="AB88" s="648"/>
      <c r="AC88" s="659">
        <v>0.5</v>
      </c>
      <c r="AD88" s="325"/>
      <c r="AE88" s="648" t="s">
        <v>104</v>
      </c>
      <c r="AF88" s="659">
        <v>0</v>
      </c>
      <c r="AG88" s="348"/>
      <c r="AH88" s="954"/>
      <c r="AI88" s="325">
        <f t="shared" si="20"/>
        <v>0.5</v>
      </c>
      <c r="AJ88" s="325"/>
      <c r="AK88" s="670">
        <f>ROUND(IF(AF88=0,1,AI88/ABS(AF88)),3)</f>
        <v>1</v>
      </c>
    </row>
    <row r="89" spans="1:41" ht="15" customHeight="1">
      <c r="A89" s="46"/>
      <c r="B89" s="427" t="s">
        <v>448</v>
      </c>
      <c r="C89" s="427"/>
      <c r="D89" s="659">
        <v>0</v>
      </c>
      <c r="E89" s="635"/>
      <c r="F89" s="659">
        <v>14.2</v>
      </c>
      <c r="G89" s="635"/>
      <c r="H89" s="659">
        <v>7.4000000000000021</v>
      </c>
      <c r="I89" s="325"/>
      <c r="J89" s="659">
        <v>5.5999999999999979</v>
      </c>
      <c r="K89" s="690"/>
      <c r="L89" s="659">
        <v>6.0999999999999979</v>
      </c>
      <c r="M89" s="690"/>
      <c r="N89" s="659">
        <v>6.5</v>
      </c>
      <c r="O89" s="690"/>
      <c r="P89" s="659">
        <v>5.5</v>
      </c>
      <c r="Q89" s="690"/>
      <c r="R89" s="659">
        <f t="shared" si="15"/>
        <v>10.199999999999996</v>
      </c>
      <c r="S89" s="690"/>
      <c r="T89" s="635"/>
      <c r="U89" s="690"/>
      <c r="V89" s="635"/>
      <c r="W89" s="690"/>
      <c r="X89" s="635"/>
      <c r="Y89" s="690"/>
      <c r="Z89" s="635"/>
      <c r="AA89" s="351"/>
      <c r="AB89" s="648"/>
      <c r="AC89" s="659">
        <v>55.5</v>
      </c>
      <c r="AD89" s="325"/>
      <c r="AE89" s="648" t="s">
        <v>104</v>
      </c>
      <c r="AF89" s="659">
        <v>56.8</v>
      </c>
      <c r="AG89" s="348"/>
      <c r="AH89" s="954"/>
      <c r="AI89" s="325">
        <f t="shared" si="20"/>
        <v>-1.3</v>
      </c>
      <c r="AJ89" s="325"/>
      <c r="AK89" s="327">
        <f>ROUND(IF(AF89=0,1,AI89/ABS(AF89)),3)</f>
        <v>-2.3E-2</v>
      </c>
    </row>
    <row r="90" spans="1:41" ht="15" customHeight="1">
      <c r="A90" s="46"/>
      <c r="B90" s="427" t="s">
        <v>449</v>
      </c>
      <c r="C90" s="427"/>
      <c r="D90" s="659">
        <v>7.8</v>
      </c>
      <c r="E90" s="635"/>
      <c r="F90" s="659">
        <v>-76.399999999999991</v>
      </c>
      <c r="G90" s="635"/>
      <c r="H90" s="659">
        <v>-11.300000000000011</v>
      </c>
      <c r="I90" s="325"/>
      <c r="J90" s="659">
        <v>53.500000000000007</v>
      </c>
      <c r="K90" s="690"/>
      <c r="L90" s="659">
        <v>5.9999999999999929</v>
      </c>
      <c r="M90" s="690"/>
      <c r="N90" s="659">
        <v>4.1000000000000014</v>
      </c>
      <c r="O90" s="690"/>
      <c r="P90" s="659">
        <v>-19.699999999999996</v>
      </c>
      <c r="Q90" s="690"/>
      <c r="R90" s="659">
        <f t="shared" si="15"/>
        <v>-72.400000000000006</v>
      </c>
      <c r="S90" s="690"/>
      <c r="T90" s="635"/>
      <c r="U90" s="690"/>
      <c r="V90" s="635"/>
      <c r="W90" s="690"/>
      <c r="X90" s="635"/>
      <c r="Y90" s="690"/>
      <c r="Z90" s="635"/>
      <c r="AA90" s="351"/>
      <c r="AB90" s="648"/>
      <c r="AC90" s="659">
        <v>-108.4</v>
      </c>
      <c r="AD90" s="325"/>
      <c r="AE90" s="648" t="s">
        <v>104</v>
      </c>
      <c r="AF90" s="659">
        <v>-27.7</v>
      </c>
      <c r="AG90" s="348"/>
      <c r="AH90" s="954"/>
      <c r="AI90" s="325">
        <f>ROUND(SUM(+AC90-AF90),1)</f>
        <v>-80.7</v>
      </c>
      <c r="AJ90" s="325"/>
      <c r="AK90" s="670">
        <f>ROUND(IF(AF90=0,1,AI90/ABS(AF90)),3)</f>
        <v>-2.9129999999999998</v>
      </c>
    </row>
    <row r="91" spans="1:41" ht="15" customHeight="1">
      <c r="A91" s="46"/>
      <c r="B91" s="427" t="s">
        <v>450</v>
      </c>
      <c r="C91" s="427"/>
      <c r="D91" s="659">
        <v>0.3</v>
      </c>
      <c r="E91" s="635"/>
      <c r="F91" s="659">
        <v>1.8</v>
      </c>
      <c r="G91" s="635"/>
      <c r="H91" s="659">
        <v>0</v>
      </c>
      <c r="I91" s="325"/>
      <c r="J91" s="659">
        <v>0</v>
      </c>
      <c r="K91" s="690"/>
      <c r="L91" s="659">
        <v>0</v>
      </c>
      <c r="M91" s="690"/>
      <c r="N91" s="659">
        <v>0</v>
      </c>
      <c r="O91" s="690"/>
      <c r="P91" s="659">
        <v>0</v>
      </c>
      <c r="Q91" s="690"/>
      <c r="R91" s="659">
        <f t="shared" si="15"/>
        <v>4.9000000000000004</v>
      </c>
      <c r="S91" s="690"/>
      <c r="T91" s="635"/>
      <c r="U91" s="690"/>
      <c r="V91" s="635"/>
      <c r="W91" s="690"/>
      <c r="X91" s="635"/>
      <c r="Y91" s="690"/>
      <c r="Z91" s="635"/>
      <c r="AA91" s="351"/>
      <c r="AB91" s="648"/>
      <c r="AC91" s="659">
        <v>7</v>
      </c>
      <c r="AD91" s="325"/>
      <c r="AE91" s="648" t="s">
        <v>104</v>
      </c>
      <c r="AF91" s="659">
        <v>0.3</v>
      </c>
      <c r="AG91" s="348"/>
      <c r="AH91" s="954"/>
      <c r="AI91" s="325">
        <f t="shared" si="20"/>
        <v>6.7</v>
      </c>
      <c r="AJ91" s="325"/>
      <c r="AK91" s="670">
        <f>ROUND(IF(AF91=0,0,AI91/ABS(AF91)),3)</f>
        <v>22.332999999999998</v>
      </c>
    </row>
    <row r="92" spans="1:41" ht="15" customHeight="1">
      <c r="A92" s="46"/>
      <c r="B92" s="427" t="s">
        <v>451</v>
      </c>
      <c r="C92" s="427"/>
      <c r="D92" s="659">
        <v>0</v>
      </c>
      <c r="E92" s="635"/>
      <c r="F92" s="659">
        <v>0.1</v>
      </c>
      <c r="G92" s="635"/>
      <c r="H92" s="659">
        <v>0</v>
      </c>
      <c r="I92" s="325"/>
      <c r="J92" s="659">
        <v>0.1</v>
      </c>
      <c r="K92" s="690"/>
      <c r="L92" s="659">
        <v>0</v>
      </c>
      <c r="M92" s="690"/>
      <c r="N92" s="659">
        <v>9.9999999999999978E-2</v>
      </c>
      <c r="O92" s="690"/>
      <c r="P92" s="659">
        <v>0.20000000000000007</v>
      </c>
      <c r="Q92" s="690"/>
      <c r="R92" s="659">
        <f t="shared" si="15"/>
        <v>0</v>
      </c>
      <c r="S92" s="690"/>
      <c r="T92" s="635"/>
      <c r="U92" s="690"/>
      <c r="V92" s="635"/>
      <c r="W92" s="690"/>
      <c r="X92" s="635"/>
      <c r="Y92" s="690"/>
      <c r="Z92" s="635"/>
      <c r="AA92" s="351"/>
      <c r="AB92" s="648"/>
      <c r="AC92" s="659">
        <v>0.5</v>
      </c>
      <c r="AD92" s="325"/>
      <c r="AE92" s="648" t="s">
        <v>104</v>
      </c>
      <c r="AF92" s="659">
        <v>0.3</v>
      </c>
      <c r="AG92" s="348"/>
      <c r="AH92" s="954"/>
      <c r="AI92" s="325">
        <f t="shared" si="20"/>
        <v>0.2</v>
      </c>
      <c r="AJ92" s="325"/>
      <c r="AK92" s="670">
        <f>ROUND(IF(AF92=0,1,AI92/ABS(AF92)),3)</f>
        <v>0.66700000000000004</v>
      </c>
    </row>
    <row r="93" spans="1:41" ht="15" customHeight="1">
      <c r="A93" s="46"/>
      <c r="B93" s="427" t="s">
        <v>452</v>
      </c>
      <c r="C93" s="427"/>
      <c r="D93" s="659">
        <v>0</v>
      </c>
      <c r="E93" s="635"/>
      <c r="F93" s="659">
        <v>0</v>
      </c>
      <c r="G93" s="635"/>
      <c r="H93" s="659">
        <v>0</v>
      </c>
      <c r="I93" s="325"/>
      <c r="J93" s="659">
        <v>0</v>
      </c>
      <c r="K93" s="690"/>
      <c r="L93" s="659">
        <v>0</v>
      </c>
      <c r="M93" s="690"/>
      <c r="N93" s="659">
        <v>0</v>
      </c>
      <c r="O93" s="690"/>
      <c r="P93" s="659">
        <v>0</v>
      </c>
      <c r="Q93" s="690"/>
      <c r="R93" s="659">
        <f t="shared" si="15"/>
        <v>0</v>
      </c>
      <c r="S93" s="690"/>
      <c r="T93" s="635"/>
      <c r="U93" s="690"/>
      <c r="V93" s="635"/>
      <c r="W93" s="690"/>
      <c r="X93" s="635"/>
      <c r="Y93" s="690"/>
      <c r="Z93" s="635"/>
      <c r="AA93" s="351"/>
      <c r="AB93" s="648"/>
      <c r="AC93" s="659">
        <v>0</v>
      </c>
      <c r="AD93" s="325"/>
      <c r="AE93" s="648" t="s">
        <v>104</v>
      </c>
      <c r="AF93" s="659">
        <v>0</v>
      </c>
      <c r="AG93" s="348"/>
      <c r="AH93" s="954"/>
      <c r="AI93" s="325">
        <f t="shared" si="20"/>
        <v>0</v>
      </c>
      <c r="AJ93" s="325"/>
      <c r="AK93" s="327">
        <f>ROUND(IF(AF93=0,0,AI93/ABS(AF93)),3)</f>
        <v>0</v>
      </c>
    </row>
    <row r="94" spans="1:41" ht="15" customHeight="1">
      <c r="A94" s="46"/>
      <c r="B94" s="427" t="s">
        <v>453</v>
      </c>
      <c r="C94" s="427"/>
      <c r="D94" s="659">
        <v>30.6</v>
      </c>
      <c r="E94" s="635"/>
      <c r="F94" s="659">
        <v>63.9</v>
      </c>
      <c r="G94" s="635"/>
      <c r="H94" s="659">
        <v>67.599999999999994</v>
      </c>
      <c r="I94" s="325"/>
      <c r="J94" s="659">
        <v>1.3000000000000114</v>
      </c>
      <c r="K94" s="690"/>
      <c r="L94" s="659">
        <v>-64.400000000000006</v>
      </c>
      <c r="M94" s="690"/>
      <c r="N94" s="659">
        <v>-9.5</v>
      </c>
      <c r="O94" s="690"/>
      <c r="P94" s="659">
        <v>8.1999999999999886</v>
      </c>
      <c r="Q94" s="690"/>
      <c r="R94" s="659">
        <f t="shared" si="15"/>
        <v>4.8000000000000185</v>
      </c>
      <c r="S94" s="690"/>
      <c r="T94" s="635"/>
      <c r="U94" s="690"/>
      <c r="V94" s="635"/>
      <c r="W94" s="690"/>
      <c r="X94" s="635"/>
      <c r="Y94" s="690"/>
      <c r="Z94" s="635"/>
      <c r="AA94" s="351"/>
      <c r="AB94" s="648"/>
      <c r="AC94" s="659">
        <v>102.5</v>
      </c>
      <c r="AD94" s="325"/>
      <c r="AE94" s="648" t="s">
        <v>104</v>
      </c>
      <c r="AF94" s="659">
        <v>102.5</v>
      </c>
      <c r="AG94" s="325"/>
      <c r="AH94" s="954"/>
      <c r="AI94" s="325">
        <f t="shared" si="20"/>
        <v>0</v>
      </c>
      <c r="AJ94" s="325"/>
      <c r="AK94" s="670">
        <f>ROUND(IF(AF94=0,0,AI94/ABS(AF94)),3)</f>
        <v>0</v>
      </c>
    </row>
    <row r="95" spans="1:41" ht="15" customHeight="1">
      <c r="A95" s="46"/>
      <c r="B95" s="427" t="s">
        <v>454</v>
      </c>
      <c r="C95" s="427"/>
      <c r="D95" s="659">
        <v>0</v>
      </c>
      <c r="E95" s="635"/>
      <c r="F95" s="659">
        <v>0</v>
      </c>
      <c r="G95" s="635"/>
      <c r="H95" s="659">
        <v>0</v>
      </c>
      <c r="I95" s="325"/>
      <c r="J95" s="659">
        <v>0</v>
      </c>
      <c r="K95" s="690"/>
      <c r="L95" s="659">
        <v>0</v>
      </c>
      <c r="M95" s="690"/>
      <c r="N95" s="659">
        <v>0</v>
      </c>
      <c r="O95" s="690"/>
      <c r="P95" s="659">
        <v>-0.1</v>
      </c>
      <c r="Q95" s="690"/>
      <c r="R95" s="659">
        <f t="shared" si="15"/>
        <v>0</v>
      </c>
      <c r="S95" s="690"/>
      <c r="T95" s="635"/>
      <c r="U95" s="690"/>
      <c r="V95" s="635"/>
      <c r="W95" s="690"/>
      <c r="X95" s="635"/>
      <c r="Y95" s="690"/>
      <c r="Z95" s="635"/>
      <c r="AA95" s="351"/>
      <c r="AB95" s="648"/>
      <c r="AC95" s="659">
        <v>-0.1</v>
      </c>
      <c r="AD95" s="325"/>
      <c r="AE95" s="648" t="s">
        <v>104</v>
      </c>
      <c r="AF95" s="659">
        <v>0</v>
      </c>
      <c r="AG95" s="325"/>
      <c r="AH95" s="954"/>
      <c r="AI95" s="325">
        <f t="shared" si="20"/>
        <v>-0.1</v>
      </c>
      <c r="AJ95" s="325"/>
      <c r="AK95" s="1520">
        <f>-ROUND(IF(AF95=0,1,AI95/ABS(AF95)),3)</f>
        <v>-1</v>
      </c>
    </row>
    <row r="96" spans="1:41" s="74" customFormat="1" ht="15" customHeight="1">
      <c r="A96" s="530"/>
      <c r="B96" s="118" t="s">
        <v>456</v>
      </c>
      <c r="C96" s="72"/>
      <c r="D96" s="842">
        <f>ROUND(SUM(D59:D95),1)</f>
        <v>331.3</v>
      </c>
      <c r="E96" s="531"/>
      <c r="F96" s="842">
        <f>ROUND(SUM(F59:F95),1)</f>
        <v>283</v>
      </c>
      <c r="G96" s="531"/>
      <c r="H96" s="842">
        <f>ROUND(SUM(H59:H95),1)</f>
        <v>374</v>
      </c>
      <c r="I96" s="16"/>
      <c r="J96" s="842">
        <f>ROUND(SUM(J59:J95),1)</f>
        <v>327.2</v>
      </c>
      <c r="K96" s="16"/>
      <c r="L96" s="842">
        <f>ROUND(SUM(L59:L95),1)</f>
        <v>297.89999999999998</v>
      </c>
      <c r="M96" s="16"/>
      <c r="N96" s="842">
        <f>ROUND(SUM(N59:N95),1)</f>
        <v>452.8</v>
      </c>
      <c r="O96" s="16"/>
      <c r="P96" s="842">
        <f>ROUND(SUM(P59:P95),1)</f>
        <v>385.2</v>
      </c>
      <c r="Q96" s="16"/>
      <c r="R96" s="842">
        <f>ROUND(SUM(R59:R95),1)</f>
        <v>388.9</v>
      </c>
      <c r="S96" s="16"/>
      <c r="T96" s="842">
        <f>ROUND(SUM(T59:T95),1)</f>
        <v>0</v>
      </c>
      <c r="U96" s="16"/>
      <c r="V96" s="842">
        <f>ROUND(SUM(V59:V95),1)</f>
        <v>0</v>
      </c>
      <c r="W96" s="16"/>
      <c r="X96" s="842">
        <f>ROUND(SUM(X59:X95),1)</f>
        <v>0</v>
      </c>
      <c r="Y96" s="16"/>
      <c r="Z96" s="842">
        <f>ROUND(SUM(Z59:Z95),1)</f>
        <v>0</v>
      </c>
      <c r="AA96" s="51"/>
      <c r="AB96" s="840"/>
      <c r="AC96" s="842">
        <f>ROUND(SUM(AC59:AC95),1)</f>
        <v>2840.3</v>
      </c>
      <c r="AD96" s="16"/>
      <c r="AE96" s="838" t="s">
        <v>104</v>
      </c>
      <c r="AF96" s="842">
        <f>ROUND(SUM(AF59:AF95),1)</f>
        <v>1738.4</v>
      </c>
      <c r="AG96" s="16"/>
      <c r="AH96" s="952"/>
      <c r="AI96" s="842">
        <f>ROUND(SUM(AI59:AI95),1)</f>
        <v>1101.9000000000001</v>
      </c>
      <c r="AJ96" s="16"/>
      <c r="AK96" s="1274">
        <f>ROUND(SUM(+AI96/AF96),3)</f>
        <v>0.63400000000000001</v>
      </c>
      <c r="AL96" s="71"/>
      <c r="AM96" s="71"/>
      <c r="AO96" s="71"/>
    </row>
    <row r="97" spans="1:41" s="74" customFormat="1" ht="8.25" customHeight="1">
      <c r="A97" s="530"/>
      <c r="B97" s="6"/>
      <c r="C97" s="72"/>
      <c r="D97" s="16"/>
      <c r="E97" s="531"/>
      <c r="F97" s="16"/>
      <c r="G97" s="531"/>
      <c r="H97" s="16"/>
      <c r="I97" s="16"/>
      <c r="J97" s="16"/>
      <c r="K97" s="16"/>
      <c r="L97" s="16"/>
      <c r="M97" s="16"/>
      <c r="N97" s="16"/>
      <c r="O97" s="16"/>
      <c r="P97" s="16"/>
      <c r="Q97" s="16"/>
      <c r="R97" s="16"/>
      <c r="S97" s="16"/>
      <c r="T97" s="16"/>
      <c r="U97" s="16"/>
      <c r="V97" s="16"/>
      <c r="W97" s="16"/>
      <c r="X97" s="16"/>
      <c r="Y97" s="16"/>
      <c r="Z97" s="16"/>
      <c r="AA97" s="51"/>
      <c r="AB97" s="840"/>
      <c r="AC97" s="16"/>
      <c r="AD97" s="16"/>
      <c r="AE97" s="838"/>
      <c r="AF97" s="16"/>
      <c r="AG97" s="16"/>
      <c r="AH97" s="952"/>
      <c r="AI97" s="16"/>
      <c r="AJ97" s="16"/>
      <c r="AK97" s="107"/>
      <c r="AL97" s="71"/>
      <c r="AM97" s="71"/>
      <c r="AO97" s="71"/>
    </row>
    <row r="98" spans="1:41" ht="15" customHeight="1">
      <c r="A98" s="46"/>
      <c r="B98" s="353" t="s">
        <v>480</v>
      </c>
      <c r="C98" s="466"/>
      <c r="D98" s="659">
        <v>0</v>
      </c>
      <c r="E98" s="325"/>
      <c r="F98" s="659">
        <v>0</v>
      </c>
      <c r="G98" s="325"/>
      <c r="H98" s="659">
        <v>0</v>
      </c>
      <c r="I98" s="325"/>
      <c r="J98" s="659">
        <v>0</v>
      </c>
      <c r="K98" s="690"/>
      <c r="L98" s="659">
        <v>0.1</v>
      </c>
      <c r="M98" s="690"/>
      <c r="N98" s="659">
        <v>0</v>
      </c>
      <c r="O98" s="690"/>
      <c r="P98" s="659">
        <v>0.19999999999999998</v>
      </c>
      <c r="Q98" s="690"/>
      <c r="R98" s="659">
        <f t="shared" ref="R98" si="23">$AC98-$D98-$F98-$H98-$J98-$L98-$N98-$P98</f>
        <v>0</v>
      </c>
      <c r="S98" s="690"/>
      <c r="T98" s="635"/>
      <c r="U98" s="690"/>
      <c r="V98" s="635"/>
      <c r="W98" s="690"/>
      <c r="X98" s="635"/>
      <c r="Y98" s="690"/>
      <c r="Z98" s="635"/>
      <c r="AA98" s="351"/>
      <c r="AB98" s="648"/>
      <c r="AC98" s="659">
        <v>0.3</v>
      </c>
      <c r="AD98" s="325"/>
      <c r="AE98" s="648" t="s">
        <v>104</v>
      </c>
      <c r="AF98" s="659">
        <v>0.4</v>
      </c>
      <c r="AG98" s="325"/>
      <c r="AH98" s="951"/>
      <c r="AI98" s="486">
        <f>ROUND(SUM(+AC98-AF98),1)</f>
        <v>-0.1</v>
      </c>
      <c r="AJ98" s="325"/>
      <c r="AK98" s="1521">
        <f>ROUND(IF(AF98=0,0,AI98/ABS(AF98)),3)</f>
        <v>-0.25</v>
      </c>
    </row>
    <row r="99" spans="1:41" ht="4.4000000000000004" customHeight="1">
      <c r="A99" s="46"/>
      <c r="B99" s="353"/>
      <c r="C99" s="466"/>
      <c r="D99" s="783"/>
      <c r="E99" s="325"/>
      <c r="F99" s="783"/>
      <c r="G99" s="325"/>
      <c r="H99" s="783"/>
      <c r="I99" s="325"/>
      <c r="J99" s="783"/>
      <c r="K99" s="325"/>
      <c r="L99" s="783"/>
      <c r="M99" s="325"/>
      <c r="N99" s="783"/>
      <c r="O99" s="325"/>
      <c r="P99" s="1522"/>
      <c r="Q99" s="325"/>
      <c r="R99" s="783"/>
      <c r="S99" s="325"/>
      <c r="T99" s="783"/>
      <c r="U99" s="325"/>
      <c r="V99" s="783"/>
      <c r="W99" s="325"/>
      <c r="X99" s="783"/>
      <c r="Y99" s="325"/>
      <c r="Z99" s="783"/>
      <c r="AA99" s="466"/>
      <c r="AB99" s="1519"/>
      <c r="AC99" s="783"/>
      <c r="AD99" s="325"/>
      <c r="AE99" s="648" t="s">
        <v>104</v>
      </c>
      <c r="AF99" s="783"/>
      <c r="AG99" s="325"/>
      <c r="AH99" s="951"/>
      <c r="AI99" s="325"/>
      <c r="AJ99" s="325"/>
      <c r="AK99" s="344"/>
    </row>
    <row r="100" spans="1:41" ht="15" customHeight="1">
      <c r="A100" s="46"/>
      <c r="B100" s="6" t="s">
        <v>457</v>
      </c>
      <c r="C100" s="466"/>
      <c r="D100" s="434">
        <f>ROUND(SUM(D98+D96+D55),1)</f>
        <v>6075.1</v>
      </c>
      <c r="E100" s="16"/>
      <c r="F100" s="434">
        <f>ROUND(SUM(F98+F96+F55),1)</f>
        <v>2678</v>
      </c>
      <c r="G100" s="16"/>
      <c r="H100" s="434">
        <f>ROUND(SUM(H98+H96+H55),1)</f>
        <v>6965.5</v>
      </c>
      <c r="I100" s="16"/>
      <c r="J100" s="434">
        <f>ROUND(SUM(J98+J96+J55),1)</f>
        <v>3099.1</v>
      </c>
      <c r="K100" s="16"/>
      <c r="L100" s="434">
        <f>ROUND(SUM(L98+L96+L55),1)</f>
        <v>3234.8</v>
      </c>
      <c r="M100" s="16"/>
      <c r="N100" s="16">
        <f>ROUND(SUM(N98+N96+N55),1)</f>
        <v>7149.3</v>
      </c>
      <c r="O100" s="16"/>
      <c r="P100" s="434">
        <f>ROUND(SUM(P98+P96+P55),1)</f>
        <v>2304.5</v>
      </c>
      <c r="Q100" s="16"/>
      <c r="R100" s="434">
        <f>ROUND(SUM(R98+R96+R55),1)</f>
        <v>3090</v>
      </c>
      <c r="S100" s="16"/>
      <c r="T100" s="434">
        <f>ROUND(SUM(T98+T96+T55),1)</f>
        <v>0</v>
      </c>
      <c r="U100" s="16"/>
      <c r="V100" s="434">
        <f>ROUND(SUM(V98+V96+V55),1)</f>
        <v>0</v>
      </c>
      <c r="W100" s="16"/>
      <c r="X100" s="434">
        <f>ROUND(SUM(X98+X96+X55),1)</f>
        <v>0</v>
      </c>
      <c r="Y100" s="16"/>
      <c r="Z100" s="434">
        <f>ROUND(SUM(Z98+Z96+Z55),1)</f>
        <v>0</v>
      </c>
      <c r="AA100" s="51"/>
      <c r="AB100" s="840"/>
      <c r="AC100" s="434">
        <f>ROUND(SUM(AC98+AC96+AC55),1)</f>
        <v>34596.300000000003</v>
      </c>
      <c r="AD100" s="16"/>
      <c r="AE100" s="838"/>
      <c r="AF100" s="434">
        <f>ROUND(SUM(AF98+AF96+AF55),1)</f>
        <v>34485.699999999997</v>
      </c>
      <c r="AG100" s="16"/>
      <c r="AH100" s="952"/>
      <c r="AI100" s="434">
        <f>ROUND(SUM(AI98+AI96+AI55),1)</f>
        <v>110.6</v>
      </c>
      <c r="AJ100" s="16"/>
      <c r="AK100" s="470">
        <f>ROUND(SUM(+AI100/AF100),3)</f>
        <v>3.0000000000000001E-3</v>
      </c>
    </row>
    <row r="101" spans="1:41" ht="15" customHeight="1">
      <c r="A101" s="46"/>
      <c r="B101" s="353"/>
      <c r="C101" s="466"/>
      <c r="D101" s="325"/>
      <c r="E101" s="325"/>
      <c r="F101" s="325"/>
      <c r="G101" s="325"/>
      <c r="H101" s="325"/>
      <c r="I101" s="325"/>
      <c r="J101" s="325"/>
      <c r="K101" s="325"/>
      <c r="L101" s="783"/>
      <c r="M101" s="325"/>
      <c r="N101" s="783"/>
      <c r="O101" s="325"/>
      <c r="P101" s="325"/>
      <c r="Q101" s="325"/>
      <c r="R101" s="325"/>
      <c r="S101" s="325"/>
      <c r="T101" s="325"/>
      <c r="U101" s="325"/>
      <c r="V101" s="325"/>
      <c r="W101" s="325"/>
      <c r="X101" s="325"/>
      <c r="Y101" s="325"/>
      <c r="Z101" s="325"/>
      <c r="AA101" s="329"/>
      <c r="AB101" s="1519"/>
      <c r="AC101" s="325"/>
      <c r="AD101" s="325"/>
      <c r="AE101" s="648"/>
      <c r="AF101" s="325"/>
      <c r="AG101" s="325"/>
      <c r="AH101" s="951"/>
      <c r="AI101" s="325"/>
      <c r="AJ101" s="325"/>
      <c r="AK101" s="344"/>
    </row>
    <row r="102" spans="1:41" ht="15" customHeight="1">
      <c r="A102" s="46"/>
      <c r="B102" s="6" t="s">
        <v>123</v>
      </c>
      <c r="C102" s="466"/>
      <c r="D102" s="325"/>
      <c r="E102" s="325"/>
      <c r="F102" s="325"/>
      <c r="G102" s="325"/>
      <c r="H102" s="325"/>
      <c r="I102" s="325"/>
      <c r="J102" s="325"/>
      <c r="K102" s="325"/>
      <c r="L102" s="325"/>
      <c r="M102" s="325"/>
      <c r="N102" s="325"/>
      <c r="O102" s="325"/>
      <c r="P102" s="325"/>
      <c r="Q102" s="325"/>
      <c r="R102" s="325"/>
      <c r="S102" s="325"/>
      <c r="T102" s="325"/>
      <c r="U102" s="325"/>
      <c r="V102" s="325"/>
      <c r="W102" s="325"/>
      <c r="X102" s="325"/>
      <c r="Y102" s="325"/>
      <c r="Z102" s="325"/>
      <c r="AA102" s="329"/>
      <c r="AB102" s="1519"/>
      <c r="AC102" s="325"/>
      <c r="AD102" s="325"/>
      <c r="AE102" s="648"/>
      <c r="AF102" s="325"/>
      <c r="AG102" s="325"/>
      <c r="AH102" s="951"/>
      <c r="AI102" s="325"/>
      <c r="AJ102" s="325"/>
      <c r="AK102" s="344"/>
    </row>
    <row r="103" spans="1:41" ht="15" customHeight="1">
      <c r="A103" s="46"/>
      <c r="B103" s="353" t="s">
        <v>481</v>
      </c>
      <c r="C103" s="466"/>
      <c r="D103" s="325"/>
      <c r="E103" s="325"/>
      <c r="F103" s="325"/>
      <c r="G103" s="325"/>
      <c r="H103" s="325"/>
      <c r="I103" s="325"/>
      <c r="J103" s="325"/>
      <c r="K103" s="325"/>
      <c r="L103" s="325"/>
      <c r="M103" s="325"/>
      <c r="N103" s="325"/>
      <c r="O103" s="325"/>
      <c r="P103" s="325"/>
      <c r="Q103" s="325"/>
      <c r="R103" s="325"/>
      <c r="S103" s="325"/>
      <c r="T103" s="325"/>
      <c r="U103" s="325"/>
      <c r="V103" s="325"/>
      <c r="W103" s="325"/>
      <c r="X103" s="325"/>
      <c r="Y103" s="325"/>
      <c r="Z103" s="635"/>
      <c r="AA103" s="329"/>
      <c r="AB103" s="1519"/>
      <c r="AC103" s="350"/>
      <c r="AD103" s="325"/>
      <c r="AE103" s="648"/>
      <c r="AF103" s="350"/>
      <c r="AG103" s="955"/>
      <c r="AH103" s="951"/>
      <c r="AI103" s="325"/>
      <c r="AJ103" s="325"/>
      <c r="AK103" s="344"/>
    </row>
    <row r="104" spans="1:41" ht="15" customHeight="1">
      <c r="A104" s="46"/>
      <c r="B104" s="488" t="s">
        <v>125</v>
      </c>
      <c r="C104" s="466"/>
      <c r="D104" s="659">
        <v>1443</v>
      </c>
      <c r="E104" s="635"/>
      <c r="F104" s="659">
        <v>4550.6000000000004</v>
      </c>
      <c r="G104" s="635"/>
      <c r="H104" s="659">
        <v>2784.2999999999993</v>
      </c>
      <c r="I104" s="325"/>
      <c r="J104" s="659">
        <v>674.5</v>
      </c>
      <c r="K104" s="690"/>
      <c r="L104" s="659">
        <v>1652.3999999999996</v>
      </c>
      <c r="M104" s="690"/>
      <c r="N104" s="659">
        <v>1966.5</v>
      </c>
      <c r="O104" s="690"/>
      <c r="P104" s="659">
        <v>1415.2000000000007</v>
      </c>
      <c r="Q104" s="690"/>
      <c r="R104" s="659">
        <f t="shared" ref="R104:R113" si="24">$AC104-$D104-$F104-$H104-$J104-$L104-$N104-$P104</f>
        <v>2231.7000000000007</v>
      </c>
      <c r="S104" s="690"/>
      <c r="T104" s="635"/>
      <c r="U104" s="690"/>
      <c r="V104" s="635"/>
      <c r="W104" s="690"/>
      <c r="X104" s="635"/>
      <c r="Y104" s="690"/>
      <c r="Z104" s="635"/>
      <c r="AA104" s="351"/>
      <c r="AB104" s="648"/>
      <c r="AC104" s="659">
        <v>16718.2</v>
      </c>
      <c r="AD104" s="325"/>
      <c r="AE104" s="648" t="s">
        <v>104</v>
      </c>
      <c r="AF104" s="659">
        <v>15099.1</v>
      </c>
      <c r="AG104" s="955"/>
      <c r="AH104" s="951"/>
      <c r="AI104" s="325">
        <f>ROUND(SUM(+AC104-AF104),1)</f>
        <v>1619.1</v>
      </c>
      <c r="AJ104" s="325"/>
      <c r="AK104" s="327">
        <f>ROUND(IF(AF104=0,0,AI104/ABS(AF104)),3)</f>
        <v>0.107</v>
      </c>
    </row>
    <row r="105" spans="1:41" ht="15" customHeight="1">
      <c r="A105" s="46"/>
      <c r="B105" s="488" t="s">
        <v>126</v>
      </c>
      <c r="C105" s="466"/>
      <c r="D105" s="659">
        <v>0.1</v>
      </c>
      <c r="E105" s="635"/>
      <c r="F105" s="659">
        <v>0.1</v>
      </c>
      <c r="G105" s="635"/>
      <c r="H105" s="659">
        <v>9.9999999999999978E-2</v>
      </c>
      <c r="I105" s="325"/>
      <c r="J105" s="659">
        <v>0.30000000000000004</v>
      </c>
      <c r="K105" s="690"/>
      <c r="L105" s="659">
        <v>0.20000000000000007</v>
      </c>
      <c r="M105" s="690"/>
      <c r="N105" s="659">
        <v>0.8999999999999998</v>
      </c>
      <c r="O105" s="690"/>
      <c r="P105" s="659">
        <v>0.10000000000000009</v>
      </c>
      <c r="Q105" s="690"/>
      <c r="R105" s="659">
        <f t="shared" si="24"/>
        <v>0.19999999999999984</v>
      </c>
      <c r="S105" s="690"/>
      <c r="T105" s="635"/>
      <c r="U105" s="690"/>
      <c r="V105" s="635"/>
      <c r="W105" s="690"/>
      <c r="X105" s="635"/>
      <c r="Y105" s="690"/>
      <c r="Z105" s="635"/>
      <c r="AA105" s="351"/>
      <c r="AB105" s="648"/>
      <c r="AC105" s="659">
        <v>2</v>
      </c>
      <c r="AD105" s="325"/>
      <c r="AE105" s="648" t="s">
        <v>104</v>
      </c>
      <c r="AF105" s="659">
        <v>1.3</v>
      </c>
      <c r="AG105" s="325"/>
      <c r="AH105" s="951"/>
      <c r="AI105" s="325">
        <f t="shared" ref="AI105:AI113" si="25">ROUND(SUM(+AC105-AF105),1)</f>
        <v>0.7</v>
      </c>
      <c r="AJ105" s="325"/>
      <c r="AK105" s="670">
        <f>ROUND(IF(AF105=0,1,AI105/ABS(AF105)),3)</f>
        <v>0.53800000000000003</v>
      </c>
    </row>
    <row r="106" spans="1:41" ht="15" customHeight="1">
      <c r="A106" s="46"/>
      <c r="B106" s="488" t="s">
        <v>127</v>
      </c>
      <c r="C106" s="466"/>
      <c r="D106" s="659">
        <v>29.8</v>
      </c>
      <c r="E106" s="635"/>
      <c r="F106" s="659">
        <v>49.600000000000009</v>
      </c>
      <c r="G106" s="635"/>
      <c r="H106" s="659">
        <v>454.8</v>
      </c>
      <c r="I106" s="325"/>
      <c r="J106" s="659">
        <v>21.000000000000057</v>
      </c>
      <c r="K106" s="690"/>
      <c r="L106" s="659">
        <v>28.199999999999932</v>
      </c>
      <c r="M106" s="690"/>
      <c r="N106" s="659">
        <v>127.60000000000002</v>
      </c>
      <c r="O106" s="690"/>
      <c r="P106" s="659">
        <v>27.799999999999955</v>
      </c>
      <c r="Q106" s="690"/>
      <c r="R106" s="659">
        <f t="shared" si="24"/>
        <v>45.200000000000045</v>
      </c>
      <c r="S106" s="690"/>
      <c r="T106" s="635"/>
      <c r="U106" s="690"/>
      <c r="V106" s="635"/>
      <c r="W106" s="690"/>
      <c r="X106" s="635"/>
      <c r="Y106" s="690"/>
      <c r="Z106" s="635"/>
      <c r="AA106" s="351"/>
      <c r="AB106" s="648"/>
      <c r="AC106" s="659">
        <v>784</v>
      </c>
      <c r="AD106" s="325"/>
      <c r="AE106" s="648" t="s">
        <v>104</v>
      </c>
      <c r="AF106" s="659">
        <v>730.4</v>
      </c>
      <c r="AG106" s="325"/>
      <c r="AH106" s="951"/>
      <c r="AI106" s="325">
        <f t="shared" si="25"/>
        <v>53.6</v>
      </c>
      <c r="AJ106" s="325"/>
      <c r="AK106" s="327">
        <f>ROUND(IF(AF106=0,0,AI106/ABS(AF106)),3)</f>
        <v>7.2999999999999995E-2</v>
      </c>
    </row>
    <row r="107" spans="1:41" ht="15" customHeight="1">
      <c r="A107" s="46"/>
      <c r="B107" s="488" t="s">
        <v>128</v>
      </c>
      <c r="C107" s="466"/>
      <c r="D107" s="635" t="s">
        <v>104</v>
      </c>
      <c r="E107" s="635"/>
      <c r="F107" s="635"/>
      <c r="G107" s="635"/>
      <c r="H107" s="635"/>
      <c r="I107" s="325"/>
      <c r="J107" s="659"/>
      <c r="K107" s="690"/>
      <c r="L107" s="659"/>
      <c r="M107" s="690"/>
      <c r="N107" s="659"/>
      <c r="O107" s="690"/>
      <c r="P107" s="659"/>
      <c r="Q107" s="690"/>
      <c r="R107" s="659"/>
      <c r="S107" s="690"/>
      <c r="T107" s="635"/>
      <c r="U107" s="690"/>
      <c r="V107" s="635"/>
      <c r="W107" s="690"/>
      <c r="X107" s="635"/>
      <c r="Y107" s="690"/>
      <c r="Z107" s="635"/>
      <c r="AA107" s="351"/>
      <c r="AB107" s="648"/>
      <c r="AC107" s="635" t="s">
        <v>104</v>
      </c>
      <c r="AD107" s="325"/>
      <c r="AE107" s="648" t="s">
        <v>104</v>
      </c>
      <c r="AF107" s="635" t="s">
        <v>104</v>
      </c>
      <c r="AG107" s="325"/>
      <c r="AH107" s="951"/>
      <c r="AI107" s="325" t="s">
        <v>104</v>
      </c>
      <c r="AJ107" s="325"/>
      <c r="AK107" s="344" t="s">
        <v>104</v>
      </c>
    </row>
    <row r="108" spans="1:41" ht="15" customHeight="1">
      <c r="A108" s="46"/>
      <c r="B108" s="1523" t="s">
        <v>129</v>
      </c>
      <c r="C108" s="466"/>
      <c r="D108" s="659">
        <v>3474.6</v>
      </c>
      <c r="E108" s="635"/>
      <c r="F108" s="659">
        <v>2826.7999999999997</v>
      </c>
      <c r="G108" s="635"/>
      <c r="H108" s="659">
        <v>2420.3999999999992</v>
      </c>
      <c r="I108" s="325"/>
      <c r="J108" s="659">
        <v>2498.1000000000008</v>
      </c>
      <c r="K108" s="690"/>
      <c r="L108" s="659">
        <v>2961.8999999999992</v>
      </c>
      <c r="M108" s="690"/>
      <c r="N108" s="659">
        <v>2469.2999999999997</v>
      </c>
      <c r="O108" s="690"/>
      <c r="P108" s="659">
        <v>-4.6999999999970896</v>
      </c>
      <c r="Q108" s="690"/>
      <c r="R108" s="659">
        <f t="shared" si="24"/>
        <v>1583.1999999999971</v>
      </c>
      <c r="S108" s="690"/>
      <c r="T108" s="635"/>
      <c r="U108" s="690"/>
      <c r="V108" s="635"/>
      <c r="W108" s="690"/>
      <c r="X108" s="635"/>
      <c r="Y108" s="690"/>
      <c r="Z108" s="635"/>
      <c r="AA108" s="351"/>
      <c r="AB108" s="648"/>
      <c r="AC108" s="659">
        <v>18229.599999999999</v>
      </c>
      <c r="AD108" s="325"/>
      <c r="AE108" s="648" t="s">
        <v>104</v>
      </c>
      <c r="AF108" s="659">
        <v>15146.8</v>
      </c>
      <c r="AG108" s="325"/>
      <c r="AH108" s="951"/>
      <c r="AI108" s="325">
        <f t="shared" si="25"/>
        <v>3082.8</v>
      </c>
      <c r="AJ108" s="325"/>
      <c r="AK108" s="670">
        <f t="shared" ref="AK108:AK111" si="26">ROUND(IF(AF108=0,0,AI108/ABS(AF108)),3)</f>
        <v>0.20399999999999999</v>
      </c>
    </row>
    <row r="109" spans="1:41" ht="15" customHeight="1">
      <c r="A109" s="46"/>
      <c r="B109" s="488" t="s">
        <v>130</v>
      </c>
      <c r="C109" s="466"/>
      <c r="D109" s="659">
        <v>71.3</v>
      </c>
      <c r="E109" s="635"/>
      <c r="F109" s="659">
        <v>160.5</v>
      </c>
      <c r="G109" s="635"/>
      <c r="H109" s="659">
        <v>352.90000000000009</v>
      </c>
      <c r="I109" s="325"/>
      <c r="J109" s="659">
        <v>251.10000000000002</v>
      </c>
      <c r="K109" s="690"/>
      <c r="L109" s="659">
        <v>150.39999999999998</v>
      </c>
      <c r="M109" s="690"/>
      <c r="N109" s="659">
        <v>332.79999999999995</v>
      </c>
      <c r="O109" s="690"/>
      <c r="P109" s="659">
        <v>135.20000000000005</v>
      </c>
      <c r="Q109" s="690"/>
      <c r="R109" s="659">
        <f t="shared" si="24"/>
        <v>41.599999999999909</v>
      </c>
      <c r="S109" s="690"/>
      <c r="T109" s="635"/>
      <c r="U109" s="690"/>
      <c r="V109" s="635"/>
      <c r="W109" s="690"/>
      <c r="X109" s="635"/>
      <c r="Y109" s="690"/>
      <c r="Z109" s="635"/>
      <c r="AA109" s="351"/>
      <c r="AB109" s="648"/>
      <c r="AC109" s="659">
        <v>1495.8</v>
      </c>
      <c r="AD109" s="325"/>
      <c r="AE109" s="648" t="s">
        <v>104</v>
      </c>
      <c r="AF109" s="659">
        <v>1506.3</v>
      </c>
      <c r="AG109" s="325"/>
      <c r="AH109" s="951"/>
      <c r="AI109" s="325">
        <f t="shared" si="25"/>
        <v>-10.5</v>
      </c>
      <c r="AJ109" s="325"/>
      <c r="AK109" s="327">
        <f t="shared" si="26"/>
        <v>-7.0000000000000001E-3</v>
      </c>
    </row>
    <row r="110" spans="1:41" ht="15" customHeight="1">
      <c r="A110" s="46"/>
      <c r="B110" s="488" t="s">
        <v>131</v>
      </c>
      <c r="C110" s="466"/>
      <c r="D110" s="659">
        <v>4.3000000000000007</v>
      </c>
      <c r="E110" s="635"/>
      <c r="F110" s="659">
        <v>9.8999999999999986</v>
      </c>
      <c r="G110" s="635"/>
      <c r="H110" s="659">
        <v>7.9000000000000021</v>
      </c>
      <c r="I110" s="325"/>
      <c r="J110" s="659">
        <v>11.399999999999999</v>
      </c>
      <c r="K110" s="690"/>
      <c r="L110" s="659">
        <v>17.599999999999998</v>
      </c>
      <c r="M110" s="690"/>
      <c r="N110" s="659">
        <v>70.900000000000006</v>
      </c>
      <c r="O110" s="690"/>
      <c r="P110" s="659">
        <v>52.399999999999977</v>
      </c>
      <c r="Q110" s="690"/>
      <c r="R110" s="659">
        <f t="shared" si="24"/>
        <v>31</v>
      </c>
      <c r="S110" s="690"/>
      <c r="T110" s="635"/>
      <c r="U110" s="690"/>
      <c r="V110" s="635"/>
      <c r="W110" s="690"/>
      <c r="X110" s="635"/>
      <c r="Y110" s="690"/>
      <c r="Z110" s="635"/>
      <c r="AA110" s="351"/>
      <c r="AB110" s="648"/>
      <c r="AC110" s="659">
        <v>205.4</v>
      </c>
      <c r="AD110" s="325"/>
      <c r="AE110" s="648" t="s">
        <v>104</v>
      </c>
      <c r="AF110" s="659">
        <v>133.9</v>
      </c>
      <c r="AG110" s="325"/>
      <c r="AH110" s="951" t="s">
        <v>104</v>
      </c>
      <c r="AI110" s="325">
        <f t="shared" si="25"/>
        <v>71.5</v>
      </c>
      <c r="AJ110" s="325"/>
      <c r="AK110" s="327">
        <f t="shared" si="26"/>
        <v>0.53400000000000003</v>
      </c>
    </row>
    <row r="111" spans="1:41" ht="15" customHeight="1">
      <c r="A111" s="46"/>
      <c r="B111" s="488" t="s">
        <v>132</v>
      </c>
      <c r="C111" s="466"/>
      <c r="D111" s="659">
        <v>189.2</v>
      </c>
      <c r="E111" s="635"/>
      <c r="F111" s="659">
        <v>201.2</v>
      </c>
      <c r="G111" s="635"/>
      <c r="H111" s="659">
        <v>343.8</v>
      </c>
      <c r="I111" s="325"/>
      <c r="J111" s="659">
        <v>510.7</v>
      </c>
      <c r="K111" s="690"/>
      <c r="L111" s="659">
        <v>211.39999999999992</v>
      </c>
      <c r="M111" s="690"/>
      <c r="N111" s="659">
        <v>382.49999999999994</v>
      </c>
      <c r="O111" s="690"/>
      <c r="P111" s="659">
        <v>201.10000000000019</v>
      </c>
      <c r="Q111" s="690"/>
      <c r="R111" s="659">
        <f t="shared" si="24"/>
        <v>506.90000000000049</v>
      </c>
      <c r="S111" s="690"/>
      <c r="T111" s="635"/>
      <c r="U111" s="690"/>
      <c r="V111" s="635"/>
      <c r="W111" s="690"/>
      <c r="X111" s="635"/>
      <c r="Y111" s="690"/>
      <c r="Z111" s="635"/>
      <c r="AA111" s="351"/>
      <c r="AB111" s="648"/>
      <c r="AC111" s="659">
        <v>2546.8000000000002</v>
      </c>
      <c r="AD111" s="325"/>
      <c r="AE111" s="648" t="s">
        <v>104</v>
      </c>
      <c r="AF111" s="659">
        <v>2197.1999999999998</v>
      </c>
      <c r="AG111" s="325"/>
      <c r="AH111" s="951"/>
      <c r="AI111" s="325">
        <f t="shared" si="25"/>
        <v>349.6</v>
      </c>
      <c r="AJ111" s="325"/>
      <c r="AK111" s="327">
        <f t="shared" si="26"/>
        <v>0.159</v>
      </c>
    </row>
    <row r="112" spans="1:41" ht="15" customHeight="1">
      <c r="A112" s="46"/>
      <c r="B112" s="488" t="s">
        <v>133</v>
      </c>
      <c r="C112" s="466"/>
      <c r="D112" s="659">
        <v>12.9</v>
      </c>
      <c r="E112" s="635"/>
      <c r="F112" s="659">
        <v>12.1</v>
      </c>
      <c r="G112" s="635"/>
      <c r="H112" s="659">
        <v>8.5000000000000018</v>
      </c>
      <c r="I112" s="325"/>
      <c r="J112" s="659">
        <v>28</v>
      </c>
      <c r="K112" s="690"/>
      <c r="L112" s="659">
        <v>14.299999999999997</v>
      </c>
      <c r="M112" s="690"/>
      <c r="N112" s="659">
        <v>12.600000000000001</v>
      </c>
      <c r="O112" s="690"/>
      <c r="P112" s="659">
        <v>15.199999999999996</v>
      </c>
      <c r="Q112" s="690"/>
      <c r="R112" s="659">
        <f t="shared" si="24"/>
        <v>8.8000000000000114</v>
      </c>
      <c r="S112" s="690"/>
      <c r="T112" s="635"/>
      <c r="U112" s="690"/>
      <c r="V112" s="635"/>
      <c r="W112" s="690"/>
      <c r="X112" s="635"/>
      <c r="Y112" s="690"/>
      <c r="Z112" s="635"/>
      <c r="AA112" s="351"/>
      <c r="AB112" s="648"/>
      <c r="AC112" s="659">
        <v>112.4</v>
      </c>
      <c r="AD112" s="325"/>
      <c r="AE112" s="648" t="s">
        <v>104</v>
      </c>
      <c r="AF112" s="659">
        <v>629.4</v>
      </c>
      <c r="AG112" s="325"/>
      <c r="AH112" s="951"/>
      <c r="AI112" s="325">
        <f t="shared" si="25"/>
        <v>-517</v>
      </c>
      <c r="AJ112" s="325"/>
      <c r="AK112" s="670">
        <f>ROUND(IF(AF112=0,0,AI112/ABS(AF112)),3)</f>
        <v>-0.82099999999999995</v>
      </c>
    </row>
    <row r="113" spans="1:37" ht="15" customHeight="1">
      <c r="A113" s="46"/>
      <c r="B113" s="488" t="s">
        <v>134</v>
      </c>
      <c r="C113" s="466"/>
      <c r="D113" s="659">
        <v>0</v>
      </c>
      <c r="E113" s="635"/>
      <c r="F113" s="659">
        <v>39.6</v>
      </c>
      <c r="G113" s="635"/>
      <c r="H113" s="659">
        <v>19.199999999999996</v>
      </c>
      <c r="I113" s="325"/>
      <c r="J113" s="659">
        <v>1.3000000000000043</v>
      </c>
      <c r="K113" s="690"/>
      <c r="L113" s="659">
        <v>52.099999999999994</v>
      </c>
      <c r="M113" s="690"/>
      <c r="N113" s="659">
        <v>0.30000000000001137</v>
      </c>
      <c r="O113" s="690"/>
      <c r="P113" s="659">
        <v>19.300000000000011</v>
      </c>
      <c r="Q113" s="690"/>
      <c r="R113" s="659">
        <f t="shared" si="24"/>
        <v>44.400000000000006</v>
      </c>
      <c r="S113" s="690"/>
      <c r="T113" s="635"/>
      <c r="U113" s="690"/>
      <c r="V113" s="635"/>
      <c r="W113" s="690"/>
      <c r="X113" s="635"/>
      <c r="Y113" s="690"/>
      <c r="Z113" s="635"/>
      <c r="AA113" s="351"/>
      <c r="AB113" s="648"/>
      <c r="AC113" s="659">
        <v>176.20000000000002</v>
      </c>
      <c r="AD113" s="325"/>
      <c r="AE113" s="648" t="s">
        <v>104</v>
      </c>
      <c r="AF113" s="659">
        <v>117.2</v>
      </c>
      <c r="AG113" s="469"/>
      <c r="AH113" s="956"/>
      <c r="AI113" s="325">
        <f t="shared" si="25"/>
        <v>59</v>
      </c>
      <c r="AJ113" s="469"/>
      <c r="AK113" s="670">
        <f>ROUND(IF(AF113=0,0,AI113/ABS(AF113)),3)</f>
        <v>0.503</v>
      </c>
    </row>
    <row r="114" spans="1:37" ht="15" customHeight="1">
      <c r="A114" s="46"/>
      <c r="B114" s="353" t="s">
        <v>482</v>
      </c>
      <c r="C114" s="466"/>
      <c r="D114" s="842">
        <f>ROUND(SUM(D104:D113),1)</f>
        <v>5225.2</v>
      </c>
      <c r="E114" s="16"/>
      <c r="F114" s="842">
        <f>ROUND(SUM(F104:F113),1)</f>
        <v>7850.4</v>
      </c>
      <c r="G114" s="16"/>
      <c r="H114" s="842">
        <f>ROUND(SUM(H104:H113),1)</f>
        <v>6391.9</v>
      </c>
      <c r="I114" s="16"/>
      <c r="J114" s="842">
        <f>ROUND(SUM(J104:J113),1)</f>
        <v>3996.4</v>
      </c>
      <c r="K114" s="16"/>
      <c r="L114" s="842">
        <f>ROUND(SUM(L104:L113),1)</f>
        <v>5088.5</v>
      </c>
      <c r="M114" s="16"/>
      <c r="N114" s="842">
        <f>ROUND(SUM(N104:N113),1)</f>
        <v>5363.4</v>
      </c>
      <c r="O114" s="16"/>
      <c r="P114" s="842">
        <f>ROUND(SUM(P104:P113),1)</f>
        <v>1861.6</v>
      </c>
      <c r="Q114" s="16"/>
      <c r="R114" s="842">
        <f>ROUND(SUM(R104:R113),1)</f>
        <v>4493</v>
      </c>
      <c r="S114" s="16"/>
      <c r="T114" s="842">
        <f>ROUND(SUM(T104:T113),1)</f>
        <v>0</v>
      </c>
      <c r="U114" s="16"/>
      <c r="V114" s="842">
        <f>ROUND(SUM(V104:V113),1)</f>
        <v>0</v>
      </c>
      <c r="W114" s="16"/>
      <c r="X114" s="842">
        <f>ROUND(SUM(X104:X113),1)</f>
        <v>0</v>
      </c>
      <c r="Y114" s="16"/>
      <c r="Z114" s="842">
        <f>ROUND(SUM(Z104:Z113),1)</f>
        <v>0</v>
      </c>
      <c r="AA114" s="51"/>
      <c r="AB114" s="840"/>
      <c r="AC114" s="842">
        <f>ROUND(SUM(AC104:AC113),1)</f>
        <v>40270.400000000001</v>
      </c>
      <c r="AD114" s="16"/>
      <c r="AE114" s="838" t="s">
        <v>104</v>
      </c>
      <c r="AF114" s="842">
        <f>ROUND(SUM(AF104:AF113),1)</f>
        <v>35561.599999999999</v>
      </c>
      <c r="AG114" s="16"/>
      <c r="AH114" s="952"/>
      <c r="AI114" s="842">
        <f>ROUND(SUM(+AC114-AF114),1)</f>
        <v>4708.8</v>
      </c>
      <c r="AJ114" s="16"/>
      <c r="AK114" s="1971">
        <f>ROUND(SUM(AI114/AF114),3)</f>
        <v>0.13200000000000001</v>
      </c>
    </row>
    <row r="115" spans="1:37" ht="15" customHeight="1">
      <c r="A115" s="46"/>
      <c r="B115" s="353" t="s">
        <v>483</v>
      </c>
      <c r="C115" s="466"/>
      <c r="D115" s="325"/>
      <c r="E115" s="325"/>
      <c r="F115" s="325"/>
      <c r="G115" s="325"/>
      <c r="H115" s="325"/>
      <c r="I115" s="325"/>
      <c r="J115" s="325"/>
      <c r="K115" s="325"/>
      <c r="L115" s="325"/>
      <c r="M115" s="325"/>
      <c r="N115" s="325"/>
      <c r="O115" s="325"/>
      <c r="P115" s="325"/>
      <c r="Q115" s="325"/>
      <c r="R115" s="325"/>
      <c r="S115" s="325"/>
      <c r="T115" s="325"/>
      <c r="U115" s="325"/>
      <c r="V115" s="325"/>
      <c r="W115" s="325"/>
      <c r="X115" s="325"/>
      <c r="Y115" s="325"/>
      <c r="Z115" s="325"/>
      <c r="AA115" s="329"/>
      <c r="AB115" s="1519"/>
      <c r="AC115" s="325"/>
      <c r="AD115" s="325"/>
      <c r="AE115" s="648"/>
      <c r="AF115" s="325"/>
      <c r="AG115" s="325"/>
      <c r="AH115" s="951"/>
      <c r="AI115" s="325"/>
      <c r="AJ115" s="325"/>
      <c r="AK115" s="344"/>
    </row>
    <row r="116" spans="1:37" ht="15" customHeight="1">
      <c r="A116" s="46"/>
      <c r="B116" s="353" t="s">
        <v>484</v>
      </c>
      <c r="C116" s="466"/>
      <c r="D116" s="659">
        <v>785.1</v>
      </c>
      <c r="E116" s="635"/>
      <c r="F116" s="659">
        <v>791.69999999999993</v>
      </c>
      <c r="G116" s="635"/>
      <c r="H116" s="659">
        <v>915.9</v>
      </c>
      <c r="I116" s="325"/>
      <c r="J116" s="659">
        <v>745.70000000000039</v>
      </c>
      <c r="K116" s="690"/>
      <c r="L116" s="659">
        <v>984.4</v>
      </c>
      <c r="M116" s="690"/>
      <c r="N116" s="659">
        <v>769.59999999999911</v>
      </c>
      <c r="O116" s="690"/>
      <c r="P116" s="659">
        <v>761.30000000000007</v>
      </c>
      <c r="Q116" s="690"/>
      <c r="R116" s="659">
        <f t="shared" ref="R116:R118" si="27">$AC116-$D116-$F116-$H116-$J116-$L116-$N116-$P116</f>
        <v>1018.3000000000008</v>
      </c>
      <c r="S116" s="690"/>
      <c r="T116" s="635"/>
      <c r="U116" s="690"/>
      <c r="V116" s="635"/>
      <c r="W116" s="690"/>
      <c r="X116" s="635"/>
      <c r="Y116" s="690"/>
      <c r="Z116" s="635"/>
      <c r="AA116" s="351"/>
      <c r="AB116" s="648"/>
      <c r="AC116" s="659">
        <v>6772</v>
      </c>
      <c r="AD116" s="325"/>
      <c r="AE116" s="648" t="s">
        <v>104</v>
      </c>
      <c r="AF116" s="659">
        <v>6186.6</v>
      </c>
      <c r="AG116" s="325"/>
      <c r="AH116" s="951"/>
      <c r="AI116" s="325">
        <f>ROUND(SUM(+AC116-AF116),1)</f>
        <v>585.4</v>
      </c>
      <c r="AJ116" s="325"/>
      <c r="AK116" s="327">
        <f>ROUND(IF(AF116=0,0,AI116/ABS(AF116)),3)</f>
        <v>9.5000000000000001E-2</v>
      </c>
    </row>
    <row r="117" spans="1:37" ht="15" customHeight="1">
      <c r="A117" s="46"/>
      <c r="B117" s="525" t="s">
        <v>485</v>
      </c>
      <c r="C117" s="466"/>
      <c r="D117" s="659">
        <v>120.7</v>
      </c>
      <c r="E117" s="635"/>
      <c r="F117" s="659">
        <v>226.10000000000002</v>
      </c>
      <c r="G117" s="635"/>
      <c r="H117" s="659">
        <v>-412.8</v>
      </c>
      <c r="I117" s="325"/>
      <c r="J117" s="659">
        <v>173.2</v>
      </c>
      <c r="K117" s="690"/>
      <c r="L117" s="659">
        <v>282.7</v>
      </c>
      <c r="M117" s="690"/>
      <c r="N117" s="659">
        <v>182.60000000000002</v>
      </c>
      <c r="O117" s="690"/>
      <c r="P117" s="659">
        <v>233.7</v>
      </c>
      <c r="Q117" s="690"/>
      <c r="R117" s="659">
        <f t="shared" si="27"/>
        <v>260.7999999999999</v>
      </c>
      <c r="S117" s="690"/>
      <c r="T117" s="635"/>
      <c r="U117" s="690"/>
      <c r="V117" s="635"/>
      <c r="W117" s="690"/>
      <c r="X117" s="635"/>
      <c r="Y117" s="690"/>
      <c r="Z117" s="635"/>
      <c r="AA117" s="351"/>
      <c r="AB117" s="648"/>
      <c r="AC117" s="659">
        <v>1067</v>
      </c>
      <c r="AD117" s="325"/>
      <c r="AE117" s="648" t="s">
        <v>104</v>
      </c>
      <c r="AF117" s="659">
        <v>1727.1</v>
      </c>
      <c r="AG117" s="325"/>
      <c r="AH117" s="951"/>
      <c r="AI117" s="325">
        <f>ROUND(SUM(+AC117-AF117),1)</f>
        <v>-660.1</v>
      </c>
      <c r="AJ117" s="325"/>
      <c r="AK117" s="327">
        <f>ROUND(IF(AF117=0,0,AI117/ABS(AF117)),3)</f>
        <v>-0.38200000000000001</v>
      </c>
    </row>
    <row r="118" spans="1:37" ht="15" customHeight="1">
      <c r="A118" s="46"/>
      <c r="B118" s="525" t="s">
        <v>486</v>
      </c>
      <c r="C118" s="466"/>
      <c r="D118" s="659">
        <v>657.1</v>
      </c>
      <c r="E118" s="635"/>
      <c r="F118" s="659">
        <v>1832.2000000000003</v>
      </c>
      <c r="G118" s="635"/>
      <c r="H118" s="659">
        <v>480.39999999999964</v>
      </c>
      <c r="I118" s="325"/>
      <c r="J118" s="659">
        <v>444.80000000000018</v>
      </c>
      <c r="K118" s="690"/>
      <c r="L118" s="659">
        <v>483.19999999999982</v>
      </c>
      <c r="M118" s="690"/>
      <c r="N118" s="659">
        <v>489.09999999999945</v>
      </c>
      <c r="O118" s="690"/>
      <c r="P118" s="659">
        <v>479.40000000000009</v>
      </c>
      <c r="Q118" s="690"/>
      <c r="R118" s="659">
        <f t="shared" si="27"/>
        <v>426.80000000000018</v>
      </c>
      <c r="S118" s="690"/>
      <c r="T118" s="635"/>
      <c r="U118" s="690"/>
      <c r="V118" s="635"/>
      <c r="W118" s="690"/>
      <c r="X118" s="635"/>
      <c r="Y118" s="690"/>
      <c r="Z118" s="635"/>
      <c r="AA118" s="351"/>
      <c r="AB118" s="648"/>
      <c r="AC118" s="659">
        <v>5293</v>
      </c>
      <c r="AD118" s="325"/>
      <c r="AE118" s="648" t="s">
        <v>104</v>
      </c>
      <c r="AF118" s="659">
        <v>5548.7</v>
      </c>
      <c r="AG118" s="325"/>
      <c r="AH118" s="951"/>
      <c r="AI118" s="486">
        <f>ROUND(SUM(+AC118-AF118),1)</f>
        <v>-255.7</v>
      </c>
      <c r="AJ118" s="325"/>
      <c r="AK118" s="661">
        <f>ROUND(IF(AF118=0,0,AI118/ABS(AF118)),3)</f>
        <v>-4.5999999999999999E-2</v>
      </c>
    </row>
    <row r="119" spans="1:37" ht="7.5" customHeight="1">
      <c r="A119" s="46"/>
      <c r="B119" s="353"/>
      <c r="C119" s="466"/>
      <c r="D119" s="783"/>
      <c r="E119" s="325"/>
      <c r="F119" s="783"/>
      <c r="G119" s="325"/>
      <c r="H119" s="783"/>
      <c r="I119" s="325"/>
      <c r="J119" s="783"/>
      <c r="K119" s="325"/>
      <c r="L119" s="783"/>
      <c r="M119" s="325"/>
      <c r="N119" s="783"/>
      <c r="O119" s="325"/>
      <c r="P119" s="783"/>
      <c r="Q119" s="325"/>
      <c r="R119" s="1522"/>
      <c r="S119" s="325"/>
      <c r="T119" s="783"/>
      <c r="U119" s="325"/>
      <c r="V119" s="783"/>
      <c r="W119" s="325"/>
      <c r="X119" s="783"/>
      <c r="Y119" s="325"/>
      <c r="Z119" s="783"/>
      <c r="AA119" s="329"/>
      <c r="AB119" s="1519"/>
      <c r="AC119" s="783"/>
      <c r="AD119" s="325"/>
      <c r="AE119" s="648"/>
      <c r="AF119" s="783"/>
      <c r="AG119" s="325"/>
      <c r="AH119" s="951"/>
      <c r="AI119" s="325"/>
      <c r="AJ119" s="325"/>
      <c r="AK119" s="344"/>
    </row>
    <row r="120" spans="1:37" ht="15" customHeight="1">
      <c r="A120" s="46"/>
      <c r="B120" s="6" t="s">
        <v>487</v>
      </c>
      <c r="C120" s="466"/>
      <c r="D120" s="16">
        <f>ROUND(SUM(D116:D118)+D114,1)</f>
        <v>6788.1</v>
      </c>
      <c r="E120" s="16"/>
      <c r="F120" s="16">
        <f>ROUND(SUM(F116:F118)+F114,1)</f>
        <v>10700.4</v>
      </c>
      <c r="G120" s="16"/>
      <c r="H120" s="16">
        <f>ROUND(SUM(H116:H118)+H114,1)</f>
        <v>7375.4</v>
      </c>
      <c r="I120" s="16"/>
      <c r="J120" s="16">
        <f>ROUND(SUM(J116:J118)+J114,1)</f>
        <v>5360.1</v>
      </c>
      <c r="K120" s="16"/>
      <c r="L120" s="16">
        <f>ROUND(SUM(L116:L118)+L114,1)</f>
        <v>6838.8</v>
      </c>
      <c r="M120" s="16"/>
      <c r="N120" s="16">
        <f>ROUND(SUM(N116:N118)+N114,1)</f>
        <v>6804.7</v>
      </c>
      <c r="O120" s="16"/>
      <c r="P120" s="16">
        <f>ROUND(SUM(P116:P118)+P114,1)</f>
        <v>3336</v>
      </c>
      <c r="Q120" s="16"/>
      <c r="R120" s="16">
        <f>ROUND(SUM(R116:R118)+R114,1)</f>
        <v>6198.9</v>
      </c>
      <c r="S120" s="16"/>
      <c r="T120" s="16">
        <f>ROUND(SUM(T116:T118)+T114,1)</f>
        <v>0</v>
      </c>
      <c r="U120" s="16"/>
      <c r="V120" s="16">
        <f>ROUND(SUM(V116:V118)+V114,1)</f>
        <v>0</v>
      </c>
      <c r="W120" s="16"/>
      <c r="X120" s="16">
        <f>ROUND(SUM(X116:X118)+X114,1)</f>
        <v>0</v>
      </c>
      <c r="Y120" s="16"/>
      <c r="Z120" s="16">
        <f>ROUND(SUM(Z116:Z118)+Z114,1)</f>
        <v>0</v>
      </c>
      <c r="AA120" s="51"/>
      <c r="AB120" s="840"/>
      <c r="AC120" s="16">
        <f>ROUND(SUM(AC116:AC118)+AC114,1)</f>
        <v>53402.400000000001</v>
      </c>
      <c r="AD120" s="16"/>
      <c r="AE120" s="838"/>
      <c r="AF120" s="16">
        <f>ROUND(SUM(AF116:AF118)+AF114,1)</f>
        <v>49024</v>
      </c>
      <c r="AG120" s="16"/>
      <c r="AH120" s="952"/>
      <c r="AI120" s="434">
        <f>ROUND(SUM(AI114:AI118),1)</f>
        <v>4378.3999999999996</v>
      </c>
      <c r="AJ120" s="16"/>
      <c r="AK120" s="1524">
        <f>ROUND(SUM(AI120/AF120),3)</f>
        <v>8.8999999999999996E-2</v>
      </c>
    </row>
    <row r="121" spans="1:37" ht="15" customHeight="1">
      <c r="A121" s="46"/>
      <c r="B121" s="353"/>
      <c r="C121" s="466"/>
      <c r="D121" s="783"/>
      <c r="E121" s="325"/>
      <c r="F121" s="783"/>
      <c r="G121" s="325"/>
      <c r="H121" s="783"/>
      <c r="I121" s="325"/>
      <c r="J121" s="783"/>
      <c r="K121" s="325"/>
      <c r="L121" s="783"/>
      <c r="M121" s="325"/>
      <c r="N121" s="783"/>
      <c r="O121" s="325"/>
      <c r="P121" s="783"/>
      <c r="Q121" s="325"/>
      <c r="R121" s="783"/>
      <c r="S121" s="325"/>
      <c r="T121" s="783"/>
      <c r="U121" s="325"/>
      <c r="V121" s="783"/>
      <c r="W121" s="325"/>
      <c r="X121" s="783"/>
      <c r="Y121" s="325"/>
      <c r="Z121" s="783"/>
      <c r="AA121" s="329"/>
      <c r="AB121" s="1519"/>
      <c r="AC121" s="783"/>
      <c r="AD121" s="325"/>
      <c r="AE121" s="648"/>
      <c r="AF121" s="783"/>
      <c r="AG121" s="325"/>
      <c r="AH121" s="951"/>
      <c r="AI121" s="325"/>
      <c r="AJ121" s="325"/>
      <c r="AK121" s="344"/>
    </row>
    <row r="122" spans="1:37" ht="15" customHeight="1">
      <c r="A122" s="46"/>
      <c r="B122" s="6" t="s">
        <v>488</v>
      </c>
      <c r="C122" s="466"/>
      <c r="D122" s="325"/>
      <c r="E122" s="325"/>
      <c r="F122" s="325"/>
      <c r="G122" s="325"/>
      <c r="H122" s="325"/>
      <c r="I122" s="325"/>
      <c r="J122" s="325"/>
      <c r="K122" s="325"/>
      <c r="L122" s="325"/>
      <c r="M122" s="325"/>
      <c r="N122" s="325"/>
      <c r="O122" s="325"/>
      <c r="P122" s="325"/>
      <c r="Q122" s="325"/>
      <c r="R122" s="325"/>
      <c r="S122" s="325"/>
      <c r="T122" s="325"/>
      <c r="U122" s="325"/>
      <c r="V122" s="325"/>
      <c r="W122" s="325"/>
      <c r="X122" s="325"/>
      <c r="Y122" s="325"/>
      <c r="Z122" s="325"/>
      <c r="AA122" s="329"/>
      <c r="AB122" s="1519"/>
      <c r="AC122" s="325"/>
      <c r="AD122" s="325"/>
      <c r="AE122" s="648"/>
      <c r="AF122" s="325"/>
      <c r="AG122" s="325"/>
      <c r="AH122" s="951"/>
      <c r="AI122" s="325"/>
      <c r="AJ122" s="325"/>
      <c r="AK122" s="344"/>
    </row>
    <row r="123" spans="1:37" ht="15" customHeight="1">
      <c r="A123" s="46"/>
      <c r="B123" s="6" t="s">
        <v>146</v>
      </c>
      <c r="C123" s="466"/>
      <c r="D123" s="16">
        <f>ROUND(SUM(D100-D120),1)</f>
        <v>-713</v>
      </c>
      <c r="E123" s="16"/>
      <c r="F123" s="16">
        <f>ROUND(SUM(F100-F120),1)</f>
        <v>-8022.4</v>
      </c>
      <c r="G123" s="16"/>
      <c r="H123" s="16">
        <f>ROUND(SUM(H100-H120),1)</f>
        <v>-409.9</v>
      </c>
      <c r="I123" s="16"/>
      <c r="J123" s="16">
        <f>ROUND(SUM(J100-J120),1)</f>
        <v>-2261</v>
      </c>
      <c r="K123" s="16"/>
      <c r="L123" s="16">
        <f>ROUND(SUM(L100-L120),1)</f>
        <v>-3604</v>
      </c>
      <c r="M123" s="16"/>
      <c r="N123" s="16">
        <f>ROUND(SUM(N100-N120),1)</f>
        <v>344.6</v>
      </c>
      <c r="O123" s="16"/>
      <c r="P123" s="16">
        <f>ROUND(SUM(P100-P120),1)</f>
        <v>-1031.5</v>
      </c>
      <c r="Q123" s="16"/>
      <c r="R123" s="16">
        <f>ROUND(SUM(R100-R120),1)</f>
        <v>-3108.9</v>
      </c>
      <c r="S123" s="16"/>
      <c r="T123" s="16">
        <f>ROUND(SUM(T100-T120),1)</f>
        <v>0</v>
      </c>
      <c r="U123" s="16"/>
      <c r="V123" s="16">
        <f>ROUND(SUM(V100-V120),1)</f>
        <v>0</v>
      </c>
      <c r="W123" s="16"/>
      <c r="X123" s="16">
        <f>ROUND(SUM(X100-X120),1)</f>
        <v>0</v>
      </c>
      <c r="Y123" s="16"/>
      <c r="Z123" s="16">
        <f>ROUND(SUM(Z100-Z120),1)</f>
        <v>0</v>
      </c>
      <c r="AA123" s="51"/>
      <c r="AB123" s="840"/>
      <c r="AC123" s="16">
        <f>ROUND(SUM(AC100-AC120),1)</f>
        <v>-18806.099999999999</v>
      </c>
      <c r="AD123" s="16"/>
      <c r="AE123" s="838"/>
      <c r="AF123" s="16">
        <f>ROUND(SUM(AF100-AF120),1)</f>
        <v>-14538.3</v>
      </c>
      <c r="AG123" s="16"/>
      <c r="AH123" s="952"/>
      <c r="AI123" s="434">
        <f>ROUND(SUM(+AC123-AF123),1)</f>
        <v>-4267.8</v>
      </c>
      <c r="AJ123" s="16"/>
      <c r="AK123" s="779">
        <f>-ROUND(AI123/AF123,3)</f>
        <v>-0.29399999999999998</v>
      </c>
    </row>
    <row r="124" spans="1:37" ht="15" customHeight="1">
      <c r="A124" s="46"/>
      <c r="B124" s="353"/>
      <c r="C124" s="466"/>
      <c r="D124" s="783"/>
      <c r="E124" s="325"/>
      <c r="F124" s="783"/>
      <c r="G124" s="325"/>
      <c r="H124" s="783"/>
      <c r="I124" s="325"/>
      <c r="J124" s="783"/>
      <c r="K124" s="325"/>
      <c r="L124" s="783"/>
      <c r="M124" s="325"/>
      <c r="N124" s="783"/>
      <c r="O124" s="325"/>
      <c r="P124" s="783"/>
      <c r="Q124" s="325"/>
      <c r="R124" s="783"/>
      <c r="S124" s="325"/>
      <c r="T124" s="783"/>
      <c r="U124" s="325"/>
      <c r="V124" s="783"/>
      <c r="W124" s="325"/>
      <c r="X124" s="783"/>
      <c r="Y124" s="325"/>
      <c r="Z124" s="783"/>
      <c r="AA124" s="329"/>
      <c r="AB124" s="1519"/>
      <c r="AC124" s="783"/>
      <c r="AD124" s="325"/>
      <c r="AE124" s="648"/>
      <c r="AF124" s="783"/>
      <c r="AG124" s="783"/>
      <c r="AH124" s="951"/>
      <c r="AI124" s="325"/>
      <c r="AJ124" s="325"/>
      <c r="AK124" s="344"/>
    </row>
    <row r="125" spans="1:37" ht="15" customHeight="1">
      <c r="A125" s="46"/>
      <c r="B125" s="6" t="s">
        <v>147</v>
      </c>
      <c r="C125" s="466"/>
      <c r="D125" s="325"/>
      <c r="E125" s="325"/>
      <c r="F125" s="325"/>
      <c r="G125" s="325"/>
      <c r="H125" s="325"/>
      <c r="I125" s="325"/>
      <c r="J125" s="325"/>
      <c r="K125" s="325"/>
      <c r="L125" s="325"/>
      <c r="M125" s="325"/>
      <c r="N125" s="325"/>
      <c r="O125" s="325"/>
      <c r="P125" s="325"/>
      <c r="Q125" s="325"/>
      <c r="R125" s="325"/>
      <c r="S125" s="325"/>
      <c r="T125" s="325"/>
      <c r="U125" s="325"/>
      <c r="V125" s="325"/>
      <c r="W125" s="325"/>
      <c r="X125" s="325"/>
      <c r="Y125" s="325"/>
      <c r="Z125" s="325"/>
      <c r="AA125" s="329"/>
      <c r="AB125" s="1519"/>
      <c r="AC125" s="325"/>
      <c r="AD125" s="325"/>
      <c r="AE125" s="648"/>
      <c r="AF125" s="325"/>
      <c r="AG125" s="325"/>
      <c r="AH125" s="951"/>
      <c r="AI125" s="325"/>
      <c r="AJ125" s="325"/>
      <c r="AK125" s="344"/>
    </row>
    <row r="126" spans="1:37" ht="15" customHeight="1">
      <c r="A126" s="46"/>
      <c r="B126" s="6"/>
      <c r="C126" s="466"/>
      <c r="D126" s="325"/>
      <c r="E126" s="325"/>
      <c r="F126" s="325"/>
      <c r="G126" s="325"/>
      <c r="H126" s="325"/>
      <c r="I126" s="325"/>
      <c r="J126" s="325"/>
      <c r="K126" s="325"/>
      <c r="L126" s="325"/>
      <c r="M126" s="325"/>
      <c r="N126" s="325"/>
      <c r="O126" s="325"/>
      <c r="P126" s="325"/>
      <c r="Q126" s="325"/>
      <c r="R126" s="325"/>
      <c r="S126" s="325"/>
      <c r="T126" s="325"/>
      <c r="U126" s="325"/>
      <c r="V126" s="325"/>
      <c r="W126" s="325"/>
      <c r="X126" s="325"/>
      <c r="Y126" s="325"/>
      <c r="Z126" s="325"/>
      <c r="AA126" s="329"/>
      <c r="AB126" s="1519"/>
      <c r="AC126" s="325"/>
      <c r="AD126" s="325"/>
      <c r="AE126" s="648"/>
      <c r="AF126" s="325"/>
      <c r="AG126" s="325"/>
      <c r="AH126" s="951"/>
      <c r="AI126" s="325"/>
      <c r="AJ126" s="325"/>
      <c r="AK126" s="344"/>
    </row>
    <row r="127" spans="1:37" ht="15" customHeight="1">
      <c r="A127" s="46"/>
      <c r="B127" s="525" t="s">
        <v>489</v>
      </c>
      <c r="C127" s="466"/>
      <c r="D127" s="659">
        <v>3779.9</v>
      </c>
      <c r="E127" s="635"/>
      <c r="F127" s="659">
        <v>1109.9000000000001</v>
      </c>
      <c r="G127" s="635"/>
      <c r="H127" s="659">
        <v>3766.4999999999995</v>
      </c>
      <c r="I127" s="325"/>
      <c r="J127" s="659">
        <v>1578.6000000000008</v>
      </c>
      <c r="K127" s="690"/>
      <c r="L127" s="659">
        <v>1410.2000000000007</v>
      </c>
      <c r="M127" s="690"/>
      <c r="N127" s="659">
        <v>3998.7999999999993</v>
      </c>
      <c r="O127" s="690"/>
      <c r="P127" s="659">
        <v>592.39999999999964</v>
      </c>
      <c r="Q127" s="690"/>
      <c r="R127" s="659">
        <f t="shared" ref="R127:R134" si="28">$AC127-$D127-$F127-$H127-$J127-$L127-$N127-$P127</f>
        <v>1709.7000000000007</v>
      </c>
      <c r="S127" s="690"/>
      <c r="T127" s="635"/>
      <c r="U127" s="690"/>
      <c r="V127" s="635"/>
      <c r="W127" s="690"/>
      <c r="X127" s="635"/>
      <c r="Y127" s="690"/>
      <c r="Z127" s="635"/>
      <c r="AA127" s="351"/>
      <c r="AB127" s="648"/>
      <c r="AC127" s="659">
        <v>17946</v>
      </c>
      <c r="AD127" s="325"/>
      <c r="AE127" s="648" t="s">
        <v>104</v>
      </c>
      <c r="AF127" s="659">
        <v>20689.900000000001</v>
      </c>
      <c r="AG127" s="325"/>
      <c r="AH127" s="951"/>
      <c r="AI127" s="325">
        <f>ROUND(SUM(+AC127-AF127),1)</f>
        <v>-2743.9</v>
      </c>
      <c r="AJ127" s="325"/>
      <c r="AK127" s="327">
        <f>ROUND(IF(AF127=0,0,AI127/ABS(AF127)),3)</f>
        <v>-0.13300000000000001</v>
      </c>
    </row>
    <row r="128" spans="1:37" ht="15" customHeight="1">
      <c r="A128" s="46"/>
      <c r="B128" s="525" t="s">
        <v>490</v>
      </c>
      <c r="C128" s="466"/>
      <c r="D128" s="659">
        <v>613.5</v>
      </c>
      <c r="E128" s="635"/>
      <c r="F128" s="659">
        <v>622.90000000000009</v>
      </c>
      <c r="G128" s="635"/>
      <c r="H128" s="659">
        <v>886.90000000000009</v>
      </c>
      <c r="I128" s="325"/>
      <c r="J128" s="659">
        <v>685.69999999999982</v>
      </c>
      <c r="K128" s="690"/>
      <c r="L128" s="659">
        <v>665.19999999999982</v>
      </c>
      <c r="M128" s="690"/>
      <c r="N128" s="659">
        <v>1008.6000000000004</v>
      </c>
      <c r="O128" s="690"/>
      <c r="P128" s="659">
        <v>647.69999999999982</v>
      </c>
      <c r="Q128" s="690"/>
      <c r="R128" s="659">
        <f t="shared" si="28"/>
        <v>633.69999999999936</v>
      </c>
      <c r="S128" s="690"/>
      <c r="T128" s="635"/>
      <c r="U128" s="690"/>
      <c r="V128" s="635"/>
      <c r="W128" s="690"/>
      <c r="X128" s="635"/>
      <c r="Y128" s="690"/>
      <c r="Z128" s="635"/>
      <c r="AA128" s="351"/>
      <c r="AB128" s="648"/>
      <c r="AC128" s="659">
        <v>5764.2</v>
      </c>
      <c r="AD128" s="325"/>
      <c r="AE128" s="648" t="s">
        <v>104</v>
      </c>
      <c r="AF128" s="659">
        <v>7108.5</v>
      </c>
      <c r="AG128" s="325"/>
      <c r="AH128" s="951"/>
      <c r="AI128" s="325">
        <f>ROUND(SUM(+AC128-AF128),1)</f>
        <v>-1344.3</v>
      </c>
      <c r="AJ128" s="325"/>
      <c r="AK128" s="327">
        <f>ROUND(IF(AF128=0,0,AI128/ABS(AF128)),3)</f>
        <v>-0.189</v>
      </c>
    </row>
    <row r="129" spans="1:38" ht="15" customHeight="1">
      <c r="A129" s="46"/>
      <c r="B129" s="525" t="s">
        <v>491</v>
      </c>
      <c r="C129" s="466"/>
      <c r="D129" s="659">
        <v>77.400000000000006</v>
      </c>
      <c r="E129" s="635"/>
      <c r="F129" s="659">
        <v>86</v>
      </c>
      <c r="G129" s="635"/>
      <c r="H129" s="659">
        <v>81.699999999999989</v>
      </c>
      <c r="I129" s="325"/>
      <c r="J129" s="659">
        <v>73.700000000000017</v>
      </c>
      <c r="K129" s="690"/>
      <c r="L129" s="659">
        <v>86.399999999999949</v>
      </c>
      <c r="M129" s="690"/>
      <c r="N129" s="659">
        <v>87.600000000000023</v>
      </c>
      <c r="O129" s="690"/>
      <c r="P129" s="659">
        <v>77</v>
      </c>
      <c r="Q129" s="690"/>
      <c r="R129" s="659">
        <f t="shared" si="28"/>
        <v>68.900000000000119</v>
      </c>
      <c r="S129" s="690"/>
      <c r="T129" s="635"/>
      <c r="U129" s="690"/>
      <c r="V129" s="635"/>
      <c r="W129" s="690"/>
      <c r="X129" s="635"/>
      <c r="Y129" s="690"/>
      <c r="Z129" s="635"/>
      <c r="AA129" s="351"/>
      <c r="AB129" s="648"/>
      <c r="AC129" s="659">
        <v>638.70000000000005</v>
      </c>
      <c r="AD129" s="325"/>
      <c r="AE129" s="648" t="s">
        <v>104</v>
      </c>
      <c r="AF129" s="659">
        <v>934.4</v>
      </c>
      <c r="AG129" s="325"/>
      <c r="AH129" s="951"/>
      <c r="AI129" s="325">
        <f>ROUND(SUM(+AC129-AF129),1)</f>
        <v>-295.7</v>
      </c>
      <c r="AJ129" s="325"/>
      <c r="AK129" s="327">
        <f>ROUND(IF(AF129=0,0,AI129/ABS(AF129)),3)</f>
        <v>-0.316</v>
      </c>
    </row>
    <row r="130" spans="1:38" ht="15" customHeight="1">
      <c r="A130" s="46"/>
      <c r="B130" s="525" t="s">
        <v>492</v>
      </c>
      <c r="C130" s="466"/>
      <c r="D130" s="659">
        <v>167.89999999999972</v>
      </c>
      <c r="E130" s="635"/>
      <c r="F130" s="659">
        <v>190.30000000000021</v>
      </c>
      <c r="G130" s="635"/>
      <c r="H130" s="659">
        <v>121.5000000000002</v>
      </c>
      <c r="I130" s="325"/>
      <c r="J130" s="659">
        <v>192.20000000000132</v>
      </c>
      <c r="K130" s="690"/>
      <c r="L130" s="659">
        <v>165.79999999999742</v>
      </c>
      <c r="M130" s="690"/>
      <c r="N130" s="659">
        <v>120.40000000000148</v>
      </c>
      <c r="O130" s="690"/>
      <c r="P130" s="659">
        <v>94.800000000001091</v>
      </c>
      <c r="Q130" s="690"/>
      <c r="R130" s="659">
        <f t="shared" si="28"/>
        <v>176.99999999999648</v>
      </c>
      <c r="S130" s="690"/>
      <c r="T130" s="635"/>
      <c r="U130" s="690"/>
      <c r="V130" s="635"/>
      <c r="W130" s="690"/>
      <c r="X130" s="635"/>
      <c r="Y130" s="690"/>
      <c r="Z130" s="635"/>
      <c r="AA130" s="351"/>
      <c r="AB130" s="648"/>
      <c r="AC130" s="659">
        <v>1229.8999999999978</v>
      </c>
      <c r="AD130" s="325"/>
      <c r="AE130" s="648" t="s">
        <v>104</v>
      </c>
      <c r="AF130" s="659">
        <v>1431.7999999999956</v>
      </c>
      <c r="AG130" s="325"/>
      <c r="AH130" s="951"/>
      <c r="AI130" s="325">
        <f>ROUND(SUM(+AC130-AF130),1)</f>
        <v>-201.9</v>
      </c>
      <c r="AJ130" s="325"/>
      <c r="AK130" s="670">
        <f>ROUND(IF(AF130=0,0,AI130/ABS(AF130)),3)</f>
        <v>-0.14099999999999999</v>
      </c>
    </row>
    <row r="131" spans="1:38" ht="15" customHeight="1">
      <c r="A131" s="46" t="s">
        <v>104</v>
      </c>
      <c r="B131" s="353" t="s">
        <v>493</v>
      </c>
      <c r="C131" s="466"/>
      <c r="D131" s="659">
        <v>-26.5</v>
      </c>
      <c r="E131" s="635"/>
      <c r="F131" s="659">
        <v>122.3</v>
      </c>
      <c r="G131" s="635"/>
      <c r="H131" s="659">
        <v>-275.10000000000002</v>
      </c>
      <c r="I131" s="325"/>
      <c r="J131" s="659">
        <v>237.90000000000003</v>
      </c>
      <c r="K131" s="690"/>
      <c r="L131" s="659">
        <v>-349.20000000000005</v>
      </c>
      <c r="M131" s="690"/>
      <c r="N131" s="659">
        <v>57.900000000000034</v>
      </c>
      <c r="O131" s="690"/>
      <c r="P131" s="659">
        <v>-385.09999999999985</v>
      </c>
      <c r="Q131" s="690"/>
      <c r="R131" s="659">
        <f t="shared" si="28"/>
        <v>-405.40000000000015</v>
      </c>
      <c r="S131" s="690"/>
      <c r="T131" s="635"/>
      <c r="U131" s="690"/>
      <c r="V131" s="635"/>
      <c r="W131" s="690"/>
      <c r="X131" s="635"/>
      <c r="Y131" s="690"/>
      <c r="Z131" s="635"/>
      <c r="AA131" s="351"/>
      <c r="AB131" s="648"/>
      <c r="AC131" s="659">
        <v>-1023.2</v>
      </c>
      <c r="AD131" s="325"/>
      <c r="AE131" s="648" t="s">
        <v>104</v>
      </c>
      <c r="AF131" s="659">
        <v>108.3</v>
      </c>
      <c r="AG131" s="325"/>
      <c r="AH131" s="951"/>
      <c r="AI131" s="325">
        <f>ROUND(SUM(+AC131-AF131)*-1,1)</f>
        <v>1131.5</v>
      </c>
      <c r="AJ131" s="325"/>
      <c r="AK131" s="670">
        <f t="shared" ref="AK131" si="29">ROUND(IF(AF131=0,0,AI131/ABS(AF131)),3)</f>
        <v>10.448</v>
      </c>
    </row>
    <row r="132" spans="1:38" ht="15" customHeight="1">
      <c r="A132" s="46"/>
      <c r="B132" s="353" t="s">
        <v>494</v>
      </c>
      <c r="C132" s="466"/>
      <c r="D132" s="659">
        <v>-80</v>
      </c>
      <c r="E132" s="635"/>
      <c r="F132" s="659">
        <v>-50</v>
      </c>
      <c r="G132" s="635"/>
      <c r="H132" s="659">
        <v>-21.300000000000011</v>
      </c>
      <c r="I132" s="325"/>
      <c r="J132" s="659">
        <v>0</v>
      </c>
      <c r="K132" s="690"/>
      <c r="L132" s="659">
        <v>-50</v>
      </c>
      <c r="M132" s="690"/>
      <c r="N132" s="659">
        <v>-96.5</v>
      </c>
      <c r="O132" s="690"/>
      <c r="P132" s="659">
        <v>-460.70000000000005</v>
      </c>
      <c r="Q132" s="690"/>
      <c r="R132" s="659">
        <f t="shared" si="28"/>
        <v>-70</v>
      </c>
      <c r="S132" s="690"/>
      <c r="T132" s="635"/>
      <c r="U132" s="690"/>
      <c r="V132" s="635"/>
      <c r="W132" s="690"/>
      <c r="X132" s="635"/>
      <c r="Y132" s="690"/>
      <c r="Z132" s="635"/>
      <c r="AA132" s="351"/>
      <c r="AB132" s="648"/>
      <c r="AC132" s="659">
        <v>-828.5</v>
      </c>
      <c r="AD132" s="325"/>
      <c r="AE132" s="648" t="s">
        <v>104</v>
      </c>
      <c r="AF132" s="659">
        <v>-929.3</v>
      </c>
      <c r="AG132" s="325"/>
      <c r="AH132" s="951"/>
      <c r="AI132" s="325">
        <f>ROUND(SUM(+AC132-AF132)*-1,1)</f>
        <v>-100.8</v>
      </c>
      <c r="AJ132" s="325"/>
      <c r="AK132" s="327">
        <f>ROUND(IF(AF132=0,1,AI132/ABS(AF132)),3)</f>
        <v>-0.108</v>
      </c>
    </row>
    <row r="133" spans="1:38" ht="15" customHeight="1">
      <c r="A133" s="46"/>
      <c r="B133" s="353" t="s">
        <v>495</v>
      </c>
      <c r="C133" s="466"/>
      <c r="D133" s="659">
        <v>-37.799999999999997</v>
      </c>
      <c r="E133" s="635"/>
      <c r="F133" s="659">
        <v>9.9999999999994316E-2</v>
      </c>
      <c r="G133" s="635"/>
      <c r="H133" s="659">
        <v>-0.69999999999999574</v>
      </c>
      <c r="I133" s="325"/>
      <c r="J133" s="659">
        <v>-55.699999999999996</v>
      </c>
      <c r="K133" s="690"/>
      <c r="L133" s="659">
        <v>1.5999999999999943</v>
      </c>
      <c r="M133" s="690"/>
      <c r="N133" s="659">
        <v>1.0999999999999943</v>
      </c>
      <c r="O133" s="690"/>
      <c r="P133" s="659">
        <v>-0.19999999999998863</v>
      </c>
      <c r="Q133" s="690"/>
      <c r="R133" s="659">
        <f t="shared" si="28"/>
        <v>-0.5</v>
      </c>
      <c r="S133" s="690"/>
      <c r="T133" s="635"/>
      <c r="U133" s="690"/>
      <c r="V133" s="635"/>
      <c r="W133" s="690"/>
      <c r="X133" s="635"/>
      <c r="Y133" s="690"/>
      <c r="Z133" s="635"/>
      <c r="AA133" s="351"/>
      <c r="AB133" s="648"/>
      <c r="AC133" s="659">
        <v>-92.1</v>
      </c>
      <c r="AD133" s="325"/>
      <c r="AE133" s="648" t="s">
        <v>104</v>
      </c>
      <c r="AF133" s="659">
        <v>-154</v>
      </c>
      <c r="AG133" s="325"/>
      <c r="AH133" s="951"/>
      <c r="AI133" s="325">
        <f>ROUND(SUM(+AC133-AF133)*-1,1)</f>
        <v>-61.9</v>
      </c>
      <c r="AJ133" s="325"/>
      <c r="AK133" s="327">
        <f>ROUND(IF(AF133=0,0,AI133/ABS(AF133)),3)</f>
        <v>-0.40200000000000002</v>
      </c>
    </row>
    <row r="134" spans="1:38" ht="15" customHeight="1">
      <c r="A134" s="46"/>
      <c r="B134" s="353" t="s">
        <v>496</v>
      </c>
      <c r="C134" s="466"/>
      <c r="D134" s="659">
        <v>-292.59999999999997</v>
      </c>
      <c r="E134" s="635"/>
      <c r="F134" s="659">
        <v>-550.90000000000009</v>
      </c>
      <c r="G134" s="635"/>
      <c r="H134" s="659">
        <v>-413.29999999999995</v>
      </c>
      <c r="I134" s="325"/>
      <c r="J134" s="659">
        <v>-316.30000000000018</v>
      </c>
      <c r="K134" s="690"/>
      <c r="L134" s="659">
        <v>-124.69999999999959</v>
      </c>
      <c r="M134" s="690"/>
      <c r="N134" s="659">
        <v>-70.900000000000091</v>
      </c>
      <c r="O134" s="690"/>
      <c r="P134" s="659">
        <v>-81.400000000000318</v>
      </c>
      <c r="Q134" s="690"/>
      <c r="R134" s="659">
        <f t="shared" si="28"/>
        <v>-303.09999999999923</v>
      </c>
      <c r="S134" s="690"/>
      <c r="T134" s="635"/>
      <c r="U134" s="690"/>
      <c r="V134" s="635"/>
      <c r="W134" s="690"/>
      <c r="X134" s="635"/>
      <c r="Y134" s="690"/>
      <c r="Z134" s="635"/>
      <c r="AA134" s="351"/>
      <c r="AB134" s="648"/>
      <c r="AC134" s="659">
        <v>-2153.1999999999994</v>
      </c>
      <c r="AD134" s="325"/>
      <c r="AE134" s="648" t="s">
        <v>104</v>
      </c>
      <c r="AF134" s="659">
        <v>-2483.2000000000003</v>
      </c>
      <c r="AG134" s="325"/>
      <c r="AH134" s="951"/>
      <c r="AI134" s="486">
        <f>ROUND(SUM(+AC134-AF134)*-1,1)</f>
        <v>-330</v>
      </c>
      <c r="AJ134" s="325"/>
      <c r="AK134" s="661">
        <f>ROUND(IF(AF134=0,0,AI134/ABS(AF134)),3)</f>
        <v>-0.13300000000000001</v>
      </c>
    </row>
    <row r="135" spans="1:38" ht="5.15" customHeight="1">
      <c r="A135" s="46"/>
      <c r="B135" s="353"/>
      <c r="C135" s="466"/>
      <c r="D135" s="783"/>
      <c r="E135" s="325"/>
      <c r="F135" s="783"/>
      <c r="G135" s="325"/>
      <c r="H135" s="783"/>
      <c r="I135" s="325"/>
      <c r="J135" s="783"/>
      <c r="K135" s="325"/>
      <c r="L135" s="783"/>
      <c r="M135" s="325"/>
      <c r="N135" s="783"/>
      <c r="O135" s="325"/>
      <c r="P135" s="783"/>
      <c r="Q135" s="325"/>
      <c r="R135" s="783"/>
      <c r="S135" s="325"/>
      <c r="T135" s="783"/>
      <c r="U135" s="325"/>
      <c r="V135" s="783"/>
      <c r="W135" s="325"/>
      <c r="X135" s="783"/>
      <c r="Y135" s="325"/>
      <c r="Z135" s="783"/>
      <c r="AA135" s="329"/>
      <c r="AB135" s="1519"/>
      <c r="AC135" s="783"/>
      <c r="AD135" s="325"/>
      <c r="AE135" s="648"/>
      <c r="AF135" s="783"/>
      <c r="AG135" s="325"/>
      <c r="AH135" s="951"/>
      <c r="AI135" s="325"/>
      <c r="AJ135" s="325"/>
      <c r="AK135" s="344"/>
    </row>
    <row r="136" spans="1:38" ht="15" customHeight="1">
      <c r="A136" s="46"/>
      <c r="B136" s="6" t="s">
        <v>497</v>
      </c>
      <c r="C136" s="466"/>
      <c r="D136" s="325"/>
      <c r="E136" s="325"/>
      <c r="F136" s="325"/>
      <c r="G136" s="325"/>
      <c r="H136" s="325"/>
      <c r="I136" s="325"/>
      <c r="J136" s="325"/>
      <c r="K136" s="325"/>
      <c r="L136" s="325"/>
      <c r="M136" s="325"/>
      <c r="N136" s="325"/>
      <c r="O136" s="325"/>
      <c r="P136" s="325"/>
      <c r="Q136" s="325"/>
      <c r="R136" s="325"/>
      <c r="S136" s="325"/>
      <c r="T136" s="325"/>
      <c r="U136" s="325"/>
      <c r="V136" s="325"/>
      <c r="W136" s="325"/>
      <c r="X136" s="325"/>
      <c r="Y136" s="329"/>
      <c r="Z136" s="329"/>
      <c r="AA136" s="329"/>
      <c r="AB136" s="1519"/>
      <c r="AC136" s="325"/>
      <c r="AD136" s="325"/>
      <c r="AE136" s="648"/>
      <c r="AF136" s="325"/>
      <c r="AG136" s="325"/>
      <c r="AH136" s="951"/>
      <c r="AI136" s="325"/>
      <c r="AJ136" s="325"/>
      <c r="AK136" s="344"/>
    </row>
    <row r="137" spans="1:38" ht="15" customHeight="1">
      <c r="A137" s="46"/>
      <c r="B137" s="6" t="s">
        <v>498</v>
      </c>
      <c r="C137" s="466"/>
      <c r="D137" s="16">
        <f>ROUND(SUM(D127:D135),1)</f>
        <v>4201.8</v>
      </c>
      <c r="E137" s="16"/>
      <c r="F137" s="16">
        <f>ROUND(SUM(F127:F135),1)</f>
        <v>1530.6</v>
      </c>
      <c r="G137" s="16"/>
      <c r="H137" s="16">
        <f>ROUND(SUM(H127:H135),1)</f>
        <v>4146.2</v>
      </c>
      <c r="I137" s="16"/>
      <c r="J137" s="16">
        <f>ROUND(SUM(J127:J134),1)</f>
        <v>2396.1</v>
      </c>
      <c r="K137" s="16"/>
      <c r="L137" s="16">
        <f>ROUND(SUM(L127:L134),1)</f>
        <v>1805.3</v>
      </c>
      <c r="M137" s="16"/>
      <c r="N137" s="16">
        <f>ROUND(SUM(N127:N134),1)</f>
        <v>5107</v>
      </c>
      <c r="O137" s="16"/>
      <c r="P137" s="16">
        <f>ROUND(SUM(P127:P134),1)</f>
        <v>484.5</v>
      </c>
      <c r="Q137" s="16"/>
      <c r="R137" s="16">
        <f>ROUND(SUM(R127:R134),1)</f>
        <v>1810.3</v>
      </c>
      <c r="S137" s="16"/>
      <c r="T137" s="16">
        <f>ROUND(SUM(T127:T134),1)</f>
        <v>0</v>
      </c>
      <c r="U137" s="16"/>
      <c r="V137" s="16">
        <f>ROUND(SUM(V127:V134),1)</f>
        <v>0</v>
      </c>
      <c r="W137" s="16"/>
      <c r="X137" s="16">
        <f>ROUND(SUM(X127:X134),1)</f>
        <v>0</v>
      </c>
      <c r="Y137" s="51"/>
      <c r="Z137" s="16">
        <f>ROUND(SUM(Z127:Z134),1)</f>
        <v>0</v>
      </c>
      <c r="AA137" s="51"/>
      <c r="AB137" s="840"/>
      <c r="AC137" s="16">
        <f>ROUND(SUM(AC127:AC135),1)</f>
        <v>21481.8</v>
      </c>
      <c r="AD137" s="16"/>
      <c r="AE137" s="838"/>
      <c r="AF137" s="16">
        <f>ROUND(SUM(AF127:AF135),1)</f>
        <v>26706.400000000001</v>
      </c>
      <c r="AG137" s="16"/>
      <c r="AH137" s="952"/>
      <c r="AI137" s="434">
        <f>ROUND(SUM(+AC137-AF137),1)</f>
        <v>-5224.6000000000004</v>
      </c>
      <c r="AJ137" s="16"/>
      <c r="AK137" s="779">
        <f>ROUND(SUM(+AI137/AF137),3)</f>
        <v>-0.19600000000000001</v>
      </c>
    </row>
    <row r="138" spans="1:38" ht="15" customHeight="1">
      <c r="A138" s="46"/>
      <c r="B138" s="353"/>
      <c r="C138" s="466"/>
      <c r="D138" s="783"/>
      <c r="E138" s="325"/>
      <c r="F138" s="783"/>
      <c r="G138" s="325"/>
      <c r="H138" s="783"/>
      <c r="I138" s="325"/>
      <c r="J138" s="783"/>
      <c r="K138" s="325"/>
      <c r="L138" s="783"/>
      <c r="M138" s="325"/>
      <c r="N138" s="783"/>
      <c r="O138" s="325"/>
      <c r="P138" s="783"/>
      <c r="Q138" s="325"/>
      <c r="R138" s="783"/>
      <c r="S138" s="325"/>
      <c r="T138" s="783"/>
      <c r="U138" s="325"/>
      <c r="V138" s="783"/>
      <c r="W138" s="325"/>
      <c r="X138" s="783"/>
      <c r="Y138" s="329"/>
      <c r="Z138" s="1525"/>
      <c r="AA138" s="329"/>
      <c r="AB138" s="1519"/>
      <c r="AC138" s="783"/>
      <c r="AD138" s="325"/>
      <c r="AE138" s="648"/>
      <c r="AF138" s="783"/>
      <c r="AG138" s="325"/>
      <c r="AH138" s="951"/>
      <c r="AI138" s="535"/>
      <c r="AJ138" s="535"/>
      <c r="AK138" s="404"/>
    </row>
    <row r="139" spans="1:38" ht="15" customHeight="1">
      <c r="A139" s="46"/>
      <c r="B139" s="6" t="s">
        <v>499</v>
      </c>
      <c r="C139" s="466"/>
      <c r="D139" s="325"/>
      <c r="E139" s="325"/>
      <c r="F139" s="325"/>
      <c r="G139" s="325"/>
      <c r="H139" s="325"/>
      <c r="I139" s="325"/>
      <c r="J139" s="325"/>
      <c r="K139" s="325"/>
      <c r="L139" s="325"/>
      <c r="M139" s="325"/>
      <c r="N139" s="325"/>
      <c r="O139" s="325"/>
      <c r="P139" s="325"/>
      <c r="Q139" s="325"/>
      <c r="R139" s="325"/>
      <c r="S139" s="325"/>
      <c r="T139" s="325"/>
      <c r="U139" s="325"/>
      <c r="V139" s="325"/>
      <c r="W139" s="325"/>
      <c r="X139" s="325"/>
      <c r="Y139" s="329"/>
      <c r="Z139" s="329"/>
      <c r="AA139" s="329"/>
      <c r="AB139" s="1519"/>
      <c r="AC139" s="325"/>
      <c r="AD139" s="325"/>
      <c r="AE139" s="648"/>
      <c r="AF139" s="325"/>
      <c r="AG139" s="325"/>
      <c r="AH139" s="951"/>
      <c r="AI139" s="535"/>
      <c r="AJ139" s="535"/>
      <c r="AK139" s="404"/>
      <c r="AL139" s="71" t="s">
        <v>104</v>
      </c>
    </row>
    <row r="140" spans="1:38" ht="15" customHeight="1">
      <c r="A140" s="46"/>
      <c r="B140" s="6" t="s">
        <v>500</v>
      </c>
      <c r="C140" s="466"/>
      <c r="D140" s="325"/>
      <c r="E140" s="325"/>
      <c r="F140" s="325"/>
      <c r="G140" s="325"/>
      <c r="H140" s="325"/>
      <c r="I140" s="325"/>
      <c r="J140" s="325"/>
      <c r="K140" s="325"/>
      <c r="L140" s="325"/>
      <c r="M140" s="325"/>
      <c r="N140" s="325"/>
      <c r="O140" s="325"/>
      <c r="P140" s="325"/>
      <c r="Q140" s="325"/>
      <c r="R140" s="325"/>
      <c r="S140" s="325"/>
      <c r="T140" s="325"/>
      <c r="U140" s="325"/>
      <c r="V140" s="325"/>
      <c r="W140" s="325"/>
      <c r="X140" s="325"/>
      <c r="Y140" s="329"/>
      <c r="Z140" s="329"/>
      <c r="AA140" s="329"/>
      <c r="AB140" s="1519"/>
      <c r="AC140" s="325"/>
      <c r="AD140" s="325"/>
      <c r="AE140" s="648"/>
      <c r="AF140" s="325"/>
      <c r="AG140" s="325"/>
      <c r="AH140" s="951"/>
      <c r="AI140" s="535"/>
      <c r="AJ140" s="535"/>
      <c r="AK140" s="404"/>
    </row>
    <row r="141" spans="1:38" ht="15" customHeight="1">
      <c r="A141" s="46"/>
      <c r="B141" s="6" t="s">
        <v>501</v>
      </c>
      <c r="C141" s="466"/>
      <c r="D141" s="16">
        <f>ROUND(SUM(D123+D137),1)</f>
        <v>3488.8</v>
      </c>
      <c r="E141" s="16"/>
      <c r="F141" s="16">
        <f>ROUND(SUM(F123+F137),1)</f>
        <v>-6491.8</v>
      </c>
      <c r="G141" s="16"/>
      <c r="H141" s="16">
        <f>ROUND(SUM(H123+H137),1)</f>
        <v>3736.3</v>
      </c>
      <c r="I141" s="16"/>
      <c r="J141" s="16">
        <f>ROUND(SUM(J123+J137),1)</f>
        <v>135.1</v>
      </c>
      <c r="K141" s="16"/>
      <c r="L141" s="16">
        <f>ROUND(SUM(L123+L137),1)</f>
        <v>-1798.7</v>
      </c>
      <c r="M141" s="16"/>
      <c r="N141" s="16">
        <f>ROUND(SUM(N123+N137),1)</f>
        <v>5451.6</v>
      </c>
      <c r="O141" s="16"/>
      <c r="P141" s="16">
        <f>ROUND(SUM(P123+P137),1)</f>
        <v>-547</v>
      </c>
      <c r="Q141" s="16"/>
      <c r="R141" s="16">
        <f>ROUND(SUM(R123+R137),1)</f>
        <v>-1298.5999999999999</v>
      </c>
      <c r="S141" s="325"/>
      <c r="T141" s="16">
        <f>ROUND(SUM(T123+T137),1)</f>
        <v>0</v>
      </c>
      <c r="U141" s="325"/>
      <c r="V141" s="16">
        <f>ROUND(SUM(V123+V137),1)</f>
        <v>0</v>
      </c>
      <c r="W141" s="325"/>
      <c r="X141" s="16">
        <f>ROUND(SUM(X123+X137),1)</f>
        <v>0</v>
      </c>
      <c r="Y141" s="329"/>
      <c r="Z141" s="434">
        <f>ROUND(SUM(Z123+Z137),1)</f>
        <v>0</v>
      </c>
      <c r="AA141" s="329"/>
      <c r="AB141" s="1519"/>
      <c r="AC141" s="16">
        <f>ROUND(SUM(AC123+AC137),1)</f>
        <v>2675.7</v>
      </c>
      <c r="AD141" s="16"/>
      <c r="AE141" s="838"/>
      <c r="AF141" s="16">
        <f>ROUND(SUM(AF123+AF137),1)</f>
        <v>12168.1</v>
      </c>
      <c r="AG141" s="16"/>
      <c r="AH141" s="952"/>
      <c r="AI141" s="434">
        <f>ROUND(SUM(+AC141-AF141),1)</f>
        <v>-9492.4</v>
      </c>
      <c r="AJ141" s="957"/>
      <c r="AK141" s="779">
        <f>ROUND(SUM(AI141/ABS(AF141)),3)</f>
        <v>-0.78</v>
      </c>
    </row>
    <row r="142" spans="1:38" ht="9" customHeight="1">
      <c r="A142" s="46"/>
      <c r="B142" s="353"/>
      <c r="C142" s="466"/>
      <c r="D142" s="1525"/>
      <c r="E142" s="353"/>
      <c r="F142" s="1722"/>
      <c r="G142" s="353"/>
      <c r="H142" s="1443"/>
      <c r="I142" s="353"/>
      <c r="J142" s="783"/>
      <c r="K142" s="353"/>
      <c r="L142" s="1443"/>
      <c r="M142" s="353"/>
      <c r="N142" s="1443"/>
      <c r="O142" s="353"/>
      <c r="P142" s="1443"/>
      <c r="Q142" s="353"/>
      <c r="R142" s="1443"/>
      <c r="S142" s="353"/>
      <c r="T142" s="1443"/>
      <c r="U142" s="353"/>
      <c r="V142" s="1443"/>
      <c r="W142" s="353"/>
      <c r="X142" s="1443"/>
      <c r="Y142" s="353"/>
      <c r="Z142" s="466"/>
      <c r="AA142" s="466"/>
      <c r="AB142" s="1519"/>
      <c r="AC142" s="783"/>
      <c r="AD142" s="325"/>
      <c r="AE142" s="648"/>
      <c r="AF142" s="783"/>
      <c r="AG142" s="325"/>
      <c r="AH142" s="951"/>
      <c r="AI142" s="783"/>
      <c r="AJ142" s="535"/>
      <c r="AK142" s="1526"/>
    </row>
    <row r="143" spans="1:38" ht="15" customHeight="1" thickBot="1">
      <c r="A143" s="46"/>
      <c r="B143" s="2006" t="s">
        <v>463</v>
      </c>
      <c r="C143" s="466"/>
      <c r="D143" s="102">
        <f>ROUND(SUM(D12+D141),1)</f>
        <v>46939.4</v>
      </c>
      <c r="E143" s="56"/>
      <c r="F143" s="102">
        <f>ROUND(SUM(F12+F141),1)</f>
        <v>40447.599999999999</v>
      </c>
      <c r="G143" s="56"/>
      <c r="H143" s="102">
        <f>ROUND(SUM(H12+H141),1)</f>
        <v>44183.9</v>
      </c>
      <c r="I143" s="56"/>
      <c r="J143" s="102">
        <f>ROUND(SUM(J12+J141),1)</f>
        <v>44319</v>
      </c>
      <c r="K143" s="56"/>
      <c r="L143" s="102">
        <f>ROUND(SUM(L12+L141),1)</f>
        <v>42520.3</v>
      </c>
      <c r="M143" s="56"/>
      <c r="N143" s="102">
        <f>ROUND(SUM(N12+N141),1)</f>
        <v>47971.9</v>
      </c>
      <c r="O143" s="56"/>
      <c r="P143" s="102">
        <f>ROUND(SUM(P12+P141),1)</f>
        <v>47424.9</v>
      </c>
      <c r="Q143" s="56"/>
      <c r="R143" s="102">
        <f>ROUND(SUM(R12+R141),1)</f>
        <v>46126.3</v>
      </c>
      <c r="S143" s="56"/>
      <c r="T143" s="102">
        <f>ROUND(SUM(T12+T141),1)</f>
        <v>0</v>
      </c>
      <c r="U143" s="56"/>
      <c r="V143" s="102">
        <f>ROUND(SUM(V12+V141),1)</f>
        <v>0</v>
      </c>
      <c r="W143" s="56"/>
      <c r="X143" s="102">
        <f>ROUND(SUM(X12+X141),1)</f>
        <v>0</v>
      </c>
      <c r="Y143" s="56"/>
      <c r="Z143" s="102">
        <f>ROUND(SUM(Z12+Z141),1)</f>
        <v>0</v>
      </c>
      <c r="AA143" s="56"/>
      <c r="AB143" s="958"/>
      <c r="AC143" s="102">
        <f>ROUND(SUM(AC12+AC141),1)</f>
        <v>46126.3</v>
      </c>
      <c r="AD143" s="16"/>
      <c r="AE143" s="838"/>
      <c r="AF143" s="102">
        <f>ROUND(SUM(AF12+AF141),1)</f>
        <v>45220.800000000003</v>
      </c>
      <c r="AG143" s="56"/>
      <c r="AH143" s="949"/>
      <c r="AI143" s="102">
        <f>ROUND(SUM(+AC143-AF143),1)</f>
        <v>905.5</v>
      </c>
      <c r="AJ143" s="957"/>
      <c r="AK143" s="110">
        <f>ROUND(SUM(+AI143/AF143),3)</f>
        <v>0.02</v>
      </c>
    </row>
    <row r="144" spans="1:38" ht="15" customHeight="1" thickTop="1">
      <c r="A144" s="46"/>
      <c r="B144" s="353"/>
      <c r="C144" s="466"/>
      <c r="D144" s="466"/>
      <c r="E144" s="353"/>
      <c r="F144" s="488"/>
      <c r="G144" s="353"/>
      <c r="H144" s="466"/>
      <c r="I144" s="353"/>
      <c r="J144" s="325"/>
      <c r="K144" s="353"/>
      <c r="L144" s="466"/>
      <c r="M144" s="353"/>
      <c r="N144" s="466"/>
      <c r="O144" s="353"/>
      <c r="P144" s="466"/>
      <c r="Q144" s="353"/>
      <c r="R144" s="466"/>
      <c r="S144" s="353"/>
      <c r="T144" s="466"/>
      <c r="U144" s="353"/>
      <c r="V144" s="466"/>
      <c r="W144" s="353"/>
      <c r="X144" s="466"/>
      <c r="Y144" s="353"/>
      <c r="Z144" s="466"/>
      <c r="AA144" s="466"/>
      <c r="AB144" s="353"/>
      <c r="AC144" s="325"/>
      <c r="AD144" s="325"/>
      <c r="AE144" s="325"/>
      <c r="AF144" s="325"/>
      <c r="AG144" s="325"/>
      <c r="AH144" s="943"/>
      <c r="AI144" s="535"/>
      <c r="AJ144" s="535"/>
      <c r="AK144" s="404"/>
    </row>
    <row r="145" spans="1:37" ht="15" customHeight="1">
      <c r="A145" s="46"/>
      <c r="B145" s="353" t="s">
        <v>104</v>
      </c>
      <c r="C145" s="466"/>
      <c r="D145" s="466"/>
      <c r="E145" s="353"/>
      <c r="F145" s="488"/>
      <c r="G145" s="353"/>
      <c r="H145" s="466"/>
      <c r="I145" s="353"/>
      <c r="J145" s="325"/>
      <c r="K145" s="353"/>
      <c r="L145" s="466"/>
      <c r="M145" s="353"/>
      <c r="N145" s="466"/>
      <c r="O145" s="353"/>
      <c r="P145" s="466"/>
      <c r="Q145" s="353"/>
      <c r="R145" s="466"/>
      <c r="S145" s="353"/>
      <c r="T145" s="466"/>
      <c r="U145" s="353"/>
      <c r="V145" s="466"/>
      <c r="W145" s="353"/>
      <c r="X145" s="466"/>
      <c r="Y145" s="353"/>
      <c r="Z145" s="466"/>
      <c r="AA145" s="466"/>
      <c r="AB145" s="353"/>
      <c r="AC145" s="635" t="s">
        <v>104</v>
      </c>
      <c r="AD145" s="325"/>
      <c r="AE145" s="325" t="s">
        <v>502</v>
      </c>
      <c r="AF145" s="325" t="s">
        <v>104</v>
      </c>
      <c r="AG145" s="325"/>
      <c r="AH145" s="943"/>
      <c r="AI145" s="535"/>
      <c r="AJ145" s="535"/>
      <c r="AK145" s="404"/>
    </row>
    <row r="146" spans="1:37" ht="15" customHeight="1">
      <c r="A146" s="46"/>
      <c r="B146" s="353"/>
      <c r="C146" s="466"/>
      <c r="D146" s="466"/>
      <c r="E146" s="353"/>
      <c r="F146" s="488"/>
      <c r="G146" s="353"/>
      <c r="H146" s="466"/>
      <c r="I146" s="353"/>
      <c r="J146" s="325"/>
      <c r="K146" s="353"/>
      <c r="L146" s="466"/>
      <c r="M146" s="353"/>
      <c r="N146" s="466"/>
      <c r="O146" s="353"/>
      <c r="P146" s="466"/>
      <c r="Q146" s="353"/>
      <c r="R146" s="466"/>
      <c r="S146" s="353"/>
      <c r="T146" s="466"/>
      <c r="U146" s="353"/>
      <c r="V146" s="466"/>
      <c r="W146" s="353"/>
      <c r="X146" s="466"/>
      <c r="Y146" s="353"/>
      <c r="Z146" s="466"/>
      <c r="AA146" s="466"/>
      <c r="AB146" s="353"/>
      <c r="AC146" s="635" t="s">
        <v>104</v>
      </c>
      <c r="AD146" s="325"/>
      <c r="AE146" s="325"/>
      <c r="AF146" s="325" t="s">
        <v>104</v>
      </c>
      <c r="AG146" s="325"/>
      <c r="AH146" s="943"/>
      <c r="AI146" s="535"/>
      <c r="AJ146" s="535"/>
      <c r="AK146" s="404"/>
    </row>
    <row r="147" spans="1:37" ht="15" customHeight="1">
      <c r="A147" s="95"/>
      <c r="B147" s="427"/>
      <c r="C147" s="959"/>
      <c r="D147" s="959"/>
      <c r="E147" s="1724"/>
      <c r="F147" s="1724"/>
      <c r="G147" s="1724"/>
      <c r="H147" s="466"/>
      <c r="I147" s="466"/>
      <c r="J147" s="325"/>
      <c r="K147" s="466"/>
      <c r="L147" s="466"/>
      <c r="M147" s="466"/>
      <c r="N147" s="466"/>
      <c r="O147" s="466"/>
      <c r="P147" s="466"/>
      <c r="Q147" s="466"/>
      <c r="R147" s="466"/>
      <c r="S147" s="466"/>
      <c r="T147" s="466"/>
      <c r="U147" s="466"/>
      <c r="V147" s="466"/>
      <c r="W147" s="466"/>
      <c r="X147" s="466"/>
      <c r="Y147" s="466"/>
      <c r="Z147" s="466"/>
      <c r="AA147" s="466"/>
      <c r="AB147" s="466"/>
      <c r="AC147" s="635" t="s">
        <v>254</v>
      </c>
      <c r="AD147" s="325"/>
      <c r="AE147" s="325"/>
      <c r="AF147" s="325" t="s">
        <v>104</v>
      </c>
      <c r="AG147" s="325"/>
      <c r="AH147" s="325"/>
      <c r="AI147" s="325"/>
      <c r="AJ147" s="325"/>
      <c r="AK147" s="344"/>
    </row>
    <row r="148" spans="1:37" ht="14.15" customHeight="1">
      <c r="A148" s="95"/>
      <c r="B148" s="427"/>
      <c r="C148" s="959"/>
      <c r="D148" s="959"/>
      <c r="E148" s="1724"/>
      <c r="F148" s="1724"/>
      <c r="G148" s="1724"/>
      <c r="H148" s="466"/>
      <c r="I148" s="466"/>
      <c r="J148" s="325"/>
      <c r="K148" s="466"/>
      <c r="L148" s="466"/>
      <c r="M148" s="466"/>
      <c r="N148" s="466"/>
      <c r="O148" s="466"/>
      <c r="P148" s="466"/>
      <c r="Q148" s="466"/>
      <c r="R148" s="466"/>
      <c r="S148" s="466"/>
      <c r="T148" s="466"/>
      <c r="U148" s="466"/>
      <c r="V148" s="466"/>
      <c r="W148" s="466"/>
      <c r="X148" s="466"/>
      <c r="Y148" s="466"/>
      <c r="Z148" s="466"/>
      <c r="AA148" s="466"/>
      <c r="AB148" s="466"/>
      <c r="AC148" s="635" t="s">
        <v>104</v>
      </c>
      <c r="AD148" s="325"/>
      <c r="AE148" s="325"/>
      <c r="AF148" s="325" t="s">
        <v>104</v>
      </c>
      <c r="AG148" s="325"/>
      <c r="AH148" s="325"/>
      <c r="AI148" s="325"/>
      <c r="AJ148" s="325"/>
      <c r="AK148" s="344"/>
    </row>
    <row r="149" spans="1:37" ht="15" customHeight="1">
      <c r="A149" s="95"/>
      <c r="B149" s="427"/>
      <c r="C149" s="959"/>
      <c r="D149" s="959"/>
      <c r="E149" s="1724"/>
      <c r="F149" s="1724"/>
      <c r="G149" s="1724"/>
      <c r="H149" s="466"/>
      <c r="I149" s="466"/>
      <c r="J149" s="325"/>
      <c r="K149" s="466"/>
      <c r="L149" s="466"/>
      <c r="M149" s="466"/>
      <c r="N149" s="466"/>
      <c r="O149" s="466"/>
      <c r="P149" s="466"/>
      <c r="Q149" s="466"/>
      <c r="R149" s="466"/>
      <c r="S149" s="466"/>
      <c r="T149" s="466"/>
      <c r="U149" s="466"/>
      <c r="V149" s="466"/>
      <c r="W149" s="466"/>
      <c r="X149" s="466"/>
      <c r="Y149" s="466"/>
      <c r="Z149" s="466"/>
      <c r="AA149" s="466"/>
      <c r="AB149" s="466"/>
      <c r="AC149" s="635" t="s">
        <v>104</v>
      </c>
      <c r="AD149" s="325"/>
      <c r="AE149" s="325"/>
      <c r="AF149" s="325" t="s">
        <v>294</v>
      </c>
      <c r="AG149" s="325"/>
      <c r="AH149" s="325"/>
      <c r="AI149" s="325"/>
      <c r="AJ149" s="325"/>
      <c r="AK149" s="344"/>
    </row>
    <row r="150" spans="1:37" ht="15.75" customHeight="1">
      <c r="A150" s="95"/>
      <c r="B150" s="427"/>
      <c r="C150" s="959"/>
      <c r="D150" s="959"/>
      <c r="E150" s="1724"/>
      <c r="F150" s="1724"/>
      <c r="G150" s="1724"/>
      <c r="H150" s="466"/>
      <c r="I150" s="466"/>
      <c r="J150" s="325"/>
      <c r="K150" s="466"/>
      <c r="L150" s="466"/>
      <c r="M150" s="466"/>
      <c r="N150" s="466"/>
      <c r="O150" s="466"/>
      <c r="P150" s="466"/>
      <c r="Q150" s="466"/>
      <c r="R150" s="466"/>
      <c r="S150" s="466"/>
      <c r="T150" s="466"/>
      <c r="U150" s="466"/>
      <c r="V150" s="466"/>
      <c r="W150" s="466"/>
      <c r="X150" s="466"/>
      <c r="Y150" s="466"/>
      <c r="Z150" s="466"/>
      <c r="AA150" s="466"/>
      <c r="AB150" s="466"/>
      <c r="AC150" s="635" t="s">
        <v>104</v>
      </c>
      <c r="AD150" s="325"/>
      <c r="AE150" s="325"/>
      <c r="AF150" s="325" t="s">
        <v>104</v>
      </c>
      <c r="AG150" s="325"/>
      <c r="AH150" s="325"/>
      <c r="AI150" s="325"/>
      <c r="AJ150" s="325"/>
      <c r="AK150" s="344"/>
    </row>
    <row r="151" spans="1:37" ht="14.25" customHeight="1">
      <c r="A151" s="95"/>
      <c r="B151" s="427"/>
      <c r="C151" s="959"/>
      <c r="D151" s="959"/>
      <c r="E151" s="1724"/>
      <c r="F151" s="1724"/>
      <c r="G151" s="1724"/>
      <c r="H151" s="466"/>
      <c r="I151" s="466"/>
      <c r="J151" s="325"/>
      <c r="K151" s="466"/>
      <c r="L151" s="466"/>
      <c r="M151" s="466"/>
      <c r="N151" s="466"/>
      <c r="O151" s="466"/>
      <c r="P151" s="466"/>
      <c r="Q151" s="466"/>
      <c r="R151" s="466"/>
      <c r="S151" s="466"/>
      <c r="T151" s="466"/>
      <c r="U151" s="466"/>
      <c r="V151" s="466"/>
      <c r="W151" s="466"/>
      <c r="X151" s="466"/>
      <c r="Y151" s="466"/>
      <c r="Z151" s="466"/>
      <c r="AA151" s="466"/>
      <c r="AB151" s="466"/>
      <c r="AC151" s="325"/>
      <c r="AD151" s="325"/>
      <c r="AE151" s="325"/>
      <c r="AF151" s="325"/>
      <c r="AG151" s="325"/>
      <c r="AH151" s="325"/>
      <c r="AI151" s="325"/>
      <c r="AJ151" s="325"/>
      <c r="AK151" s="344"/>
    </row>
    <row r="152" spans="1:37" ht="14.25" customHeight="1">
      <c r="A152" s="95"/>
      <c r="B152" s="427"/>
      <c r="C152" s="959"/>
      <c r="D152" s="959"/>
      <c r="E152" s="1724"/>
      <c r="F152" s="1724"/>
      <c r="G152" s="1724"/>
      <c r="H152" s="466"/>
      <c r="I152" s="466"/>
      <c r="J152" s="325"/>
      <c r="K152" s="466"/>
      <c r="L152" s="466"/>
      <c r="M152" s="466"/>
      <c r="N152" s="466"/>
      <c r="O152" s="466"/>
      <c r="P152" s="466"/>
      <c r="Q152" s="466"/>
      <c r="R152" s="466"/>
      <c r="S152" s="466"/>
      <c r="T152" s="466"/>
      <c r="U152" s="466"/>
      <c r="V152" s="466"/>
      <c r="W152" s="466"/>
      <c r="X152" s="466"/>
      <c r="Y152" s="466"/>
      <c r="Z152" s="466"/>
      <c r="AA152" s="466"/>
      <c r="AB152" s="466"/>
      <c r="AC152" s="325"/>
      <c r="AD152" s="325"/>
      <c r="AE152" s="325"/>
      <c r="AF152" s="325"/>
      <c r="AG152" s="325"/>
      <c r="AH152" s="325"/>
      <c r="AI152" s="325"/>
      <c r="AJ152" s="325"/>
      <c r="AK152" s="344"/>
    </row>
    <row r="153" spans="1:37" ht="14.25" customHeight="1">
      <c r="A153" s="95"/>
      <c r="B153" s="427"/>
      <c r="C153" s="959"/>
      <c r="D153" s="959"/>
      <c r="E153" s="1724"/>
      <c r="F153" s="1724"/>
      <c r="G153" s="1724"/>
      <c r="H153" s="466"/>
      <c r="I153" s="466"/>
      <c r="J153" s="325"/>
      <c r="K153" s="466"/>
      <c r="L153" s="466"/>
      <c r="M153" s="466"/>
      <c r="N153" s="466"/>
      <c r="O153" s="466"/>
      <c r="P153" s="466"/>
      <c r="Q153" s="466"/>
      <c r="R153" s="466"/>
      <c r="S153" s="466"/>
      <c r="T153" s="466"/>
      <c r="U153" s="466"/>
      <c r="V153" s="466"/>
      <c r="W153" s="466"/>
      <c r="X153" s="466"/>
      <c r="Y153" s="466"/>
      <c r="Z153" s="466"/>
      <c r="AA153" s="466"/>
      <c r="AB153" s="466"/>
      <c r="AC153" s="325"/>
      <c r="AD153" s="325"/>
      <c r="AE153" s="325"/>
      <c r="AF153" s="325"/>
      <c r="AG153" s="325"/>
      <c r="AH153" s="325"/>
      <c r="AI153" s="325"/>
      <c r="AJ153" s="325"/>
      <c r="AK153" s="344"/>
    </row>
    <row r="154" spans="1:37" ht="14.25" customHeight="1">
      <c r="A154" s="95"/>
      <c r="B154" s="427"/>
      <c r="C154" s="959"/>
      <c r="D154" s="959"/>
      <c r="E154" s="1724"/>
      <c r="F154" s="1724"/>
      <c r="G154" s="1724"/>
      <c r="H154" s="466"/>
      <c r="I154" s="466"/>
      <c r="J154" s="325"/>
      <c r="K154" s="466"/>
      <c r="L154" s="466"/>
      <c r="M154" s="466"/>
      <c r="N154" s="466"/>
      <c r="O154" s="466"/>
      <c r="P154" s="466"/>
      <c r="Q154" s="466"/>
      <c r="R154" s="466"/>
      <c r="S154" s="466"/>
      <c r="T154" s="466"/>
      <c r="U154" s="466"/>
      <c r="V154" s="466"/>
      <c r="W154" s="466"/>
      <c r="X154" s="466"/>
      <c r="Y154" s="466"/>
      <c r="Z154" s="466"/>
      <c r="AA154" s="466"/>
      <c r="AB154" s="466"/>
      <c r="AC154" s="325"/>
      <c r="AD154" s="325"/>
      <c r="AE154" s="325"/>
      <c r="AF154" s="325"/>
      <c r="AG154" s="325"/>
      <c r="AH154" s="325"/>
      <c r="AI154" s="325"/>
      <c r="AJ154" s="325"/>
      <c r="AK154" s="344"/>
    </row>
    <row r="155" spans="1:37" ht="14.25" customHeight="1">
      <c r="A155" s="95"/>
      <c r="B155" s="427"/>
      <c r="C155" s="959"/>
      <c r="D155" s="959"/>
      <c r="E155" s="1724"/>
      <c r="F155" s="1724"/>
      <c r="G155" s="1724"/>
      <c r="H155" s="466"/>
      <c r="I155" s="466"/>
      <c r="J155" s="325"/>
      <c r="K155" s="466"/>
      <c r="L155" s="466"/>
      <c r="M155" s="466"/>
      <c r="N155" s="466"/>
      <c r="O155" s="466"/>
      <c r="P155" s="466"/>
      <c r="Q155" s="466"/>
      <c r="R155" s="466"/>
      <c r="S155" s="466"/>
      <c r="T155" s="466"/>
      <c r="U155" s="466"/>
      <c r="V155" s="466"/>
      <c r="W155" s="466"/>
      <c r="X155" s="466"/>
      <c r="Y155" s="466"/>
      <c r="Z155" s="466"/>
      <c r="AA155" s="466"/>
      <c r="AB155" s="466"/>
      <c r="AC155" s="325"/>
      <c r="AD155" s="325"/>
      <c r="AE155" s="325"/>
      <c r="AF155" s="325"/>
      <c r="AG155" s="325"/>
      <c r="AH155" s="325"/>
      <c r="AI155" s="325"/>
      <c r="AJ155" s="325"/>
      <c r="AK155" s="344"/>
    </row>
    <row r="156" spans="1:37" ht="14.25" customHeight="1">
      <c r="A156" s="95"/>
      <c r="B156" s="427"/>
      <c r="C156" s="959"/>
      <c r="D156" s="959"/>
      <c r="E156" s="1724"/>
      <c r="F156" s="1724"/>
      <c r="G156" s="1724"/>
      <c r="H156" s="466"/>
      <c r="I156" s="466"/>
      <c r="J156" s="325"/>
      <c r="K156" s="466"/>
      <c r="L156" s="466"/>
      <c r="M156" s="466"/>
      <c r="N156" s="466"/>
      <c r="O156" s="466"/>
      <c r="P156" s="466"/>
      <c r="Q156" s="466"/>
      <c r="R156" s="466"/>
      <c r="S156" s="466"/>
      <c r="T156" s="466"/>
      <c r="U156" s="466"/>
      <c r="V156" s="466"/>
      <c r="W156" s="466"/>
      <c r="X156" s="466"/>
      <c r="Y156" s="466"/>
      <c r="Z156" s="466"/>
      <c r="AA156" s="466"/>
      <c r="AB156" s="466"/>
      <c r="AC156" s="325"/>
      <c r="AD156" s="325"/>
      <c r="AE156" s="325"/>
      <c r="AF156" s="325"/>
      <c r="AG156" s="325"/>
      <c r="AH156" s="325"/>
      <c r="AI156" s="325"/>
      <c r="AJ156" s="325"/>
      <c r="AK156" s="344"/>
    </row>
    <row r="157" spans="1:37" ht="14.25" customHeight="1">
      <c r="A157" s="95"/>
      <c r="B157" s="427"/>
      <c r="C157" s="959"/>
      <c r="D157" s="959"/>
      <c r="E157" s="1724"/>
      <c r="F157" s="1724"/>
      <c r="G157" s="1724"/>
      <c r="H157" s="466"/>
      <c r="I157" s="466"/>
      <c r="J157" s="325"/>
      <c r="K157" s="466"/>
      <c r="L157" s="466"/>
      <c r="M157" s="466"/>
      <c r="N157" s="466"/>
      <c r="O157" s="466"/>
      <c r="P157" s="466"/>
      <c r="Q157" s="466"/>
      <c r="R157" s="466"/>
      <c r="S157" s="466"/>
      <c r="T157" s="466"/>
      <c r="U157" s="466"/>
      <c r="V157" s="466"/>
      <c r="W157" s="466"/>
      <c r="X157" s="466"/>
      <c r="Y157" s="466"/>
      <c r="Z157" s="466"/>
      <c r="AA157" s="466"/>
      <c r="AB157" s="466"/>
      <c r="AC157" s="325"/>
      <c r="AD157" s="325"/>
      <c r="AE157" s="325"/>
      <c r="AF157" s="325"/>
      <c r="AG157" s="325"/>
      <c r="AH157" s="325"/>
      <c r="AI157" s="325"/>
      <c r="AJ157" s="325"/>
      <c r="AK157" s="344"/>
    </row>
    <row r="158" spans="1:37" ht="14.25" customHeight="1">
      <c r="A158" s="95"/>
      <c r="B158" s="427"/>
      <c r="C158" s="959"/>
      <c r="D158" s="959"/>
      <c r="E158" s="1724"/>
      <c r="F158" s="1724"/>
      <c r="G158" s="1724"/>
      <c r="H158" s="466"/>
      <c r="I158" s="466"/>
      <c r="J158" s="325"/>
      <c r="K158" s="466"/>
      <c r="L158" s="466"/>
      <c r="M158" s="466"/>
      <c r="N158" s="466"/>
      <c r="O158" s="466"/>
      <c r="P158" s="466"/>
      <c r="Q158" s="466"/>
      <c r="R158" s="466"/>
      <c r="S158" s="466"/>
      <c r="T158" s="466"/>
      <c r="U158" s="466"/>
      <c r="V158" s="466"/>
      <c r="W158" s="466"/>
      <c r="X158" s="466"/>
      <c r="Y158" s="466"/>
      <c r="Z158" s="466"/>
      <c r="AA158" s="466"/>
      <c r="AB158" s="466"/>
      <c r="AC158" s="466"/>
      <c r="AD158" s="466"/>
      <c r="AE158" s="466"/>
      <c r="AF158" s="466"/>
      <c r="AG158" s="466"/>
      <c r="AH158" s="466"/>
      <c r="AI158" s="466"/>
      <c r="AJ158" s="466"/>
      <c r="AK158" s="344"/>
    </row>
    <row r="159" spans="1:37" ht="14.25" customHeight="1">
      <c r="A159" s="95"/>
      <c r="B159" s="427"/>
      <c r="C159" s="959"/>
      <c r="D159" s="959"/>
      <c r="E159" s="1724"/>
      <c r="F159" s="1724"/>
      <c r="G159" s="1724"/>
      <c r="H159" s="466"/>
      <c r="I159" s="466"/>
      <c r="J159" s="325"/>
      <c r="K159" s="466"/>
      <c r="L159" s="466"/>
      <c r="M159" s="466"/>
      <c r="N159" s="466"/>
      <c r="O159" s="466"/>
      <c r="P159" s="466"/>
      <c r="Q159" s="466"/>
      <c r="R159" s="466"/>
      <c r="S159" s="466"/>
      <c r="T159" s="466"/>
      <c r="U159" s="466"/>
      <c r="V159" s="466"/>
      <c r="W159" s="466"/>
      <c r="X159" s="466"/>
      <c r="Y159" s="466"/>
      <c r="Z159" s="466"/>
      <c r="AA159" s="466"/>
      <c r="AB159" s="466"/>
      <c r="AC159" s="466"/>
      <c r="AD159" s="466"/>
      <c r="AE159" s="466"/>
      <c r="AF159" s="466"/>
      <c r="AG159" s="466"/>
      <c r="AH159" s="466"/>
      <c r="AI159" s="466"/>
      <c r="AJ159" s="466"/>
      <c r="AK159" s="344"/>
    </row>
    <row r="160" spans="1:37" ht="14.25" customHeight="1">
      <c r="A160" s="95"/>
      <c r="B160" s="427"/>
      <c r="C160" s="959"/>
      <c r="D160" s="959"/>
      <c r="E160" s="1724"/>
      <c r="F160" s="1724"/>
      <c r="G160" s="1724"/>
      <c r="H160" s="466"/>
      <c r="I160" s="466"/>
      <c r="J160" s="325"/>
      <c r="K160" s="466"/>
      <c r="L160" s="466"/>
      <c r="M160" s="466"/>
      <c r="N160" s="466"/>
      <c r="O160" s="466"/>
      <c r="P160" s="466"/>
      <c r="Q160" s="466"/>
      <c r="R160" s="466"/>
      <c r="S160" s="466"/>
      <c r="T160" s="466"/>
      <c r="U160" s="466"/>
      <c r="V160" s="466"/>
      <c r="W160" s="466"/>
      <c r="X160" s="466"/>
      <c r="Y160" s="466"/>
      <c r="Z160" s="466"/>
      <c r="AA160" s="466"/>
      <c r="AB160" s="466"/>
      <c r="AC160" s="466"/>
      <c r="AD160" s="466"/>
      <c r="AE160" s="466"/>
      <c r="AF160" s="466"/>
      <c r="AG160" s="466"/>
      <c r="AH160" s="466"/>
      <c r="AI160" s="466"/>
      <c r="AJ160" s="466"/>
      <c r="AK160" s="344"/>
    </row>
    <row r="161" spans="1:38" ht="14.25" customHeight="1">
      <c r="A161" s="95"/>
      <c r="B161" s="427"/>
      <c r="C161" s="959"/>
      <c r="D161" s="959"/>
      <c r="E161" s="1724"/>
      <c r="F161" s="1724"/>
      <c r="G161" s="1724"/>
      <c r="H161" s="466"/>
      <c r="I161" s="466"/>
      <c r="J161" s="325"/>
      <c r="K161" s="466"/>
      <c r="L161" s="466"/>
      <c r="M161" s="466"/>
      <c r="N161" s="466"/>
      <c r="O161" s="466"/>
      <c r="P161" s="466"/>
      <c r="Q161" s="466"/>
      <c r="R161" s="466"/>
      <c r="S161" s="466"/>
      <c r="T161" s="466"/>
      <c r="U161" s="466"/>
      <c r="V161" s="466"/>
      <c r="W161" s="466"/>
      <c r="X161" s="466"/>
      <c r="Y161" s="466"/>
      <c r="Z161" s="466"/>
      <c r="AA161" s="466"/>
      <c r="AB161" s="466"/>
      <c r="AC161" s="466"/>
      <c r="AD161" s="466"/>
      <c r="AE161" s="466"/>
      <c r="AF161" s="466"/>
      <c r="AG161" s="466"/>
      <c r="AH161" s="466"/>
      <c r="AI161" s="466"/>
      <c r="AJ161" s="466"/>
      <c r="AK161" s="344"/>
    </row>
    <row r="162" spans="1:38" ht="14.25" customHeight="1">
      <c r="A162" s="95"/>
      <c r="B162" s="427"/>
      <c r="C162" s="959"/>
      <c r="D162" s="959"/>
      <c r="E162" s="1724"/>
      <c r="F162" s="1724"/>
      <c r="G162" s="1724"/>
      <c r="H162" s="466"/>
      <c r="I162" s="466"/>
      <c r="J162" s="325"/>
      <c r="K162" s="466"/>
      <c r="L162" s="466"/>
      <c r="M162" s="466"/>
      <c r="N162" s="466"/>
      <c r="O162" s="466"/>
      <c r="P162" s="466"/>
      <c r="Q162" s="466"/>
      <c r="R162" s="466"/>
      <c r="S162" s="466"/>
      <c r="T162" s="466"/>
      <c r="U162" s="466"/>
      <c r="V162" s="466"/>
      <c r="W162" s="466"/>
      <c r="X162" s="466"/>
      <c r="Y162" s="466"/>
      <c r="Z162" s="466"/>
      <c r="AA162" s="466"/>
      <c r="AB162" s="466"/>
      <c r="AC162" s="466"/>
      <c r="AD162" s="466"/>
      <c r="AE162" s="466"/>
      <c r="AF162" s="466"/>
      <c r="AG162" s="466"/>
      <c r="AH162" s="466"/>
      <c r="AI162" s="466"/>
      <c r="AJ162" s="466"/>
      <c r="AK162" s="344"/>
    </row>
    <row r="163" spans="1:38" ht="14.25" customHeight="1">
      <c r="A163" s="95"/>
      <c r="B163" s="427"/>
      <c r="C163" s="959"/>
      <c r="D163" s="959"/>
      <c r="E163" s="1724"/>
      <c r="F163" s="1724"/>
      <c r="G163" s="1724"/>
      <c r="H163" s="466"/>
      <c r="I163" s="466"/>
      <c r="J163" s="325"/>
      <c r="K163" s="466"/>
      <c r="L163" s="466"/>
      <c r="M163" s="466"/>
      <c r="N163" s="466"/>
      <c r="O163" s="466"/>
      <c r="P163" s="466"/>
      <c r="Q163" s="466"/>
      <c r="R163" s="466"/>
      <c r="S163" s="466"/>
      <c r="T163" s="466"/>
      <c r="U163" s="466"/>
      <c r="V163" s="466"/>
      <c r="W163" s="466"/>
      <c r="X163" s="466"/>
      <c r="Y163" s="466"/>
      <c r="Z163" s="466"/>
      <c r="AA163" s="466"/>
      <c r="AB163" s="466"/>
      <c r="AC163" s="466"/>
      <c r="AD163" s="466"/>
      <c r="AE163" s="466"/>
      <c r="AF163" s="466"/>
      <c r="AG163" s="466"/>
      <c r="AH163" s="466"/>
      <c r="AI163" s="466"/>
      <c r="AJ163" s="466"/>
      <c r="AK163" s="344"/>
    </row>
    <row r="164" spans="1:38" ht="14.25" customHeight="1">
      <c r="A164" s="95"/>
      <c r="B164" s="427"/>
      <c r="C164" s="959"/>
      <c r="D164" s="959"/>
      <c r="E164" s="1724"/>
      <c r="F164" s="1724"/>
      <c r="G164" s="1724"/>
      <c r="H164" s="466"/>
      <c r="I164" s="466"/>
      <c r="J164" s="325"/>
      <c r="K164" s="466"/>
      <c r="L164" s="466"/>
      <c r="M164" s="466"/>
      <c r="N164" s="466"/>
      <c r="O164" s="466"/>
      <c r="P164" s="466"/>
      <c r="Q164" s="466"/>
      <c r="R164" s="466"/>
      <c r="S164" s="466"/>
      <c r="T164" s="466"/>
      <c r="U164" s="466"/>
      <c r="V164" s="466"/>
      <c r="W164" s="466"/>
      <c r="X164" s="466"/>
      <c r="Y164" s="466"/>
      <c r="Z164" s="466"/>
      <c r="AA164" s="466"/>
      <c r="AB164" s="466"/>
      <c r="AC164" s="466"/>
      <c r="AD164" s="466"/>
      <c r="AE164" s="466"/>
      <c r="AF164" s="466"/>
      <c r="AG164" s="466"/>
      <c r="AH164" s="466"/>
      <c r="AI164" s="466"/>
      <c r="AJ164" s="466"/>
      <c r="AK164" s="344"/>
    </row>
    <row r="165" spans="1:38" ht="14.25" customHeight="1">
      <c r="A165" s="95"/>
      <c r="B165" s="427"/>
      <c r="C165" s="959"/>
      <c r="D165" s="959"/>
      <c r="E165" s="1724"/>
      <c r="F165" s="1724"/>
      <c r="G165" s="1724"/>
      <c r="H165" s="466"/>
      <c r="I165" s="466"/>
      <c r="J165" s="325"/>
      <c r="K165" s="466"/>
      <c r="L165" s="466"/>
      <c r="M165" s="466"/>
      <c r="N165" s="466"/>
      <c r="O165" s="466"/>
      <c r="P165" s="466"/>
      <c r="Q165" s="466"/>
      <c r="R165" s="466"/>
      <c r="S165" s="466"/>
      <c r="T165" s="466"/>
      <c r="U165" s="466"/>
      <c r="V165" s="466"/>
      <c r="W165" s="466"/>
      <c r="X165" s="466"/>
      <c r="Y165" s="466"/>
      <c r="Z165" s="466"/>
      <c r="AA165" s="466"/>
      <c r="AB165" s="466"/>
      <c r="AC165" s="466"/>
      <c r="AD165" s="466"/>
      <c r="AE165" s="466"/>
      <c r="AF165" s="466"/>
      <c r="AG165" s="466"/>
      <c r="AH165" s="466"/>
      <c r="AI165" s="466"/>
      <c r="AJ165" s="466"/>
      <c r="AK165" s="344"/>
    </row>
    <row r="166" spans="1:38" ht="14.25" customHeight="1">
      <c r="A166" s="95"/>
      <c r="B166" s="427"/>
      <c r="C166" s="959"/>
      <c r="D166" s="959"/>
      <c r="E166" s="1724"/>
      <c r="F166" s="1724"/>
      <c r="G166" s="1724"/>
      <c r="H166" s="466"/>
      <c r="I166" s="466"/>
      <c r="J166" s="325"/>
      <c r="K166" s="466"/>
      <c r="L166" s="466"/>
      <c r="M166" s="466"/>
      <c r="N166" s="466"/>
      <c r="O166" s="466"/>
      <c r="P166" s="466"/>
      <c r="Q166" s="466"/>
      <c r="R166" s="466"/>
      <c r="S166" s="466"/>
      <c r="T166" s="466"/>
      <c r="U166" s="466"/>
      <c r="V166" s="466"/>
      <c r="W166" s="466"/>
      <c r="X166" s="466"/>
      <c r="Y166" s="466"/>
      <c r="Z166" s="466"/>
      <c r="AA166" s="466"/>
      <c r="AB166" s="466"/>
      <c r="AC166" s="466"/>
      <c r="AD166" s="466"/>
      <c r="AE166" s="466"/>
      <c r="AF166" s="466"/>
      <c r="AG166" s="466"/>
      <c r="AH166" s="466"/>
      <c r="AI166" s="466"/>
      <c r="AJ166" s="466"/>
      <c r="AK166" s="344"/>
    </row>
    <row r="167" spans="1:38" ht="20.149999999999999" customHeight="1">
      <c r="A167" s="95"/>
      <c r="B167" s="525"/>
      <c r="C167" s="466"/>
      <c r="D167" s="466"/>
      <c r="E167" s="466"/>
      <c r="F167" s="466"/>
      <c r="G167" s="466"/>
      <c r="H167" s="466"/>
      <c r="I167" s="466"/>
      <c r="J167" s="325"/>
      <c r="K167" s="466"/>
      <c r="L167" s="466"/>
      <c r="M167" s="466"/>
      <c r="N167" s="466"/>
      <c r="O167" s="466"/>
      <c r="P167" s="466"/>
      <c r="Q167" s="466"/>
      <c r="R167" s="466"/>
      <c r="S167" s="466"/>
      <c r="T167" s="466"/>
      <c r="U167" s="466"/>
      <c r="V167" s="466"/>
      <c r="W167" s="466"/>
      <c r="X167" s="466"/>
      <c r="Y167" s="466"/>
      <c r="Z167" s="466"/>
      <c r="AA167" s="466"/>
      <c r="AB167" s="466"/>
      <c r="AC167" s="466"/>
      <c r="AD167" s="466"/>
      <c r="AE167" s="466"/>
      <c r="AF167" s="466"/>
      <c r="AG167" s="466"/>
      <c r="AH167" s="466"/>
      <c r="AI167" s="466"/>
      <c r="AJ167" s="466"/>
      <c r="AK167" s="344"/>
    </row>
    <row r="168" spans="1:38" ht="20.149999999999999" customHeight="1">
      <c r="A168" s="95"/>
      <c r="B168" s="525"/>
      <c r="C168" s="466"/>
      <c r="D168" s="466"/>
      <c r="E168" s="466"/>
      <c r="F168" s="466"/>
      <c r="G168" s="466"/>
      <c r="H168" s="466"/>
      <c r="I168" s="466"/>
      <c r="J168" s="325"/>
      <c r="K168" s="466"/>
      <c r="L168" s="466"/>
      <c r="M168" s="466"/>
      <c r="N168" s="466"/>
      <c r="O168" s="466"/>
      <c r="P168" s="466"/>
      <c r="Q168" s="466"/>
      <c r="R168" s="466"/>
      <c r="S168" s="466"/>
      <c r="T168" s="466"/>
      <c r="U168" s="466"/>
      <c r="V168" s="466"/>
      <c r="W168" s="466"/>
      <c r="X168" s="466"/>
      <c r="Y168" s="466"/>
      <c r="Z168" s="466"/>
      <c r="AA168" s="466"/>
      <c r="AB168" s="466"/>
      <c r="AC168" s="466"/>
      <c r="AD168" s="466"/>
      <c r="AE168" s="466"/>
      <c r="AF168" s="466"/>
      <c r="AG168" s="466"/>
      <c r="AH168" s="466"/>
      <c r="AI168" s="466"/>
      <c r="AJ168" s="466"/>
      <c r="AK168" s="344"/>
      <c r="AL168" s="466"/>
    </row>
    <row r="169" spans="1:38" ht="20.149999999999999" customHeight="1">
      <c r="A169" s="95"/>
      <c r="B169" s="525"/>
      <c r="C169" s="466"/>
      <c r="D169" s="466"/>
      <c r="E169" s="466"/>
      <c r="F169" s="466"/>
      <c r="G169" s="466"/>
      <c r="H169" s="466"/>
      <c r="I169" s="466"/>
      <c r="J169" s="325"/>
      <c r="K169" s="466"/>
      <c r="L169" s="466"/>
      <c r="M169" s="466"/>
      <c r="N169" s="466"/>
      <c r="O169" s="466"/>
      <c r="P169" s="466"/>
      <c r="Q169" s="466"/>
      <c r="R169" s="466"/>
      <c r="S169" s="466"/>
      <c r="T169" s="466"/>
      <c r="U169" s="466"/>
      <c r="V169" s="466"/>
      <c r="W169" s="466"/>
      <c r="X169" s="466"/>
      <c r="Y169" s="466"/>
      <c r="Z169" s="466"/>
      <c r="AA169" s="466"/>
      <c r="AB169" s="466"/>
      <c r="AC169" s="466"/>
      <c r="AD169" s="466"/>
      <c r="AE169" s="466"/>
      <c r="AF169" s="466"/>
      <c r="AG169" s="466"/>
      <c r="AH169" s="466"/>
      <c r="AI169" s="466"/>
      <c r="AJ169" s="466"/>
      <c r="AK169" s="344"/>
      <c r="AL169" s="466"/>
    </row>
    <row r="170" spans="1:38" ht="20.149999999999999" customHeight="1">
      <c r="B170" s="525"/>
      <c r="C170" s="466"/>
      <c r="D170" s="466"/>
      <c r="E170" s="466"/>
      <c r="F170" s="466"/>
      <c r="G170" s="466"/>
      <c r="H170" s="466"/>
      <c r="I170" s="466"/>
      <c r="J170" s="325"/>
      <c r="K170" s="466"/>
      <c r="L170" s="466"/>
      <c r="M170" s="466"/>
      <c r="N170" s="466"/>
      <c r="O170" s="466"/>
      <c r="P170" s="466"/>
      <c r="Q170" s="466"/>
      <c r="R170" s="466"/>
      <c r="S170" s="466"/>
      <c r="T170" s="466"/>
      <c r="U170" s="466"/>
      <c r="V170" s="466"/>
      <c r="W170" s="466"/>
      <c r="X170" s="466"/>
      <c r="Y170" s="466"/>
      <c r="Z170" s="466"/>
      <c r="AA170" s="466"/>
      <c r="AB170" s="466"/>
      <c r="AC170" s="466"/>
      <c r="AD170" s="466"/>
      <c r="AE170" s="466"/>
      <c r="AF170" s="466"/>
      <c r="AG170" s="466"/>
      <c r="AH170" s="466"/>
      <c r="AI170" s="466"/>
      <c r="AJ170" s="466"/>
      <c r="AK170" s="344"/>
      <c r="AL170" s="466"/>
    </row>
    <row r="171" spans="1:38" ht="20.149999999999999" customHeight="1">
      <c r="B171" s="466"/>
      <c r="C171" s="466"/>
      <c r="D171" s="466"/>
      <c r="E171" s="466"/>
      <c r="F171" s="466"/>
      <c r="G171" s="466"/>
      <c r="H171" s="466"/>
      <c r="I171" s="466"/>
      <c r="J171" s="325"/>
      <c r="K171" s="466"/>
      <c r="L171" s="466"/>
      <c r="M171" s="466"/>
      <c r="N171" s="466"/>
      <c r="O171" s="466"/>
      <c r="P171" s="466"/>
      <c r="Q171" s="466"/>
      <c r="R171" s="466"/>
      <c r="S171" s="466"/>
      <c r="T171" s="466"/>
      <c r="U171" s="466"/>
      <c r="V171" s="466"/>
      <c r="W171" s="466"/>
      <c r="X171" s="466"/>
      <c r="Y171" s="466"/>
      <c r="Z171" s="466"/>
      <c r="AA171" s="466"/>
      <c r="AB171" s="466"/>
      <c r="AC171" s="466"/>
      <c r="AD171" s="466"/>
      <c r="AE171" s="466"/>
      <c r="AF171" s="466"/>
      <c r="AG171" s="466"/>
      <c r="AH171" s="466"/>
      <c r="AI171" s="466"/>
      <c r="AJ171" s="466"/>
      <c r="AK171" s="344"/>
      <c r="AL171" s="466"/>
    </row>
    <row r="172" spans="1:38" ht="20.149999999999999" customHeight="1">
      <c r="B172" s="960"/>
      <c r="C172" s="466"/>
      <c r="D172" s="466"/>
      <c r="E172" s="466"/>
      <c r="F172" s="466"/>
      <c r="G172" s="466"/>
      <c r="H172" s="466"/>
      <c r="I172" s="466"/>
      <c r="J172" s="325"/>
      <c r="K172" s="466"/>
      <c r="L172" s="466"/>
      <c r="M172" s="466"/>
      <c r="N172" s="466"/>
      <c r="O172" s="466"/>
      <c r="P172" s="466"/>
      <c r="Q172" s="466"/>
      <c r="R172" s="466"/>
      <c r="S172" s="466"/>
      <c r="T172" s="466"/>
      <c r="U172" s="466"/>
      <c r="V172" s="466"/>
      <c r="W172" s="466"/>
      <c r="X172" s="466"/>
      <c r="Y172" s="466"/>
      <c r="Z172" s="466"/>
      <c r="AA172" s="466"/>
      <c r="AB172" s="466"/>
      <c r="AC172" s="466"/>
      <c r="AD172" s="466"/>
      <c r="AE172" s="466"/>
      <c r="AF172" s="466"/>
      <c r="AG172" s="466"/>
      <c r="AI172" s="95"/>
      <c r="AJ172" s="95"/>
      <c r="AK172" s="404"/>
      <c r="AL172" s="466"/>
    </row>
    <row r="173" spans="1:38" ht="20.149999999999999" customHeight="1">
      <c r="B173" s="466"/>
      <c r="C173" s="466"/>
      <c r="D173" s="466"/>
      <c r="E173" s="466"/>
      <c r="F173" s="466"/>
      <c r="G173" s="466"/>
      <c r="H173" s="466"/>
      <c r="I173" s="466"/>
      <c r="J173" s="325"/>
      <c r="K173" s="466"/>
      <c r="L173" s="466"/>
      <c r="M173" s="466"/>
      <c r="N173" s="466"/>
      <c r="O173" s="466"/>
      <c r="P173" s="466"/>
      <c r="Q173" s="466"/>
      <c r="R173" s="466"/>
      <c r="S173" s="466"/>
      <c r="T173" s="466"/>
      <c r="U173" s="466"/>
      <c r="V173" s="466"/>
      <c r="W173" s="466"/>
      <c r="X173" s="466"/>
      <c r="Y173" s="466"/>
      <c r="Z173" s="466"/>
      <c r="AA173" s="466"/>
      <c r="AB173" s="466"/>
      <c r="AC173" s="466"/>
      <c r="AD173" s="466"/>
      <c r="AE173" s="466"/>
      <c r="AF173" s="466"/>
      <c r="AG173" s="466"/>
      <c r="AI173" s="95"/>
      <c r="AJ173" s="95"/>
      <c r="AK173" s="404"/>
      <c r="AL173" s="466"/>
    </row>
    <row r="174" spans="1:38" ht="20.149999999999999" customHeight="1">
      <c r="B174" s="466"/>
      <c r="C174" s="466"/>
      <c r="D174" s="466"/>
      <c r="E174" s="466"/>
      <c r="F174" s="466"/>
      <c r="G174" s="466"/>
      <c r="H174" s="466"/>
      <c r="I174" s="466"/>
      <c r="J174" s="325"/>
      <c r="K174" s="466"/>
      <c r="L174" s="466"/>
      <c r="M174" s="466"/>
      <c r="N174" s="466"/>
      <c r="O174" s="466"/>
      <c r="P174" s="466"/>
      <c r="Q174" s="466"/>
      <c r="R174" s="466"/>
      <c r="S174" s="466"/>
      <c r="T174" s="466"/>
      <c r="U174" s="466"/>
      <c r="V174" s="466"/>
      <c r="W174" s="466"/>
      <c r="X174" s="466"/>
      <c r="Y174" s="466"/>
      <c r="Z174" s="466"/>
      <c r="AA174" s="466"/>
      <c r="AB174" s="466"/>
      <c r="AC174" s="466"/>
      <c r="AD174" s="466"/>
      <c r="AE174" s="466"/>
      <c r="AF174" s="466"/>
      <c r="AG174" s="466"/>
      <c r="AI174" s="95"/>
      <c r="AJ174" s="95"/>
      <c r="AK174" s="404"/>
      <c r="AL174" s="466"/>
    </row>
    <row r="175" spans="1:38" ht="20.149999999999999" customHeight="1">
      <c r="B175" s="95"/>
      <c r="C175" s="95"/>
      <c r="D175" s="95"/>
      <c r="E175" s="95"/>
      <c r="F175" s="95"/>
      <c r="G175" s="95"/>
      <c r="H175" s="95"/>
      <c r="I175" s="95"/>
      <c r="J175" s="535"/>
      <c r="K175" s="95"/>
      <c r="L175" s="95"/>
      <c r="M175" s="95"/>
      <c r="N175" s="95"/>
      <c r="O175" s="95"/>
      <c r="P175" s="95"/>
      <c r="Q175" s="95"/>
      <c r="R175" s="95"/>
      <c r="S175" s="95"/>
      <c r="T175" s="95"/>
      <c r="U175" s="95"/>
      <c r="V175" s="95"/>
      <c r="W175" s="95"/>
      <c r="X175" s="95"/>
      <c r="Y175" s="95"/>
      <c r="Z175" s="95"/>
      <c r="AA175" s="95"/>
      <c r="AB175" s="95"/>
      <c r="AC175" s="95"/>
      <c r="AD175" s="95"/>
      <c r="AE175" s="95"/>
      <c r="AF175" s="95"/>
      <c r="AG175" s="95"/>
      <c r="AI175" s="95"/>
      <c r="AJ175" s="95"/>
      <c r="AK175" s="404"/>
      <c r="AL175" s="466"/>
    </row>
    <row r="176" spans="1:38" ht="20.149999999999999" customHeight="1">
      <c r="B176" s="95"/>
      <c r="C176" s="95"/>
      <c r="D176" s="95"/>
      <c r="E176" s="95"/>
      <c r="F176" s="95"/>
      <c r="G176" s="95"/>
      <c r="H176" s="95"/>
      <c r="I176" s="95"/>
      <c r="J176" s="535"/>
      <c r="K176" s="95"/>
      <c r="L176" s="95"/>
      <c r="M176" s="95"/>
      <c r="N176" s="95"/>
      <c r="O176" s="95"/>
      <c r="P176" s="95"/>
      <c r="Q176" s="95"/>
      <c r="R176" s="95"/>
      <c r="S176" s="95"/>
      <c r="T176" s="95"/>
      <c r="U176" s="95"/>
      <c r="V176" s="95"/>
      <c r="W176" s="95"/>
      <c r="X176" s="95"/>
      <c r="Y176" s="95"/>
      <c r="Z176" s="95"/>
      <c r="AA176" s="95"/>
      <c r="AB176" s="95"/>
      <c r="AC176" s="95"/>
      <c r="AD176" s="95"/>
      <c r="AE176" s="95"/>
      <c r="AF176" s="95"/>
      <c r="AG176" s="95"/>
    </row>
    <row r="177" spans="2:33" ht="20.149999999999999" customHeight="1">
      <c r="B177" s="95"/>
      <c r="C177" s="95"/>
      <c r="D177" s="95"/>
      <c r="E177" s="95"/>
      <c r="F177" s="95"/>
      <c r="G177" s="95"/>
      <c r="H177" s="95"/>
      <c r="I177" s="95"/>
      <c r="J177" s="535"/>
      <c r="K177" s="95"/>
      <c r="L177" s="95"/>
      <c r="M177" s="95"/>
      <c r="N177" s="95"/>
      <c r="O177" s="95"/>
      <c r="P177" s="95"/>
      <c r="Q177" s="95"/>
      <c r="R177" s="95"/>
      <c r="S177" s="95"/>
      <c r="T177" s="95"/>
      <c r="U177" s="95"/>
      <c r="V177" s="95"/>
      <c r="W177" s="95"/>
      <c r="X177" s="95"/>
      <c r="Y177" s="95"/>
      <c r="Z177" s="95"/>
      <c r="AA177" s="95"/>
      <c r="AB177" s="95"/>
      <c r="AC177" s="95"/>
      <c r="AD177" s="95"/>
      <c r="AE177" s="95"/>
      <c r="AF177" s="95"/>
      <c r="AG177" s="95"/>
    </row>
    <row r="178" spans="2:33" ht="20.149999999999999" customHeight="1">
      <c r="B178" s="95"/>
      <c r="C178" s="95"/>
      <c r="D178" s="95"/>
      <c r="E178" s="95"/>
      <c r="F178" s="95"/>
      <c r="G178" s="95"/>
      <c r="H178" s="95"/>
      <c r="I178" s="95"/>
      <c r="J178" s="535"/>
      <c r="K178" s="95"/>
      <c r="L178" s="95"/>
      <c r="M178" s="95"/>
      <c r="N178" s="95"/>
      <c r="O178" s="95"/>
      <c r="P178" s="95"/>
      <c r="Q178" s="95"/>
      <c r="R178" s="95"/>
      <c r="S178" s="95"/>
      <c r="T178" s="95"/>
      <c r="U178" s="95"/>
      <c r="V178" s="95"/>
      <c r="W178" s="95"/>
      <c r="X178" s="95"/>
      <c r="Y178" s="95"/>
      <c r="Z178" s="95"/>
      <c r="AA178" s="95"/>
      <c r="AB178" s="95"/>
      <c r="AC178" s="95"/>
      <c r="AD178" s="95"/>
      <c r="AE178" s="95"/>
      <c r="AF178" s="95"/>
      <c r="AG178" s="95"/>
    </row>
    <row r="179" spans="2:33" ht="20.149999999999999" customHeight="1">
      <c r="B179" s="95"/>
      <c r="C179" s="95"/>
      <c r="D179" s="95"/>
      <c r="E179" s="95"/>
      <c r="F179" s="95"/>
      <c r="G179" s="95"/>
      <c r="H179" s="95"/>
      <c r="I179" s="95"/>
      <c r="J179" s="535"/>
      <c r="K179" s="95"/>
      <c r="L179" s="95"/>
      <c r="M179" s="95"/>
      <c r="N179" s="95"/>
      <c r="O179" s="95"/>
      <c r="P179" s="95"/>
      <c r="Q179" s="95"/>
      <c r="R179" s="95"/>
      <c r="S179" s="95"/>
      <c r="T179" s="95"/>
      <c r="U179" s="95"/>
      <c r="V179" s="95"/>
      <c r="W179" s="95"/>
      <c r="X179" s="95"/>
      <c r="Y179" s="95"/>
      <c r="Z179" s="95"/>
      <c r="AA179" s="95"/>
      <c r="AB179" s="95"/>
      <c r="AC179" s="95"/>
      <c r="AD179" s="95"/>
      <c r="AE179" s="95"/>
      <c r="AF179" s="95"/>
      <c r="AG179" s="95"/>
    </row>
    <row r="180" spans="2:33">
      <c r="B180" s="95"/>
      <c r="C180" s="95"/>
      <c r="D180" s="95"/>
      <c r="E180" s="95"/>
      <c r="F180" s="95"/>
      <c r="G180" s="95"/>
      <c r="H180" s="95"/>
      <c r="I180" s="95"/>
      <c r="J180" s="535"/>
      <c r="K180" s="95"/>
      <c r="L180" s="95"/>
      <c r="M180" s="95"/>
      <c r="N180" s="95"/>
      <c r="O180" s="95"/>
      <c r="P180" s="95"/>
      <c r="Q180" s="95"/>
      <c r="R180" s="95"/>
      <c r="S180" s="95"/>
      <c r="T180" s="95"/>
      <c r="U180" s="95"/>
      <c r="V180" s="95"/>
      <c r="W180" s="95"/>
      <c r="X180" s="95"/>
      <c r="Y180" s="95"/>
      <c r="Z180" s="95"/>
      <c r="AA180" s="95"/>
      <c r="AB180" s="95"/>
      <c r="AC180" s="95"/>
      <c r="AD180" s="95"/>
      <c r="AE180" s="95"/>
      <c r="AF180" s="95"/>
      <c r="AG180" s="95"/>
    </row>
    <row r="181" spans="2:33">
      <c r="B181" s="95"/>
      <c r="C181" s="95"/>
      <c r="D181" s="95"/>
      <c r="E181" s="95"/>
      <c r="F181" s="95"/>
      <c r="G181" s="95"/>
      <c r="H181" s="95"/>
      <c r="I181" s="95"/>
      <c r="J181" s="535"/>
      <c r="K181" s="95"/>
      <c r="L181" s="95"/>
      <c r="M181" s="95"/>
      <c r="N181" s="95"/>
      <c r="O181" s="95"/>
      <c r="P181" s="95"/>
      <c r="Q181" s="95"/>
      <c r="R181" s="95"/>
      <c r="S181" s="95"/>
      <c r="T181" s="95"/>
      <c r="U181" s="95"/>
      <c r="V181" s="95"/>
      <c r="W181" s="95"/>
      <c r="X181" s="95"/>
      <c r="Y181" s="95"/>
      <c r="Z181" s="95"/>
      <c r="AA181" s="95"/>
      <c r="AB181" s="95"/>
      <c r="AC181" s="95"/>
      <c r="AD181" s="95"/>
      <c r="AE181" s="95"/>
      <c r="AF181" s="95"/>
      <c r="AG181" s="95"/>
    </row>
    <row r="182" spans="2:33">
      <c r="B182" s="95"/>
      <c r="C182" s="95"/>
      <c r="D182" s="95"/>
      <c r="E182" s="95"/>
      <c r="F182" s="95"/>
      <c r="G182" s="95"/>
      <c r="H182" s="95"/>
      <c r="I182" s="95"/>
      <c r="J182" s="535"/>
      <c r="K182" s="95"/>
      <c r="L182" s="95"/>
      <c r="M182" s="95"/>
      <c r="N182" s="95"/>
      <c r="O182" s="95"/>
      <c r="P182" s="95"/>
      <c r="Q182" s="95"/>
      <c r="R182" s="95"/>
      <c r="S182" s="95"/>
      <c r="T182" s="95"/>
      <c r="U182" s="95"/>
      <c r="V182" s="95"/>
      <c r="W182" s="95"/>
      <c r="X182" s="95"/>
      <c r="Y182" s="95"/>
      <c r="Z182" s="95"/>
      <c r="AA182" s="95"/>
      <c r="AB182" s="95"/>
      <c r="AC182" s="95"/>
      <c r="AD182" s="95"/>
      <c r="AE182" s="95"/>
      <c r="AF182" s="95"/>
      <c r="AG182" s="95"/>
    </row>
    <row r="183" spans="2:33">
      <c r="B183" s="95"/>
      <c r="C183" s="95"/>
      <c r="D183" s="95"/>
      <c r="E183" s="95"/>
      <c r="F183" s="95"/>
      <c r="G183" s="95"/>
      <c r="H183" s="95"/>
      <c r="I183" s="95"/>
      <c r="J183" s="535"/>
      <c r="K183" s="95"/>
      <c r="L183" s="95"/>
      <c r="M183" s="95"/>
      <c r="N183" s="95"/>
      <c r="O183" s="95"/>
      <c r="P183" s="95"/>
      <c r="Q183" s="95"/>
      <c r="R183" s="95"/>
      <c r="S183" s="95"/>
      <c r="T183" s="95"/>
      <c r="U183" s="95"/>
      <c r="V183" s="95"/>
      <c r="W183" s="95"/>
      <c r="X183" s="95"/>
      <c r="Y183" s="95"/>
      <c r="Z183" s="95"/>
      <c r="AA183" s="95"/>
      <c r="AB183" s="95"/>
      <c r="AC183" s="95"/>
      <c r="AD183" s="95"/>
      <c r="AE183" s="95"/>
      <c r="AF183" s="95"/>
      <c r="AG183" s="95"/>
    </row>
    <row r="184" spans="2:33">
      <c r="B184" s="95"/>
      <c r="C184" s="95"/>
      <c r="D184" s="95"/>
      <c r="E184" s="95"/>
      <c r="F184" s="95"/>
      <c r="G184" s="95"/>
      <c r="H184" s="95"/>
      <c r="I184" s="95"/>
      <c r="J184" s="535"/>
      <c r="K184" s="95"/>
      <c r="L184" s="95"/>
      <c r="M184" s="95"/>
      <c r="N184" s="95"/>
      <c r="O184" s="95"/>
      <c r="P184" s="95"/>
      <c r="Q184" s="95"/>
      <c r="R184" s="95"/>
      <c r="S184" s="95"/>
      <c r="T184" s="95"/>
      <c r="U184" s="95"/>
      <c r="V184" s="95"/>
      <c r="W184" s="95"/>
      <c r="X184" s="95"/>
      <c r="Y184" s="95"/>
      <c r="Z184" s="95"/>
      <c r="AA184" s="95"/>
      <c r="AB184" s="95"/>
      <c r="AC184" s="95"/>
      <c r="AD184" s="95"/>
      <c r="AE184" s="95"/>
      <c r="AF184" s="95"/>
      <c r="AG184" s="95"/>
    </row>
    <row r="185" spans="2:33">
      <c r="B185" s="95"/>
      <c r="C185" s="95"/>
      <c r="D185" s="95"/>
      <c r="E185" s="95"/>
      <c r="F185" s="95"/>
      <c r="G185" s="95"/>
      <c r="H185" s="95"/>
      <c r="I185" s="95"/>
      <c r="J185" s="535"/>
      <c r="K185" s="95"/>
      <c r="L185" s="95"/>
      <c r="M185" s="95"/>
      <c r="N185" s="95"/>
      <c r="O185" s="95"/>
      <c r="P185" s="95"/>
      <c r="Q185" s="95"/>
      <c r="R185" s="95"/>
      <c r="S185" s="95"/>
      <c r="T185" s="95"/>
      <c r="U185" s="95"/>
      <c r="V185" s="95"/>
      <c r="W185" s="95"/>
      <c r="X185" s="95"/>
      <c r="Y185" s="95"/>
      <c r="Z185" s="95"/>
      <c r="AA185" s="95"/>
      <c r="AB185" s="95"/>
      <c r="AC185" s="95"/>
      <c r="AD185" s="95"/>
      <c r="AE185" s="95"/>
      <c r="AF185" s="95"/>
      <c r="AG185" s="95"/>
    </row>
    <row r="186" spans="2:33">
      <c r="B186" s="95"/>
      <c r="C186" s="95"/>
      <c r="D186" s="95"/>
      <c r="E186" s="95"/>
      <c r="F186" s="95"/>
      <c r="G186" s="95"/>
      <c r="H186" s="95"/>
      <c r="I186" s="95"/>
      <c r="J186" s="535"/>
      <c r="K186" s="95"/>
      <c r="L186" s="95"/>
      <c r="M186" s="95"/>
      <c r="N186" s="95"/>
      <c r="O186" s="95"/>
      <c r="P186" s="95"/>
      <c r="Q186" s="95"/>
      <c r="R186" s="95"/>
      <c r="S186" s="95"/>
      <c r="T186" s="95"/>
      <c r="U186" s="95"/>
      <c r="V186" s="95"/>
      <c r="W186" s="95"/>
      <c r="X186" s="95"/>
      <c r="Y186" s="95"/>
      <c r="Z186" s="95"/>
      <c r="AA186" s="95"/>
      <c r="AB186" s="95"/>
      <c r="AC186" s="95"/>
      <c r="AD186" s="95"/>
      <c r="AE186" s="95"/>
      <c r="AF186" s="95"/>
      <c r="AG186" s="95"/>
    </row>
    <row r="187" spans="2:33">
      <c r="B187" s="95"/>
      <c r="C187" s="95"/>
      <c r="D187" s="95"/>
      <c r="E187" s="95"/>
      <c r="F187" s="95"/>
      <c r="G187" s="95"/>
      <c r="H187" s="95"/>
      <c r="I187" s="95"/>
      <c r="J187" s="535"/>
      <c r="K187" s="95"/>
      <c r="L187" s="95"/>
      <c r="M187" s="95"/>
      <c r="N187" s="95"/>
      <c r="O187" s="95"/>
      <c r="P187" s="95"/>
      <c r="Q187" s="95"/>
      <c r="R187" s="95"/>
      <c r="S187" s="95"/>
      <c r="T187" s="95"/>
      <c r="U187" s="95"/>
      <c r="V187" s="95"/>
      <c r="W187" s="95"/>
      <c r="X187" s="95"/>
      <c r="Y187" s="95"/>
      <c r="Z187" s="95"/>
      <c r="AA187" s="95"/>
      <c r="AB187" s="95"/>
      <c r="AC187" s="95"/>
      <c r="AD187" s="95"/>
      <c r="AE187" s="95"/>
      <c r="AF187" s="95"/>
      <c r="AG187" s="95"/>
    </row>
    <row r="188" spans="2:33">
      <c r="B188" s="95"/>
      <c r="C188" s="95"/>
      <c r="D188" s="95"/>
      <c r="E188" s="95"/>
      <c r="F188" s="95"/>
      <c r="G188" s="95"/>
      <c r="H188" s="95"/>
      <c r="I188" s="95"/>
      <c r="J188" s="535"/>
      <c r="K188" s="95"/>
      <c r="L188" s="95"/>
      <c r="M188" s="95"/>
      <c r="N188" s="95"/>
      <c r="O188" s="95"/>
      <c r="P188" s="95"/>
      <c r="Q188" s="95"/>
      <c r="R188" s="95"/>
      <c r="S188" s="95"/>
      <c r="T188" s="95"/>
      <c r="U188" s="95"/>
      <c r="V188" s="95"/>
      <c r="W188" s="95"/>
      <c r="X188" s="95"/>
      <c r="Y188" s="95"/>
      <c r="Z188" s="95"/>
      <c r="AA188" s="95"/>
      <c r="AB188" s="95"/>
      <c r="AC188" s="95"/>
      <c r="AD188" s="95"/>
      <c r="AE188" s="95"/>
      <c r="AF188" s="95"/>
      <c r="AG188" s="95"/>
    </row>
    <row r="189" spans="2:33">
      <c r="B189" s="95"/>
      <c r="C189" s="95"/>
      <c r="D189" s="95"/>
      <c r="E189" s="95"/>
      <c r="F189" s="95"/>
      <c r="G189" s="95"/>
      <c r="H189" s="95"/>
      <c r="I189" s="95"/>
      <c r="J189" s="535"/>
      <c r="K189" s="95"/>
      <c r="L189" s="95"/>
      <c r="M189" s="95"/>
      <c r="N189" s="95"/>
      <c r="O189" s="95"/>
      <c r="P189" s="95"/>
      <c r="Q189" s="95"/>
      <c r="R189" s="95"/>
      <c r="S189" s="95"/>
      <c r="T189" s="95"/>
      <c r="U189" s="95"/>
      <c r="V189" s="95"/>
      <c r="W189" s="95"/>
      <c r="X189" s="95"/>
      <c r="Y189" s="95"/>
      <c r="Z189" s="95"/>
      <c r="AA189" s="95"/>
      <c r="AB189" s="95"/>
      <c r="AC189" s="95"/>
      <c r="AD189" s="95"/>
      <c r="AE189" s="95"/>
      <c r="AF189" s="95"/>
      <c r="AG189" s="95"/>
    </row>
    <row r="190" spans="2:33">
      <c r="B190" s="95"/>
      <c r="C190" s="95"/>
      <c r="D190" s="95"/>
      <c r="E190" s="95"/>
      <c r="F190" s="95"/>
      <c r="G190" s="95"/>
      <c r="H190" s="95"/>
      <c r="I190" s="95"/>
      <c r="J190" s="535"/>
      <c r="K190" s="95"/>
      <c r="L190" s="95"/>
      <c r="M190" s="95"/>
      <c r="N190" s="95"/>
      <c r="O190" s="95"/>
      <c r="P190" s="95"/>
      <c r="Q190" s="95"/>
      <c r="R190" s="95"/>
      <c r="S190" s="95"/>
      <c r="T190" s="95"/>
      <c r="U190" s="95"/>
      <c r="V190" s="95"/>
      <c r="W190" s="95"/>
      <c r="X190" s="95"/>
      <c r="Y190" s="95"/>
      <c r="Z190" s="95"/>
      <c r="AA190" s="95"/>
      <c r="AB190" s="95"/>
      <c r="AC190" s="95"/>
      <c r="AD190" s="95"/>
      <c r="AE190" s="95"/>
      <c r="AF190" s="95"/>
      <c r="AG190" s="95"/>
    </row>
    <row r="191" spans="2:33">
      <c r="B191" s="95"/>
      <c r="C191" s="95"/>
      <c r="D191" s="95"/>
      <c r="E191" s="95"/>
      <c r="F191" s="95"/>
      <c r="G191" s="95"/>
      <c r="H191" s="95"/>
      <c r="I191" s="95"/>
      <c r="J191" s="535"/>
      <c r="K191" s="95"/>
      <c r="L191" s="95"/>
      <c r="M191" s="95"/>
      <c r="N191" s="95"/>
      <c r="O191" s="95"/>
      <c r="P191" s="95"/>
      <c r="Q191" s="95"/>
      <c r="R191" s="95"/>
      <c r="S191" s="95"/>
      <c r="T191" s="95"/>
      <c r="U191" s="95"/>
      <c r="V191" s="95"/>
      <c r="W191" s="95"/>
      <c r="X191" s="95"/>
      <c r="Y191" s="95"/>
      <c r="Z191" s="95"/>
      <c r="AA191" s="95"/>
      <c r="AB191" s="95"/>
      <c r="AC191" s="95"/>
      <c r="AD191" s="95"/>
      <c r="AE191" s="95"/>
      <c r="AF191" s="95"/>
      <c r="AG191" s="95"/>
    </row>
    <row r="192" spans="2:33">
      <c r="B192" s="95"/>
      <c r="C192" s="95"/>
      <c r="D192" s="95"/>
      <c r="E192" s="95"/>
      <c r="F192" s="95"/>
      <c r="G192" s="95"/>
      <c r="H192" s="95"/>
      <c r="I192" s="95"/>
      <c r="J192" s="535"/>
      <c r="K192" s="95"/>
      <c r="L192" s="95"/>
      <c r="M192" s="95"/>
      <c r="N192" s="95"/>
      <c r="O192" s="95"/>
      <c r="P192" s="95"/>
      <c r="Q192" s="95"/>
      <c r="R192" s="95"/>
      <c r="S192" s="95"/>
      <c r="T192" s="95"/>
      <c r="U192" s="95"/>
      <c r="V192" s="95"/>
      <c r="W192" s="95"/>
      <c r="X192" s="95"/>
      <c r="Y192" s="95"/>
      <c r="Z192" s="95"/>
      <c r="AA192" s="95"/>
      <c r="AB192" s="95"/>
      <c r="AC192" s="95"/>
      <c r="AD192" s="95"/>
      <c r="AE192" s="95"/>
      <c r="AF192" s="95"/>
      <c r="AG192" s="95"/>
    </row>
    <row r="193" spans="2:33">
      <c r="B193" s="95"/>
      <c r="C193" s="95"/>
      <c r="D193" s="95"/>
      <c r="E193" s="95"/>
      <c r="F193" s="95"/>
      <c r="G193" s="95"/>
      <c r="H193" s="95"/>
      <c r="I193" s="95"/>
      <c r="J193" s="535"/>
      <c r="K193" s="95"/>
      <c r="L193" s="95"/>
      <c r="M193" s="95"/>
      <c r="N193" s="95"/>
      <c r="O193" s="95"/>
      <c r="P193" s="95"/>
      <c r="Q193" s="95"/>
      <c r="R193" s="95"/>
      <c r="S193" s="95"/>
      <c r="T193" s="95"/>
      <c r="U193" s="95"/>
      <c r="V193" s="95"/>
      <c r="W193" s="95"/>
      <c r="X193" s="95"/>
      <c r="Y193" s="95"/>
      <c r="Z193" s="95"/>
      <c r="AA193" s="95"/>
      <c r="AB193" s="95"/>
      <c r="AC193" s="95"/>
      <c r="AD193" s="95"/>
      <c r="AE193" s="95"/>
      <c r="AF193" s="95"/>
      <c r="AG193" s="95"/>
    </row>
    <row r="194" spans="2:33">
      <c r="B194" s="95"/>
      <c r="C194" s="95"/>
      <c r="D194" s="95"/>
      <c r="E194" s="95"/>
      <c r="F194" s="95"/>
      <c r="G194" s="95"/>
      <c r="H194" s="95"/>
      <c r="I194" s="95"/>
      <c r="J194" s="535"/>
      <c r="K194" s="95"/>
      <c r="L194" s="95"/>
      <c r="M194" s="95"/>
      <c r="N194" s="95"/>
      <c r="O194" s="95"/>
      <c r="P194" s="95"/>
      <c r="Q194" s="95"/>
      <c r="R194" s="95"/>
      <c r="S194" s="95"/>
      <c r="T194" s="95"/>
      <c r="U194" s="95"/>
      <c r="V194" s="95"/>
      <c r="W194" s="95"/>
      <c r="X194" s="95"/>
      <c r="Y194" s="95"/>
      <c r="Z194" s="95"/>
      <c r="AA194" s="95"/>
      <c r="AB194" s="95"/>
      <c r="AC194" s="95"/>
      <c r="AD194" s="95"/>
      <c r="AE194" s="95"/>
      <c r="AF194" s="95"/>
      <c r="AG194" s="95"/>
    </row>
    <row r="195" spans="2:33">
      <c r="B195" s="95"/>
      <c r="C195" s="95"/>
      <c r="D195" s="95"/>
      <c r="E195" s="95"/>
      <c r="F195" s="95"/>
      <c r="G195" s="95"/>
      <c r="H195" s="95"/>
      <c r="I195" s="95"/>
      <c r="J195" s="535"/>
      <c r="K195" s="95"/>
      <c r="L195" s="95"/>
      <c r="M195" s="95"/>
      <c r="N195" s="95"/>
      <c r="O195" s="95"/>
      <c r="P195" s="95"/>
      <c r="Q195" s="95"/>
      <c r="R195" s="95"/>
      <c r="S195" s="95"/>
      <c r="T195" s="95"/>
      <c r="U195" s="95"/>
      <c r="V195" s="95"/>
      <c r="W195" s="95"/>
      <c r="X195" s="95"/>
      <c r="Y195" s="95"/>
      <c r="Z195" s="95"/>
      <c r="AA195" s="95"/>
      <c r="AB195" s="95"/>
      <c r="AC195" s="95"/>
      <c r="AD195" s="95"/>
      <c r="AE195" s="95"/>
      <c r="AF195" s="95"/>
      <c r="AG195" s="95"/>
    </row>
    <row r="196" spans="2:33">
      <c r="B196" s="95"/>
      <c r="C196" s="95"/>
      <c r="D196" s="95"/>
      <c r="E196" s="95"/>
      <c r="F196" s="95"/>
      <c r="G196" s="95"/>
      <c r="H196" s="95"/>
      <c r="I196" s="95"/>
      <c r="J196" s="535"/>
      <c r="K196" s="95"/>
      <c r="L196" s="95"/>
      <c r="M196" s="95"/>
      <c r="N196" s="95"/>
      <c r="O196" s="95"/>
      <c r="P196" s="95"/>
      <c r="Q196" s="95"/>
      <c r="R196" s="95"/>
      <c r="S196" s="95"/>
      <c r="T196" s="95"/>
      <c r="U196" s="95"/>
      <c r="V196" s="95"/>
      <c r="W196" s="95"/>
      <c r="X196" s="95"/>
      <c r="Y196" s="95"/>
      <c r="Z196" s="95"/>
      <c r="AA196" s="95"/>
      <c r="AB196" s="95"/>
      <c r="AC196" s="95"/>
      <c r="AD196" s="95"/>
      <c r="AE196" s="95"/>
      <c r="AF196" s="95"/>
      <c r="AG196" s="95"/>
    </row>
    <row r="197" spans="2:33">
      <c r="B197" s="95"/>
      <c r="C197" s="95"/>
      <c r="D197" s="95"/>
      <c r="E197" s="95"/>
      <c r="F197" s="95"/>
      <c r="G197" s="95"/>
      <c r="H197" s="95"/>
      <c r="I197" s="95"/>
      <c r="J197" s="535"/>
      <c r="K197" s="95"/>
      <c r="L197" s="95"/>
      <c r="M197" s="95"/>
      <c r="N197" s="95"/>
      <c r="O197" s="95"/>
      <c r="P197" s="95"/>
      <c r="Q197" s="95"/>
      <c r="R197" s="95"/>
      <c r="S197" s="95"/>
      <c r="T197" s="95"/>
      <c r="U197" s="95"/>
      <c r="V197" s="95"/>
      <c r="W197" s="95"/>
      <c r="X197" s="95"/>
      <c r="Y197" s="95"/>
      <c r="Z197" s="95"/>
      <c r="AA197" s="95"/>
      <c r="AB197" s="95"/>
      <c r="AC197" s="95"/>
      <c r="AD197" s="95"/>
      <c r="AE197" s="95"/>
      <c r="AF197" s="95"/>
      <c r="AG197" s="95"/>
    </row>
    <row r="198" spans="2:33">
      <c r="B198" s="95"/>
      <c r="C198" s="95"/>
      <c r="D198" s="95"/>
      <c r="E198" s="95"/>
      <c r="F198" s="95"/>
      <c r="G198" s="95"/>
      <c r="H198" s="95"/>
      <c r="I198" s="95"/>
      <c r="J198" s="535"/>
      <c r="K198" s="95"/>
      <c r="L198" s="95"/>
      <c r="M198" s="95"/>
      <c r="N198" s="95"/>
      <c r="O198" s="95"/>
      <c r="P198" s="95"/>
      <c r="Q198" s="95"/>
      <c r="R198" s="95"/>
      <c r="S198" s="95"/>
      <c r="T198" s="95"/>
      <c r="U198" s="95"/>
      <c r="V198" s="95"/>
      <c r="W198" s="95"/>
      <c r="X198" s="95"/>
      <c r="Y198" s="95"/>
      <c r="Z198" s="95"/>
      <c r="AA198" s="95"/>
      <c r="AB198" s="95"/>
      <c r="AC198" s="95"/>
      <c r="AD198" s="95"/>
      <c r="AE198" s="95"/>
      <c r="AF198" s="95"/>
      <c r="AG198" s="95"/>
    </row>
    <row r="199" spans="2:33">
      <c r="B199" s="95"/>
      <c r="C199" s="95"/>
      <c r="D199" s="95"/>
      <c r="E199" s="95"/>
      <c r="F199" s="95"/>
      <c r="G199" s="95"/>
      <c r="H199" s="95"/>
      <c r="I199" s="95"/>
      <c r="J199" s="535"/>
      <c r="K199" s="95"/>
      <c r="L199" s="95"/>
      <c r="M199" s="95"/>
      <c r="N199" s="95"/>
      <c r="O199" s="95"/>
      <c r="P199" s="95"/>
      <c r="Q199" s="95"/>
      <c r="R199" s="95"/>
      <c r="S199" s="95"/>
      <c r="T199" s="95"/>
      <c r="U199" s="95"/>
      <c r="V199" s="95"/>
      <c r="W199" s="95"/>
      <c r="X199" s="95"/>
      <c r="Y199" s="95"/>
      <c r="Z199" s="95"/>
      <c r="AA199" s="95"/>
      <c r="AB199" s="95"/>
      <c r="AC199" s="95"/>
      <c r="AD199" s="95"/>
      <c r="AE199" s="95"/>
      <c r="AF199" s="95"/>
      <c r="AG199" s="95"/>
    </row>
    <row r="200" spans="2:33">
      <c r="B200" s="95"/>
      <c r="C200" s="95"/>
      <c r="D200" s="95"/>
      <c r="E200" s="95"/>
      <c r="F200" s="95"/>
      <c r="G200" s="95"/>
      <c r="H200" s="95"/>
      <c r="I200" s="95"/>
      <c r="J200" s="535"/>
      <c r="K200" s="95"/>
      <c r="L200" s="95"/>
      <c r="M200" s="95"/>
      <c r="N200" s="95"/>
      <c r="O200" s="95"/>
      <c r="P200" s="95"/>
      <c r="Q200" s="95"/>
      <c r="R200" s="95"/>
      <c r="S200" s="95"/>
      <c r="T200" s="95"/>
      <c r="U200" s="95"/>
      <c r="V200" s="95"/>
      <c r="W200" s="95"/>
      <c r="X200" s="95"/>
      <c r="Y200" s="95"/>
      <c r="Z200" s="95"/>
      <c r="AA200" s="95"/>
      <c r="AB200" s="95"/>
      <c r="AC200" s="95"/>
      <c r="AD200" s="95"/>
      <c r="AE200" s="95"/>
      <c r="AF200" s="95"/>
      <c r="AG200" s="95"/>
    </row>
    <row r="201" spans="2:33">
      <c r="B201" s="95"/>
      <c r="C201" s="95"/>
      <c r="D201" s="95"/>
      <c r="E201" s="95"/>
      <c r="F201" s="95"/>
      <c r="G201" s="95"/>
      <c r="H201" s="95"/>
      <c r="I201" s="95"/>
      <c r="J201" s="535"/>
      <c r="K201" s="95"/>
      <c r="L201" s="95"/>
      <c r="M201" s="95"/>
      <c r="N201" s="95"/>
      <c r="O201" s="95"/>
      <c r="P201" s="95"/>
      <c r="Q201" s="95"/>
      <c r="R201" s="95"/>
      <c r="S201" s="95"/>
      <c r="T201" s="95"/>
      <c r="U201" s="95"/>
      <c r="V201" s="95"/>
      <c r="W201" s="95"/>
      <c r="X201" s="95"/>
      <c r="Y201" s="95"/>
      <c r="Z201" s="95"/>
      <c r="AA201" s="95"/>
      <c r="AB201" s="95"/>
      <c r="AC201" s="95"/>
      <c r="AD201" s="95"/>
      <c r="AE201" s="95"/>
      <c r="AF201" s="95"/>
      <c r="AG201" s="95"/>
    </row>
    <row r="202" spans="2:33">
      <c r="B202" s="95"/>
      <c r="C202" s="95"/>
      <c r="D202" s="95"/>
      <c r="E202" s="95"/>
      <c r="F202" s="95"/>
      <c r="G202" s="95"/>
      <c r="H202" s="95"/>
      <c r="I202" s="95"/>
      <c r="J202" s="535"/>
      <c r="K202" s="95"/>
      <c r="L202" s="95"/>
      <c r="M202" s="95"/>
      <c r="N202" s="95"/>
      <c r="O202" s="95"/>
      <c r="P202" s="95"/>
      <c r="Q202" s="95"/>
      <c r="R202" s="95"/>
      <c r="S202" s="95"/>
      <c r="T202" s="95"/>
      <c r="U202" s="95"/>
      <c r="V202" s="95"/>
      <c r="W202" s="95"/>
      <c r="X202" s="95"/>
      <c r="Y202" s="95"/>
      <c r="Z202" s="95"/>
      <c r="AA202" s="95"/>
      <c r="AB202" s="95"/>
      <c r="AC202" s="95"/>
      <c r="AD202" s="95"/>
      <c r="AE202" s="95"/>
      <c r="AF202" s="95"/>
      <c r="AG202" s="95"/>
    </row>
    <row r="203" spans="2:33">
      <c r="B203" s="95"/>
      <c r="C203" s="95"/>
      <c r="D203" s="95"/>
      <c r="E203" s="95"/>
      <c r="F203" s="95"/>
      <c r="G203" s="95"/>
      <c r="H203" s="95"/>
      <c r="I203" s="95"/>
      <c r="J203" s="535"/>
      <c r="K203" s="95"/>
      <c r="L203" s="95"/>
      <c r="M203" s="95"/>
      <c r="N203" s="95"/>
      <c r="O203" s="95"/>
      <c r="P203" s="95"/>
      <c r="Q203" s="95"/>
      <c r="R203" s="95"/>
      <c r="S203" s="95"/>
      <c r="T203" s="95"/>
      <c r="U203" s="95"/>
      <c r="V203" s="95"/>
      <c r="W203" s="95"/>
      <c r="X203" s="95"/>
      <c r="Y203" s="95"/>
      <c r="Z203" s="95"/>
      <c r="AA203" s="95"/>
      <c r="AB203" s="95"/>
      <c r="AC203" s="95"/>
      <c r="AD203" s="95"/>
      <c r="AE203" s="95"/>
      <c r="AF203" s="95"/>
      <c r="AG203" s="95"/>
    </row>
    <row r="204" spans="2:33">
      <c r="B204" s="95"/>
      <c r="C204" s="95"/>
      <c r="D204" s="95"/>
      <c r="E204" s="95"/>
      <c r="F204" s="95"/>
      <c r="G204" s="95"/>
      <c r="H204" s="95"/>
      <c r="I204" s="95"/>
      <c r="J204" s="535"/>
      <c r="K204" s="95"/>
      <c r="L204" s="95"/>
      <c r="M204" s="95"/>
      <c r="N204" s="95"/>
      <c r="O204" s="95"/>
      <c r="P204" s="95"/>
      <c r="Q204" s="95"/>
      <c r="R204" s="95"/>
      <c r="S204" s="95"/>
      <c r="T204" s="95"/>
      <c r="U204" s="95"/>
      <c r="V204" s="95"/>
      <c r="W204" s="95"/>
      <c r="X204" s="95"/>
      <c r="Y204" s="95"/>
      <c r="Z204" s="95"/>
      <c r="AA204" s="95"/>
      <c r="AB204" s="95"/>
      <c r="AC204" s="95"/>
      <c r="AD204" s="95"/>
      <c r="AE204" s="95"/>
      <c r="AF204" s="95"/>
      <c r="AG204" s="95"/>
    </row>
    <row r="205" spans="2:33">
      <c r="B205" s="95"/>
      <c r="C205" s="95"/>
      <c r="D205" s="95"/>
      <c r="E205" s="95"/>
      <c r="F205" s="95"/>
      <c r="G205" s="95"/>
      <c r="H205" s="95"/>
      <c r="I205" s="95"/>
      <c r="J205" s="535"/>
      <c r="K205" s="95"/>
      <c r="L205" s="95"/>
      <c r="M205" s="95"/>
      <c r="N205" s="95"/>
      <c r="O205" s="95"/>
      <c r="P205" s="95"/>
      <c r="Q205" s="95"/>
      <c r="R205" s="95"/>
      <c r="S205" s="95"/>
      <c r="T205" s="95"/>
      <c r="U205" s="95"/>
      <c r="V205" s="95"/>
      <c r="W205" s="95"/>
      <c r="X205" s="95"/>
      <c r="Y205" s="95"/>
      <c r="Z205" s="95"/>
      <c r="AA205" s="95"/>
      <c r="AB205" s="95"/>
      <c r="AC205" s="95"/>
      <c r="AD205" s="95"/>
      <c r="AE205" s="95"/>
      <c r="AF205" s="95"/>
      <c r="AG205" s="95"/>
    </row>
    <row r="206" spans="2:33">
      <c r="B206" s="95"/>
      <c r="C206" s="95"/>
      <c r="D206" s="95"/>
      <c r="E206" s="95"/>
      <c r="F206" s="95"/>
      <c r="G206" s="95"/>
      <c r="H206" s="95"/>
      <c r="I206" s="95"/>
      <c r="J206" s="535"/>
      <c r="K206" s="95"/>
      <c r="L206" s="95"/>
      <c r="M206" s="95"/>
      <c r="N206" s="95"/>
      <c r="O206" s="95"/>
      <c r="P206" s="95"/>
      <c r="Q206" s="95"/>
      <c r="R206" s="95"/>
      <c r="S206" s="95"/>
      <c r="T206" s="95"/>
      <c r="U206" s="95"/>
      <c r="V206" s="95"/>
      <c r="W206" s="95"/>
      <c r="X206" s="95"/>
      <c r="Y206" s="95"/>
      <c r="Z206" s="95"/>
      <c r="AA206" s="95"/>
      <c r="AB206" s="95"/>
      <c r="AC206" s="95"/>
      <c r="AD206" s="95"/>
      <c r="AE206" s="95"/>
      <c r="AF206" s="95"/>
      <c r="AG206" s="95"/>
    </row>
    <row r="207" spans="2:33">
      <c r="B207" s="95"/>
      <c r="C207" s="95"/>
      <c r="D207" s="95"/>
      <c r="E207" s="95"/>
      <c r="F207" s="95"/>
      <c r="G207" s="95"/>
      <c r="H207" s="95"/>
      <c r="I207" s="95"/>
      <c r="J207" s="535"/>
      <c r="K207" s="95"/>
      <c r="L207" s="95"/>
      <c r="M207" s="95"/>
      <c r="N207" s="95"/>
      <c r="O207" s="95"/>
      <c r="P207" s="95"/>
      <c r="Q207" s="95"/>
      <c r="R207" s="95"/>
      <c r="S207" s="95"/>
      <c r="T207" s="95"/>
      <c r="U207" s="95"/>
      <c r="V207" s="95"/>
      <c r="W207" s="95"/>
      <c r="X207" s="95"/>
      <c r="Y207" s="95"/>
      <c r="Z207" s="95"/>
      <c r="AA207" s="95"/>
      <c r="AB207" s="95"/>
      <c r="AC207" s="95"/>
      <c r="AD207" s="95"/>
      <c r="AE207" s="95"/>
      <c r="AF207" s="95"/>
      <c r="AG207" s="95"/>
    </row>
    <row r="208" spans="2:33">
      <c r="B208" s="95"/>
      <c r="C208" s="95"/>
      <c r="D208" s="95"/>
      <c r="E208" s="95"/>
      <c r="F208" s="95"/>
      <c r="G208" s="95"/>
      <c r="H208" s="95"/>
      <c r="I208" s="95"/>
      <c r="J208" s="535"/>
      <c r="K208" s="95"/>
      <c r="L208" s="95"/>
      <c r="M208" s="95"/>
      <c r="N208" s="95"/>
      <c r="O208" s="95"/>
      <c r="P208" s="95"/>
      <c r="Q208" s="95"/>
      <c r="R208" s="95"/>
      <c r="S208" s="95"/>
      <c r="T208" s="95"/>
      <c r="U208" s="95"/>
      <c r="V208" s="95"/>
      <c r="W208" s="95"/>
      <c r="X208" s="95"/>
      <c r="Y208" s="95"/>
      <c r="Z208" s="95"/>
      <c r="AA208" s="95"/>
      <c r="AB208" s="95"/>
      <c r="AC208" s="95"/>
      <c r="AD208" s="95"/>
      <c r="AE208" s="95"/>
      <c r="AF208" s="95"/>
      <c r="AG208" s="95"/>
    </row>
    <row r="209" spans="2:33">
      <c r="B209" s="95"/>
      <c r="C209" s="95"/>
      <c r="D209" s="95"/>
      <c r="E209" s="95"/>
      <c r="F209" s="95"/>
      <c r="G209" s="95"/>
      <c r="H209" s="95"/>
      <c r="I209" s="95"/>
      <c r="J209" s="535"/>
      <c r="K209" s="95"/>
      <c r="L209" s="95"/>
      <c r="M209" s="95"/>
      <c r="N209" s="95"/>
      <c r="O209" s="95"/>
      <c r="P209" s="95"/>
      <c r="Q209" s="95"/>
      <c r="R209" s="95"/>
      <c r="S209" s="95"/>
      <c r="T209" s="95"/>
      <c r="U209" s="95"/>
      <c r="V209" s="95"/>
      <c r="W209" s="95"/>
      <c r="X209" s="95"/>
      <c r="Y209" s="95"/>
      <c r="Z209" s="95"/>
      <c r="AA209" s="95"/>
      <c r="AB209" s="95"/>
      <c r="AC209" s="95"/>
      <c r="AD209" s="95"/>
      <c r="AE209" s="95"/>
      <c r="AF209" s="95"/>
      <c r="AG209" s="95"/>
    </row>
    <row r="210" spans="2:33">
      <c r="B210" s="95"/>
      <c r="C210" s="95"/>
      <c r="D210" s="95"/>
      <c r="E210" s="95"/>
      <c r="F210" s="95"/>
      <c r="G210" s="95"/>
      <c r="H210" s="95"/>
      <c r="I210" s="95"/>
      <c r="J210" s="535"/>
      <c r="K210" s="95"/>
      <c r="L210" s="95"/>
      <c r="M210" s="95"/>
      <c r="N210" s="95"/>
      <c r="O210" s="95"/>
      <c r="P210" s="95"/>
      <c r="Q210" s="95"/>
      <c r="R210" s="95"/>
      <c r="S210" s="95"/>
      <c r="T210" s="95"/>
      <c r="U210" s="95"/>
      <c r="V210" s="95"/>
      <c r="W210" s="95"/>
      <c r="X210" s="95"/>
      <c r="Y210" s="95"/>
      <c r="Z210" s="95"/>
      <c r="AA210" s="95"/>
      <c r="AB210" s="95"/>
      <c r="AC210" s="95"/>
      <c r="AD210" s="95"/>
      <c r="AE210" s="95"/>
      <c r="AF210" s="95"/>
      <c r="AG210" s="95"/>
    </row>
    <row r="211" spans="2:33">
      <c r="B211" s="95"/>
      <c r="C211" s="95"/>
      <c r="D211" s="95"/>
      <c r="E211" s="95"/>
      <c r="F211" s="95"/>
      <c r="G211" s="95"/>
      <c r="H211" s="95"/>
      <c r="I211" s="95"/>
      <c r="J211" s="535"/>
      <c r="K211" s="95"/>
      <c r="L211" s="95"/>
      <c r="M211" s="95"/>
      <c r="N211" s="95"/>
      <c r="O211" s="95"/>
      <c r="P211" s="95"/>
      <c r="Q211" s="95"/>
      <c r="R211" s="95"/>
      <c r="S211" s="95"/>
      <c r="T211" s="95"/>
      <c r="U211" s="95"/>
      <c r="V211" s="95"/>
      <c r="W211" s="95"/>
      <c r="X211" s="95"/>
      <c r="Y211" s="95"/>
      <c r="Z211" s="95"/>
      <c r="AA211" s="95"/>
      <c r="AB211" s="95"/>
      <c r="AC211" s="95"/>
      <c r="AD211" s="95"/>
      <c r="AE211" s="95"/>
      <c r="AF211" s="95"/>
      <c r="AG211" s="95"/>
    </row>
    <row r="212" spans="2:33">
      <c r="B212" s="95"/>
      <c r="C212" s="95"/>
      <c r="D212" s="95"/>
      <c r="E212" s="95"/>
      <c r="F212" s="95"/>
      <c r="G212" s="95"/>
      <c r="H212" s="95"/>
      <c r="I212" s="95"/>
      <c r="J212" s="535"/>
      <c r="K212" s="95"/>
      <c r="L212" s="95"/>
      <c r="M212" s="95"/>
      <c r="N212" s="95"/>
      <c r="O212" s="95"/>
      <c r="P212" s="95"/>
      <c r="Q212" s="95"/>
      <c r="R212" s="95"/>
      <c r="S212" s="95"/>
      <c r="T212" s="95"/>
      <c r="U212" s="95"/>
      <c r="V212" s="95"/>
      <c r="W212" s="95"/>
      <c r="X212" s="95"/>
      <c r="Y212" s="95"/>
      <c r="Z212" s="95"/>
      <c r="AA212" s="95"/>
      <c r="AB212" s="95"/>
      <c r="AC212" s="95"/>
      <c r="AD212" s="95"/>
      <c r="AE212" s="95"/>
      <c r="AF212" s="95"/>
      <c r="AG212" s="95"/>
    </row>
    <row r="213" spans="2:33">
      <c r="B213" s="95"/>
      <c r="C213" s="95"/>
      <c r="D213" s="95"/>
      <c r="E213" s="95"/>
      <c r="F213" s="95"/>
      <c r="G213" s="95"/>
      <c r="H213" s="95"/>
      <c r="I213" s="95"/>
      <c r="J213" s="535"/>
      <c r="K213" s="95"/>
      <c r="L213" s="95"/>
      <c r="M213" s="95"/>
      <c r="N213" s="95"/>
      <c r="O213" s="95"/>
      <c r="P213" s="95"/>
      <c r="Q213" s="95"/>
      <c r="R213" s="95"/>
      <c r="S213" s="95"/>
      <c r="T213" s="95"/>
      <c r="U213" s="95"/>
      <c r="V213" s="95"/>
      <c r="W213" s="95"/>
      <c r="X213" s="95"/>
      <c r="Y213" s="95"/>
      <c r="Z213" s="95"/>
      <c r="AA213" s="95"/>
      <c r="AB213" s="95"/>
      <c r="AC213" s="95"/>
      <c r="AD213" s="95"/>
      <c r="AE213" s="95"/>
      <c r="AF213" s="95"/>
      <c r="AG213" s="95"/>
    </row>
    <row r="214" spans="2:33">
      <c r="B214" s="95"/>
      <c r="C214" s="95"/>
      <c r="D214" s="95"/>
      <c r="E214" s="95"/>
      <c r="F214" s="95"/>
      <c r="G214" s="95"/>
      <c r="H214" s="95"/>
      <c r="I214" s="95"/>
      <c r="J214" s="535"/>
      <c r="K214" s="95"/>
      <c r="L214" s="95"/>
      <c r="M214" s="95"/>
      <c r="N214" s="95"/>
      <c r="O214" s="95"/>
      <c r="P214" s="95"/>
      <c r="Q214" s="95"/>
      <c r="R214" s="95"/>
      <c r="S214" s="95"/>
      <c r="T214" s="95"/>
      <c r="U214" s="95"/>
      <c r="V214" s="95"/>
      <c r="W214" s="95"/>
      <c r="X214" s="95"/>
      <c r="Y214" s="95"/>
      <c r="Z214" s="95"/>
      <c r="AA214" s="95"/>
      <c r="AB214" s="95"/>
      <c r="AC214" s="95"/>
      <c r="AD214" s="95"/>
      <c r="AE214" s="95"/>
      <c r="AF214" s="95"/>
      <c r="AG214" s="95"/>
    </row>
    <row r="215" spans="2:33">
      <c r="B215" s="95"/>
      <c r="C215" s="95"/>
      <c r="D215" s="95"/>
      <c r="E215" s="95"/>
      <c r="F215" s="95"/>
      <c r="G215" s="95"/>
      <c r="H215" s="95"/>
      <c r="I215" s="95"/>
      <c r="J215" s="535"/>
      <c r="K215" s="95"/>
      <c r="L215" s="95"/>
      <c r="M215" s="95"/>
      <c r="N215" s="95"/>
      <c r="O215" s="95"/>
      <c r="P215" s="95"/>
      <c r="Q215" s="95"/>
      <c r="R215" s="95"/>
      <c r="S215" s="95"/>
      <c r="T215" s="95"/>
      <c r="U215" s="95"/>
      <c r="V215" s="95"/>
      <c r="W215" s="95"/>
      <c r="X215" s="95"/>
      <c r="Y215" s="95"/>
      <c r="Z215" s="95"/>
      <c r="AA215" s="95"/>
      <c r="AB215" s="95"/>
      <c r="AC215" s="95"/>
      <c r="AD215" s="95"/>
      <c r="AE215" s="95"/>
      <c r="AF215" s="95"/>
      <c r="AG215" s="95"/>
    </row>
    <row r="216" spans="2:33">
      <c r="B216" s="95"/>
      <c r="C216" s="95"/>
      <c r="D216" s="95"/>
      <c r="E216" s="95"/>
      <c r="F216" s="95"/>
      <c r="G216" s="95"/>
      <c r="H216" s="95"/>
      <c r="I216" s="95"/>
      <c r="J216" s="535"/>
      <c r="K216" s="95"/>
      <c r="L216" s="95"/>
      <c r="M216" s="95"/>
      <c r="N216" s="95"/>
      <c r="O216" s="95"/>
      <c r="P216" s="95"/>
      <c r="Q216" s="95"/>
      <c r="R216" s="95"/>
      <c r="S216" s="95"/>
      <c r="T216" s="95"/>
      <c r="U216" s="95"/>
      <c r="V216" s="95"/>
      <c r="W216" s="95"/>
      <c r="X216" s="95"/>
      <c r="Y216" s="95"/>
      <c r="Z216" s="95"/>
      <c r="AA216" s="95"/>
      <c r="AB216" s="95"/>
      <c r="AC216" s="95"/>
      <c r="AD216" s="95"/>
      <c r="AE216" s="95"/>
      <c r="AF216" s="95"/>
      <c r="AG216" s="95"/>
    </row>
    <row r="217" spans="2:33">
      <c r="B217" s="95"/>
      <c r="C217" s="95"/>
      <c r="D217" s="95"/>
      <c r="E217" s="95"/>
      <c r="F217" s="95"/>
      <c r="G217" s="95"/>
      <c r="H217" s="95"/>
      <c r="I217" s="95"/>
      <c r="J217" s="535"/>
      <c r="K217" s="95"/>
      <c r="L217" s="95"/>
      <c r="M217" s="95"/>
      <c r="N217" s="95"/>
      <c r="O217" s="95"/>
      <c r="P217" s="95"/>
      <c r="Q217" s="95"/>
      <c r="R217" s="95"/>
      <c r="S217" s="95"/>
      <c r="T217" s="95"/>
      <c r="U217" s="95"/>
      <c r="V217" s="95"/>
      <c r="W217" s="95"/>
      <c r="X217" s="95"/>
      <c r="Y217" s="95"/>
      <c r="Z217" s="95"/>
      <c r="AA217" s="95"/>
      <c r="AB217" s="95"/>
      <c r="AC217" s="95"/>
      <c r="AD217" s="95"/>
      <c r="AE217" s="95"/>
      <c r="AF217" s="95"/>
      <c r="AG217" s="95"/>
    </row>
  </sheetData>
  <mergeCells count="1">
    <mergeCell ref="AB8:AK8"/>
  </mergeCells>
  <pageMargins left="0.25" right="0.25" top="0.5" bottom="0.25" header="0.3" footer="0.3"/>
  <pageSetup scale="38" firstPageNumber="20" fitToHeight="2" orientation="landscape" useFirstPageNumber="1" r:id="rId1"/>
  <headerFooter scaleWithDoc="0" alignWithMargins="0">
    <oddFooter>&amp;C&amp;8&amp;P</oddFooter>
  </headerFooter>
  <rowBreaks count="1" manualBreakCount="1">
    <brk id="89" min="1" max="36" man="1"/>
  </rowBreaks>
  <customProperties>
    <customPr name="SheetOptions" r:id="rId2"/>
  </customProperties>
  <ignoredErrors>
    <ignoredError sqref="AK133:AK134 AK121:AK122 AK124:AK131 AK17:AK21 AK93:AK94 AK106:AK111 AK69:AK70 AK85 AK96:AK97 AK54:AK58 AK60:AK61 AK33:AK34 AK37:AK41 AK66:AK67 AK114:AK119 AK24:AK30 AK99:AK104 AK45:AK50" unlockedFormula="1"/>
    <ignoredError sqref="AI20 D22 AK90:AK92 N22 AK22 AI87 AK105 AK132" formula="1"/>
    <ignoredError sqref="AK79 AK72 AK89 AK77 AK74 AK64" formula="1" unlockedFormula="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7"/>
  <dimension ref="A1:AW176"/>
  <sheetViews>
    <sheetView showGridLines="0" zoomScale="80" zoomScaleNormal="70" workbookViewId="0"/>
  </sheetViews>
  <sheetFormatPr defaultColWidth="8.84375" defaultRowHeight="15.5"/>
  <cols>
    <col min="1" max="1" width="1.84375" style="7" customWidth="1"/>
    <col min="2" max="2" width="45.4609375" style="7" customWidth="1"/>
    <col min="3" max="3" width="1.84375" style="7" customWidth="1"/>
    <col min="4" max="4" width="12.4609375" style="7" bestFit="1" customWidth="1"/>
    <col min="5" max="5" width="1.84375" customWidth="1"/>
    <col min="6" max="6" width="12.07421875" style="7" bestFit="1" customWidth="1"/>
    <col min="7" max="7" width="1.84375" customWidth="1"/>
    <col min="8" max="8" width="13.4609375" style="7" customWidth="1"/>
    <col min="9" max="9" width="1.84375" customWidth="1"/>
    <col min="10" max="10" width="16.07421875" style="7" customWidth="1"/>
    <col min="11" max="11" width="1.84375" customWidth="1"/>
    <col min="12" max="12" width="13.4609375" style="7" customWidth="1"/>
    <col min="13" max="13" width="1.84375" customWidth="1"/>
    <col min="14" max="14" width="14.07421875" style="7" customWidth="1"/>
    <col min="15" max="15" width="1.84375" customWidth="1"/>
    <col min="16" max="16" width="14.07421875" style="7" customWidth="1"/>
    <col min="17" max="17" width="1.84375" customWidth="1"/>
    <col min="18" max="18" width="14.07421875" style="7" customWidth="1"/>
    <col min="19" max="19" width="1.84375" customWidth="1"/>
    <col min="20" max="20" width="14.07421875" style="7" customWidth="1"/>
    <col min="21" max="21" width="1.84375" customWidth="1"/>
    <col min="22" max="22" width="14.07421875" style="7" customWidth="1"/>
    <col min="23" max="23" width="1.84375" customWidth="1"/>
    <col min="24" max="24" width="14.07421875" style="7" customWidth="1"/>
    <col min="25" max="25" width="1.84375" customWidth="1"/>
    <col min="26" max="26" width="14.07421875" style="7" customWidth="1"/>
    <col min="27" max="27" width="1.84375" style="7" customWidth="1"/>
    <col min="28" max="28" width="14.07421875" style="7" bestFit="1" customWidth="1"/>
    <col min="29" max="29" width="1.84375" style="7" customWidth="1"/>
    <col min="30" max="30" width="12.53515625" style="7" bestFit="1" customWidth="1"/>
    <col min="31" max="31" width="1.4609375" style="7" customWidth="1"/>
    <col min="32" max="32" width="1.07421875" style="7" customWidth="1"/>
    <col min="33" max="33" width="12.53515625" style="7" bestFit="1" customWidth="1"/>
    <col min="34" max="35" width="0.84375" style="7" customWidth="1"/>
    <col min="36" max="36" width="12.84375" style="7" customWidth="1"/>
    <col min="37" max="37" width="0.84375" style="7" customWidth="1"/>
    <col min="38" max="38" width="11.84375" style="466" bestFit="1" customWidth="1"/>
    <col min="39" max="16384" width="8.84375" style="7"/>
  </cols>
  <sheetData>
    <row r="1" spans="1:45">
      <c r="A1" s="466"/>
      <c r="B1" s="345" t="s">
        <v>98</v>
      </c>
      <c r="C1" s="466"/>
      <c r="D1" s="466"/>
      <c r="F1" s="466"/>
      <c r="H1" s="466"/>
      <c r="J1" s="466"/>
      <c r="L1" s="466"/>
      <c r="N1" s="466"/>
      <c r="P1" s="466"/>
      <c r="R1" s="466"/>
      <c r="T1" s="466"/>
      <c r="V1" s="466"/>
      <c r="X1" s="466"/>
      <c r="Z1" s="466"/>
      <c r="AA1" s="466"/>
      <c r="AB1" s="466"/>
      <c r="AC1" s="466"/>
      <c r="AD1" s="466"/>
      <c r="AE1" s="466"/>
      <c r="AF1" s="466"/>
      <c r="AG1" s="466"/>
      <c r="AH1" s="466"/>
      <c r="AI1" s="466"/>
      <c r="AJ1" s="466"/>
      <c r="AK1" s="466"/>
      <c r="AM1" s="466"/>
      <c r="AN1" s="466"/>
      <c r="AO1" s="466"/>
      <c r="AP1" s="466"/>
      <c r="AQ1" s="466"/>
    </row>
    <row r="2" spans="1:45">
      <c r="A2" s="466"/>
      <c r="B2" s="466"/>
      <c r="C2" s="466"/>
      <c r="D2" s="466"/>
      <c r="F2" s="466"/>
      <c r="H2" s="466"/>
      <c r="J2" s="466"/>
      <c r="L2" s="466"/>
      <c r="N2" s="6"/>
      <c r="P2" s="466"/>
      <c r="R2" s="466"/>
      <c r="T2" s="466"/>
      <c r="V2" s="466"/>
      <c r="X2" s="466"/>
      <c r="Z2" s="466"/>
      <c r="AA2" s="466"/>
      <c r="AB2" s="466"/>
      <c r="AC2" s="466"/>
      <c r="AD2" s="466"/>
      <c r="AE2" s="466"/>
      <c r="AF2" s="466"/>
      <c r="AG2" s="466"/>
      <c r="AH2" s="466"/>
      <c r="AI2" s="466"/>
      <c r="AJ2" s="466"/>
      <c r="AK2" s="466"/>
      <c r="AM2" s="466"/>
      <c r="AN2" s="466"/>
      <c r="AO2" s="466"/>
      <c r="AP2" s="466"/>
      <c r="AQ2" s="466"/>
    </row>
    <row r="3" spans="1:45" ht="18">
      <c r="A3" s="466"/>
      <c r="B3" s="97" t="s">
        <v>99</v>
      </c>
      <c r="C3" s="466"/>
      <c r="D3" s="466"/>
      <c r="F3" s="466"/>
      <c r="H3" s="466"/>
      <c r="J3" s="466"/>
      <c r="L3" s="466"/>
      <c r="N3" s="6"/>
      <c r="P3" s="466"/>
      <c r="R3" s="466"/>
      <c r="T3" s="466"/>
      <c r="V3" s="466"/>
      <c r="X3" s="466"/>
      <c r="Z3" s="466"/>
      <c r="AA3" s="466"/>
      <c r="AB3" s="466"/>
      <c r="AC3" s="466"/>
      <c r="AD3" s="466"/>
      <c r="AE3" s="353"/>
      <c r="AF3" s="353"/>
      <c r="AG3" s="353"/>
      <c r="AH3" s="353"/>
      <c r="AI3" s="353"/>
      <c r="AJ3" s="353"/>
      <c r="AK3" s="353"/>
      <c r="AL3" s="154" t="s">
        <v>503</v>
      </c>
      <c r="AM3" s="466"/>
      <c r="AN3" s="466"/>
      <c r="AO3" s="466"/>
      <c r="AP3" s="466"/>
      <c r="AQ3" s="466"/>
    </row>
    <row r="4" spans="1:45" ht="18">
      <c r="A4" s="466"/>
      <c r="B4" s="97" t="s">
        <v>504</v>
      </c>
      <c r="C4" s="466"/>
      <c r="D4" s="466"/>
      <c r="F4" s="466"/>
      <c r="H4" s="466"/>
      <c r="J4" s="466"/>
      <c r="L4" s="6"/>
      <c r="N4" s="466"/>
      <c r="P4" s="466"/>
      <c r="R4" s="466"/>
      <c r="T4" s="466"/>
      <c r="V4" s="466"/>
      <c r="X4" s="466"/>
      <c r="Z4" s="466"/>
      <c r="AA4" s="466"/>
      <c r="AB4" s="466"/>
      <c r="AC4" s="466"/>
      <c r="AD4" s="466"/>
      <c r="AE4" s="466"/>
      <c r="AF4" s="466"/>
      <c r="AG4" s="466"/>
      <c r="AH4" s="466"/>
      <c r="AI4" s="466"/>
      <c r="AJ4" s="466"/>
      <c r="AK4" s="466"/>
      <c r="AM4" s="466"/>
      <c r="AN4" s="466"/>
      <c r="AO4" s="466"/>
      <c r="AP4" s="466"/>
      <c r="AQ4" s="466"/>
    </row>
    <row r="5" spans="1:45" ht="18">
      <c r="A5" s="466"/>
      <c r="B5" s="668" t="s">
        <v>474</v>
      </c>
      <c r="C5" s="466"/>
      <c r="D5" s="466"/>
      <c r="F5" s="466"/>
      <c r="H5" s="466"/>
      <c r="J5" s="466"/>
      <c r="L5" s="353"/>
      <c r="N5" s="466"/>
      <c r="P5" s="466"/>
      <c r="R5" s="466"/>
      <c r="T5" s="466"/>
      <c r="V5" s="466"/>
      <c r="X5" s="513"/>
      <c r="Z5" s="466"/>
      <c r="AA5" s="466"/>
      <c r="AB5" s="466"/>
      <c r="AC5" s="466"/>
      <c r="AD5" s="466"/>
      <c r="AE5" s="466"/>
      <c r="AF5" s="466"/>
      <c r="AG5" s="466"/>
      <c r="AH5" s="466"/>
      <c r="AI5" s="466"/>
      <c r="AJ5" s="466"/>
      <c r="AK5" s="466"/>
      <c r="AM5" s="466"/>
      <c r="AN5" s="466"/>
      <c r="AO5" s="466"/>
      <c r="AP5" s="466"/>
      <c r="AQ5" s="466"/>
    </row>
    <row r="6" spans="1:45" ht="20">
      <c r="A6" s="466"/>
      <c r="B6" s="668" t="str">
        <f>'Cashflow Governmental'!A6</f>
        <v>FISCAL YEAR 2023-2024</v>
      </c>
      <c r="C6" s="466"/>
      <c r="D6" s="466"/>
      <c r="F6" s="466"/>
      <c r="H6" s="466"/>
      <c r="J6" s="466"/>
      <c r="L6" s="353"/>
      <c r="N6" s="466"/>
      <c r="P6" s="466"/>
      <c r="R6" s="466"/>
      <c r="T6" s="466" t="s">
        <v>104</v>
      </c>
      <c r="V6" s="466"/>
      <c r="X6" s="466"/>
      <c r="Z6" s="466"/>
      <c r="AA6" s="466"/>
      <c r="AB6" s="466"/>
      <c r="AC6" s="466"/>
      <c r="AD6" s="466"/>
      <c r="AE6" s="466"/>
      <c r="AF6" s="466"/>
      <c r="AG6" s="466"/>
      <c r="AH6" s="466"/>
      <c r="AI6" s="466"/>
      <c r="AJ6" s="466"/>
      <c r="AK6" s="466"/>
      <c r="AL6" s="1159"/>
      <c r="AM6" s="466"/>
      <c r="AN6" s="466"/>
      <c r="AO6" s="466"/>
      <c r="AP6" s="466"/>
      <c r="AQ6" s="466"/>
    </row>
    <row r="7" spans="1:45" ht="18">
      <c r="A7" s="466"/>
      <c r="B7" s="97" t="s">
        <v>505</v>
      </c>
      <c r="C7" s="466"/>
      <c r="D7" s="466"/>
      <c r="F7" s="466"/>
      <c r="H7" s="466"/>
      <c r="J7" s="466"/>
      <c r="L7" s="466"/>
      <c r="N7" s="466"/>
      <c r="P7" s="466"/>
      <c r="R7" s="466"/>
      <c r="T7" s="466"/>
      <c r="V7" s="466"/>
      <c r="X7" s="466"/>
      <c r="Z7" s="466"/>
      <c r="AA7" s="466"/>
      <c r="AB7" s="466"/>
      <c r="AC7" s="466"/>
      <c r="AD7" s="466"/>
      <c r="AE7" s="466"/>
      <c r="AF7" s="466"/>
      <c r="AG7" s="466"/>
      <c r="AH7" s="466"/>
      <c r="AI7" s="353"/>
      <c r="AJ7" s="353"/>
      <c r="AK7" s="353"/>
      <c r="AL7" s="353"/>
      <c r="AM7" s="466"/>
      <c r="AN7" s="466"/>
      <c r="AO7" s="466"/>
      <c r="AP7" s="466"/>
      <c r="AQ7" s="466"/>
    </row>
    <row r="8" spans="1:45">
      <c r="A8" s="466"/>
      <c r="B8" s="466"/>
      <c r="C8" s="466"/>
      <c r="D8" s="466"/>
      <c r="F8" s="466"/>
      <c r="H8" s="466"/>
      <c r="J8" s="466"/>
      <c r="L8" s="353"/>
      <c r="N8" s="353"/>
      <c r="P8" s="466"/>
      <c r="R8" s="466"/>
      <c r="T8" s="466"/>
      <c r="V8" s="466"/>
      <c r="X8" s="466"/>
      <c r="Z8" s="466"/>
      <c r="AA8" s="466"/>
      <c r="AB8" s="466"/>
      <c r="AC8" s="353"/>
      <c r="AD8" s="353"/>
      <c r="AE8" s="353"/>
      <c r="AF8" s="353"/>
      <c r="AG8" s="353"/>
      <c r="AH8" s="353"/>
      <c r="AI8" s="353"/>
      <c r="AJ8" s="353"/>
      <c r="AK8" s="353"/>
      <c r="AL8" s="353"/>
      <c r="AM8" s="466"/>
      <c r="AN8" s="466"/>
      <c r="AO8" s="466"/>
      <c r="AP8" s="466"/>
      <c r="AQ8" s="466"/>
    </row>
    <row r="9" spans="1:45" s="95" customFormat="1" ht="19.5" customHeight="1">
      <c r="D9" s="95" t="s">
        <v>104</v>
      </c>
      <c r="E9" s="327" t="s">
        <v>104</v>
      </c>
      <c r="G9"/>
      <c r="I9"/>
      <c r="K9"/>
      <c r="L9" s="103"/>
      <c r="M9"/>
      <c r="N9" s="103"/>
      <c r="O9"/>
      <c r="Q9"/>
      <c r="S9"/>
      <c r="U9"/>
      <c r="W9"/>
      <c r="Y9"/>
      <c r="AB9" s="66" t="s">
        <v>506</v>
      </c>
      <c r="AC9" s="2229" t="s">
        <v>1590</v>
      </c>
      <c r="AD9" s="2228"/>
      <c r="AE9" s="2228"/>
      <c r="AF9" s="2228"/>
      <c r="AG9" s="2228"/>
      <c r="AH9" s="2228"/>
      <c r="AI9" s="2228"/>
      <c r="AJ9" s="2228"/>
      <c r="AK9" s="2228"/>
      <c r="AL9" s="2228"/>
    </row>
    <row r="10" spans="1:45">
      <c r="A10" s="466"/>
      <c r="B10" s="466"/>
      <c r="C10" s="466"/>
      <c r="D10" s="382" t="str">
        <f>'Cashflow Governmental'!C13</f>
        <v>2023</v>
      </c>
      <c r="F10" s="6"/>
      <c r="H10" s="6"/>
      <c r="J10" s="6"/>
      <c r="L10" s="6"/>
      <c r="N10" s="6"/>
      <c r="P10" s="6"/>
      <c r="R10" s="6"/>
      <c r="T10" s="6"/>
      <c r="V10" s="382">
        <f>'Cashflow Governmental'!U13</f>
        <v>2024</v>
      </c>
      <c r="X10" s="6"/>
      <c r="Z10" s="6"/>
      <c r="AA10" s="6"/>
      <c r="AB10" s="66" t="s">
        <v>507</v>
      </c>
      <c r="AC10" s="6"/>
      <c r="AD10" s="72"/>
      <c r="AE10" s="72"/>
      <c r="AF10" s="72"/>
      <c r="AG10" s="72"/>
      <c r="AH10" s="72"/>
      <c r="AI10" s="72"/>
      <c r="AJ10" s="389" t="s">
        <v>111</v>
      </c>
      <c r="AK10" s="72"/>
      <c r="AL10" s="390" t="s">
        <v>112</v>
      </c>
      <c r="AM10" s="72"/>
      <c r="AN10" s="72"/>
      <c r="AO10" s="72"/>
      <c r="AP10" s="72"/>
      <c r="AQ10" s="72"/>
    </row>
    <row r="11" spans="1:45">
      <c r="A11" s="466"/>
      <c r="B11" s="466"/>
      <c r="C11" s="466"/>
      <c r="D11" s="66" t="s">
        <v>358</v>
      </c>
      <c r="F11" s="66" t="s">
        <v>359</v>
      </c>
      <c r="H11" s="66" t="s">
        <v>360</v>
      </c>
      <c r="J11" s="66" t="s">
        <v>361</v>
      </c>
      <c r="L11" s="2007" t="s">
        <v>362</v>
      </c>
      <c r="N11" s="66" t="s">
        <v>475</v>
      </c>
      <c r="P11" s="66" t="s">
        <v>476</v>
      </c>
      <c r="R11" s="66" t="s">
        <v>365</v>
      </c>
      <c r="T11" s="66" t="s">
        <v>366</v>
      </c>
      <c r="V11" s="66" t="s">
        <v>367</v>
      </c>
      <c r="X11" s="66" t="s">
        <v>368</v>
      </c>
      <c r="Z11" s="66" t="s">
        <v>477</v>
      </c>
      <c r="AA11" s="66"/>
      <c r="AB11" s="2007" t="s">
        <v>508</v>
      </c>
      <c r="AC11" s="6"/>
      <c r="AD11" s="382">
        <f>'Cashflow Governmental'!AB14</f>
        <v>2023</v>
      </c>
      <c r="AE11" s="6" t="s">
        <v>104</v>
      </c>
      <c r="AF11" s="72"/>
      <c r="AG11" s="382">
        <f>'Cashflow Governmental'!AE14</f>
        <v>2022</v>
      </c>
      <c r="AH11" s="382"/>
      <c r="AI11" s="72"/>
      <c r="AJ11" s="2009" t="s">
        <v>113</v>
      </c>
      <c r="AK11" s="72"/>
      <c r="AL11" s="2009" t="s">
        <v>114</v>
      </c>
      <c r="AM11" s="72"/>
      <c r="AN11" s="72"/>
      <c r="AO11" s="72"/>
      <c r="AP11" s="72"/>
      <c r="AQ11" s="72"/>
    </row>
    <row r="12" spans="1:45" ht="5.25" customHeight="1">
      <c r="A12" s="466"/>
      <c r="B12" s="466"/>
      <c r="C12" s="466"/>
      <c r="D12" s="1443"/>
      <c r="F12" s="1443"/>
      <c r="H12" s="1443"/>
      <c r="J12" s="1443"/>
      <c r="L12" s="1443"/>
      <c r="N12" s="1443"/>
      <c r="P12" s="1443"/>
      <c r="R12" s="1443"/>
      <c r="T12" s="1443"/>
      <c r="V12" s="1443"/>
      <c r="X12" s="1443"/>
      <c r="Z12" s="1443"/>
      <c r="AA12" s="466"/>
      <c r="AB12" s="466"/>
      <c r="AC12" s="466"/>
      <c r="AD12" s="1443"/>
      <c r="AE12" s="466"/>
      <c r="AF12" s="466"/>
      <c r="AG12" s="1443"/>
      <c r="AH12" s="466"/>
      <c r="AI12" s="1527"/>
      <c r="AJ12" s="466"/>
      <c r="AK12" s="466"/>
      <c r="AM12" s="466"/>
      <c r="AN12" s="466"/>
      <c r="AO12" s="466"/>
      <c r="AP12" s="466"/>
      <c r="AQ12" s="466"/>
    </row>
    <row r="13" spans="1:45" ht="15" customHeight="1">
      <c r="A13" s="353"/>
      <c r="B13" s="2006" t="s">
        <v>509</v>
      </c>
      <c r="C13" s="353"/>
      <c r="D13" s="26">
        <f>'Exhibit G State'!D13+'Exhibit G Federal'!D13</f>
        <v>23940.199999999997</v>
      </c>
      <c r="F13" s="26">
        <f>D124</f>
        <v>26315.1</v>
      </c>
      <c r="G13" s="26"/>
      <c r="H13" s="26">
        <f t="shared" ref="H13:R13" si="0">F124</f>
        <v>23735.7</v>
      </c>
      <c r="J13" s="26">
        <f t="shared" si="0"/>
        <v>28152.9</v>
      </c>
      <c r="L13" s="26">
        <f t="shared" si="0"/>
        <v>28848.3</v>
      </c>
      <c r="N13" s="26">
        <f t="shared" si="0"/>
        <v>28152.799999999999</v>
      </c>
      <c r="P13" s="26">
        <f t="shared" si="0"/>
        <v>27009.599999999999</v>
      </c>
      <c r="R13" s="26">
        <f t="shared" si="0"/>
        <v>26187</v>
      </c>
      <c r="S13" s="26"/>
      <c r="T13" s="26"/>
      <c r="U13" s="26"/>
      <c r="V13" s="26"/>
      <c r="W13" s="26"/>
      <c r="X13" s="26"/>
      <c r="Y13" s="26"/>
      <c r="Z13" s="26"/>
      <c r="AA13" s="26"/>
      <c r="AB13" s="26"/>
      <c r="AC13" s="27"/>
      <c r="AD13" s="26">
        <f>D13</f>
        <v>23940.199999999997</v>
      </c>
      <c r="AE13" s="26"/>
      <c r="AF13" s="27"/>
      <c r="AG13" s="117">
        <f>'Exhibit G State'!AG13+'Exhibit G Federal'!AG13</f>
        <v>21938.2</v>
      </c>
      <c r="AH13" s="106"/>
      <c r="AI13" s="26"/>
      <c r="AJ13" s="55">
        <f>AD13-AG13</f>
        <v>2001.9999999999964</v>
      </c>
      <c r="AK13" s="961"/>
      <c r="AL13" s="107">
        <f>(AD13-AG13)/AG13</f>
        <v>9.1256347375810065E-2</v>
      </c>
      <c r="AM13" s="513"/>
      <c r="AN13" s="513"/>
      <c r="AO13" s="513"/>
      <c r="AP13" s="513"/>
      <c r="AQ13" s="513"/>
      <c r="AR13" s="513"/>
      <c r="AS13" s="513"/>
    </row>
    <row r="14" spans="1:45" ht="15" customHeight="1">
      <c r="A14" s="353"/>
      <c r="B14" s="353"/>
      <c r="C14" s="353"/>
      <c r="D14" s="466"/>
      <c r="F14" s="466"/>
      <c r="G14" s="466"/>
      <c r="H14" s="466"/>
      <c r="J14" s="466"/>
      <c r="L14" s="466"/>
      <c r="N14" s="466"/>
      <c r="P14" s="466"/>
      <c r="R14" s="466"/>
      <c r="T14" s="466"/>
      <c r="V14" s="466"/>
      <c r="X14" s="466"/>
      <c r="Z14" s="466"/>
      <c r="AA14" s="466"/>
      <c r="AB14" s="466"/>
      <c r="AC14" s="1528"/>
      <c r="AD14" s="466"/>
      <c r="AE14" s="466"/>
      <c r="AF14" s="1528"/>
      <c r="AG14" s="466"/>
      <c r="AH14" s="1529"/>
      <c r="AI14" s="466"/>
      <c r="AJ14" s="466"/>
      <c r="AK14" s="466"/>
      <c r="AL14" s="344"/>
      <c r="AM14" s="513"/>
      <c r="AN14" s="513"/>
      <c r="AO14" s="513"/>
      <c r="AP14" s="513"/>
      <c r="AQ14" s="513"/>
      <c r="AR14" s="513"/>
      <c r="AS14" s="513"/>
    </row>
    <row r="15" spans="1:45" ht="15" customHeight="1">
      <c r="A15" s="353"/>
      <c r="B15" s="6" t="s">
        <v>115</v>
      </c>
      <c r="C15" s="353"/>
      <c r="D15" s="325"/>
      <c r="F15" s="325"/>
      <c r="G15" s="325"/>
      <c r="H15" s="325"/>
      <c r="J15" s="325"/>
      <c r="L15" s="325"/>
      <c r="N15" s="325"/>
      <c r="P15" s="325"/>
      <c r="R15" s="325"/>
      <c r="T15" s="325"/>
      <c r="V15" s="325"/>
      <c r="X15" s="325"/>
      <c r="Z15" s="325"/>
      <c r="AA15" s="325"/>
      <c r="AB15" s="325"/>
      <c r="AC15" s="647"/>
      <c r="AD15" s="325"/>
      <c r="AE15" s="325"/>
      <c r="AF15" s="647"/>
      <c r="AG15" s="325"/>
      <c r="AH15" s="643"/>
      <c r="AI15" s="325"/>
      <c r="AJ15" s="325"/>
      <c r="AK15" s="466"/>
      <c r="AL15" s="344"/>
      <c r="AM15" s="513"/>
      <c r="AN15" s="513"/>
      <c r="AO15" s="513"/>
      <c r="AP15" s="513"/>
      <c r="AQ15" s="513"/>
      <c r="AR15" s="513"/>
      <c r="AS15" s="513"/>
    </row>
    <row r="16" spans="1:45" ht="15" customHeight="1">
      <c r="A16" s="353"/>
      <c r="B16" s="2006" t="s">
        <v>371</v>
      </c>
      <c r="C16" s="353"/>
      <c r="D16" s="325"/>
      <c r="F16" s="325"/>
      <c r="G16" s="325"/>
      <c r="H16" s="325"/>
      <c r="J16" s="325"/>
      <c r="L16" s="325"/>
      <c r="N16" s="325"/>
      <c r="P16" s="325"/>
      <c r="R16" s="325"/>
      <c r="T16" s="325"/>
      <c r="V16" s="325"/>
      <c r="X16" s="325"/>
      <c r="Z16" s="325"/>
      <c r="AA16" s="325"/>
      <c r="AB16" s="325"/>
      <c r="AC16" s="647"/>
      <c r="AD16" s="325"/>
      <c r="AE16" s="325"/>
      <c r="AF16" s="647"/>
      <c r="AG16" s="325"/>
      <c r="AH16" s="643"/>
      <c r="AI16" s="325"/>
      <c r="AJ16" s="325"/>
      <c r="AK16" s="466"/>
      <c r="AL16" s="344"/>
      <c r="AM16" s="513"/>
      <c r="AN16" s="513"/>
      <c r="AO16" s="513"/>
      <c r="AP16" s="513"/>
      <c r="AQ16" s="513"/>
      <c r="AR16" s="513"/>
      <c r="AS16" s="513"/>
    </row>
    <row r="17" spans="1:45" s="72" customFormat="1" ht="15" customHeight="1">
      <c r="A17" s="6"/>
      <c r="B17" s="525" t="s">
        <v>510</v>
      </c>
      <c r="C17" s="6"/>
      <c r="D17" s="325">
        <f>'Exhibit G State'!D17</f>
        <v>0</v>
      </c>
      <c r="E17" s="325"/>
      <c r="F17" s="325">
        <f>'Exhibit G State'!F17</f>
        <v>0</v>
      </c>
      <c r="G17" s="325"/>
      <c r="H17" s="325">
        <f>'Exhibit G State'!H17</f>
        <v>0</v>
      </c>
      <c r="I17"/>
      <c r="J17" s="325">
        <f>'Exhibit G State'!J17</f>
        <v>0</v>
      </c>
      <c r="K17"/>
      <c r="L17" s="325">
        <f>'Exhibit G State'!L17</f>
        <v>0</v>
      </c>
      <c r="M17"/>
      <c r="N17" s="325">
        <f>'Exhibit G State'!N17</f>
        <v>0</v>
      </c>
      <c r="O17"/>
      <c r="P17" s="325">
        <f>'Exhibit G State'!P17</f>
        <v>0</v>
      </c>
      <c r="Q17"/>
      <c r="R17" s="325">
        <f>'Exhibit G State'!R17</f>
        <v>0.1</v>
      </c>
      <c r="S17" s="325"/>
      <c r="T17" s="325"/>
      <c r="U17" s="325"/>
      <c r="V17" s="325"/>
      <c r="W17" s="325"/>
      <c r="X17" s="325"/>
      <c r="Y17" s="325"/>
      <c r="Z17" s="325"/>
      <c r="AA17" s="325"/>
      <c r="AB17" s="325"/>
      <c r="AC17" s="27"/>
      <c r="AD17" s="325">
        <f>ROUND(SUM(D17:Z17),1)</f>
        <v>0.1</v>
      </c>
      <c r="AE17" s="325"/>
      <c r="AF17" s="647"/>
      <c r="AG17" s="348">
        <f>'Exhibit G State'!AG17</f>
        <v>1.1000000000000001</v>
      </c>
      <c r="AH17" s="643"/>
      <c r="AI17" s="325"/>
      <c r="AJ17" s="325">
        <f>ROUND(SUM(+AD17-AG17),1)</f>
        <v>-1</v>
      </c>
      <c r="AK17" s="14"/>
      <c r="AL17" s="327">
        <f>ROUND(IF(AG17=0,0,AJ17/ABS(AG17)),3)</f>
        <v>-0.90900000000000003</v>
      </c>
      <c r="AM17" s="513"/>
      <c r="AN17" s="513"/>
      <c r="AO17" s="513"/>
      <c r="AP17" s="513"/>
      <c r="AQ17" s="513"/>
      <c r="AR17" s="513"/>
      <c r="AS17" s="513"/>
    </row>
    <row r="18" spans="1:45" s="72" customFormat="1" ht="6" customHeight="1">
      <c r="A18" s="6"/>
      <c r="B18" s="525"/>
      <c r="C18" s="6"/>
      <c r="D18" s="962"/>
      <c r="E18" s="962"/>
      <c r="F18" s="962"/>
      <c r="G18" s="962"/>
      <c r="H18" s="962"/>
      <c r="I18"/>
      <c r="J18" s="962"/>
      <c r="K18"/>
      <c r="L18" s="962"/>
      <c r="M18"/>
      <c r="N18" s="962"/>
      <c r="O18"/>
      <c r="P18" s="962"/>
      <c r="Q18"/>
      <c r="R18" s="962"/>
      <c r="S18" s="962"/>
      <c r="T18" s="962"/>
      <c r="U18" s="962"/>
      <c r="V18" s="962"/>
      <c r="W18"/>
      <c r="X18" s="962"/>
      <c r="Y18" s="962"/>
      <c r="Z18" s="962"/>
      <c r="AA18" s="962"/>
      <c r="AB18" s="26"/>
      <c r="AC18" s="27"/>
      <c r="AD18" s="335"/>
      <c r="AE18" s="335"/>
      <c r="AF18" s="552"/>
      <c r="AG18" s="337"/>
      <c r="AH18" s="1208"/>
      <c r="AI18" s="335"/>
      <c r="AJ18" s="335"/>
      <c r="AK18" s="14"/>
      <c r="AL18" s="327"/>
      <c r="AM18" s="513"/>
      <c r="AN18" s="513"/>
      <c r="AO18" s="513"/>
      <c r="AP18" s="513"/>
      <c r="AQ18" s="513"/>
      <c r="AR18" s="513"/>
      <c r="AS18" s="513"/>
    </row>
    <row r="19" spans="1:45" ht="15" customHeight="1">
      <c r="A19" s="353"/>
      <c r="B19" s="525" t="s">
        <v>383</v>
      </c>
      <c r="C19" s="353"/>
      <c r="D19" s="325"/>
      <c r="E19" s="325"/>
      <c r="F19" s="325"/>
      <c r="G19" s="325"/>
      <c r="H19" s="325"/>
      <c r="J19" s="325"/>
      <c r="L19" s="325"/>
      <c r="N19" s="325"/>
      <c r="P19" s="325"/>
      <c r="R19" s="325"/>
      <c r="S19" s="325"/>
      <c r="T19" s="325"/>
      <c r="U19" s="325"/>
      <c r="V19" s="325"/>
      <c r="X19" s="325"/>
      <c r="Y19" s="325"/>
      <c r="Z19" s="325"/>
      <c r="AA19" s="325"/>
      <c r="AB19" s="325"/>
      <c r="AC19" s="647"/>
      <c r="AD19" s="16"/>
      <c r="AE19" s="16"/>
      <c r="AF19" s="18"/>
      <c r="AG19" s="16"/>
      <c r="AH19" s="108"/>
      <c r="AI19" s="16"/>
      <c r="AJ19" s="16"/>
      <c r="AK19" s="72"/>
      <c r="AL19" s="107"/>
      <c r="AM19" s="513"/>
      <c r="AN19" s="513"/>
      <c r="AO19" s="513"/>
      <c r="AP19" s="513"/>
      <c r="AQ19" s="513"/>
      <c r="AR19" s="513"/>
      <c r="AS19" s="513"/>
    </row>
    <row r="20" spans="1:45" ht="15" customHeight="1">
      <c r="A20" s="353"/>
      <c r="B20" s="534" t="s">
        <v>384</v>
      </c>
      <c r="C20" s="353"/>
      <c r="D20" s="325">
        <f>'Exhibit G State'!D20</f>
        <v>155.30000000000001</v>
      </c>
      <c r="E20" s="325"/>
      <c r="F20" s="325">
        <f>'Exhibit G State'!F20</f>
        <v>94.999999999999972</v>
      </c>
      <c r="G20" s="325"/>
      <c r="H20" s="325">
        <f>'Exhibit G State'!H20</f>
        <v>124.20000000000002</v>
      </c>
      <c r="J20" s="325">
        <f>'Exhibit G State'!J20</f>
        <v>99.5</v>
      </c>
      <c r="L20" s="325">
        <f>'Exhibit G State'!L20</f>
        <v>97.000000000000028</v>
      </c>
      <c r="N20" s="325">
        <f>'Exhibit G State'!N20</f>
        <v>123.29999999999993</v>
      </c>
      <c r="P20" s="325">
        <f>'Exhibit G State'!P20</f>
        <v>100</v>
      </c>
      <c r="R20" s="325">
        <f>'Exhibit G State'!R20</f>
        <v>100.00000000000003</v>
      </c>
      <c r="S20" s="325"/>
      <c r="T20" s="325"/>
      <c r="U20" s="325"/>
      <c r="V20" s="325"/>
      <c r="W20" s="325"/>
      <c r="X20" s="325"/>
      <c r="Y20" s="325"/>
      <c r="Z20" s="325"/>
      <c r="AA20" s="325"/>
      <c r="AB20" s="325"/>
      <c r="AC20" s="647"/>
      <c r="AD20" s="325">
        <f>ROUND(SUM(D20:Z20),1)</f>
        <v>894.3</v>
      </c>
      <c r="AE20" s="325"/>
      <c r="AF20" s="647"/>
      <c r="AG20" s="348">
        <f>'Exhibit G State'!AG20</f>
        <v>849.8</v>
      </c>
      <c r="AH20" s="643"/>
      <c r="AI20" s="325"/>
      <c r="AJ20" s="325">
        <f t="shared" ref="AJ20:AJ27" si="1">ROUND(SUM(+AD20-AG20),1)</f>
        <v>44.5</v>
      </c>
      <c r="AK20" s="14"/>
      <c r="AL20" s="327">
        <f t="shared" ref="AL20:AL26" si="2">ROUND(IF(AG20=0,0,AJ20/ABS(AG20)),3)</f>
        <v>5.1999999999999998E-2</v>
      </c>
      <c r="AM20" s="513"/>
      <c r="AN20" s="513"/>
      <c r="AO20" s="513"/>
      <c r="AP20" s="513"/>
      <c r="AQ20" s="513"/>
      <c r="AR20" s="513"/>
      <c r="AS20" s="513"/>
    </row>
    <row r="21" spans="1:45" ht="15" customHeight="1">
      <c r="A21" s="353"/>
      <c r="B21" s="534" t="s">
        <v>385</v>
      </c>
      <c r="C21" s="353"/>
      <c r="D21" s="325">
        <f>'Exhibit G State'!D21</f>
        <v>1.9</v>
      </c>
      <c r="E21" s="325"/>
      <c r="F21" s="325">
        <f>'Exhibit G State'!F21</f>
        <v>0</v>
      </c>
      <c r="G21" s="325"/>
      <c r="H21" s="325">
        <f>'Exhibit G State'!H21</f>
        <v>6.9</v>
      </c>
      <c r="J21" s="325">
        <f>'Exhibit G State'!J21</f>
        <v>0</v>
      </c>
      <c r="L21" s="325">
        <f>'Exhibit G State'!L21</f>
        <v>0</v>
      </c>
      <c r="N21" s="325">
        <f>'Exhibit G State'!N21</f>
        <v>10.1</v>
      </c>
      <c r="P21" s="325">
        <f>'Exhibit G State'!P21</f>
        <v>0</v>
      </c>
      <c r="R21" s="325">
        <f>'Exhibit G State'!R21</f>
        <v>0</v>
      </c>
      <c r="S21" s="325"/>
      <c r="T21" s="325"/>
      <c r="U21" s="325"/>
      <c r="V21" s="325"/>
      <c r="W21" s="325"/>
      <c r="X21" s="325"/>
      <c r="Y21" s="325"/>
      <c r="Z21" s="325"/>
      <c r="AA21" s="325"/>
      <c r="AB21" s="325"/>
      <c r="AC21" s="647"/>
      <c r="AD21" s="325">
        <f>ROUND(SUM(D21:Z21),1)</f>
        <v>18.899999999999999</v>
      </c>
      <c r="AE21" s="325"/>
      <c r="AF21" s="647"/>
      <c r="AG21" s="348">
        <f>'Exhibit G State'!AG21</f>
        <v>17</v>
      </c>
      <c r="AH21" s="643"/>
      <c r="AI21" s="325"/>
      <c r="AJ21" s="325">
        <f t="shared" si="1"/>
        <v>1.9</v>
      </c>
      <c r="AK21" s="14"/>
      <c r="AL21" s="670">
        <f>ROUND(IF(AG21=0,1,AJ21/ABS(AG21)),3)</f>
        <v>0.112</v>
      </c>
      <c r="AM21" s="513"/>
      <c r="AN21" s="513"/>
      <c r="AO21" s="513"/>
      <c r="AP21" s="513"/>
      <c r="AQ21" s="513"/>
      <c r="AR21" s="513"/>
      <c r="AS21" s="513"/>
    </row>
    <row r="22" spans="1:45" ht="15" customHeight="1">
      <c r="A22" s="353"/>
      <c r="B22" s="534" t="s">
        <v>386</v>
      </c>
      <c r="C22" s="353"/>
      <c r="D22" s="325">
        <f>'Exhibit G State'!D22</f>
        <v>51.8</v>
      </c>
      <c r="E22" s="325"/>
      <c r="F22" s="325">
        <f>'Exhibit G State'!F22</f>
        <v>51.7</v>
      </c>
      <c r="G22" s="325"/>
      <c r="H22" s="325">
        <f>'Exhibit G State'!H22</f>
        <v>48.800000000000011</v>
      </c>
      <c r="J22" s="325">
        <f>'Exhibit G State'!J22</f>
        <v>50.499999999999986</v>
      </c>
      <c r="L22" s="325">
        <f>'Exhibit G State'!L22</f>
        <v>50.800000000000026</v>
      </c>
      <c r="N22" s="325">
        <f>'Exhibit G State'!N22</f>
        <v>46.899999999999977</v>
      </c>
      <c r="P22" s="325">
        <f>'Exhibit G State'!P22</f>
        <v>63.100000000000009</v>
      </c>
      <c r="R22" s="325">
        <f>'Exhibit G State'!R22</f>
        <v>54.299999999999969</v>
      </c>
      <c r="S22" s="325"/>
      <c r="T22" s="325"/>
      <c r="U22" s="325"/>
      <c r="V22" s="325"/>
      <c r="W22" s="325"/>
      <c r="X22" s="325"/>
      <c r="Y22" s="325"/>
      <c r="Z22" s="325"/>
      <c r="AA22" s="325"/>
      <c r="AB22" s="325"/>
      <c r="AC22" s="647"/>
      <c r="AD22" s="325">
        <f>ROUND(SUM(D22:Z22),1)</f>
        <v>417.9</v>
      </c>
      <c r="AE22" s="325"/>
      <c r="AF22" s="647"/>
      <c r="AG22" s="348">
        <f>'Exhibit G State'!AG22</f>
        <v>431.09999999999997</v>
      </c>
      <c r="AH22" s="643"/>
      <c r="AI22" s="325"/>
      <c r="AJ22" s="325">
        <f t="shared" si="1"/>
        <v>-13.2</v>
      </c>
      <c r="AK22" s="14"/>
      <c r="AL22" s="327">
        <f t="shared" si="2"/>
        <v>-3.1E-2</v>
      </c>
      <c r="AM22" s="513"/>
      <c r="AN22" s="513"/>
      <c r="AO22" s="513"/>
      <c r="AP22" s="513"/>
      <c r="AQ22" s="513"/>
      <c r="AR22" s="513"/>
      <c r="AS22" s="513"/>
    </row>
    <row r="23" spans="1:45" ht="15" customHeight="1">
      <c r="A23" s="353"/>
      <c r="B23" s="345" t="s">
        <v>466</v>
      </c>
      <c r="C23" s="353"/>
      <c r="D23" s="325">
        <f>'Exhibit G State'!D23</f>
        <v>0.9</v>
      </c>
      <c r="E23" s="325"/>
      <c r="F23" s="325">
        <f>'Exhibit G State'!F23</f>
        <v>0.79999999999999993</v>
      </c>
      <c r="G23" s="325"/>
      <c r="H23" s="325">
        <f>'Exhibit G State'!H23</f>
        <v>3.5999999999999996</v>
      </c>
      <c r="J23" s="325">
        <f>'Exhibit G State'!J23</f>
        <v>0.90000000000000036</v>
      </c>
      <c r="L23" s="325">
        <f>'Exhibit G State'!L23</f>
        <v>0.29999999999999982</v>
      </c>
      <c r="N23" s="325">
        <f>'Exhibit G State'!N23</f>
        <v>6.9999999999999991</v>
      </c>
      <c r="P23" s="325">
        <f>'Exhibit G State'!P23</f>
        <v>1.0999999999999988</v>
      </c>
      <c r="R23" s="325">
        <f>'Exhibit G State'!R23</f>
        <v>1.1000000000000014</v>
      </c>
      <c r="S23" s="325"/>
      <c r="T23" s="325"/>
      <c r="U23" s="325"/>
      <c r="V23" s="325"/>
      <c r="W23" s="325"/>
      <c r="X23" s="325"/>
      <c r="Y23" s="325"/>
      <c r="Z23" s="325"/>
      <c r="AA23" s="325"/>
      <c r="AB23" s="325"/>
      <c r="AC23" s="647"/>
      <c r="AD23" s="325">
        <f t="shared" ref="AD23:AD27" si="3">ROUND(SUM(D23:Z23),1)</f>
        <v>15.7</v>
      </c>
      <c r="AE23" s="325"/>
      <c r="AF23" s="647"/>
      <c r="AG23" s="348">
        <f>'Exhibit G State'!AG23</f>
        <v>7.9</v>
      </c>
      <c r="AH23" s="643"/>
      <c r="AI23" s="325"/>
      <c r="AJ23" s="325">
        <f>ROUND(SUM(+AD23-AG23),1)</f>
        <v>7.8</v>
      </c>
      <c r="AK23" s="14"/>
      <c r="AL23" s="327">
        <f>ROUND(IF(AG23=0,1,AJ23/ABS(AG23)),3)</f>
        <v>0.98699999999999999</v>
      </c>
      <c r="AM23" s="513"/>
      <c r="AN23" s="513"/>
      <c r="AO23" s="513"/>
      <c r="AP23" s="513"/>
      <c r="AQ23" s="513"/>
      <c r="AR23" s="513"/>
      <c r="AS23" s="513"/>
    </row>
    <row r="24" spans="1:45" ht="15" customHeight="1">
      <c r="A24" s="353"/>
      <c r="B24" s="534" t="s">
        <v>388</v>
      </c>
      <c r="C24" s="353"/>
      <c r="D24" s="325">
        <f>'Exhibit G State'!D24</f>
        <v>8.1999999999999993</v>
      </c>
      <c r="E24" s="325"/>
      <c r="F24" s="325">
        <f>'Exhibit G State'!F24</f>
        <v>9.1000000000000014</v>
      </c>
      <c r="G24" s="325"/>
      <c r="H24" s="325">
        <f>'Exhibit G State'!H24</f>
        <v>8.3000000000000007</v>
      </c>
      <c r="J24" s="325">
        <f>'Exhibit G State'!J24</f>
        <v>9.2999999999999972</v>
      </c>
      <c r="L24" s="325">
        <f>'Exhibit G State'!L24</f>
        <v>9.0000000000000036</v>
      </c>
      <c r="N24" s="325">
        <f>'Exhibit G State'!N24</f>
        <v>9.5999999999999943</v>
      </c>
      <c r="P24" s="325">
        <f>'Exhibit G State'!P24</f>
        <v>8.7999999999999936</v>
      </c>
      <c r="R24" s="325">
        <f>'Exhibit G State'!R24</f>
        <v>9</v>
      </c>
      <c r="S24" s="325"/>
      <c r="T24" s="325"/>
      <c r="U24" s="325"/>
      <c r="V24" s="325"/>
      <c r="W24" s="325"/>
      <c r="X24" s="325"/>
      <c r="Y24" s="325"/>
      <c r="Z24" s="325"/>
      <c r="AA24" s="325"/>
      <c r="AB24" s="325"/>
      <c r="AC24" s="647"/>
      <c r="AD24" s="325">
        <f>ROUND(SUM(D24:Z24),1)</f>
        <v>71.3</v>
      </c>
      <c r="AE24" s="325"/>
      <c r="AF24" s="647"/>
      <c r="AG24" s="348">
        <f>'Exhibit G State'!AG24</f>
        <v>16.7</v>
      </c>
      <c r="AH24" s="643"/>
      <c r="AI24" s="325"/>
      <c r="AJ24" s="325">
        <f t="shared" si="1"/>
        <v>54.6</v>
      </c>
      <c r="AK24" s="14"/>
      <c r="AL24" s="327">
        <f t="shared" si="2"/>
        <v>3.2690000000000001</v>
      </c>
      <c r="AM24" s="513"/>
      <c r="AN24" s="513"/>
      <c r="AO24" s="513"/>
      <c r="AP24" s="513"/>
      <c r="AQ24" s="513"/>
      <c r="AR24" s="513"/>
      <c r="AS24" s="513"/>
    </row>
    <row r="25" spans="1:45" ht="15" customHeight="1">
      <c r="A25" s="353"/>
      <c r="B25" s="534" t="s">
        <v>389</v>
      </c>
      <c r="C25" s="353"/>
      <c r="D25" s="325">
        <f>'Exhibit G State'!D25</f>
        <v>0.1</v>
      </c>
      <c r="E25" s="325"/>
      <c r="F25" s="325">
        <f>'Exhibit G State'!F25</f>
        <v>0</v>
      </c>
      <c r="G25" s="325"/>
      <c r="H25" s="325">
        <f>'Exhibit G State'!H25</f>
        <v>0.1</v>
      </c>
      <c r="J25" s="325">
        <f>'Exhibit G State'!J25</f>
        <v>0</v>
      </c>
      <c r="L25" s="325">
        <f>'Exhibit G State'!L25</f>
        <v>0</v>
      </c>
      <c r="N25" s="325">
        <f>'Exhibit G State'!N25</f>
        <v>9.9999999999999978E-2</v>
      </c>
      <c r="P25" s="325">
        <f>'Exhibit G State'!P25</f>
        <v>0</v>
      </c>
      <c r="R25" s="325">
        <f>'Exhibit G State'!R25</f>
        <v>0</v>
      </c>
      <c r="S25" s="325"/>
      <c r="T25" s="325"/>
      <c r="U25" s="325"/>
      <c r="V25" s="325"/>
      <c r="W25" s="325"/>
      <c r="X25" s="325"/>
      <c r="Y25" s="325"/>
      <c r="Z25" s="325"/>
      <c r="AA25" s="325"/>
      <c r="AB25" s="325"/>
      <c r="AC25" s="647"/>
      <c r="AD25" s="325">
        <f>ROUND(SUM(D25:Z25),1)</f>
        <v>0.3</v>
      </c>
      <c r="AE25" s="325"/>
      <c r="AF25" s="647"/>
      <c r="AG25" s="348">
        <f>'Exhibit G State'!AG25</f>
        <v>0</v>
      </c>
      <c r="AH25" s="643"/>
      <c r="AI25" s="325"/>
      <c r="AJ25" s="325">
        <f t="shared" ref="AJ25" si="4">ROUND(SUM(+AD25-AG25),1)</f>
        <v>0.3</v>
      </c>
      <c r="AK25" s="14"/>
      <c r="AL25" s="327">
        <f>ROUND(IF(AG25=0,1,AJ25/ABS(AG25)),3)</f>
        <v>1</v>
      </c>
      <c r="AM25" s="513"/>
      <c r="AN25" s="513"/>
      <c r="AO25" s="513"/>
      <c r="AP25" s="513"/>
      <c r="AQ25" s="513"/>
      <c r="AR25" s="513"/>
      <c r="AS25" s="513"/>
    </row>
    <row r="26" spans="1:45" ht="15" customHeight="1">
      <c r="A26" s="353"/>
      <c r="B26" s="534" t="s">
        <v>390</v>
      </c>
      <c r="C26" s="353"/>
      <c r="D26" s="325">
        <f>'Exhibit G State'!D26</f>
        <v>0</v>
      </c>
      <c r="E26" s="325"/>
      <c r="F26" s="325">
        <f>'Exhibit G State'!F26</f>
        <v>0</v>
      </c>
      <c r="G26" s="325"/>
      <c r="H26" s="325">
        <f>'Exhibit G State'!H26</f>
        <v>0</v>
      </c>
      <c r="J26" s="325">
        <f>'Exhibit G State'!J26</f>
        <v>0</v>
      </c>
      <c r="L26" s="325">
        <f>'Exhibit G State'!L26</f>
        <v>0</v>
      </c>
      <c r="N26" s="325">
        <f>'Exhibit G State'!N26</f>
        <v>0</v>
      </c>
      <c r="P26" s="325">
        <f>'Exhibit G State'!P26</f>
        <v>0</v>
      </c>
      <c r="R26" s="325">
        <f>'Exhibit G State'!R26</f>
        <v>0</v>
      </c>
      <c r="S26" s="325"/>
      <c r="T26" s="325"/>
      <c r="U26" s="325"/>
      <c r="V26" s="325"/>
      <c r="W26" s="325"/>
      <c r="X26" s="325"/>
      <c r="Y26" s="325"/>
      <c r="Z26" s="325"/>
      <c r="AA26" s="325"/>
      <c r="AB26" s="325"/>
      <c r="AC26" s="647"/>
      <c r="AD26" s="325">
        <f t="shared" si="3"/>
        <v>0</v>
      </c>
      <c r="AE26" s="325"/>
      <c r="AF26" s="647"/>
      <c r="AG26" s="348">
        <f>'Exhibit G State'!AG26</f>
        <v>0</v>
      </c>
      <c r="AH26" s="643"/>
      <c r="AI26" s="325"/>
      <c r="AJ26" s="325">
        <f t="shared" si="1"/>
        <v>0</v>
      </c>
      <c r="AK26" s="14"/>
      <c r="AL26" s="327">
        <f t="shared" si="2"/>
        <v>0</v>
      </c>
      <c r="AM26" s="513"/>
      <c r="AN26" s="513"/>
      <c r="AO26" s="513"/>
      <c r="AP26" s="513"/>
      <c r="AQ26" s="513"/>
      <c r="AR26" s="513"/>
      <c r="AS26" s="513"/>
    </row>
    <row r="27" spans="1:45" ht="15" customHeight="1">
      <c r="A27" s="353"/>
      <c r="B27" s="534" t="s">
        <v>391</v>
      </c>
      <c r="C27" s="353"/>
      <c r="D27" s="325">
        <f>'Exhibit G State'!D27</f>
        <v>0.1</v>
      </c>
      <c r="E27" s="325"/>
      <c r="F27" s="325">
        <f>'Exhibit G State'!F27</f>
        <v>0</v>
      </c>
      <c r="G27" s="325"/>
      <c r="H27" s="325">
        <f>'Exhibit G State'!H27</f>
        <v>0.1</v>
      </c>
      <c r="J27" s="325">
        <f>'Exhibit G State'!J27</f>
        <v>0</v>
      </c>
      <c r="L27" s="325">
        <f>'Exhibit G State'!L27</f>
        <v>9.9999999999999978E-2</v>
      </c>
      <c r="N27" s="325">
        <f>'Exhibit G State'!N27</f>
        <v>0</v>
      </c>
      <c r="P27" s="325">
        <f>'Exhibit G State'!P27</f>
        <v>0.10000000000000006</v>
      </c>
      <c r="R27" s="325">
        <f>'Exhibit G State'!R27</f>
        <v>0</v>
      </c>
      <c r="S27" s="325"/>
      <c r="T27" s="325"/>
      <c r="U27" s="325"/>
      <c r="V27" s="325"/>
      <c r="W27" s="325"/>
      <c r="X27" s="325"/>
      <c r="Y27" s="325"/>
      <c r="Z27" s="325"/>
      <c r="AA27" s="325"/>
      <c r="AB27" s="325"/>
      <c r="AC27" s="647"/>
      <c r="AD27" s="325">
        <f t="shared" si="3"/>
        <v>0.4</v>
      </c>
      <c r="AE27" s="325"/>
      <c r="AF27" s="647"/>
      <c r="AG27" s="348">
        <f>'Exhibit G State'!AG27</f>
        <v>0.4</v>
      </c>
      <c r="AH27" s="643"/>
      <c r="AI27" s="325"/>
      <c r="AJ27" s="325">
        <f t="shared" si="1"/>
        <v>0</v>
      </c>
      <c r="AK27" s="14"/>
      <c r="AL27" s="670">
        <f>ROUND(IF(AG27=0,1,AJ27/ABS(AG27)),3)</f>
        <v>0</v>
      </c>
      <c r="AM27" s="513"/>
      <c r="AN27" s="513"/>
      <c r="AO27" s="513"/>
      <c r="AP27" s="513"/>
      <c r="AQ27" s="513"/>
      <c r="AR27" s="513"/>
      <c r="AS27" s="513"/>
    </row>
    <row r="28" spans="1:45" ht="15" customHeight="1">
      <c r="A28" s="353"/>
      <c r="B28" s="345" t="s">
        <v>467</v>
      </c>
      <c r="C28" s="353"/>
      <c r="D28" s="325">
        <f>'Exhibit G State'!D28</f>
        <v>0.2</v>
      </c>
      <c r="E28" s="325"/>
      <c r="F28" s="325">
        <f>'Exhibit G State'!F28</f>
        <v>0.3</v>
      </c>
      <c r="G28" s="325"/>
      <c r="H28" s="325">
        <f>'Exhibit G State'!H28</f>
        <v>6.1</v>
      </c>
      <c r="J28" s="325">
        <f>'Exhibit G State'!J28</f>
        <v>0.10000000000000053</v>
      </c>
      <c r="L28" s="325">
        <f>'Exhibit G State'!L28</f>
        <v>0</v>
      </c>
      <c r="N28" s="325">
        <f>'Exhibit G State'!N28</f>
        <v>6.3999999999999995</v>
      </c>
      <c r="P28" s="325">
        <f>'Exhibit G State'!P28</f>
        <v>0.30000000000000071</v>
      </c>
      <c r="R28" s="325">
        <f>'Exhibit G State'!R28</f>
        <v>0.19999999999999929</v>
      </c>
      <c r="S28" s="325"/>
      <c r="T28" s="325"/>
      <c r="U28" s="325"/>
      <c r="V28" s="325"/>
      <c r="W28" s="325"/>
      <c r="X28" s="325"/>
      <c r="Y28" s="325"/>
      <c r="Z28" s="325"/>
      <c r="AA28" s="325"/>
      <c r="AB28" s="325"/>
      <c r="AC28" s="647"/>
      <c r="AD28" s="325">
        <f t="shared" ref="AD28" si="5">ROUND(SUM(D28:Z28),1)</f>
        <v>13.6</v>
      </c>
      <c r="AE28" s="325"/>
      <c r="AF28" s="647"/>
      <c r="AG28" s="348">
        <f>'Exhibit G State'!AG28</f>
        <v>12.7</v>
      </c>
      <c r="AH28" s="643"/>
      <c r="AI28" s="325"/>
      <c r="AJ28" s="325">
        <f t="shared" ref="AJ28" si="6">ROUND(SUM(+AD28-AG28),1)</f>
        <v>0.9</v>
      </c>
      <c r="AK28" s="14"/>
      <c r="AL28" s="670">
        <f>ROUND(IF(AG28=0,1,AJ28/ABS(AG28)),3)</f>
        <v>7.0999999999999994E-2</v>
      </c>
      <c r="AM28" s="513"/>
      <c r="AN28" s="513"/>
      <c r="AO28" s="513"/>
      <c r="AP28" s="513"/>
      <c r="AQ28" s="513"/>
      <c r="AR28" s="513"/>
      <c r="AS28" s="513"/>
    </row>
    <row r="29" spans="1:45" s="72" customFormat="1" ht="15" customHeight="1">
      <c r="A29" s="6"/>
      <c r="B29" s="6" t="s">
        <v>511</v>
      </c>
      <c r="C29" s="6"/>
      <c r="D29" s="842">
        <f>ROUND(SUM(D20:D28),1)</f>
        <v>218.5</v>
      </c>
      <c r="E29"/>
      <c r="F29" s="842">
        <f>ROUND(SUM(F20:F28),1)</f>
        <v>156.9</v>
      </c>
      <c r="G29"/>
      <c r="H29" s="842">
        <f>ROUND(SUM(H20:H28),1)</f>
        <v>198.1</v>
      </c>
      <c r="I29"/>
      <c r="J29" s="842">
        <f>ROUND(SUM(J20:J28),1)</f>
        <v>160.30000000000001</v>
      </c>
      <c r="K29"/>
      <c r="L29" s="842">
        <f>ROUND(SUM(L20:L28),1)</f>
        <v>157.19999999999999</v>
      </c>
      <c r="M29"/>
      <c r="N29" s="842">
        <f>ROUND(SUM(N20:N28),1)</f>
        <v>203.4</v>
      </c>
      <c r="O29"/>
      <c r="P29" s="842">
        <f>ROUND(SUM(P20:P28),1)</f>
        <v>173.4</v>
      </c>
      <c r="Q29"/>
      <c r="R29" s="842">
        <f>ROUND(SUM(R20:R28),1)</f>
        <v>164.6</v>
      </c>
      <c r="S29"/>
      <c r="T29" s="842">
        <f>ROUND(SUM(T20:T28),1)</f>
        <v>0</v>
      </c>
      <c r="U29"/>
      <c r="V29" s="842">
        <f>ROUND(SUM(V20:V28),1)</f>
        <v>0</v>
      </c>
      <c r="W29"/>
      <c r="X29" s="842">
        <f>ROUND(SUM(X20:X28),1)</f>
        <v>0</v>
      </c>
      <c r="Y29"/>
      <c r="Z29" s="842">
        <f>ROUND(SUM(Z20:Z28),1)</f>
        <v>0</v>
      </c>
      <c r="AA29" s="16"/>
      <c r="AB29" s="842">
        <f>ROUND(SUM(AB20:AB28),1)</f>
        <v>0</v>
      </c>
      <c r="AC29" s="18"/>
      <c r="AD29" s="842">
        <f>ROUND(SUM(AD20:AD28),1)</f>
        <v>1432.4</v>
      </c>
      <c r="AE29" s="16"/>
      <c r="AF29" s="18"/>
      <c r="AG29" s="842">
        <f>ROUND(SUM(AG20:AG28),1)</f>
        <v>1335.6</v>
      </c>
      <c r="AH29" s="108"/>
      <c r="AI29" s="16"/>
      <c r="AJ29" s="842">
        <f>ROUND(SUM(AJ20:AJ28),1)</f>
        <v>96.8</v>
      </c>
      <c r="AL29" s="1274">
        <f>ROUND(SUM(+AJ29/AG29),3)</f>
        <v>7.1999999999999995E-2</v>
      </c>
      <c r="AM29" s="513"/>
      <c r="AN29" s="513"/>
      <c r="AO29" s="513"/>
      <c r="AP29" s="513"/>
      <c r="AQ29" s="513"/>
      <c r="AR29" s="513"/>
      <c r="AS29" s="513"/>
    </row>
    <row r="30" spans="1:45" ht="15" customHeight="1">
      <c r="A30" s="353"/>
      <c r="B30" s="525" t="s">
        <v>395</v>
      </c>
      <c r="C30" s="353"/>
      <c r="D30" s="325"/>
      <c r="F30" s="325"/>
      <c r="H30" s="325"/>
      <c r="J30" s="325"/>
      <c r="L30" s="325"/>
      <c r="N30" s="325"/>
      <c r="P30" s="325"/>
      <c r="R30" s="325"/>
      <c r="T30" s="325"/>
      <c r="V30" s="325"/>
      <c r="X30" s="325"/>
      <c r="Z30" s="325"/>
      <c r="AA30" s="325"/>
      <c r="AB30" s="325"/>
      <c r="AC30" s="647"/>
      <c r="AD30" s="325"/>
      <c r="AE30" s="325"/>
      <c r="AF30" s="647"/>
      <c r="AG30" s="325"/>
      <c r="AH30" s="643"/>
      <c r="AI30" s="325"/>
      <c r="AJ30" s="325"/>
      <c r="AK30" s="466"/>
      <c r="AL30" s="344"/>
      <c r="AM30" s="513"/>
      <c r="AN30" s="513"/>
      <c r="AO30" s="513"/>
      <c r="AP30" s="513"/>
      <c r="AQ30" s="513"/>
      <c r="AR30" s="513"/>
      <c r="AS30" s="513"/>
    </row>
    <row r="31" spans="1:45" ht="15" customHeight="1">
      <c r="A31" s="353"/>
      <c r="B31" s="534" t="s">
        <v>396</v>
      </c>
      <c r="C31" s="353"/>
      <c r="D31" s="325">
        <f>'Exhibit G State'!D31</f>
        <v>223.3</v>
      </c>
      <c r="E31" s="325"/>
      <c r="F31" s="325">
        <f>'Exhibit G State'!F31</f>
        <v>36.5</v>
      </c>
      <c r="G31" s="325"/>
      <c r="H31" s="325">
        <f>'Exhibit G State'!H31</f>
        <v>291.09999999999997</v>
      </c>
      <c r="J31" s="325">
        <f>'Exhibit G State'!J31</f>
        <v>50.100000000000023</v>
      </c>
      <c r="L31" s="325">
        <f>'Exhibit G State'!L31</f>
        <v>22.700000000000045</v>
      </c>
      <c r="N31" s="325">
        <f>'Exhibit G State'!N31</f>
        <v>304.59999999999997</v>
      </c>
      <c r="P31" s="325">
        <f>'Exhibit G State'!P31</f>
        <v>62.299999999999955</v>
      </c>
      <c r="R31" s="325">
        <f>'Exhibit G State'!R31</f>
        <v>42.600000000000136</v>
      </c>
      <c r="S31" s="325"/>
      <c r="T31" s="325"/>
      <c r="U31" s="325"/>
      <c r="V31" s="325"/>
      <c r="W31" s="325"/>
      <c r="X31" s="325"/>
      <c r="Y31" s="325"/>
      <c r="Z31" s="325"/>
      <c r="AA31" s="325"/>
      <c r="AB31" s="325"/>
      <c r="AC31" s="647"/>
      <c r="AD31" s="325">
        <f>ROUND(SUM(D31:Z31),1)</f>
        <v>1033.2</v>
      </c>
      <c r="AE31" s="325"/>
      <c r="AF31" s="647"/>
      <c r="AG31" s="325">
        <f>'Exhibit G State'!AG31</f>
        <v>977</v>
      </c>
      <c r="AH31" s="643"/>
      <c r="AI31" s="325"/>
      <c r="AJ31" s="325">
        <f>ROUND(SUM(+AD31-AG31),1)</f>
        <v>56.2</v>
      </c>
      <c r="AK31" s="14"/>
      <c r="AL31" s="327">
        <f>ROUND(IF(AG31=0,0,AJ31/ABS(AG31)),3)</f>
        <v>5.8000000000000003E-2</v>
      </c>
      <c r="AM31" s="513"/>
      <c r="AN31" s="513"/>
      <c r="AO31" s="513"/>
      <c r="AP31" s="513"/>
      <c r="AQ31" s="513"/>
      <c r="AR31" s="513"/>
      <c r="AS31" s="513"/>
    </row>
    <row r="32" spans="1:45" ht="15" customHeight="1">
      <c r="A32" s="353"/>
      <c r="B32" s="534" t="s">
        <v>397</v>
      </c>
      <c r="C32" s="353"/>
      <c r="D32" s="325">
        <f>'Exhibit G State'!D32</f>
        <v>22.2</v>
      </c>
      <c r="E32" s="325"/>
      <c r="F32" s="325">
        <f>'Exhibit G State'!F32</f>
        <v>0.30000000000000071</v>
      </c>
      <c r="G32" s="325"/>
      <c r="H32" s="325">
        <f>'Exhibit G State'!H32</f>
        <v>16</v>
      </c>
      <c r="J32" s="325">
        <f>'Exhibit G State'!J32</f>
        <v>0.20000000000000284</v>
      </c>
      <c r="L32" s="325">
        <f>'Exhibit G State'!L32</f>
        <v>0.19999999999999574</v>
      </c>
      <c r="N32" s="325">
        <f>'Exhibit G State'!N32</f>
        <v>19.399999999999999</v>
      </c>
      <c r="P32" s="325">
        <f>'Exhibit G State'!P32</f>
        <v>4.9000000000000057</v>
      </c>
      <c r="R32" s="325">
        <f>'Exhibit G State'!R32</f>
        <v>6.7000000000000028</v>
      </c>
      <c r="S32" s="325"/>
      <c r="T32" s="325"/>
      <c r="U32" s="325"/>
      <c r="V32" s="325"/>
      <c r="W32" s="325"/>
      <c r="X32" s="325"/>
      <c r="Y32" s="325"/>
      <c r="Z32" s="325"/>
      <c r="AA32" s="325"/>
      <c r="AB32" s="325"/>
      <c r="AC32" s="647"/>
      <c r="AD32" s="325">
        <f>ROUND(SUM(D32:Z32),1)</f>
        <v>69.900000000000006</v>
      </c>
      <c r="AE32" s="325"/>
      <c r="AF32" s="647"/>
      <c r="AG32" s="325">
        <f>'Exhibit G State'!AG32</f>
        <v>52.9</v>
      </c>
      <c r="AH32" s="643"/>
      <c r="AI32" s="325"/>
      <c r="AJ32" s="325">
        <f>ROUND(SUM(+AD32-AG32),1)</f>
        <v>17</v>
      </c>
      <c r="AK32" s="14"/>
      <c r="AL32" s="327">
        <f>ROUND(IF(AG32=0,0,AJ32/ABS(AG32)),3)</f>
        <v>0.32100000000000001</v>
      </c>
      <c r="AM32" s="513"/>
      <c r="AN32" s="513"/>
      <c r="AO32" s="513"/>
      <c r="AP32" s="513"/>
      <c r="AQ32" s="513"/>
      <c r="AR32" s="513"/>
      <c r="AS32" s="513"/>
    </row>
    <row r="33" spans="1:45" ht="15" customHeight="1">
      <c r="A33" s="353"/>
      <c r="B33" s="534" t="s">
        <v>398</v>
      </c>
      <c r="C33" s="353"/>
      <c r="D33" s="325">
        <f>'Exhibit G State'!D33</f>
        <v>24.4</v>
      </c>
      <c r="E33" s="325"/>
      <c r="F33" s="325">
        <f>'Exhibit G State'!F33</f>
        <v>-10.399999999999999</v>
      </c>
      <c r="G33" s="325"/>
      <c r="H33" s="325">
        <f>'Exhibit G State'!H33</f>
        <v>66.300000000000011</v>
      </c>
      <c r="J33" s="325">
        <f>'Exhibit G State'!J33</f>
        <v>0.29999999999998295</v>
      </c>
      <c r="L33" s="325">
        <f>'Exhibit G State'!L33</f>
        <v>2.6000000000000085</v>
      </c>
      <c r="N33" s="325">
        <f>'Exhibit G State'!N33</f>
        <v>57.3</v>
      </c>
      <c r="P33" s="325">
        <f>'Exhibit G State'!P33</f>
        <v>-0.30000000000001137</v>
      </c>
      <c r="R33" s="325">
        <f>'Exhibit G State'!R33</f>
        <v>1.6000000000000227</v>
      </c>
      <c r="S33" s="325"/>
      <c r="T33" s="325"/>
      <c r="U33" s="325"/>
      <c r="V33" s="325"/>
      <c r="W33" s="325"/>
      <c r="X33" s="325"/>
      <c r="Y33" s="325"/>
      <c r="Z33" s="325"/>
      <c r="AA33" s="325"/>
      <c r="AB33" s="325"/>
      <c r="AC33" s="647"/>
      <c r="AD33" s="325">
        <f>ROUND(SUM(D33:Z33),1)</f>
        <v>141.80000000000001</v>
      </c>
      <c r="AE33" s="325"/>
      <c r="AF33" s="647"/>
      <c r="AG33" s="325">
        <f>'Exhibit G State'!AG33</f>
        <v>109.2</v>
      </c>
      <c r="AH33" s="643"/>
      <c r="AI33" s="325"/>
      <c r="AJ33" s="325">
        <f>ROUND(SUM(+AD33-AG33),1)</f>
        <v>32.6</v>
      </c>
      <c r="AK33" s="14"/>
      <c r="AL33" s="670">
        <f>ROUND(IF(AG33=0,0,AJ33/ABS(AG33)),3)</f>
        <v>0.29899999999999999</v>
      </c>
      <c r="AM33" s="513"/>
      <c r="AN33" s="513"/>
      <c r="AO33" s="513"/>
      <c r="AP33" s="513"/>
      <c r="AQ33" s="513"/>
      <c r="AR33" s="513"/>
      <c r="AS33" s="513"/>
    </row>
    <row r="34" spans="1:45" ht="15" customHeight="1">
      <c r="A34" s="353"/>
      <c r="B34" s="534" t="s">
        <v>399</v>
      </c>
      <c r="C34" s="353"/>
      <c r="D34" s="325">
        <f>'Exhibit G State'!D34</f>
        <v>0.3</v>
      </c>
      <c r="E34" s="325"/>
      <c r="F34" s="325">
        <f>'Exhibit G State'!F34</f>
        <v>0</v>
      </c>
      <c r="G34" s="325"/>
      <c r="H34" s="325">
        <f>'Exhibit G State'!H34</f>
        <v>-9.9999999999999978E-2</v>
      </c>
      <c r="J34" s="325">
        <f>'Exhibit G State'!J34</f>
        <v>9.9999999999999978E-2</v>
      </c>
      <c r="L34" s="325">
        <f>'Exhibit G State'!L34</f>
        <v>0</v>
      </c>
      <c r="N34" s="325">
        <f>'Exhibit G State'!N34</f>
        <v>-9.9999999999999978E-2</v>
      </c>
      <c r="P34" s="325">
        <f>'Exhibit G State'!P34</f>
        <v>0.6</v>
      </c>
      <c r="R34" s="325">
        <f>'Exhibit G State'!R34</f>
        <v>0</v>
      </c>
      <c r="S34" s="325"/>
      <c r="T34" s="325"/>
      <c r="U34" s="325"/>
      <c r="V34" s="325"/>
      <c r="W34" s="325"/>
      <c r="X34" s="325"/>
      <c r="Y34" s="325"/>
      <c r="Z34" s="325"/>
      <c r="AA34" s="325"/>
      <c r="AB34" s="325"/>
      <c r="AC34" s="647"/>
      <c r="AD34" s="325">
        <f>ROUND(SUM(D34:Z34),1)</f>
        <v>0.8</v>
      </c>
      <c r="AE34" s="325"/>
      <c r="AF34" s="647"/>
      <c r="AG34" s="325">
        <f>'Exhibit G State'!AG34</f>
        <v>-0.8</v>
      </c>
      <c r="AH34" s="643"/>
      <c r="AI34" s="325"/>
      <c r="AJ34" s="325">
        <f>ROUND(SUM(+AD34-AG34),1)</f>
        <v>1.6</v>
      </c>
      <c r="AK34" s="14"/>
      <c r="AL34" s="670">
        <f>ROUND(IF(AG34=0,1,AJ34/ABS(AG34)),3)</f>
        <v>2</v>
      </c>
      <c r="AM34" s="513"/>
      <c r="AN34" s="513"/>
      <c r="AO34" s="513"/>
      <c r="AP34" s="513"/>
      <c r="AQ34" s="513"/>
      <c r="AR34" s="513"/>
      <c r="AS34" s="513"/>
    </row>
    <row r="35" spans="1:45" ht="15" customHeight="1">
      <c r="A35" s="353"/>
      <c r="B35" s="534" t="s">
        <v>401</v>
      </c>
      <c r="C35" s="353"/>
      <c r="D35" s="325">
        <f>'Exhibit G State'!D35</f>
        <v>36.1</v>
      </c>
      <c r="E35" s="325"/>
      <c r="F35" s="325">
        <f>'Exhibit G State'!F35</f>
        <v>42.9</v>
      </c>
      <c r="G35" s="325"/>
      <c r="H35" s="325">
        <f>'Exhibit G State'!H35</f>
        <v>41.699999999999996</v>
      </c>
      <c r="J35" s="325">
        <f>'Exhibit G State'!J35</f>
        <v>42.9</v>
      </c>
      <c r="L35" s="325">
        <f>'Exhibit G State'!L35</f>
        <v>48.200000000000024</v>
      </c>
      <c r="N35" s="325">
        <f>'Exhibit G State'!N35</f>
        <v>41.799999999999976</v>
      </c>
      <c r="P35" s="325">
        <f>'Exhibit G State'!P35</f>
        <v>43.199999999999996</v>
      </c>
      <c r="R35" s="325">
        <f>'Exhibit G State'!R35</f>
        <v>41.4</v>
      </c>
      <c r="S35" s="325"/>
      <c r="T35" s="325"/>
      <c r="U35" s="325"/>
      <c r="V35" s="325"/>
      <c r="W35" s="325"/>
      <c r="X35" s="325"/>
      <c r="Y35" s="325"/>
      <c r="Z35" s="325"/>
      <c r="AA35" s="325"/>
      <c r="AB35" s="325"/>
      <c r="AC35" s="647"/>
      <c r="AD35" s="325">
        <f>ROUND(SUM(D35:Z35),1)</f>
        <v>338.2</v>
      </c>
      <c r="AE35" s="325"/>
      <c r="AF35" s="647"/>
      <c r="AG35" s="325">
        <f>'Exhibit G State'!AG35</f>
        <v>322.2</v>
      </c>
      <c r="AH35" s="643"/>
      <c r="AI35" s="325"/>
      <c r="AJ35" s="325">
        <f>ROUND(SUM(+AD35-AG35),1)</f>
        <v>16</v>
      </c>
      <c r="AK35" s="14"/>
      <c r="AL35" s="327">
        <f>ROUND(IF(AG35=0,0,AJ35/ABS(AG35)),3)</f>
        <v>0.05</v>
      </c>
      <c r="AM35" s="513"/>
      <c r="AN35" s="513"/>
      <c r="AO35" s="513"/>
      <c r="AP35" s="513"/>
      <c r="AQ35" s="513"/>
      <c r="AR35" s="513"/>
      <c r="AS35" s="513"/>
    </row>
    <row r="36" spans="1:45" s="72" customFormat="1" ht="15" customHeight="1">
      <c r="A36" s="6"/>
      <c r="B36" s="6" t="s">
        <v>512</v>
      </c>
      <c r="C36" s="6"/>
      <c r="D36" s="842">
        <f t="shared" ref="D36:F36" si="7">ROUND(SUM(D31:D35),1)</f>
        <v>306.3</v>
      </c>
      <c r="E36"/>
      <c r="F36" s="842">
        <f t="shared" si="7"/>
        <v>69.3</v>
      </c>
      <c r="G36"/>
      <c r="H36" s="842">
        <f>ROUND(SUM(H31:H35),1)</f>
        <v>415</v>
      </c>
      <c r="I36"/>
      <c r="J36" s="842">
        <f>ROUND(SUM(J31:J35),1)</f>
        <v>93.6</v>
      </c>
      <c r="K36"/>
      <c r="L36" s="842">
        <f>ROUND(SUM(L31:L35),1)</f>
        <v>73.7</v>
      </c>
      <c r="M36"/>
      <c r="N36" s="842">
        <f>ROUND(SUM(N31:N35),1)</f>
        <v>423</v>
      </c>
      <c r="O36"/>
      <c r="P36" s="842">
        <f>ROUND(SUM(P31:P35),1)</f>
        <v>110.7</v>
      </c>
      <c r="Q36"/>
      <c r="R36" s="842">
        <f>ROUND(SUM(R31:R35),1)</f>
        <v>92.3</v>
      </c>
      <c r="S36"/>
      <c r="T36" s="842">
        <f>ROUND(SUM(T31:T35),1)</f>
        <v>0</v>
      </c>
      <c r="U36"/>
      <c r="V36" s="842">
        <f>ROUND(SUM(V31:V35),1)</f>
        <v>0</v>
      </c>
      <c r="W36"/>
      <c r="X36" s="842">
        <f>ROUND(SUM(X31:X35),1)</f>
        <v>0</v>
      </c>
      <c r="Y36"/>
      <c r="Z36" s="842">
        <f>ROUND(SUM(Z31:Z35),1)</f>
        <v>0</v>
      </c>
      <c r="AA36" s="16"/>
      <c r="AB36" s="842">
        <f>SUM(AB31:AB35)</f>
        <v>0</v>
      </c>
      <c r="AC36" s="18"/>
      <c r="AD36" s="842">
        <f>ROUND(SUM(AD31:AD35),1)</f>
        <v>1583.9</v>
      </c>
      <c r="AE36" s="16"/>
      <c r="AF36" s="18"/>
      <c r="AG36" s="842">
        <f>ROUND(SUM(AG31:AG35),1)</f>
        <v>1460.5</v>
      </c>
      <c r="AH36" s="108"/>
      <c r="AI36" s="16"/>
      <c r="AJ36" s="842">
        <f>ROUND(SUM(AJ31:AJ35),1)</f>
        <v>123.4</v>
      </c>
      <c r="AL36" s="1274">
        <f>ROUND(SUM(+AJ36/AG36),3)</f>
        <v>8.4000000000000005E-2</v>
      </c>
      <c r="AM36" s="513"/>
      <c r="AN36" s="513"/>
      <c r="AO36" s="513"/>
      <c r="AP36" s="513"/>
      <c r="AQ36" s="513"/>
      <c r="AR36" s="513"/>
      <c r="AS36" s="513"/>
    </row>
    <row r="37" spans="1:45" ht="15" customHeight="1">
      <c r="A37" s="353"/>
      <c r="B37"/>
      <c r="C37" s="353"/>
      <c r="D37" s="325"/>
      <c r="F37" s="325"/>
      <c r="H37" s="325"/>
      <c r="J37" s="325"/>
      <c r="L37" s="325"/>
      <c r="N37" s="325"/>
      <c r="P37" s="325"/>
      <c r="R37" s="325"/>
      <c r="T37" s="325"/>
      <c r="V37" s="325"/>
      <c r="X37" s="325"/>
      <c r="Z37" s="325"/>
      <c r="AA37" s="325"/>
      <c r="AB37" s="325"/>
      <c r="AC37" s="647"/>
      <c r="AD37" s="325"/>
      <c r="AE37" s="325"/>
      <c r="AF37" s="647"/>
      <c r="AG37" s="325"/>
      <c r="AH37" s="643"/>
      <c r="AI37" s="325"/>
      <c r="AJ37" s="325"/>
      <c r="AK37" s="466"/>
      <c r="AL37" s="344"/>
      <c r="AM37" s="513"/>
      <c r="AN37" s="513"/>
      <c r="AO37" s="513"/>
      <c r="AP37" s="513"/>
      <c r="AQ37" s="513"/>
      <c r="AR37" s="513"/>
      <c r="AS37" s="513"/>
    </row>
    <row r="38" spans="1:45" ht="15" customHeight="1">
      <c r="A38" s="353"/>
      <c r="B38" s="6" t="s">
        <v>513</v>
      </c>
      <c r="C38" s="353"/>
      <c r="D38" s="434">
        <f>ROUND(SUM(D17+D29+D36),1)</f>
        <v>524.79999999999995</v>
      </c>
      <c r="F38" s="434">
        <f>ROUND(SUM(F17+F29+F36),1)</f>
        <v>226.2</v>
      </c>
      <c r="H38" s="434">
        <f>ROUND(SUM(H17+H29+H36),1)</f>
        <v>613.1</v>
      </c>
      <c r="J38" s="434">
        <f>ROUND(SUM(J17+J29+J36),1)</f>
        <v>253.9</v>
      </c>
      <c r="L38" s="434">
        <f>ROUND(SUM(L17+L29+L36),1)</f>
        <v>230.9</v>
      </c>
      <c r="N38" s="434">
        <f>ROUND(SUM(N17+N29+N36),1)</f>
        <v>626.4</v>
      </c>
      <c r="P38" s="434">
        <f>ROUND(SUM(P17+P29+P36),1)</f>
        <v>284.10000000000002</v>
      </c>
      <c r="R38" s="434">
        <f>ROUND(SUM(R17+R29+R36),1)</f>
        <v>257</v>
      </c>
      <c r="T38" s="434">
        <f>ROUND(SUM(T17+T29+T36),1)</f>
        <v>0</v>
      </c>
      <c r="V38" s="434">
        <f>ROUND(SUM(V17+V29+V36),1)</f>
        <v>0</v>
      </c>
      <c r="X38" s="434">
        <f>ROUND(SUM(X17+X29+X36),1)</f>
        <v>0</v>
      </c>
      <c r="Z38" s="434">
        <f>ROUND(SUM(Z17+Z29+Z36),1)</f>
        <v>0</v>
      </c>
      <c r="AA38" s="16"/>
      <c r="AB38" s="434">
        <f>ROUND(SUM(AB17+AB29+AB36),1)</f>
        <v>0</v>
      </c>
      <c r="AC38" s="647"/>
      <c r="AD38" s="434">
        <f>ROUND(SUM(AD17+AD29+AD36),1)</f>
        <v>3016.4</v>
      </c>
      <c r="AE38" s="325"/>
      <c r="AF38" s="647"/>
      <c r="AG38" s="434">
        <f>ROUND(SUM(AG17+AG29+AG36),1)</f>
        <v>2797.2</v>
      </c>
      <c r="AH38" s="643"/>
      <c r="AI38" s="325"/>
      <c r="AJ38" s="434">
        <f>ROUND(SUM(AJ17+AJ29+AJ36),1)</f>
        <v>219.2</v>
      </c>
      <c r="AK38" s="466"/>
      <c r="AL38" s="470">
        <f>ROUND(SUM(+AJ38/AG38),3)</f>
        <v>7.8E-2</v>
      </c>
      <c r="AM38" s="513"/>
      <c r="AN38" s="513"/>
      <c r="AO38" s="513"/>
      <c r="AP38" s="513"/>
      <c r="AQ38" s="513"/>
      <c r="AR38" s="513"/>
      <c r="AS38" s="513"/>
    </row>
    <row r="39" spans="1:45" ht="15" customHeight="1">
      <c r="A39" s="353"/>
      <c r="B39" s="353"/>
      <c r="C39" s="353"/>
      <c r="D39" s="14"/>
      <c r="F39" s="14"/>
      <c r="H39" s="348"/>
      <c r="J39" s="348"/>
      <c r="L39" s="348"/>
      <c r="N39" s="348"/>
      <c r="P39" s="348"/>
      <c r="R39" s="348"/>
      <c r="T39" s="348"/>
      <c r="V39" s="348"/>
      <c r="X39" s="348"/>
      <c r="Z39" s="348"/>
      <c r="AA39" s="14"/>
      <c r="AB39" s="325"/>
      <c r="AC39" s="647"/>
      <c r="AD39" s="325"/>
      <c r="AE39" s="325"/>
      <c r="AF39" s="647"/>
      <c r="AG39" s="350"/>
      <c r="AH39" s="1530"/>
      <c r="AI39" s="325"/>
      <c r="AJ39" s="325"/>
      <c r="AK39" s="14"/>
      <c r="AL39" s="344"/>
      <c r="AM39" s="513"/>
      <c r="AN39" s="513"/>
      <c r="AO39" s="513"/>
      <c r="AP39" s="513"/>
      <c r="AQ39" s="513"/>
      <c r="AR39" s="513"/>
      <c r="AS39" s="513"/>
    </row>
    <row r="40" spans="1:45" ht="15" customHeight="1">
      <c r="A40" s="353"/>
      <c r="B40" s="2006" t="s">
        <v>412</v>
      </c>
      <c r="C40" s="353"/>
      <c r="D40" s="14"/>
      <c r="F40" s="14"/>
      <c r="H40" s="348"/>
      <c r="J40" s="348"/>
      <c r="L40" s="348"/>
      <c r="N40" s="348"/>
      <c r="P40" s="348"/>
      <c r="R40" s="348"/>
      <c r="T40" s="348"/>
      <c r="V40" s="348"/>
      <c r="X40" s="348"/>
      <c r="Z40" s="348"/>
      <c r="AA40" s="14"/>
      <c r="AB40" s="325"/>
      <c r="AC40" s="647"/>
      <c r="AD40" s="325"/>
      <c r="AE40" s="325"/>
      <c r="AF40" s="647"/>
      <c r="AG40" s="350"/>
      <c r="AH40" s="1530"/>
      <c r="AI40" s="325"/>
      <c r="AJ40" s="325"/>
      <c r="AK40" s="14"/>
      <c r="AL40" s="344"/>
      <c r="AM40" s="513"/>
      <c r="AN40" s="513"/>
      <c r="AO40" s="513"/>
      <c r="AP40" s="513"/>
      <c r="AQ40" s="513"/>
      <c r="AR40" s="513"/>
      <c r="AS40" s="513"/>
    </row>
    <row r="41" spans="1:45" ht="15" customHeight="1">
      <c r="A41" s="353"/>
      <c r="B41" s="427" t="s">
        <v>413</v>
      </c>
      <c r="C41" s="353"/>
      <c r="D41" s="14"/>
      <c r="F41" s="14"/>
      <c r="H41" s="348"/>
      <c r="J41" s="348"/>
      <c r="L41" s="348"/>
      <c r="N41" s="348"/>
      <c r="P41" s="348"/>
      <c r="R41" s="348"/>
      <c r="T41" s="348"/>
      <c r="V41" s="348"/>
      <c r="X41" s="348"/>
      <c r="Z41" s="348"/>
      <c r="AA41" s="14"/>
      <c r="AB41" s="325"/>
      <c r="AC41" s="647"/>
      <c r="AD41" s="325"/>
      <c r="AE41" s="325"/>
      <c r="AF41" s="647"/>
      <c r="AG41" s="350"/>
      <c r="AH41" s="1530"/>
      <c r="AI41" s="325"/>
      <c r="AJ41" s="325"/>
      <c r="AK41" s="14"/>
      <c r="AL41" s="344"/>
      <c r="AM41" s="513"/>
      <c r="AN41" s="513"/>
      <c r="AO41" s="513"/>
      <c r="AP41" s="513"/>
      <c r="AQ41" s="513"/>
      <c r="AR41" s="513"/>
      <c r="AS41" s="513"/>
    </row>
    <row r="42" spans="1:45" ht="15" customHeight="1">
      <c r="A42" s="353"/>
      <c r="B42" s="427" t="s">
        <v>1508</v>
      </c>
      <c r="C42" s="353"/>
      <c r="D42" s="348">
        <f>'Exhibit G State'!D42+'Exhibit G Federal'!D19</f>
        <v>1</v>
      </c>
      <c r="E42" s="348"/>
      <c r="F42" s="348">
        <f>'Exhibit G State'!F42+'Exhibit G Federal'!F19</f>
        <v>0.89999999999999991</v>
      </c>
      <c r="G42" s="348"/>
      <c r="H42" s="348">
        <f>'Exhibit G State'!H42+'Exhibit G Federal'!H19</f>
        <v>0.89999999999999991</v>
      </c>
      <c r="J42" s="348">
        <f>'Exhibit G State'!J42+'Exhibit G Federal'!J19</f>
        <v>0.90000000000000036</v>
      </c>
      <c r="L42" s="348">
        <f>'Exhibit G State'!L42+'Exhibit G Federal'!L19</f>
        <v>1.2999999999999998</v>
      </c>
      <c r="N42" s="348">
        <f>'Exhibit G State'!N42+'Exhibit G Federal'!N19</f>
        <v>1.5999999999999992</v>
      </c>
      <c r="P42" s="348">
        <f>'Exhibit G State'!P42+'Exhibit G Federal'!P19</f>
        <v>0.89999999999999991</v>
      </c>
      <c r="R42" s="348">
        <f>'Exhibit G State'!R42+'Exhibit G Federal'!R19</f>
        <v>1.1999999999999993</v>
      </c>
      <c r="S42" s="348"/>
      <c r="T42" s="348"/>
      <c r="U42" s="348"/>
      <c r="V42" s="348"/>
      <c r="W42" s="348"/>
      <c r="X42" s="348"/>
      <c r="Y42" s="348"/>
      <c r="Z42" s="348"/>
      <c r="AA42" s="348"/>
      <c r="AB42" s="325"/>
      <c r="AC42" s="647"/>
      <c r="AD42" s="325">
        <f t="shared" ref="AD42:AD84" si="8">ROUND(SUM(D42:Z42),1)</f>
        <v>8.6999999999999993</v>
      </c>
      <c r="AE42" s="325"/>
      <c r="AF42" s="647"/>
      <c r="AG42" s="348">
        <f>'Exhibit G State'!AG42+'Exhibit G Federal'!AG19</f>
        <v>8.1</v>
      </c>
      <c r="AH42" s="1530"/>
      <c r="AI42" s="325"/>
      <c r="AJ42" s="325">
        <f>ROUND(SUM(+AD42-AG42),1)</f>
        <v>0.6</v>
      </c>
      <c r="AK42" s="14"/>
      <c r="AL42" s="327">
        <f>ROUND(IF(AG42=0,0,AJ42/ABS(AG42)),3)</f>
        <v>7.3999999999999996E-2</v>
      </c>
      <c r="AM42" s="513"/>
      <c r="AN42" s="513"/>
      <c r="AO42" s="513"/>
      <c r="AP42" s="513"/>
      <c r="AQ42" s="513"/>
      <c r="AR42" s="513"/>
      <c r="AS42" s="513"/>
    </row>
    <row r="43" spans="1:45" ht="15" customHeight="1">
      <c r="A43" s="353"/>
      <c r="B43" s="427" t="s">
        <v>416</v>
      </c>
      <c r="C43" s="353"/>
      <c r="D43" s="348"/>
      <c r="E43" s="348"/>
      <c r="F43" s="348"/>
      <c r="G43" s="348"/>
      <c r="H43" s="348"/>
      <c r="J43" s="348"/>
      <c r="L43" s="348"/>
      <c r="N43" s="348"/>
      <c r="P43" s="348"/>
      <c r="R43" s="348"/>
      <c r="S43" s="325"/>
      <c r="T43" s="325"/>
      <c r="U43" s="325"/>
      <c r="V43" s="325"/>
      <c r="W43" s="325"/>
      <c r="X43" s="325"/>
      <c r="Y43" s="325"/>
      <c r="Z43" s="325"/>
      <c r="AA43" s="348"/>
      <c r="AB43" s="325"/>
      <c r="AC43" s="647"/>
      <c r="AD43" s="325"/>
      <c r="AE43" s="325"/>
      <c r="AF43" s="647"/>
      <c r="AG43" s="348"/>
      <c r="AH43" s="1530"/>
      <c r="AI43" s="325"/>
      <c r="AJ43" s="325"/>
      <c r="AK43" s="14"/>
      <c r="AL43" s="344"/>
      <c r="AM43" s="513"/>
      <c r="AN43" s="513"/>
      <c r="AO43" s="513"/>
      <c r="AP43" s="513"/>
      <c r="AQ43" s="513"/>
      <c r="AR43" s="513"/>
      <c r="AS43" s="513"/>
    </row>
    <row r="44" spans="1:45" ht="15" customHeight="1">
      <c r="A44" s="353"/>
      <c r="B44" s="427" t="s">
        <v>514</v>
      </c>
      <c r="C44" s="353"/>
      <c r="D44" s="348">
        <f>'Exhibit G State'!D44+'Exhibit G Federal'!D21</f>
        <v>52.8</v>
      </c>
      <c r="E44" s="348"/>
      <c r="F44" s="348">
        <f>'Exhibit G State'!F44+'Exhibit G Federal'!F21</f>
        <v>-28.6</v>
      </c>
      <c r="G44" s="348"/>
      <c r="H44" s="348">
        <f>'Exhibit G State'!H44+'Exhibit G Federal'!H21</f>
        <v>94.1</v>
      </c>
      <c r="J44" s="348">
        <f>'Exhibit G State'!J44+'Exhibit G Federal'!J21</f>
        <v>89.8</v>
      </c>
      <c r="L44" s="348">
        <f>'Exhibit G State'!L44+'Exhibit G Federal'!L21</f>
        <v>93</v>
      </c>
      <c r="N44" s="348">
        <f>'Exhibit G State'!N44+'Exhibit G Federal'!N21</f>
        <v>99.200000000000017</v>
      </c>
      <c r="P44" s="348">
        <f>'Exhibit G State'!P44+'Exhibit G Federal'!P21</f>
        <v>84.4</v>
      </c>
      <c r="R44" s="348">
        <f>'Exhibit G State'!R44+'Exhibit G Federal'!R21</f>
        <v>2.8999999999999702</v>
      </c>
      <c r="S44" s="348"/>
      <c r="T44" s="348"/>
      <c r="U44" s="348"/>
      <c r="V44" s="348"/>
      <c r="W44" s="348"/>
      <c r="X44" s="348"/>
      <c r="Y44" s="348"/>
      <c r="Z44" s="348"/>
      <c r="AA44" s="348"/>
      <c r="AB44" s="325"/>
      <c r="AC44" s="647"/>
      <c r="AD44" s="325">
        <f>ROUND(SUM(D44:Z44),1)</f>
        <v>487.6</v>
      </c>
      <c r="AE44" s="325"/>
      <c r="AF44" s="647"/>
      <c r="AG44" s="348">
        <f>'Exhibit G State'!AG44+'Exhibit G Federal'!AG21</f>
        <v>486.1</v>
      </c>
      <c r="AH44" s="1530"/>
      <c r="AI44" s="325"/>
      <c r="AJ44" s="325">
        <f>ROUND(SUM(+AD44-AG44),1)</f>
        <v>1.5</v>
      </c>
      <c r="AK44" s="14"/>
      <c r="AL44" s="327">
        <f>ROUND(IF(AG44=0,0,AJ44/ABS(AG44)),3)</f>
        <v>3.0000000000000001E-3</v>
      </c>
      <c r="AM44" s="513"/>
      <c r="AN44" s="513"/>
      <c r="AO44" s="513"/>
      <c r="AP44" s="513"/>
      <c r="AQ44" s="513"/>
      <c r="AR44" s="513"/>
      <c r="AS44" s="513"/>
    </row>
    <row r="45" spans="1:45" ht="15" customHeight="1">
      <c r="A45" s="353"/>
      <c r="B45" s="427" t="s">
        <v>1510</v>
      </c>
      <c r="C45" s="353"/>
      <c r="D45" s="348">
        <f>'Exhibit G State'!D45+'Exhibit G Federal'!D22</f>
        <v>630.29999999999995</v>
      </c>
      <c r="E45" s="348"/>
      <c r="F45" s="348">
        <f>'Exhibit G State'!F45+'Exhibit G Federal'!F22</f>
        <v>619.90000000000009</v>
      </c>
      <c r="G45" s="348"/>
      <c r="H45" s="348">
        <f>'Exhibit G State'!H45+'Exhibit G Federal'!H22</f>
        <v>590.79999999999995</v>
      </c>
      <c r="J45" s="348">
        <f>'Exhibit G State'!J45+'Exhibit G Federal'!J22</f>
        <v>644.59999999999991</v>
      </c>
      <c r="L45" s="348">
        <f>'Exhibit G State'!L45+'Exhibit G Federal'!L22</f>
        <v>651.59999999999968</v>
      </c>
      <c r="N45" s="348">
        <f>'Exhibit G State'!N45+'Exhibit G Federal'!N22</f>
        <v>593.30000000000018</v>
      </c>
      <c r="P45" s="348">
        <f>'Exhibit G State'!P45+'Exhibit G Federal'!P22</f>
        <v>670.60000000000059</v>
      </c>
      <c r="R45" s="348">
        <f>'Exhibit G State'!R45+'Exhibit G Federal'!R22</f>
        <v>595.69999999999982</v>
      </c>
      <c r="S45" s="348"/>
      <c r="T45" s="348"/>
      <c r="U45" s="348"/>
      <c r="V45" s="348"/>
      <c r="W45" s="348"/>
      <c r="X45" s="348"/>
      <c r="Y45" s="348"/>
      <c r="Z45" s="348"/>
      <c r="AA45" s="348"/>
      <c r="AB45" s="325"/>
      <c r="AC45" s="647"/>
      <c r="AD45" s="325">
        <f t="shared" si="8"/>
        <v>4996.8</v>
      </c>
      <c r="AE45" s="325"/>
      <c r="AF45" s="647"/>
      <c r="AG45" s="348">
        <f>'Exhibit G State'!AG45+'Exhibit G Federal'!AG22</f>
        <v>4380.2999999999993</v>
      </c>
      <c r="AH45" s="1530"/>
      <c r="AI45" s="325"/>
      <c r="AJ45" s="325">
        <f>ROUND(SUM(+AD45-AG45),1)</f>
        <v>616.5</v>
      </c>
      <c r="AK45" s="14"/>
      <c r="AL45" s="327">
        <f>ROUND(IF(AG45=0,0,AJ45/ABS(AG45)),3)</f>
        <v>0.14099999999999999</v>
      </c>
      <c r="AM45" s="513"/>
      <c r="AN45" s="513"/>
      <c r="AO45" s="513"/>
      <c r="AP45" s="513"/>
      <c r="AQ45" s="513"/>
      <c r="AR45" s="513"/>
      <c r="AS45" s="513"/>
    </row>
    <row r="46" spans="1:45" ht="15" customHeight="1">
      <c r="A46" s="353"/>
      <c r="B46" s="427" t="s">
        <v>1511</v>
      </c>
      <c r="C46" s="353"/>
      <c r="D46" s="348">
        <f>'Exhibit G State'!D46+'Exhibit G Federal'!D23</f>
        <v>0.7</v>
      </c>
      <c r="E46" s="348"/>
      <c r="F46" s="348">
        <f>'Exhibit G State'!F46+'Exhibit G Federal'!F23</f>
        <v>0</v>
      </c>
      <c r="G46" s="348"/>
      <c r="H46" s="348">
        <f>'Exhibit G State'!H46+'Exhibit G Federal'!H23</f>
        <v>0.7</v>
      </c>
      <c r="J46" s="348">
        <f>'Exhibit G State'!J46+'Exhibit G Federal'!J23</f>
        <v>0</v>
      </c>
      <c r="L46" s="348">
        <f>'Exhibit G State'!L46+'Exhibit G Federal'!L23</f>
        <v>0.20000000000000018</v>
      </c>
      <c r="N46" s="348">
        <f>'Exhibit G State'!N46+'Exhibit G Federal'!N23</f>
        <v>61.199999999999989</v>
      </c>
      <c r="P46" s="348">
        <f>'Exhibit G State'!P46+'Exhibit G Federal'!P23</f>
        <v>0.5</v>
      </c>
      <c r="R46" s="348">
        <f>'Exhibit G State'!R46+'Exhibit G Federal'!R23</f>
        <v>-31.899999999999988</v>
      </c>
      <c r="S46" s="348"/>
      <c r="T46" s="348"/>
      <c r="U46" s="348"/>
      <c r="V46" s="348"/>
      <c r="W46" s="348"/>
      <c r="X46" s="348"/>
      <c r="Y46" s="348"/>
      <c r="Z46" s="348"/>
      <c r="AA46" s="348"/>
      <c r="AB46" s="325"/>
      <c r="AC46" s="647"/>
      <c r="AD46" s="325">
        <f t="shared" si="8"/>
        <v>31.4</v>
      </c>
      <c r="AE46" s="325"/>
      <c r="AF46" s="647"/>
      <c r="AG46" s="348">
        <f>'Exhibit G State'!AG46+'Exhibit G Federal'!AG23</f>
        <v>64.2</v>
      </c>
      <c r="AH46" s="1530"/>
      <c r="AI46" s="325"/>
      <c r="AJ46" s="325">
        <f>ROUND(SUM(+AD46-AG46),1)</f>
        <v>-32.799999999999997</v>
      </c>
      <c r="AK46" s="14"/>
      <c r="AL46" s="670">
        <f>ROUND(IF(AG46=0,0,AJ46/ABS(AG46)),3)</f>
        <v>-0.51100000000000001</v>
      </c>
      <c r="AM46" s="513"/>
      <c r="AN46" s="513"/>
      <c r="AO46" s="513"/>
      <c r="AP46" s="513"/>
      <c r="AQ46" s="513"/>
      <c r="AR46" s="513"/>
      <c r="AS46" s="513"/>
    </row>
    <row r="47" spans="1:45" ht="15" customHeight="1">
      <c r="A47" s="353"/>
      <c r="B47" s="427" t="s">
        <v>515</v>
      </c>
      <c r="C47" s="353"/>
      <c r="D47" s="348">
        <f>'Exhibit G State'!D47+'Exhibit G Federal'!D24</f>
        <v>0</v>
      </c>
      <c r="E47" s="348"/>
      <c r="F47" s="348">
        <f>'Exhibit G State'!F47+'Exhibit G Federal'!F24</f>
        <v>0.1</v>
      </c>
      <c r="G47" s="348"/>
      <c r="H47" s="348">
        <f>'Exhibit G State'!H47+'Exhibit G Federal'!H24</f>
        <v>0</v>
      </c>
      <c r="J47" s="348">
        <f>'Exhibit G State'!J47+'Exhibit G Federal'!J24</f>
        <v>0</v>
      </c>
      <c r="L47" s="348">
        <f>'Exhibit G State'!L47+'Exhibit G Federal'!L24</f>
        <v>0</v>
      </c>
      <c r="N47" s="348">
        <f>'Exhibit G State'!N47+'Exhibit G Federal'!N24</f>
        <v>0.1</v>
      </c>
      <c r="P47" s="348">
        <f>'Exhibit G State'!P47+'Exhibit G Federal'!P24</f>
        <v>0</v>
      </c>
      <c r="R47" s="348">
        <f>'Exhibit G State'!R47+'Exhibit G Federal'!R24</f>
        <v>0</v>
      </c>
      <c r="S47" s="348"/>
      <c r="T47" s="348"/>
      <c r="U47" s="348"/>
      <c r="V47" s="348"/>
      <c r="W47" s="348"/>
      <c r="X47" s="348"/>
      <c r="Y47" s="348"/>
      <c r="Z47" s="348"/>
      <c r="AA47" s="348"/>
      <c r="AB47" s="325"/>
      <c r="AC47" s="647"/>
      <c r="AD47" s="325">
        <f t="shared" si="8"/>
        <v>0.2</v>
      </c>
      <c r="AE47" s="325"/>
      <c r="AF47" s="647"/>
      <c r="AG47" s="348">
        <f>'Exhibit G State'!AG47+'Exhibit G Federal'!AG24</f>
        <v>0.2</v>
      </c>
      <c r="AH47" s="1530"/>
      <c r="AI47" s="325"/>
      <c r="AJ47" s="325">
        <f>ROUND(SUM(+AD47-AG47),1)</f>
        <v>0</v>
      </c>
      <c r="AK47" s="14"/>
      <c r="AL47" s="327">
        <f>ROUND(IF(AG47=0,1,AJ47/ABS(AG47)),3)</f>
        <v>0</v>
      </c>
      <c r="AM47" s="513"/>
      <c r="AN47" s="513"/>
      <c r="AO47" s="513"/>
      <c r="AP47" s="513"/>
      <c r="AQ47" s="513"/>
      <c r="AR47" s="513"/>
      <c r="AS47" s="513"/>
    </row>
    <row r="48" spans="1:45" ht="15" customHeight="1">
      <c r="A48" s="353"/>
      <c r="B48" s="427" t="s">
        <v>421</v>
      </c>
      <c r="C48" s="353"/>
      <c r="D48" s="348"/>
      <c r="E48" s="348"/>
      <c r="F48" s="348"/>
      <c r="G48" s="348"/>
      <c r="H48" s="348"/>
      <c r="J48" s="348"/>
      <c r="L48" s="348"/>
      <c r="N48" s="348"/>
      <c r="P48" s="348"/>
      <c r="R48" s="348"/>
      <c r="S48" s="325"/>
      <c r="T48" s="325"/>
      <c r="U48" s="325"/>
      <c r="V48" s="325"/>
      <c r="W48" s="325"/>
      <c r="X48" s="325"/>
      <c r="Y48" s="325"/>
      <c r="Z48" s="325"/>
      <c r="AA48" s="348"/>
      <c r="AB48" s="325"/>
      <c r="AC48" s="647"/>
      <c r="AD48" s="325"/>
      <c r="AE48" s="325"/>
      <c r="AF48" s="647"/>
      <c r="AG48" s="348"/>
      <c r="AH48" s="1530"/>
      <c r="AI48" s="325"/>
      <c r="AJ48" s="325"/>
      <c r="AK48" s="14"/>
      <c r="AL48" s="344"/>
      <c r="AM48" s="513"/>
      <c r="AN48" s="513"/>
      <c r="AO48" s="513"/>
      <c r="AP48" s="513"/>
      <c r="AQ48" s="513"/>
      <c r="AR48" s="513"/>
      <c r="AS48" s="513"/>
    </row>
    <row r="49" spans="1:45" ht="15" customHeight="1">
      <c r="A49" s="353"/>
      <c r="B49" s="427" t="s">
        <v>516</v>
      </c>
      <c r="C49" s="353"/>
      <c r="D49" s="348">
        <f>'Exhibit G State'!D49</f>
        <v>0.1</v>
      </c>
      <c r="E49" s="348"/>
      <c r="F49" s="348">
        <f>'Exhibit G State'!F49</f>
        <v>0.19999999999999998</v>
      </c>
      <c r="G49" s="348"/>
      <c r="H49" s="348">
        <f>'Exhibit G State'!H49</f>
        <v>1.9999999999999998</v>
      </c>
      <c r="J49" s="348">
        <f>'Exhibit G State'!J49</f>
        <v>9.9999999999999867E-2</v>
      </c>
      <c r="L49" s="348">
        <f>'Exhibit G State'!L49</f>
        <v>0.10000000000000009</v>
      </c>
      <c r="N49" s="348">
        <f>'Exhibit G State'!N49</f>
        <v>0</v>
      </c>
      <c r="P49" s="348">
        <f>'Exhibit G State'!P49</f>
        <v>0.10000000000000009</v>
      </c>
      <c r="R49" s="348">
        <f>'Exhibit G State'!R49</f>
        <v>0</v>
      </c>
      <c r="S49" s="348"/>
      <c r="T49" s="348"/>
      <c r="U49" s="348"/>
      <c r="V49" s="348"/>
      <c r="W49" s="348"/>
      <c r="X49" s="348"/>
      <c r="Y49" s="348"/>
      <c r="Z49" s="348"/>
      <c r="AA49" s="348"/>
      <c r="AB49" s="325"/>
      <c r="AC49" s="647"/>
      <c r="AD49" s="325">
        <f>ROUND(SUM(D49:Z49),1)</f>
        <v>2.6</v>
      </c>
      <c r="AE49" s="325"/>
      <c r="AF49" s="647"/>
      <c r="AG49" s="348">
        <f>'Exhibit G State'!AG49</f>
        <v>2.2999999999999998</v>
      </c>
      <c r="AH49" s="1530"/>
      <c r="AI49" s="325"/>
      <c r="AJ49" s="325">
        <f>ROUND(SUM(+AD49-AG49),1)</f>
        <v>0.3</v>
      </c>
      <c r="AK49" s="14"/>
      <c r="AL49" s="327">
        <f>ROUND(IF(AG49=0,1,AJ49/ABS(AG49)),3)</f>
        <v>0.13</v>
      </c>
      <c r="AM49" s="513"/>
      <c r="AN49" s="513"/>
      <c r="AO49" s="513"/>
      <c r="AP49" s="513"/>
      <c r="AQ49" s="513"/>
      <c r="AR49" s="513"/>
      <c r="AS49" s="513"/>
    </row>
    <row r="50" spans="1:45" ht="15" customHeight="1">
      <c r="A50" s="353"/>
      <c r="B50" s="427" t="s">
        <v>1513</v>
      </c>
      <c r="C50" s="353"/>
      <c r="D50" s="348">
        <f>'Exhibit G State'!D50+'Exhibit G Federal'!D26</f>
        <v>36.4</v>
      </c>
      <c r="E50" s="348"/>
      <c r="F50" s="348">
        <f>'Exhibit G State'!F50+'Exhibit G Federal'!F26</f>
        <v>31.6</v>
      </c>
      <c r="G50" s="348"/>
      <c r="H50" s="348">
        <f>'Exhibit G State'!H50+'Exhibit G Federal'!H26</f>
        <v>80.199999999999989</v>
      </c>
      <c r="J50" s="348">
        <f>'Exhibit G State'!J50+'Exhibit G Federal'!J26</f>
        <v>36.200000000000017</v>
      </c>
      <c r="L50" s="348">
        <f>'Exhibit G State'!L50+'Exhibit G Federal'!L26</f>
        <v>51.299999999999983</v>
      </c>
      <c r="N50" s="348">
        <f>'Exhibit G State'!N50+'Exhibit G Federal'!N26</f>
        <v>82.100000000000051</v>
      </c>
      <c r="P50" s="348">
        <f>'Exhibit G State'!P50+'Exhibit G Federal'!P26</f>
        <v>53.799999999999983</v>
      </c>
      <c r="R50" s="348">
        <f>'Exhibit G State'!R50+'Exhibit G Federal'!R26</f>
        <v>54.699999999999989</v>
      </c>
      <c r="S50" s="348"/>
      <c r="T50" s="348"/>
      <c r="U50" s="348"/>
      <c r="V50" s="348"/>
      <c r="W50" s="348"/>
      <c r="X50" s="348"/>
      <c r="Y50" s="348"/>
      <c r="Z50" s="348"/>
      <c r="AA50" s="348"/>
      <c r="AB50" s="325"/>
      <c r="AC50" s="647"/>
      <c r="AD50" s="325">
        <f t="shared" si="8"/>
        <v>426.3</v>
      </c>
      <c r="AE50" s="325"/>
      <c r="AF50" s="647"/>
      <c r="AG50" s="348">
        <f>'Exhibit G State'!AG50+'Exhibit G Federal'!AG26</f>
        <v>439.9</v>
      </c>
      <c r="AH50" s="1530"/>
      <c r="AI50" s="325"/>
      <c r="AJ50" s="325">
        <f t="shared" ref="AJ50:AJ55" si="9">ROUND(SUM(+AD50-AG50),1)</f>
        <v>-13.6</v>
      </c>
      <c r="AK50" s="14"/>
      <c r="AL50" s="327">
        <f t="shared" ref="AL50:AL55" si="10">ROUND(IF(AG50=0,0,AJ50/ABS(AG50)),3)</f>
        <v>-3.1E-2</v>
      </c>
      <c r="AM50" s="513"/>
      <c r="AN50" s="513"/>
      <c r="AO50" s="513"/>
      <c r="AP50" s="513"/>
      <c r="AQ50" s="513"/>
      <c r="AR50" s="513"/>
      <c r="AS50" s="513"/>
    </row>
    <row r="51" spans="1:45" ht="15" customHeight="1">
      <c r="A51" s="353"/>
      <c r="B51" s="427" t="s">
        <v>518</v>
      </c>
      <c r="C51" s="353"/>
      <c r="D51" s="348">
        <f>'Exhibit G State'!D51+'Exhibit G Federal'!D27</f>
        <v>3.8</v>
      </c>
      <c r="E51" s="348"/>
      <c r="F51" s="348">
        <f>'Exhibit G State'!F51+'Exhibit G Federal'!F27</f>
        <v>4</v>
      </c>
      <c r="G51" s="348"/>
      <c r="H51" s="348">
        <f>'Exhibit G State'!H51+'Exhibit G Federal'!H27</f>
        <v>4.3000000000000007</v>
      </c>
      <c r="J51" s="348">
        <f>'Exhibit G State'!J51+'Exhibit G Federal'!J27</f>
        <v>3.5999999999999979</v>
      </c>
      <c r="L51" s="348">
        <f>'Exhibit G State'!L51+'Exhibit G Federal'!L27</f>
        <v>5.3000000000000007</v>
      </c>
      <c r="N51" s="348">
        <f>'Exhibit G State'!N51+'Exhibit G Federal'!N27</f>
        <v>5.1000000000000014</v>
      </c>
      <c r="P51" s="348">
        <f>'Exhibit G State'!P51+'Exhibit G Federal'!P27</f>
        <v>4.6999999999999993</v>
      </c>
      <c r="R51" s="348">
        <f>'Exhibit G State'!R51+'Exhibit G Federal'!R27</f>
        <v>4.0999999999999979</v>
      </c>
      <c r="S51" s="348"/>
      <c r="T51" s="348"/>
      <c r="U51" s="348"/>
      <c r="V51" s="348"/>
      <c r="W51" s="348"/>
      <c r="X51" s="348"/>
      <c r="Y51" s="348"/>
      <c r="Z51" s="348"/>
      <c r="AA51" s="348"/>
      <c r="AB51" s="325"/>
      <c r="AC51" s="647"/>
      <c r="AD51" s="325">
        <f t="shared" si="8"/>
        <v>34.9</v>
      </c>
      <c r="AE51" s="325"/>
      <c r="AF51" s="647"/>
      <c r="AG51" s="348">
        <f>'Exhibit G State'!AG51+'Exhibit G Federal'!AG27</f>
        <v>40</v>
      </c>
      <c r="AH51" s="1530"/>
      <c r="AI51" s="325"/>
      <c r="AJ51" s="325">
        <f t="shared" si="9"/>
        <v>-5.0999999999999996</v>
      </c>
      <c r="AK51" s="14"/>
      <c r="AL51" s="327">
        <f t="shared" si="10"/>
        <v>-0.128</v>
      </c>
      <c r="AM51" s="513"/>
      <c r="AN51" s="513"/>
      <c r="AO51" s="513"/>
      <c r="AP51" s="513"/>
      <c r="AQ51" s="513"/>
      <c r="AR51" s="513"/>
      <c r="AS51" s="513"/>
    </row>
    <row r="52" spans="1:45" ht="15" customHeight="1">
      <c r="A52" s="353"/>
      <c r="B52" s="427" t="s">
        <v>519</v>
      </c>
      <c r="C52" s="353"/>
      <c r="D52" s="348">
        <f>'Exhibit G State'!D52+'Exhibit G Federal'!D28</f>
        <v>0.3</v>
      </c>
      <c r="E52" s="348"/>
      <c r="F52" s="348">
        <f>'Exhibit G State'!F52+'Exhibit G Federal'!F28</f>
        <v>0.39999999999999997</v>
      </c>
      <c r="G52" s="348"/>
      <c r="H52" s="348">
        <f>'Exhibit G State'!H52+'Exhibit G Federal'!H28</f>
        <v>0.3</v>
      </c>
      <c r="J52" s="348">
        <f>'Exhibit G State'!J52+'Exhibit G Federal'!J28</f>
        <v>0.39999999999999997</v>
      </c>
      <c r="L52" s="348">
        <f>'Exhibit G State'!L52+'Exhibit G Federal'!L28</f>
        <v>1.0000000000000002</v>
      </c>
      <c r="N52" s="348">
        <f>'Exhibit G State'!N52+'Exhibit G Federal'!N28</f>
        <v>0.7000000000000004</v>
      </c>
      <c r="P52" s="348">
        <f>'Exhibit G State'!P52+'Exhibit G Federal'!P28</f>
        <v>0.19999999999999973</v>
      </c>
      <c r="R52" s="348">
        <f>'Exhibit G State'!R52+'Exhibit G Federal'!R28</f>
        <v>0.60000000000000009</v>
      </c>
      <c r="S52" s="348"/>
      <c r="T52" s="348"/>
      <c r="U52" s="348"/>
      <c r="V52" s="348"/>
      <c r="W52" s="348"/>
      <c r="X52" s="348"/>
      <c r="Y52" s="348"/>
      <c r="Z52" s="348"/>
      <c r="AA52" s="348"/>
      <c r="AB52" s="325"/>
      <c r="AC52" s="647"/>
      <c r="AD52" s="325">
        <f>ROUND(SUM(D52:Z52),1)</f>
        <v>3.9</v>
      </c>
      <c r="AE52" s="325"/>
      <c r="AF52" s="647"/>
      <c r="AG52" s="348">
        <f>'Exhibit G State'!AG52+'Exhibit G Federal'!AG28</f>
        <v>3.2</v>
      </c>
      <c r="AH52" s="1530"/>
      <c r="AI52" s="325"/>
      <c r="AJ52" s="325">
        <f t="shared" si="9"/>
        <v>0.7</v>
      </c>
      <c r="AK52" s="14"/>
      <c r="AL52" s="327">
        <f>ROUND(IF(AG52=0,1,AJ52/ABS(AG52)),3)</f>
        <v>0.219</v>
      </c>
      <c r="AM52" s="513"/>
      <c r="AN52" s="513"/>
      <c r="AO52" s="513"/>
      <c r="AP52" s="513"/>
      <c r="AQ52" s="513"/>
      <c r="AR52" s="513"/>
      <c r="AS52" s="513"/>
    </row>
    <row r="53" spans="1:45" ht="15" customHeight="1">
      <c r="A53" s="353"/>
      <c r="B53" s="427" t="s">
        <v>1514</v>
      </c>
      <c r="C53" s="353"/>
      <c r="D53" s="348">
        <f>'Exhibit G State'!D53+'Exhibit G Federal'!D29</f>
        <v>39.700000000000003</v>
      </c>
      <c r="E53" s="348"/>
      <c r="F53" s="348">
        <f>'Exhibit G State'!F53+'Exhibit G Federal'!F29</f>
        <v>38</v>
      </c>
      <c r="G53" s="348"/>
      <c r="H53" s="348">
        <f>'Exhibit G State'!H53+'Exhibit G Federal'!H29</f>
        <v>32</v>
      </c>
      <c r="J53" s="348">
        <f>'Exhibit G State'!J53+'Exhibit G Federal'!J29</f>
        <v>16.599999999999994</v>
      </c>
      <c r="L53" s="348">
        <f>'Exhibit G State'!L53+'Exhibit G Federal'!L29</f>
        <v>27.500000000000014</v>
      </c>
      <c r="N53" s="348">
        <f>'Exhibit G State'!N53+'Exhibit G Federal'!N29</f>
        <v>13.799999999999983</v>
      </c>
      <c r="P53" s="348">
        <f>'Exhibit G State'!P53+'Exhibit G Federal'!P29</f>
        <v>20.799999999999997</v>
      </c>
      <c r="R53" s="348">
        <f>'Exhibit G State'!R53+'Exhibit G Federal'!R29</f>
        <v>27.600000000000023</v>
      </c>
      <c r="S53" s="348"/>
      <c r="T53" s="348"/>
      <c r="U53" s="348"/>
      <c r="V53" s="348"/>
      <c r="W53" s="348"/>
      <c r="X53" s="348"/>
      <c r="Y53" s="348"/>
      <c r="Z53" s="348"/>
      <c r="AA53" s="348"/>
      <c r="AB53" s="325"/>
      <c r="AC53" s="647"/>
      <c r="AD53" s="325">
        <f t="shared" si="8"/>
        <v>216</v>
      </c>
      <c r="AE53" s="325"/>
      <c r="AF53" s="647"/>
      <c r="AG53" s="348">
        <f>'Exhibit G State'!AG53+'Exhibit G Federal'!AG29</f>
        <v>180.7</v>
      </c>
      <c r="AH53" s="1530"/>
      <c r="AI53" s="325"/>
      <c r="AJ53" s="325">
        <f t="shared" si="9"/>
        <v>35.299999999999997</v>
      </c>
      <c r="AK53" s="14"/>
      <c r="AL53" s="327">
        <f t="shared" si="10"/>
        <v>0.19500000000000001</v>
      </c>
      <c r="AM53" s="513"/>
      <c r="AN53" s="513"/>
      <c r="AO53" s="513"/>
      <c r="AP53" s="513"/>
      <c r="AQ53" s="513"/>
      <c r="AR53" s="513"/>
      <c r="AS53" s="513"/>
    </row>
    <row r="54" spans="1:45" ht="15" customHeight="1">
      <c r="A54" s="353"/>
      <c r="B54" s="427" t="s">
        <v>1515</v>
      </c>
      <c r="C54" s="353"/>
      <c r="D54" s="348">
        <f>'Exhibit G State'!D54+'Exhibit G Federal'!D30</f>
        <v>72.8</v>
      </c>
      <c r="E54" s="348"/>
      <c r="F54" s="348">
        <f>'Exhibit G State'!F54+'Exhibit G Federal'!F30</f>
        <v>38.200000000000003</v>
      </c>
      <c r="G54" s="348"/>
      <c r="H54" s="348">
        <f>'Exhibit G State'!H54+'Exhibit G Federal'!H30</f>
        <v>57.400000000000006</v>
      </c>
      <c r="J54" s="348">
        <f>'Exhibit G State'!J54+'Exhibit G Federal'!J30</f>
        <v>68.299999999999969</v>
      </c>
      <c r="L54" s="348">
        <f>'Exhibit G State'!L54+'Exhibit G Federal'!L30</f>
        <v>137.5</v>
      </c>
      <c r="N54" s="348">
        <f>'Exhibit G State'!N54+'Exhibit G Federal'!N30</f>
        <v>158.60000000000002</v>
      </c>
      <c r="P54" s="348">
        <f>'Exhibit G State'!P54+'Exhibit G Federal'!P30</f>
        <v>81.400000000000091</v>
      </c>
      <c r="R54" s="348">
        <f>'Exhibit G State'!R54+'Exhibit G Federal'!R30</f>
        <v>80.899999999999977</v>
      </c>
      <c r="S54" s="348"/>
      <c r="T54" s="348"/>
      <c r="U54" s="348"/>
      <c r="V54" s="348"/>
      <c r="W54" s="348"/>
      <c r="X54" s="348"/>
      <c r="Y54" s="348"/>
      <c r="Z54" s="348"/>
      <c r="AA54" s="348"/>
      <c r="AB54" s="325"/>
      <c r="AC54" s="647"/>
      <c r="AD54" s="325">
        <f t="shared" si="8"/>
        <v>695.1</v>
      </c>
      <c r="AE54" s="325"/>
      <c r="AF54" s="647"/>
      <c r="AG54" s="348">
        <f>'Exhibit G State'!AG54+'Exhibit G Federal'!AG30</f>
        <v>694.6</v>
      </c>
      <c r="AH54" s="1530"/>
      <c r="AI54" s="325"/>
      <c r="AJ54" s="325">
        <f t="shared" si="9"/>
        <v>0.5</v>
      </c>
      <c r="AK54" s="14"/>
      <c r="AL54" s="327">
        <f t="shared" si="10"/>
        <v>1E-3</v>
      </c>
      <c r="AM54" s="513"/>
      <c r="AN54" s="513"/>
      <c r="AO54" s="513"/>
      <c r="AP54" s="513"/>
      <c r="AQ54" s="513"/>
      <c r="AR54" s="513"/>
      <c r="AS54" s="513"/>
    </row>
    <row r="55" spans="1:45" ht="15" customHeight="1">
      <c r="A55" s="353"/>
      <c r="B55" s="427" t="s">
        <v>1516</v>
      </c>
      <c r="C55" s="353"/>
      <c r="D55" s="348">
        <f>'Exhibit G State'!D55+'Exhibit G Federal'!D31</f>
        <v>13</v>
      </c>
      <c r="E55" s="348"/>
      <c r="F55" s="348">
        <f>'Exhibit G State'!F55+'Exhibit G Federal'!F31</f>
        <v>10.399999999999999</v>
      </c>
      <c r="G55" s="348"/>
      <c r="H55" s="348">
        <f>'Exhibit G State'!H55+'Exhibit G Federal'!H31</f>
        <v>6.8999999999999986</v>
      </c>
      <c r="J55" s="348">
        <f>'Exhibit G State'!J55+'Exhibit G Federal'!J31</f>
        <v>10.100000000000005</v>
      </c>
      <c r="L55" s="348">
        <f>'Exhibit G State'!L55+'Exhibit G Federal'!L31</f>
        <v>12.500000000000004</v>
      </c>
      <c r="N55" s="348">
        <f>'Exhibit G State'!N55+'Exhibit G Federal'!N31</f>
        <v>7.2</v>
      </c>
      <c r="P55" s="348">
        <f>'Exhibit G State'!P55+'Exhibit G Federal'!P31</f>
        <v>6.2999999999999883</v>
      </c>
      <c r="R55" s="348">
        <f>'Exhibit G State'!R55+'Exhibit G Federal'!R31</f>
        <v>8.900000000000011</v>
      </c>
      <c r="S55" s="348"/>
      <c r="T55" s="348"/>
      <c r="U55" s="348"/>
      <c r="V55" s="348"/>
      <c r="W55" s="348"/>
      <c r="X55" s="348"/>
      <c r="Y55" s="348"/>
      <c r="Z55" s="348"/>
      <c r="AA55" s="348"/>
      <c r="AB55" s="325"/>
      <c r="AC55" s="647"/>
      <c r="AD55" s="325">
        <f>ROUND(SUM(D55:Z55),1)</f>
        <v>75.3</v>
      </c>
      <c r="AE55" s="325"/>
      <c r="AF55" s="647"/>
      <c r="AG55" s="348">
        <f>'Exhibit G State'!AG55+'Exhibit G Federal'!AG31</f>
        <v>56.300000000000004</v>
      </c>
      <c r="AH55" s="1530"/>
      <c r="AI55" s="325"/>
      <c r="AJ55" s="325">
        <f t="shared" si="9"/>
        <v>19</v>
      </c>
      <c r="AK55" s="14"/>
      <c r="AL55" s="670">
        <f t="shared" si="10"/>
        <v>0.33700000000000002</v>
      </c>
      <c r="AM55" s="513"/>
      <c r="AN55" s="513"/>
      <c r="AO55" s="513"/>
      <c r="AP55" s="513"/>
      <c r="AQ55" s="513"/>
      <c r="AR55" s="513"/>
      <c r="AS55" s="513"/>
    </row>
    <row r="56" spans="1:45" ht="15" customHeight="1">
      <c r="A56" s="353"/>
      <c r="B56" s="427" t="s">
        <v>430</v>
      </c>
      <c r="C56" s="353"/>
      <c r="D56" s="348"/>
      <c r="E56" s="348"/>
      <c r="F56" s="348"/>
      <c r="G56" s="348"/>
      <c r="H56" s="348"/>
      <c r="J56" s="348"/>
      <c r="L56" s="348"/>
      <c r="N56" s="348"/>
      <c r="P56" s="348"/>
      <c r="R56" s="348"/>
      <c r="S56" s="348"/>
      <c r="T56" s="348"/>
      <c r="U56" s="348"/>
      <c r="V56" s="348"/>
      <c r="W56" s="348"/>
      <c r="X56" s="348"/>
      <c r="Y56" s="348"/>
      <c r="Z56" s="348"/>
      <c r="AA56" s="348"/>
      <c r="AB56" s="325"/>
      <c r="AC56" s="647"/>
      <c r="AD56" s="325"/>
      <c r="AE56" s="325"/>
      <c r="AF56" s="647"/>
      <c r="AG56" s="348"/>
      <c r="AH56" s="1530"/>
      <c r="AI56" s="325"/>
      <c r="AJ56" s="325"/>
      <c r="AK56" s="14"/>
      <c r="AL56" s="344"/>
      <c r="AM56" s="513"/>
      <c r="AN56" s="513"/>
      <c r="AO56" s="513"/>
      <c r="AP56" s="513"/>
      <c r="AQ56" s="513"/>
      <c r="AR56" s="513"/>
      <c r="AS56" s="513"/>
    </row>
    <row r="57" spans="1:45" ht="15" customHeight="1">
      <c r="A57" s="353"/>
      <c r="B57" s="427" t="s">
        <v>522</v>
      </c>
      <c r="C57" s="353"/>
      <c r="D57" s="348">
        <f>'Exhibit G State'!D57</f>
        <v>41.6</v>
      </c>
      <c r="E57" s="348"/>
      <c r="F57" s="348">
        <f>'Exhibit G State'!F57</f>
        <v>15</v>
      </c>
      <c r="G57" s="348"/>
      <c r="H57" s="348">
        <f>'Exhibit G State'!H57</f>
        <v>45.4</v>
      </c>
      <c r="J57" s="348">
        <f>'Exhibit G State'!J57</f>
        <v>36.79999999999999</v>
      </c>
      <c r="L57" s="348">
        <f>'Exhibit G State'!L57</f>
        <v>17.000000000000028</v>
      </c>
      <c r="N57" s="348">
        <f>'Exhibit G State'!N57</f>
        <v>44.699999999999982</v>
      </c>
      <c r="P57" s="348">
        <f>'Exhibit G State'!P57</f>
        <v>36.400000000000041</v>
      </c>
      <c r="R57" s="348">
        <f>'Exhibit G State'!R57</f>
        <v>20.300000000000011</v>
      </c>
      <c r="S57" s="348"/>
      <c r="T57" s="348"/>
      <c r="U57" s="348"/>
      <c r="V57" s="348"/>
      <c r="W57" s="348"/>
      <c r="X57" s="348"/>
      <c r="Y57" s="348"/>
      <c r="Z57" s="348"/>
      <c r="AA57" s="348"/>
      <c r="AB57" s="325"/>
      <c r="AC57" s="647"/>
      <c r="AD57" s="325">
        <f t="shared" si="8"/>
        <v>257.2</v>
      </c>
      <c r="AE57" s="325"/>
      <c r="AF57" s="647"/>
      <c r="AG57" s="348">
        <f>'Exhibit G State'!AG57</f>
        <v>245</v>
      </c>
      <c r="AH57" s="1530"/>
      <c r="AI57" s="325"/>
      <c r="AJ57" s="325">
        <f t="shared" ref="AJ57:AJ62" si="11">ROUND(SUM(+AD57-AG57),1)</f>
        <v>12.2</v>
      </c>
      <c r="AK57" s="14"/>
      <c r="AL57" s="670">
        <f>ROUND(IF(AG57=0,1,AJ57/ABS(AG57)),3)</f>
        <v>0.05</v>
      </c>
      <c r="AM57" s="513"/>
      <c r="AN57" s="513"/>
      <c r="AO57" s="513"/>
      <c r="AP57" s="513"/>
      <c r="AQ57" s="513"/>
      <c r="AR57" s="513"/>
      <c r="AS57" s="513"/>
    </row>
    <row r="58" spans="1:45" ht="15" customHeight="1">
      <c r="A58" s="353"/>
      <c r="B58" s="427" t="s">
        <v>523</v>
      </c>
      <c r="C58" s="353"/>
      <c r="D58" s="348">
        <f>'Exhibit G State'!D58</f>
        <v>185</v>
      </c>
      <c r="E58" s="348"/>
      <c r="F58" s="348">
        <f>'Exhibit G State'!F58</f>
        <v>223.7</v>
      </c>
      <c r="G58" s="348"/>
      <c r="H58" s="348">
        <f>'Exhibit G State'!H58</f>
        <v>184.09999999999997</v>
      </c>
      <c r="J58" s="348">
        <f>'Exhibit G State'!J58</f>
        <v>213.10000000000002</v>
      </c>
      <c r="L58" s="348">
        <f>'Exhibit G State'!L58</f>
        <v>255.09999999999997</v>
      </c>
      <c r="N58" s="348">
        <f>'Exhibit G State'!N58</f>
        <v>181.59999999999997</v>
      </c>
      <c r="P58" s="348">
        <f>'Exhibit G State'!P58</f>
        <v>211.30000000000018</v>
      </c>
      <c r="R58" s="348">
        <f>'Exhibit G State'!R58</f>
        <v>218.49999999999994</v>
      </c>
      <c r="S58" s="348"/>
      <c r="T58" s="348"/>
      <c r="U58" s="348"/>
      <c r="V58" s="348"/>
      <c r="W58" s="348"/>
      <c r="X58" s="348"/>
      <c r="Y58" s="348"/>
      <c r="Z58" s="348"/>
      <c r="AA58" s="348"/>
      <c r="AB58" s="325"/>
      <c r="AC58" s="647"/>
      <c r="AD58" s="325">
        <f t="shared" si="8"/>
        <v>1672.4</v>
      </c>
      <c r="AE58" s="325"/>
      <c r="AF58" s="647"/>
      <c r="AG58" s="348">
        <f>'Exhibit G State'!AG58</f>
        <v>1695.4</v>
      </c>
      <c r="AH58" s="1530"/>
      <c r="AI58" s="325"/>
      <c r="AJ58" s="325">
        <f t="shared" si="11"/>
        <v>-23</v>
      </c>
      <c r="AK58" s="14"/>
      <c r="AL58" s="327">
        <f>ROUND(IF(AG58=0,0,AJ58/ABS(AG58)),3)</f>
        <v>-1.4E-2</v>
      </c>
      <c r="AM58" s="513"/>
      <c r="AN58" s="513"/>
      <c r="AO58" s="513"/>
      <c r="AP58" s="513"/>
      <c r="AQ58" s="513"/>
      <c r="AR58" s="513"/>
      <c r="AS58" s="513"/>
    </row>
    <row r="59" spans="1:45" ht="15" customHeight="1">
      <c r="A59" s="353"/>
      <c r="B59" s="427" t="s">
        <v>478</v>
      </c>
      <c r="C59" s="353"/>
      <c r="D59" s="348">
        <f>'Exhibit G State'!D59</f>
        <v>54.1</v>
      </c>
      <c r="E59" s="348"/>
      <c r="F59" s="348">
        <f>'Exhibit G State'!F59</f>
        <v>90.4</v>
      </c>
      <c r="G59" s="348"/>
      <c r="H59" s="348">
        <f>'Exhibit G State'!H59</f>
        <v>47.5</v>
      </c>
      <c r="J59" s="348">
        <f>'Exhibit G State'!J59</f>
        <v>53.400000000000006</v>
      </c>
      <c r="L59" s="348">
        <f>'Exhibit G State'!L59</f>
        <v>59.599999999999994</v>
      </c>
      <c r="N59" s="348">
        <f>'Exhibit G State'!N59</f>
        <v>66.899999999999949</v>
      </c>
      <c r="P59" s="348">
        <f>'Exhibit G State'!P59</f>
        <v>93.9</v>
      </c>
      <c r="R59" s="348">
        <f>'Exhibit G State'!R59</f>
        <v>76.000000000000028</v>
      </c>
      <c r="S59" s="348"/>
      <c r="T59" s="348"/>
      <c r="U59" s="348"/>
      <c r="V59" s="348"/>
      <c r="W59" s="348"/>
      <c r="X59" s="348"/>
      <c r="Y59" s="348"/>
      <c r="Z59" s="348"/>
      <c r="AA59" s="348"/>
      <c r="AB59" s="325"/>
      <c r="AC59" s="647"/>
      <c r="AD59" s="325">
        <f t="shared" si="8"/>
        <v>541.79999999999995</v>
      </c>
      <c r="AE59" s="325"/>
      <c r="AF59" s="647"/>
      <c r="AG59" s="348">
        <f>'Exhibit G State'!AG59</f>
        <v>444.5</v>
      </c>
      <c r="AH59" s="1530"/>
      <c r="AI59" s="325"/>
      <c r="AJ59" s="325">
        <f t="shared" si="11"/>
        <v>97.3</v>
      </c>
      <c r="AK59" s="14"/>
      <c r="AL59" s="327">
        <f>ROUND(IF(AG59=0,1,AJ59/ABS(AG59)),3)</f>
        <v>0.219</v>
      </c>
      <c r="AM59" s="513"/>
      <c r="AN59" s="513"/>
      <c r="AO59" s="513"/>
      <c r="AP59" s="513"/>
      <c r="AQ59" s="513"/>
      <c r="AR59" s="513"/>
      <c r="AS59" s="513"/>
    </row>
    <row r="60" spans="1:45" ht="15" customHeight="1">
      <c r="A60" s="353"/>
      <c r="B60" s="427" t="s">
        <v>524</v>
      </c>
      <c r="C60" s="353"/>
      <c r="D60" s="348">
        <f>'Exhibit G State'!D60</f>
        <v>76.2</v>
      </c>
      <c r="E60" s="348"/>
      <c r="F60" s="348">
        <f>'Exhibit G State'!F60</f>
        <v>74.499999999999986</v>
      </c>
      <c r="G60" s="348"/>
      <c r="H60" s="348">
        <f>'Exhibit G State'!H60</f>
        <v>96.899999999999991</v>
      </c>
      <c r="J60" s="348">
        <f>'Exhibit G State'!J60</f>
        <v>84.700000000000031</v>
      </c>
      <c r="L60" s="348">
        <f>'Exhibit G State'!L60</f>
        <v>103.2</v>
      </c>
      <c r="N60" s="348">
        <f>'Exhibit G State'!N60</f>
        <v>81.200000000000031</v>
      </c>
      <c r="P60" s="348">
        <f>'Exhibit G State'!P60</f>
        <v>78.799999999999912</v>
      </c>
      <c r="R60" s="348">
        <f>'Exhibit G State'!R60</f>
        <v>100.79999999999994</v>
      </c>
      <c r="S60" s="348"/>
      <c r="T60" s="348"/>
      <c r="U60" s="348"/>
      <c r="V60" s="348"/>
      <c r="W60" s="348"/>
      <c r="X60" s="348"/>
      <c r="Y60" s="348"/>
      <c r="Z60" s="348"/>
      <c r="AA60" s="348"/>
      <c r="AB60" s="325"/>
      <c r="AC60" s="647"/>
      <c r="AD60" s="325">
        <f t="shared" si="8"/>
        <v>696.3</v>
      </c>
      <c r="AE60" s="325"/>
      <c r="AF60" s="647"/>
      <c r="AG60" s="348">
        <f>'Exhibit G State'!AG60</f>
        <v>663.9</v>
      </c>
      <c r="AH60" s="1530"/>
      <c r="AI60" s="325"/>
      <c r="AJ60" s="325">
        <f t="shared" si="11"/>
        <v>32.4</v>
      </c>
      <c r="AK60" s="14"/>
      <c r="AL60" s="670">
        <f>ROUND(IF(AG60=0,1,AJ60/ABS(AG60)),3)</f>
        <v>4.9000000000000002E-2</v>
      </c>
      <c r="AM60" s="513"/>
      <c r="AN60" s="513"/>
      <c r="AO60" s="513"/>
      <c r="AP60" s="513"/>
      <c r="AQ60" s="513"/>
      <c r="AR60" s="513"/>
      <c r="AS60" s="513"/>
    </row>
    <row r="61" spans="1:45" ht="15" customHeight="1">
      <c r="A61" s="353"/>
      <c r="B61" s="427" t="s">
        <v>435</v>
      </c>
      <c r="C61" s="353"/>
      <c r="D61" s="348">
        <f>'Exhibit G State'!D61+'Exhibit G Federal'!D32</f>
        <v>125</v>
      </c>
      <c r="E61" s="348"/>
      <c r="F61" s="348">
        <f>'Exhibit G State'!F61+'Exhibit G Federal'!F32</f>
        <v>123.79999999999998</v>
      </c>
      <c r="G61" s="348"/>
      <c r="H61" s="348">
        <f>'Exhibit G State'!H61+'Exhibit G Federal'!H32</f>
        <v>136.5</v>
      </c>
      <c r="J61" s="348">
        <f>'Exhibit G State'!J61+'Exhibit G Federal'!J32</f>
        <v>133.80000000000001</v>
      </c>
      <c r="L61" s="348">
        <f>'Exhibit G State'!L61+'Exhibit G Federal'!L32</f>
        <v>147.60000000000008</v>
      </c>
      <c r="N61" s="348">
        <f>'Exhibit G State'!N61+'Exhibit G Federal'!N32</f>
        <v>148.39999999999992</v>
      </c>
      <c r="P61" s="348">
        <f>'Exhibit G State'!P61+'Exhibit G Federal'!P32</f>
        <v>147.69999999999999</v>
      </c>
      <c r="R61" s="348">
        <f>'Exhibit G State'!R61+'Exhibit G Federal'!R32</f>
        <v>176.2</v>
      </c>
      <c r="S61" s="348"/>
      <c r="T61" s="348"/>
      <c r="U61" s="348"/>
      <c r="V61" s="348"/>
      <c r="W61" s="348"/>
      <c r="X61" s="348"/>
      <c r="Y61" s="348"/>
      <c r="Z61" s="348"/>
      <c r="AA61" s="348"/>
      <c r="AB61" s="325"/>
      <c r="AC61" s="647"/>
      <c r="AD61" s="325">
        <f>ROUND(SUM(D61:Z61),1)</f>
        <v>1139</v>
      </c>
      <c r="AE61" s="325"/>
      <c r="AF61" s="647"/>
      <c r="AG61" s="348">
        <f>'Exhibit G State'!AG61+'Exhibit G Federal'!AG32</f>
        <v>284.39999999999998</v>
      </c>
      <c r="AH61" s="1530"/>
      <c r="AI61" s="325"/>
      <c r="AJ61" s="325">
        <f t="shared" si="11"/>
        <v>854.6</v>
      </c>
      <c r="AK61" s="14"/>
      <c r="AL61" s="670">
        <f>ROUND(IF(AG61=0,0,AJ61/ABS(AG61)),3)</f>
        <v>3.0049999999999999</v>
      </c>
      <c r="AM61" s="513"/>
      <c r="AN61" s="513"/>
      <c r="AO61" s="513"/>
      <c r="AP61" s="513"/>
      <c r="AQ61" s="513"/>
      <c r="AR61" s="513"/>
      <c r="AS61" s="513"/>
    </row>
    <row r="62" spans="1:45" ht="15" customHeight="1">
      <c r="A62" s="353"/>
      <c r="B62" s="427" t="s">
        <v>1517</v>
      </c>
      <c r="C62" s="353"/>
      <c r="D62" s="348">
        <f>'Exhibit G State'!D62+'Exhibit G Federal'!D33</f>
        <v>6.8</v>
      </c>
      <c r="E62" s="348"/>
      <c r="F62" s="348">
        <f>'Exhibit G State'!F62+'Exhibit G Federal'!F33</f>
        <v>1.6000000000000005</v>
      </c>
      <c r="G62" s="348"/>
      <c r="H62" s="348">
        <f>'Exhibit G State'!H62+'Exhibit G Federal'!H33</f>
        <v>7.0000000000000009</v>
      </c>
      <c r="J62" s="348">
        <f>'Exhibit G State'!J62+'Exhibit G Federal'!J33</f>
        <v>2.9999999999999956</v>
      </c>
      <c r="L62" s="348">
        <f>'Exhibit G State'!L62+'Exhibit G Federal'!L33</f>
        <v>1.4000000000000021</v>
      </c>
      <c r="N62" s="348">
        <f>'Exhibit G State'!N62+'Exhibit G Federal'!N33</f>
        <v>80</v>
      </c>
      <c r="P62" s="348">
        <f>'Exhibit G State'!P62+'Exhibit G Federal'!P33</f>
        <v>3.1000000000000085</v>
      </c>
      <c r="R62" s="348">
        <f>'Exhibit G State'!R62+'Exhibit G Federal'!R33</f>
        <v>0.5</v>
      </c>
      <c r="S62" s="348"/>
      <c r="T62" s="348"/>
      <c r="U62" s="348"/>
      <c r="V62" s="348"/>
      <c r="W62" s="348"/>
      <c r="X62" s="348"/>
      <c r="Y62" s="348"/>
      <c r="Z62" s="348"/>
      <c r="AA62" s="348"/>
      <c r="AB62" s="325"/>
      <c r="AC62" s="647"/>
      <c r="AD62" s="325">
        <f>ROUND(SUM(D62:Z62),1)</f>
        <v>103.4</v>
      </c>
      <c r="AE62" s="325"/>
      <c r="AF62" s="647"/>
      <c r="AG62" s="348">
        <f>'Exhibit G State'!AG62+'Exhibit G Federal'!AG33</f>
        <v>103.3</v>
      </c>
      <c r="AH62" s="1530"/>
      <c r="AI62" s="325"/>
      <c r="AJ62" s="325">
        <f t="shared" si="11"/>
        <v>0.1</v>
      </c>
      <c r="AK62" s="14"/>
      <c r="AL62" s="327">
        <f>ROUND(IF(AG62=0,0,AJ62/ABS(AG62)),3)</f>
        <v>1E-3</v>
      </c>
      <c r="AM62" s="513"/>
      <c r="AN62" s="513"/>
      <c r="AO62" s="513"/>
      <c r="AP62" s="513"/>
      <c r="AQ62" s="513"/>
      <c r="AR62" s="513"/>
      <c r="AS62" s="513"/>
    </row>
    <row r="63" spans="1:45" ht="15" customHeight="1">
      <c r="A63" s="353"/>
      <c r="B63" s="427" t="s">
        <v>437</v>
      </c>
      <c r="C63" s="353"/>
      <c r="D63" s="348"/>
      <c r="E63" s="348"/>
      <c r="F63" s="348"/>
      <c r="G63" s="348"/>
      <c r="H63" s="348"/>
      <c r="J63" s="348"/>
      <c r="L63" s="348"/>
      <c r="N63" s="348"/>
      <c r="P63" s="348"/>
      <c r="R63" s="348"/>
      <c r="S63" s="348"/>
      <c r="T63" s="348"/>
      <c r="U63" s="348"/>
      <c r="V63" s="348"/>
      <c r="W63" s="348"/>
      <c r="X63" s="348"/>
      <c r="Y63" s="348"/>
      <c r="Z63" s="348"/>
      <c r="AA63" s="348"/>
      <c r="AB63" s="325"/>
      <c r="AC63" s="647"/>
      <c r="AD63" s="325"/>
      <c r="AE63" s="325"/>
      <c r="AF63" s="647"/>
      <c r="AG63" s="348"/>
      <c r="AH63" s="1530"/>
      <c r="AI63" s="325"/>
      <c r="AJ63" s="325"/>
      <c r="AK63" s="14"/>
      <c r="AL63" s="344"/>
      <c r="AM63" s="513"/>
      <c r="AN63" s="513"/>
      <c r="AO63" s="513"/>
      <c r="AP63" s="513"/>
      <c r="AQ63" s="513"/>
      <c r="AR63" s="513"/>
      <c r="AS63" s="513"/>
    </row>
    <row r="64" spans="1:45" ht="15" customHeight="1">
      <c r="A64" s="353"/>
      <c r="B64" s="427" t="s">
        <v>525</v>
      </c>
      <c r="C64" s="353"/>
      <c r="D64" s="348">
        <f>'Exhibit G State'!D64+'Exhibit G Federal'!D35</f>
        <v>0</v>
      </c>
      <c r="E64" s="348"/>
      <c r="F64" s="348">
        <f>'Exhibit G State'!F64+'Exhibit G Federal'!F35</f>
        <v>0</v>
      </c>
      <c r="G64" s="348"/>
      <c r="H64" s="348">
        <f>'Exhibit G State'!H64+'Exhibit G Federal'!H35</f>
        <v>0</v>
      </c>
      <c r="J64" s="348">
        <f>'Exhibit G State'!J64+'Exhibit G Federal'!J35</f>
        <v>0</v>
      </c>
      <c r="L64" s="348">
        <f>'Exhibit G State'!L64+'Exhibit G Federal'!L35</f>
        <v>0</v>
      </c>
      <c r="N64" s="348">
        <f>'Exhibit G State'!N64+'Exhibit G Federal'!N35</f>
        <v>0</v>
      </c>
      <c r="P64" s="348">
        <f>'Exhibit G State'!P64+'Exhibit G Federal'!P35</f>
        <v>0</v>
      </c>
      <c r="R64" s="348">
        <f>'Exhibit G State'!R64+'Exhibit G Federal'!R35</f>
        <v>0</v>
      </c>
      <c r="S64" s="348"/>
      <c r="T64" s="348"/>
      <c r="U64" s="348"/>
      <c r="V64" s="348"/>
      <c r="W64" s="348"/>
      <c r="X64" s="348"/>
      <c r="Y64" s="348"/>
      <c r="Z64" s="348"/>
      <c r="AA64" s="348"/>
      <c r="AB64" s="325"/>
      <c r="AC64" s="647"/>
      <c r="AD64" s="325">
        <f t="shared" si="8"/>
        <v>0</v>
      </c>
      <c r="AE64" s="325"/>
      <c r="AF64" s="647"/>
      <c r="AG64" s="348">
        <f>'Exhibit G State'!AG64+'Exhibit G Federal'!AG35</f>
        <v>0</v>
      </c>
      <c r="AH64" s="1530"/>
      <c r="AI64" s="325"/>
      <c r="AJ64" s="325">
        <f t="shared" ref="AJ64:AJ68" si="12">ROUND(SUM(+AD64-AG64),1)</f>
        <v>0</v>
      </c>
      <c r="AK64" s="14"/>
      <c r="AL64" s="327">
        <f>ROUND(IF(AG64=0,0,AJ64/ABS(AG64)),3)</f>
        <v>0</v>
      </c>
      <c r="AM64" s="513"/>
      <c r="AN64" s="513"/>
      <c r="AO64" s="513"/>
      <c r="AP64" s="513"/>
      <c r="AQ64" s="513"/>
      <c r="AR64" s="513"/>
      <c r="AS64" s="513"/>
    </row>
    <row r="65" spans="1:45" ht="15" customHeight="1">
      <c r="A65" s="353"/>
      <c r="B65" s="427" t="s">
        <v>526</v>
      </c>
      <c r="C65" s="353"/>
      <c r="D65" s="348">
        <f>'Exhibit G State'!D65+'Exhibit G Federal'!D36</f>
        <v>0.4</v>
      </c>
      <c r="E65" s="348"/>
      <c r="F65" s="348">
        <f>'Exhibit G State'!F65+'Exhibit G Federal'!F36</f>
        <v>0</v>
      </c>
      <c r="G65" s="348"/>
      <c r="H65" s="348">
        <f>'Exhibit G State'!H65+'Exhibit G Federal'!H36</f>
        <v>0</v>
      </c>
      <c r="J65" s="348">
        <f>'Exhibit G State'!J65+'Exhibit G Federal'!J36</f>
        <v>0</v>
      </c>
      <c r="L65" s="348">
        <f>'Exhibit G State'!L65+'Exhibit G Federal'!L36</f>
        <v>0</v>
      </c>
      <c r="N65" s="348">
        <f>'Exhibit G State'!N65+'Exhibit G Federal'!N36</f>
        <v>0</v>
      </c>
      <c r="P65" s="348">
        <f>'Exhibit G State'!P65+'Exhibit G Federal'!P36</f>
        <v>16.700000000000003</v>
      </c>
      <c r="R65" s="348">
        <f>'Exhibit G State'!R65+'Exhibit G Federal'!R36</f>
        <v>3.2999999999999972</v>
      </c>
      <c r="S65" s="348"/>
      <c r="T65" s="348"/>
      <c r="U65" s="348"/>
      <c r="V65" s="348"/>
      <c r="W65" s="348"/>
      <c r="X65" s="348"/>
      <c r="Y65" s="348"/>
      <c r="Z65" s="348"/>
      <c r="AA65" s="348"/>
      <c r="AB65" s="325"/>
      <c r="AC65" s="647"/>
      <c r="AD65" s="325">
        <f t="shared" si="8"/>
        <v>20.399999999999999</v>
      </c>
      <c r="AE65" s="325"/>
      <c r="AF65" s="647"/>
      <c r="AG65" s="348">
        <f>'Exhibit G State'!AG65+'Exhibit G Federal'!AG36</f>
        <v>20.399999999999999</v>
      </c>
      <c r="AH65" s="1530"/>
      <c r="AI65" s="325"/>
      <c r="AJ65" s="325">
        <f t="shared" si="12"/>
        <v>0</v>
      </c>
      <c r="AK65" s="14"/>
      <c r="AL65" s="327">
        <f>ROUND(IF(AG65=0,1,AJ65/ABS(AG65)),3)</f>
        <v>0</v>
      </c>
      <c r="AM65" s="513"/>
      <c r="AN65" s="513"/>
      <c r="AO65" s="513"/>
      <c r="AP65" s="513"/>
      <c r="AQ65" s="513"/>
      <c r="AR65" s="513"/>
      <c r="AS65" s="513"/>
    </row>
    <row r="66" spans="1:45" ht="15" customHeight="1">
      <c r="A66" s="353"/>
      <c r="B66" s="427" t="s">
        <v>1518</v>
      </c>
      <c r="C66" s="353"/>
      <c r="D66" s="348">
        <f>'Exhibit G State'!D66+'Exhibit G Federal'!D37</f>
        <v>0.3</v>
      </c>
      <c r="E66" s="348"/>
      <c r="F66" s="348">
        <f>'Exhibit G State'!F66+'Exhibit G Federal'!F37</f>
        <v>0</v>
      </c>
      <c r="G66" s="348"/>
      <c r="H66" s="348">
        <f>'Exhibit G State'!H66+'Exhibit G Federal'!H37</f>
        <v>2.4000000000000004</v>
      </c>
      <c r="J66" s="348">
        <f>'Exhibit G State'!J66+'Exhibit G Federal'!J37</f>
        <v>3.5</v>
      </c>
      <c r="L66" s="348">
        <f>'Exhibit G State'!L66+'Exhibit G Federal'!L37</f>
        <v>0</v>
      </c>
      <c r="N66" s="348">
        <f>'Exhibit G State'!N66+'Exhibit G Federal'!N37</f>
        <v>0</v>
      </c>
      <c r="P66" s="348">
        <f>'Exhibit G State'!P66+'Exhibit G Federal'!P37</f>
        <v>1</v>
      </c>
      <c r="R66" s="348">
        <f>'Exhibit G State'!R66+'Exhibit G Federal'!R37</f>
        <v>0</v>
      </c>
      <c r="S66" s="348"/>
      <c r="T66" s="348"/>
      <c r="U66" s="348"/>
      <c r="V66" s="348"/>
      <c r="W66" s="348"/>
      <c r="X66" s="348"/>
      <c r="Y66" s="348"/>
      <c r="Z66" s="348"/>
      <c r="AA66" s="348"/>
      <c r="AB66" s="325"/>
      <c r="AC66" s="647"/>
      <c r="AD66" s="325">
        <f t="shared" si="8"/>
        <v>7.2</v>
      </c>
      <c r="AE66" s="325"/>
      <c r="AF66" s="647"/>
      <c r="AG66" s="348">
        <f>'Exhibit G State'!AG66+'Exhibit G Federal'!AG37</f>
        <v>7.2</v>
      </c>
      <c r="AH66" s="1530"/>
      <c r="AI66" s="325"/>
      <c r="AJ66" s="325">
        <f t="shared" si="12"/>
        <v>0</v>
      </c>
      <c r="AK66" s="14"/>
      <c r="AL66" s="670">
        <f t="shared" ref="AL66:AL68" si="13">ROUND(IF(AG66=0,0,AJ66/ABS(AG66)),3)</f>
        <v>0</v>
      </c>
      <c r="AM66" s="513"/>
      <c r="AN66" s="513"/>
      <c r="AO66" s="513"/>
      <c r="AP66" s="513"/>
      <c r="AQ66" s="513"/>
      <c r="AR66" s="513"/>
      <c r="AS66" s="513"/>
    </row>
    <row r="67" spans="1:45" ht="15" customHeight="1">
      <c r="A67" s="353"/>
      <c r="B67" s="427" t="s">
        <v>528</v>
      </c>
      <c r="C67" s="353"/>
      <c r="D67" s="348">
        <f>'Exhibit G State'!D67+'Exhibit G Federal'!D38</f>
        <v>4.9000000000000004</v>
      </c>
      <c r="E67" s="348"/>
      <c r="F67" s="348">
        <f>'Exhibit G State'!F67+'Exhibit G Federal'!F38</f>
        <v>9.9999999999999645E-2</v>
      </c>
      <c r="G67" s="348"/>
      <c r="H67" s="348">
        <f>'Exhibit G State'!H67+'Exhibit G Federal'!H38</f>
        <v>10.8</v>
      </c>
      <c r="J67" s="348">
        <f>'Exhibit G State'!J67+'Exhibit G Federal'!J38</f>
        <v>4.6999999999999993</v>
      </c>
      <c r="L67" s="348">
        <f>'Exhibit G State'!L67+'Exhibit G Federal'!L38</f>
        <v>5.6000000000000014</v>
      </c>
      <c r="N67" s="348">
        <f>'Exhibit G State'!N67+'Exhibit G Federal'!N38</f>
        <v>4.5</v>
      </c>
      <c r="P67" s="348">
        <f>'Exhibit G State'!P67+'Exhibit G Federal'!P38</f>
        <v>12.299999999999997</v>
      </c>
      <c r="R67" s="348">
        <f>'Exhibit G State'!R67+'Exhibit G Federal'!R38</f>
        <v>4.5</v>
      </c>
      <c r="S67" s="348"/>
      <c r="T67" s="348"/>
      <c r="U67" s="348"/>
      <c r="V67" s="348"/>
      <c r="W67" s="348"/>
      <c r="X67" s="348"/>
      <c r="Y67" s="348"/>
      <c r="Z67" s="348"/>
      <c r="AA67" s="348"/>
      <c r="AB67" s="325"/>
      <c r="AC67" s="647"/>
      <c r="AD67" s="325">
        <f t="shared" si="8"/>
        <v>47.4</v>
      </c>
      <c r="AE67" s="325"/>
      <c r="AF67" s="647"/>
      <c r="AG67" s="348">
        <f>'Exhibit G State'!AG67+'Exhibit G Federal'!AG38</f>
        <v>38.1</v>
      </c>
      <c r="AH67" s="1530"/>
      <c r="AI67" s="325"/>
      <c r="AJ67" s="325">
        <f t="shared" si="12"/>
        <v>9.3000000000000007</v>
      </c>
      <c r="AK67" s="14"/>
      <c r="AL67" s="670">
        <f t="shared" si="13"/>
        <v>0.24399999999999999</v>
      </c>
      <c r="AM67" s="513"/>
      <c r="AN67" s="513"/>
      <c r="AO67" s="513"/>
      <c r="AP67" s="513"/>
      <c r="AQ67" s="513"/>
      <c r="AR67" s="513"/>
      <c r="AS67" s="513"/>
    </row>
    <row r="68" spans="1:45" ht="15" customHeight="1">
      <c r="A68" s="353"/>
      <c r="B68" s="427" t="s">
        <v>442</v>
      </c>
      <c r="C68" s="353"/>
      <c r="D68" s="348">
        <f>'Exhibit G State'!D68+'Exhibit G Federal'!D39</f>
        <v>27.2</v>
      </c>
      <c r="E68" s="348"/>
      <c r="F68" s="348">
        <f>'Exhibit G State'!F68+'Exhibit G Federal'!F39</f>
        <v>15.900000000000002</v>
      </c>
      <c r="G68" s="348"/>
      <c r="H68" s="348">
        <f>'Exhibit G State'!H68+'Exhibit G Federal'!H39</f>
        <v>2.1000000000000014</v>
      </c>
      <c r="J68" s="348">
        <f>'Exhibit G State'!J68+'Exhibit G Federal'!J39</f>
        <v>0.69999999999999574</v>
      </c>
      <c r="L68" s="348">
        <f>'Exhibit G State'!L68+'Exhibit G Federal'!L39</f>
        <v>10</v>
      </c>
      <c r="N68" s="348">
        <f>'Exhibit G State'!N68+'Exhibit G Federal'!N39</f>
        <v>-1.5</v>
      </c>
      <c r="P68" s="348">
        <f>'Exhibit G State'!P68+'Exhibit G Federal'!P39</f>
        <v>0.70000000000000284</v>
      </c>
      <c r="R68" s="348">
        <f>'Exhibit G State'!R68+'Exhibit G Federal'!R39</f>
        <v>94.59999999999998</v>
      </c>
      <c r="S68" s="348"/>
      <c r="T68" s="348"/>
      <c r="U68" s="348"/>
      <c r="V68" s="348"/>
      <c r="W68" s="348"/>
      <c r="X68" s="348"/>
      <c r="Y68" s="348"/>
      <c r="Z68" s="348"/>
      <c r="AA68" s="348"/>
      <c r="AB68" s="325"/>
      <c r="AC68" s="647"/>
      <c r="AD68" s="325">
        <f t="shared" si="8"/>
        <v>149.69999999999999</v>
      </c>
      <c r="AE68" s="325"/>
      <c r="AF68" s="647"/>
      <c r="AG68" s="348">
        <f>'Exhibit G State'!AG68+'Exhibit G Federal'!AG39</f>
        <v>153.19999999999999</v>
      </c>
      <c r="AH68" s="1530"/>
      <c r="AI68" s="325"/>
      <c r="AJ68" s="325">
        <f t="shared" si="12"/>
        <v>-3.5</v>
      </c>
      <c r="AK68" s="14"/>
      <c r="AL68" s="670">
        <f t="shared" si="13"/>
        <v>-2.3E-2</v>
      </c>
      <c r="AM68" s="513"/>
      <c r="AN68" s="513"/>
      <c r="AO68" s="513"/>
      <c r="AP68" s="513"/>
      <c r="AQ68" s="513"/>
      <c r="AR68" s="513"/>
      <c r="AS68" s="513"/>
    </row>
    <row r="69" spans="1:45" ht="15" customHeight="1">
      <c r="A69" s="353"/>
      <c r="B69" s="427" t="s">
        <v>443</v>
      </c>
      <c r="C69" s="353"/>
      <c r="D69" s="348"/>
      <c r="E69" s="348"/>
      <c r="F69" s="348"/>
      <c r="G69" s="348"/>
      <c r="H69" s="348"/>
      <c r="J69" s="348"/>
      <c r="L69" s="348"/>
      <c r="N69" s="348"/>
      <c r="P69" s="348"/>
      <c r="R69" s="348"/>
      <c r="S69" s="348"/>
      <c r="T69" s="348"/>
      <c r="U69" s="348"/>
      <c r="V69" s="348"/>
      <c r="W69" s="348"/>
      <c r="X69" s="348"/>
      <c r="Y69" s="348"/>
      <c r="Z69" s="348"/>
      <c r="AA69" s="348"/>
      <c r="AB69" s="325"/>
      <c r="AC69" s="647"/>
      <c r="AD69" s="325"/>
      <c r="AE69" s="325"/>
      <c r="AF69" s="647"/>
      <c r="AG69" s="348"/>
      <c r="AH69" s="1530"/>
      <c r="AI69" s="325"/>
      <c r="AJ69" s="325"/>
      <c r="AK69" s="14"/>
      <c r="AL69" s="344"/>
      <c r="AM69" s="513"/>
      <c r="AN69" s="513"/>
      <c r="AO69" s="513"/>
      <c r="AP69" s="513"/>
      <c r="AQ69" s="513"/>
      <c r="AR69" s="513"/>
      <c r="AS69" s="513"/>
    </row>
    <row r="70" spans="1:45" ht="15" customHeight="1">
      <c r="A70" s="353"/>
      <c r="B70" s="427" t="s">
        <v>1519</v>
      </c>
      <c r="C70" s="353"/>
      <c r="D70" s="348">
        <f>'Exhibit G State'!D70+'Exhibit G Federal'!D41</f>
        <v>8.1</v>
      </c>
      <c r="E70" s="348"/>
      <c r="F70" s="348">
        <f>'Exhibit G State'!F70+'Exhibit G Federal'!F41</f>
        <v>26.199999999999996</v>
      </c>
      <c r="G70" s="348"/>
      <c r="H70" s="348">
        <f>'Exhibit G State'!H70+'Exhibit G Federal'!H41</f>
        <v>8.2000000000000028</v>
      </c>
      <c r="J70" s="348">
        <f>'Exhibit G State'!J70+'Exhibit G Federal'!J41</f>
        <v>24.5</v>
      </c>
      <c r="L70" s="348">
        <f>'Exhibit G State'!L70+'Exhibit G Federal'!L41</f>
        <v>9.6000000000000014</v>
      </c>
      <c r="N70" s="348">
        <f>'Exhibit G State'!N70+'Exhibit G Federal'!N41</f>
        <v>8.4000000000000057</v>
      </c>
      <c r="P70" s="348">
        <f>'Exhibit G State'!P70+'Exhibit G Federal'!P41</f>
        <v>25.1</v>
      </c>
      <c r="R70" s="348">
        <f>'Exhibit G State'!R70+'Exhibit G Federal'!R41</f>
        <v>8.1999999999999886</v>
      </c>
      <c r="S70" s="348"/>
      <c r="T70" s="348"/>
      <c r="U70" s="348"/>
      <c r="V70" s="348"/>
      <c r="W70" s="348"/>
      <c r="X70" s="348"/>
      <c r="Y70" s="348"/>
      <c r="Z70" s="348"/>
      <c r="AA70" s="348"/>
      <c r="AB70" s="325"/>
      <c r="AC70" s="647"/>
      <c r="AD70" s="325">
        <f t="shared" si="8"/>
        <v>118.3</v>
      </c>
      <c r="AE70" s="325"/>
      <c r="AF70" s="647"/>
      <c r="AG70" s="348">
        <f>'Exhibit G State'!AG70+'Exhibit G Federal'!AG41</f>
        <v>121.6</v>
      </c>
      <c r="AH70" s="1530"/>
      <c r="AI70" s="325"/>
      <c r="AJ70" s="325">
        <f t="shared" ref="AJ70:AJ81" si="14">ROUND(SUM(+AD70-AG70),1)</f>
        <v>-3.3</v>
      </c>
      <c r="AK70" s="14"/>
      <c r="AL70" s="670">
        <f>ROUND(IF(AG70=0,0,AJ70/ABS(AG70)),3)</f>
        <v>-2.7E-2</v>
      </c>
      <c r="AM70" s="513"/>
      <c r="AN70" s="513"/>
      <c r="AO70" s="513"/>
      <c r="AP70" s="513"/>
      <c r="AQ70" s="513"/>
      <c r="AR70" s="513"/>
      <c r="AS70" s="513"/>
    </row>
    <row r="71" spans="1:45" ht="15" customHeight="1">
      <c r="A71" s="353"/>
      <c r="B71" s="427" t="s">
        <v>530</v>
      </c>
      <c r="C71" s="353"/>
      <c r="D71" s="348">
        <f>'Exhibit G State'!D71+'Exhibit G Federal'!D42</f>
        <v>0</v>
      </c>
      <c r="E71" s="348"/>
      <c r="F71" s="348">
        <f>'Exhibit G State'!F71+'Exhibit G Federal'!F42</f>
        <v>0.19999999999999574</v>
      </c>
      <c r="G71" s="348"/>
      <c r="H71" s="348">
        <f>'Exhibit G State'!H71+'Exhibit G Federal'!H42</f>
        <v>0.10000000000000142</v>
      </c>
      <c r="J71" s="348">
        <f>'Exhibit G State'!J71+'Exhibit G Federal'!J42</f>
        <v>0</v>
      </c>
      <c r="L71" s="348">
        <f>'Exhibit G State'!L71+'Exhibit G Federal'!L42</f>
        <v>0.3999999999999545</v>
      </c>
      <c r="N71" s="348">
        <f>'Exhibit G State'!N71+'Exhibit G Federal'!N42</f>
        <v>0</v>
      </c>
      <c r="P71" s="348">
        <f>'Exhibit G State'!P71+'Exhibit G Federal'!P42</f>
        <v>0.2000000000000256</v>
      </c>
      <c r="R71" s="348">
        <f>'Exhibit G State'!R71+'Exhibit G Federal'!R42</f>
        <v>0.10000000000002274</v>
      </c>
      <c r="S71" s="348"/>
      <c r="T71" s="348"/>
      <c r="U71" s="348"/>
      <c r="V71" s="348"/>
      <c r="W71" s="348"/>
      <c r="X71" s="348"/>
      <c r="Y71" s="348"/>
      <c r="Z71" s="348"/>
      <c r="AA71" s="348"/>
      <c r="AB71" s="325"/>
      <c r="AC71" s="647"/>
      <c r="AD71" s="325">
        <f t="shared" si="8"/>
        <v>1</v>
      </c>
      <c r="AE71" s="325"/>
      <c r="AF71" s="647"/>
      <c r="AG71" s="348">
        <f>'Exhibit G State'!AG71+'Exhibit G Federal'!AG42</f>
        <v>7.3999999999999773</v>
      </c>
      <c r="AH71" s="1530"/>
      <c r="AI71" s="325"/>
      <c r="AJ71" s="325">
        <f t="shared" si="14"/>
        <v>-6.4</v>
      </c>
      <c r="AK71" s="14"/>
      <c r="AL71" s="670">
        <f>ROUND(IF(AG71=0,1,AJ71/ABS(AG71)),3)</f>
        <v>-0.86499999999999999</v>
      </c>
      <c r="AM71" s="513"/>
      <c r="AN71" s="513"/>
      <c r="AO71" s="513"/>
      <c r="AP71" s="513"/>
      <c r="AQ71" s="513"/>
      <c r="AR71" s="513"/>
      <c r="AS71" s="513"/>
    </row>
    <row r="72" spans="1:45" ht="15" customHeight="1">
      <c r="A72" s="353"/>
      <c r="B72" s="427" t="s">
        <v>1520</v>
      </c>
      <c r="C72" s="353"/>
      <c r="D72" s="348">
        <f>'Exhibit G State'!D72</f>
        <v>0</v>
      </c>
      <c r="E72" s="348"/>
      <c r="F72" s="348">
        <f>'Exhibit G State'!F72</f>
        <v>0</v>
      </c>
      <c r="G72" s="348"/>
      <c r="H72" s="348">
        <f>'Exhibit G State'!H72</f>
        <v>0</v>
      </c>
      <c r="I72" s="659"/>
      <c r="J72" s="348">
        <f>'Exhibit G State'!J72</f>
        <v>0</v>
      </c>
      <c r="K72" s="659"/>
      <c r="L72" s="348">
        <f>'Exhibit G State'!L72</f>
        <v>0</v>
      </c>
      <c r="M72" s="659"/>
      <c r="N72" s="348">
        <f>'Exhibit G State'!N72</f>
        <v>0</v>
      </c>
      <c r="O72" s="659"/>
      <c r="P72" s="348">
        <f>'Exhibit G State'!P72</f>
        <v>0</v>
      </c>
      <c r="Q72" s="659"/>
      <c r="R72" s="348">
        <f>'Exhibit G State'!R72</f>
        <v>0</v>
      </c>
      <c r="S72" s="348"/>
      <c r="T72" s="348"/>
      <c r="U72" s="348"/>
      <c r="V72" s="348"/>
      <c r="W72" s="348"/>
      <c r="X72" s="348"/>
      <c r="Y72" s="348"/>
      <c r="Z72" s="348"/>
      <c r="AA72" s="348"/>
      <c r="AB72" s="325"/>
      <c r="AC72" s="647"/>
      <c r="AD72" s="325">
        <f>ROUND(SUM(D72:Z72),1)</f>
        <v>0</v>
      </c>
      <c r="AE72" s="325"/>
      <c r="AF72" s="647"/>
      <c r="AG72" s="348">
        <f>'Exhibit G State'!AG72</f>
        <v>0</v>
      </c>
      <c r="AH72" s="1530"/>
      <c r="AI72" s="325"/>
      <c r="AJ72" s="325">
        <f t="shared" ref="AJ72" si="15">ROUND(SUM(+AD72-AG72),1)</f>
        <v>0</v>
      </c>
      <c r="AK72" s="14"/>
      <c r="AL72" s="327">
        <f>ROUND(IF(AG72=0,0,AJ72/ABS(AG72)),3)</f>
        <v>0</v>
      </c>
      <c r="AM72" s="513"/>
      <c r="AN72" s="513"/>
      <c r="AO72" s="513"/>
      <c r="AP72" s="513"/>
      <c r="AQ72" s="513"/>
      <c r="AR72" s="513"/>
      <c r="AS72" s="513"/>
    </row>
    <row r="73" spans="1:45" ht="15" customHeight="1">
      <c r="A73" s="353"/>
      <c r="B73" s="427" t="s">
        <v>1521</v>
      </c>
      <c r="C73" s="353"/>
      <c r="D73" s="348">
        <f>'Exhibit G State'!D73+'Exhibit G Federal'!D43</f>
        <v>0.7</v>
      </c>
      <c r="E73" s="348"/>
      <c r="F73" s="348">
        <f>'Exhibit G State'!F73+'Exhibit G Federal'!F43</f>
        <v>1.3</v>
      </c>
      <c r="G73" s="348"/>
      <c r="H73" s="348">
        <f>'Exhibit G State'!H73+'Exhibit G Federal'!H43</f>
        <v>20</v>
      </c>
      <c r="J73" s="348">
        <f>'Exhibit G State'!J73+'Exhibit G Federal'!J43</f>
        <v>0.30000000000000071</v>
      </c>
      <c r="L73" s="348">
        <f>'Exhibit G State'!L73+'Exhibit G Federal'!L43</f>
        <v>1.7</v>
      </c>
      <c r="N73" s="348">
        <f>'Exhibit G State'!N73+'Exhibit G Federal'!N43</f>
        <v>0.59999999999999787</v>
      </c>
      <c r="P73" s="348">
        <f>'Exhibit G State'!P73+'Exhibit G Federal'!P43</f>
        <v>0.60000000000000142</v>
      </c>
      <c r="R73" s="348">
        <f>'Exhibit G State'!R73+'Exhibit G Federal'!R43</f>
        <v>1.9000000000000008</v>
      </c>
      <c r="S73" s="348"/>
      <c r="T73" s="348"/>
      <c r="U73" s="348"/>
      <c r="V73" s="348"/>
      <c r="W73" s="348"/>
      <c r="X73" s="348"/>
      <c r="Y73" s="348"/>
      <c r="Z73" s="348"/>
      <c r="AA73" s="348"/>
      <c r="AB73" s="325"/>
      <c r="AC73" s="647"/>
      <c r="AD73" s="325">
        <f t="shared" si="8"/>
        <v>27.1</v>
      </c>
      <c r="AE73" s="325"/>
      <c r="AF73" s="647"/>
      <c r="AG73" s="348">
        <f>'Exhibit G State'!AG73+'Exhibit G Federal'!AG43</f>
        <v>4.6000000000000005</v>
      </c>
      <c r="AH73" s="1530"/>
      <c r="AI73" s="325"/>
      <c r="AJ73" s="325">
        <f t="shared" si="14"/>
        <v>22.5</v>
      </c>
      <c r="AK73" s="14"/>
      <c r="AL73" s="670">
        <f t="shared" ref="AL73:AL76" si="16">ROUND(IF(AG73=0,0,AJ73/ABS(AG73)),3)</f>
        <v>4.891</v>
      </c>
      <c r="AM73" s="513"/>
      <c r="AN73" s="513"/>
      <c r="AO73" s="513"/>
      <c r="AP73" s="513"/>
      <c r="AQ73" s="513"/>
      <c r="AR73" s="513"/>
      <c r="AS73" s="513"/>
    </row>
    <row r="74" spans="1:45" ht="15" customHeight="1">
      <c r="A74" s="353"/>
      <c r="B74" s="427" t="s">
        <v>1522</v>
      </c>
      <c r="C74" s="353"/>
      <c r="D74" s="348">
        <f>'Exhibit G State'!D74+'Exhibit G Federal'!D44</f>
        <v>0</v>
      </c>
      <c r="E74" s="348"/>
      <c r="F74" s="348">
        <f>'Exhibit G State'!F74+'Exhibit G Federal'!F44</f>
        <v>0</v>
      </c>
      <c r="G74" s="348"/>
      <c r="H74" s="348">
        <f>'Exhibit G State'!H74+'Exhibit G Federal'!H44</f>
        <v>0.1</v>
      </c>
      <c r="J74" s="348">
        <f>'Exhibit G State'!J74+'Exhibit G Federal'!J44</f>
        <v>0</v>
      </c>
      <c r="L74" s="348">
        <f>'Exhibit G State'!L74+'Exhibit G Federal'!L44</f>
        <v>0</v>
      </c>
      <c r="N74" s="348">
        <f>'Exhibit G State'!N74+'Exhibit G Federal'!N44</f>
        <v>0</v>
      </c>
      <c r="P74" s="348">
        <f>'Exhibit G State'!P74+'Exhibit G Federal'!P44</f>
        <v>0</v>
      </c>
      <c r="R74" s="348">
        <f>'Exhibit G State'!R74+'Exhibit G Federal'!R44</f>
        <v>0</v>
      </c>
      <c r="S74" s="348"/>
      <c r="T74" s="348"/>
      <c r="U74" s="348"/>
      <c r="V74" s="348"/>
      <c r="W74" s="348"/>
      <c r="X74" s="348"/>
      <c r="Y74" s="348"/>
      <c r="Z74" s="348"/>
      <c r="AA74" s="348"/>
      <c r="AB74" s="325"/>
      <c r="AC74" s="647"/>
      <c r="AD74" s="325">
        <f t="shared" si="8"/>
        <v>0.1</v>
      </c>
      <c r="AE74" s="325"/>
      <c r="AF74" s="647"/>
      <c r="AG74" s="348">
        <f>'Exhibit G State'!AG74+'Exhibit G Federal'!AG44</f>
        <v>0.9</v>
      </c>
      <c r="AH74" s="1530"/>
      <c r="AI74" s="325"/>
      <c r="AJ74" s="325">
        <f t="shared" si="14"/>
        <v>-0.8</v>
      </c>
      <c r="AK74" s="14"/>
      <c r="AL74" s="670">
        <f>ROUND(IF(AG74=0,0,AJ74/ABS(AG74)),3)</f>
        <v>-0.88900000000000001</v>
      </c>
      <c r="AM74" s="513"/>
      <c r="AN74" s="513"/>
      <c r="AO74" s="513"/>
      <c r="AP74" s="513"/>
      <c r="AQ74" s="513"/>
      <c r="AR74" s="513"/>
      <c r="AS74" s="513"/>
    </row>
    <row r="75" spans="1:45" ht="15" customHeight="1">
      <c r="A75" s="353"/>
      <c r="B75" s="427" t="s">
        <v>1523</v>
      </c>
      <c r="C75" s="353"/>
      <c r="D75" s="348">
        <f>'Exhibit G State'!D75+'Exhibit G Federal'!D45</f>
        <v>239.3</v>
      </c>
      <c r="E75" s="348"/>
      <c r="F75" s="348">
        <f>'Exhibit G State'!F75+'Exhibit G Federal'!F45</f>
        <v>-285.60000000000002</v>
      </c>
      <c r="G75" s="348"/>
      <c r="H75" s="348">
        <f>'Exhibit G State'!H75+'Exhibit G Federal'!H45</f>
        <v>752.5</v>
      </c>
      <c r="J75" s="348">
        <f>'Exhibit G State'!J75+'Exhibit G Federal'!J45</f>
        <v>236.60000000000002</v>
      </c>
      <c r="L75" s="348">
        <f>'Exhibit G State'!L75+'Exhibit G Federal'!L45</f>
        <v>272.30000000000007</v>
      </c>
      <c r="N75" s="348">
        <f>'Exhibit G State'!N75+'Exhibit G Federal'!N45</f>
        <v>220</v>
      </c>
      <c r="P75" s="348">
        <f>'Exhibit G State'!P75+'Exhibit G Federal'!P45</f>
        <v>246</v>
      </c>
      <c r="R75" s="348">
        <f>'Exhibit G State'!R75+'Exhibit G Federal'!R45</f>
        <v>244.69999999999982</v>
      </c>
      <c r="S75" s="348"/>
      <c r="T75" s="348"/>
      <c r="U75" s="348"/>
      <c r="V75" s="348"/>
      <c r="W75" s="348"/>
      <c r="X75" s="348"/>
      <c r="Y75" s="348"/>
      <c r="Z75" s="348"/>
      <c r="AA75" s="348"/>
      <c r="AB75" s="325"/>
      <c r="AC75" s="647"/>
      <c r="AD75" s="325">
        <f t="shared" si="8"/>
        <v>1925.8</v>
      </c>
      <c r="AE75" s="325"/>
      <c r="AF75" s="647"/>
      <c r="AG75" s="348">
        <f>'Exhibit G State'!AG75+'Exhibit G Federal'!AG45</f>
        <v>1657.9</v>
      </c>
      <c r="AH75" s="1530"/>
      <c r="AI75" s="325"/>
      <c r="AJ75" s="325">
        <f t="shared" si="14"/>
        <v>267.89999999999998</v>
      </c>
      <c r="AK75" s="14"/>
      <c r="AL75" s="327">
        <f t="shared" si="16"/>
        <v>0.16200000000000001</v>
      </c>
      <c r="AM75" s="513"/>
      <c r="AN75" s="513"/>
      <c r="AO75" s="513"/>
      <c r="AP75" s="513"/>
      <c r="AQ75" s="513"/>
      <c r="AR75" s="513"/>
      <c r="AS75" s="513"/>
    </row>
    <row r="76" spans="1:45" ht="15" customHeight="1">
      <c r="A76" s="353"/>
      <c r="B76" s="427" t="s">
        <v>534</v>
      </c>
      <c r="C76" s="353"/>
      <c r="D76" s="348">
        <f>'Exhibit G State'!D76+'Exhibit G Federal'!D46</f>
        <v>10.899999999999999</v>
      </c>
      <c r="E76" s="348"/>
      <c r="F76" s="348">
        <f>'Exhibit G State'!F76+'Exhibit G Federal'!F46</f>
        <v>9.6</v>
      </c>
      <c r="G76" s="348"/>
      <c r="H76" s="348">
        <f>'Exhibit G State'!H76+'Exhibit G Federal'!H46</f>
        <v>15.400000000000002</v>
      </c>
      <c r="J76" s="348">
        <f>'Exhibit G State'!J76+'Exhibit G Federal'!J46</f>
        <v>13.999999999999996</v>
      </c>
      <c r="L76" s="348">
        <f>'Exhibit G State'!L76+'Exhibit G Federal'!L46</f>
        <v>12.100000000000001</v>
      </c>
      <c r="N76" s="348">
        <f>'Exhibit G State'!N76+'Exhibit G Federal'!N46</f>
        <v>14.199999999999996</v>
      </c>
      <c r="P76" s="348">
        <f>'Exhibit G State'!P76+'Exhibit G Federal'!P46</f>
        <v>12.600000000000005</v>
      </c>
      <c r="R76" s="348">
        <f>'Exhibit G State'!R76+'Exhibit G Federal'!R46</f>
        <v>8.5999999999999925</v>
      </c>
      <c r="S76" s="348"/>
      <c r="T76" s="348"/>
      <c r="U76" s="348"/>
      <c r="V76" s="348"/>
      <c r="W76" s="348"/>
      <c r="X76" s="348"/>
      <c r="Y76" s="348"/>
      <c r="Z76" s="348"/>
      <c r="AA76" s="348"/>
      <c r="AB76" s="325"/>
      <c r="AC76" s="647"/>
      <c r="AD76" s="325">
        <f t="shared" si="8"/>
        <v>97.4</v>
      </c>
      <c r="AE76" s="325"/>
      <c r="AF76" s="647"/>
      <c r="AG76" s="348">
        <f>'Exhibit G State'!AG76+'Exhibit G Federal'!AG46</f>
        <v>92.699999999999989</v>
      </c>
      <c r="AH76" s="1530"/>
      <c r="AI76" s="325"/>
      <c r="AJ76" s="325">
        <f t="shared" si="14"/>
        <v>4.7</v>
      </c>
      <c r="AK76" s="14"/>
      <c r="AL76" s="327">
        <f t="shared" si="16"/>
        <v>5.0999999999999997E-2</v>
      </c>
      <c r="AM76" s="513"/>
      <c r="AN76" s="513"/>
      <c r="AO76" s="513"/>
      <c r="AP76" s="513"/>
      <c r="AQ76" s="513"/>
      <c r="AR76" s="513"/>
      <c r="AS76" s="513"/>
    </row>
    <row r="77" spans="1:45" ht="15" customHeight="1">
      <c r="A77" s="353"/>
      <c r="B77" s="427" t="s">
        <v>1524</v>
      </c>
      <c r="C77" s="353"/>
      <c r="D77" s="348">
        <f>'Exhibit G State'!D77+'Exhibit G Federal'!D47</f>
        <v>4.5</v>
      </c>
      <c r="E77" s="348"/>
      <c r="F77" s="348">
        <f>'Exhibit G State'!F77+'Exhibit G Federal'!F47</f>
        <v>0.70000000000000018</v>
      </c>
      <c r="G77" s="348"/>
      <c r="H77" s="348">
        <f>'Exhibit G State'!H77+'Exhibit G Federal'!H47</f>
        <v>1.7000000000000002</v>
      </c>
      <c r="J77" s="348">
        <f>'Exhibit G State'!J77+'Exhibit G Federal'!J47</f>
        <v>14.700000000000003</v>
      </c>
      <c r="L77" s="348">
        <f>'Exhibit G State'!L77+'Exhibit G Federal'!L47</f>
        <v>34.699999999999989</v>
      </c>
      <c r="N77" s="348">
        <f>'Exhibit G State'!N77+'Exhibit G Federal'!N47</f>
        <v>0.30000000000000426</v>
      </c>
      <c r="P77" s="348">
        <f>'Exhibit G State'!P77+'Exhibit G Federal'!P47</f>
        <v>0.69999999999999574</v>
      </c>
      <c r="R77" s="348">
        <f>'Exhibit G State'!R77+'Exhibit G Federal'!R47</f>
        <v>11.400000000000006</v>
      </c>
      <c r="S77" s="348"/>
      <c r="T77" s="348"/>
      <c r="U77" s="348"/>
      <c r="V77" s="348"/>
      <c r="W77" s="348"/>
      <c r="X77" s="348"/>
      <c r="Y77" s="348"/>
      <c r="Z77" s="348"/>
      <c r="AA77" s="348"/>
      <c r="AB77" s="325"/>
      <c r="AC77" s="647"/>
      <c r="AD77" s="325">
        <f t="shared" si="8"/>
        <v>68.7</v>
      </c>
      <c r="AE77" s="325"/>
      <c r="AF77" s="647"/>
      <c r="AG77" s="348">
        <f>'Exhibit G State'!AG77+'Exhibit G Federal'!AG47</f>
        <v>210</v>
      </c>
      <c r="AH77" s="1530"/>
      <c r="AI77" s="325"/>
      <c r="AJ77" s="325">
        <f t="shared" si="14"/>
        <v>-141.30000000000001</v>
      </c>
      <c r="AK77" s="14"/>
      <c r="AL77" s="670">
        <f>ROUND(IF(AG77=0,1,AJ77/ABS(AG77)),3)</f>
        <v>-0.67300000000000004</v>
      </c>
      <c r="AM77" s="513"/>
      <c r="AN77" s="513"/>
      <c r="AO77" s="513"/>
      <c r="AP77" s="513"/>
      <c r="AQ77" s="513"/>
      <c r="AR77" s="513"/>
      <c r="AS77" s="513"/>
    </row>
    <row r="78" spans="1:45" ht="15" customHeight="1">
      <c r="A78" s="353"/>
      <c r="B78" s="427" t="s">
        <v>1551</v>
      </c>
      <c r="C78" s="353"/>
      <c r="D78" s="348">
        <f>'Exhibit G State'!D78+'Exhibit G Federal'!D48</f>
        <v>13.1</v>
      </c>
      <c r="E78" s="348"/>
      <c r="F78" s="348">
        <f>'Exhibit G State'!F78+'Exhibit G Federal'!F48</f>
        <v>-3.9000000000000004</v>
      </c>
      <c r="G78" s="348"/>
      <c r="H78" s="348">
        <f>'Exhibit G State'!H78+'Exhibit G Federal'!H48</f>
        <v>1</v>
      </c>
      <c r="J78" s="348">
        <f>'Exhibit G State'!J78+'Exhibit G Federal'!J48</f>
        <v>11.400000000000002</v>
      </c>
      <c r="L78" s="348">
        <f>'Exhibit G State'!L78+'Exhibit G Federal'!L48</f>
        <v>1.2999999999999972</v>
      </c>
      <c r="N78" s="348">
        <f>'Exhibit G State'!N78+'Exhibit G Federal'!N48</f>
        <v>2.7000000000000028</v>
      </c>
      <c r="P78" s="348">
        <f>'Exhibit G State'!P78+'Exhibit G Federal'!P48</f>
        <v>1.5999999999999979</v>
      </c>
      <c r="R78" s="348">
        <f>'Exhibit G State'!R78+'Exhibit G Federal'!R48</f>
        <v>1.6000000000000014</v>
      </c>
      <c r="S78" s="348"/>
      <c r="T78" s="348"/>
      <c r="U78" s="348"/>
      <c r="V78" s="348"/>
      <c r="W78" s="348"/>
      <c r="X78" s="348"/>
      <c r="Y78" s="348"/>
      <c r="Z78" s="348"/>
      <c r="AA78" s="348"/>
      <c r="AB78" s="325"/>
      <c r="AC78" s="647"/>
      <c r="AD78" s="325">
        <f t="shared" si="8"/>
        <v>28.8</v>
      </c>
      <c r="AE78" s="325"/>
      <c r="AF78" s="647"/>
      <c r="AG78" s="348">
        <f>'Exhibit G State'!AG78+'Exhibit G Federal'!AG48</f>
        <v>10</v>
      </c>
      <c r="AH78" s="1530"/>
      <c r="AI78" s="325"/>
      <c r="AJ78" s="325">
        <f t="shared" si="14"/>
        <v>18.8</v>
      </c>
      <c r="AK78" s="14"/>
      <c r="AL78" s="327">
        <f>ROUND(IF(AG78=0,0,AJ78/ABS(AG78)),3)</f>
        <v>1.88</v>
      </c>
      <c r="AM78" s="513"/>
      <c r="AN78" s="513"/>
      <c r="AO78" s="513"/>
      <c r="AP78" s="513"/>
      <c r="AQ78" s="513"/>
      <c r="AR78" s="513"/>
      <c r="AS78" s="513"/>
    </row>
    <row r="79" spans="1:45" ht="15" customHeight="1">
      <c r="A79" s="353"/>
      <c r="B79" s="427" t="s">
        <v>536</v>
      </c>
      <c r="C79" s="353"/>
      <c r="D79" s="348">
        <f>'Exhibit G State'!D79+'Exhibit G Federal'!D49</f>
        <v>47.3</v>
      </c>
      <c r="E79" s="348"/>
      <c r="F79" s="348">
        <f>'Exhibit G State'!F79+'Exhibit G Federal'!F49</f>
        <v>39</v>
      </c>
      <c r="G79" s="348"/>
      <c r="H79" s="348">
        <f>'Exhibit G State'!H79+'Exhibit G Federal'!H49</f>
        <v>27.000000000000004</v>
      </c>
      <c r="J79" s="348">
        <f>'Exhibit G State'!J79+'Exhibit G Federal'!J49</f>
        <v>59.800000000000004</v>
      </c>
      <c r="L79" s="348">
        <f>'Exhibit G State'!L79+'Exhibit G Federal'!L49</f>
        <v>37.199999999999989</v>
      </c>
      <c r="N79" s="348">
        <f>'Exhibit G State'!N79+'Exhibit G Federal'!N49</f>
        <v>53.800000000000033</v>
      </c>
      <c r="P79" s="348">
        <f>'Exhibit G State'!P79+'Exhibit G Federal'!P49</f>
        <v>37.199999999999989</v>
      </c>
      <c r="R79" s="348">
        <f>'Exhibit G State'!R79+'Exhibit G Federal'!R49</f>
        <v>31.700000000000003</v>
      </c>
      <c r="S79" s="348"/>
      <c r="T79" s="348"/>
      <c r="U79" s="348"/>
      <c r="V79" s="348"/>
      <c r="W79" s="348"/>
      <c r="X79" s="348"/>
      <c r="Y79" s="348"/>
      <c r="Z79" s="348"/>
      <c r="AA79" s="348"/>
      <c r="AB79" s="325"/>
      <c r="AC79" s="647"/>
      <c r="AD79" s="325">
        <f t="shared" si="8"/>
        <v>333</v>
      </c>
      <c r="AE79" s="325"/>
      <c r="AF79" s="647"/>
      <c r="AG79" s="348">
        <f>'Exhibit G State'!AG79+'Exhibit G Federal'!AG49</f>
        <v>405.1</v>
      </c>
      <c r="AH79" s="1530"/>
      <c r="AI79" s="325"/>
      <c r="AJ79" s="325">
        <f t="shared" si="14"/>
        <v>-72.099999999999994</v>
      </c>
      <c r="AK79" s="14"/>
      <c r="AL79" s="670">
        <f>ROUND(IF(AG79=0,0,AJ79/ABS(AG79)),3)</f>
        <v>-0.17799999999999999</v>
      </c>
      <c r="AM79" s="513"/>
      <c r="AN79" s="513"/>
      <c r="AO79" s="513"/>
      <c r="AP79" s="513"/>
      <c r="AQ79" s="513"/>
      <c r="AR79" s="513"/>
      <c r="AS79" s="513"/>
    </row>
    <row r="80" spans="1:45" ht="15" customHeight="1">
      <c r="A80" s="353"/>
      <c r="B80" s="427" t="s">
        <v>454</v>
      </c>
      <c r="C80" s="353"/>
      <c r="D80" s="348">
        <f>'Exhibit G State'!D80+'Exhibit G Federal'!D50</f>
        <v>0.6</v>
      </c>
      <c r="E80" s="348"/>
      <c r="F80" s="348">
        <f>'Exhibit G State'!F80+'Exhibit G Federal'!F50</f>
        <v>2.1</v>
      </c>
      <c r="G80" s="348"/>
      <c r="H80" s="348">
        <f>'Exhibit G State'!H80+'Exhibit G Federal'!H50</f>
        <v>1.0999999999999996</v>
      </c>
      <c r="J80" s="348">
        <f>'Exhibit G State'!J80+'Exhibit G Federal'!J50</f>
        <v>1.3000000000000003</v>
      </c>
      <c r="L80" s="348">
        <f>'Exhibit G State'!L80+'Exhibit G Federal'!L50</f>
        <v>1.6</v>
      </c>
      <c r="N80" s="348">
        <f>'Exhibit G State'!N80+'Exhibit G Federal'!N50</f>
        <v>1.2000000000000011</v>
      </c>
      <c r="P80" s="348">
        <f>'Exhibit G State'!P80+'Exhibit G Federal'!P50</f>
        <v>0.5</v>
      </c>
      <c r="R80" s="348">
        <f>'Exhibit G State'!R80+'Exhibit G Federal'!R50</f>
        <v>2.6999999999999993</v>
      </c>
      <c r="S80" s="348"/>
      <c r="T80" s="348"/>
      <c r="U80" s="348"/>
      <c r="V80" s="348"/>
      <c r="W80" s="348"/>
      <c r="X80" s="348"/>
      <c r="Y80" s="348"/>
      <c r="Z80" s="348"/>
      <c r="AA80" s="348"/>
      <c r="AB80" s="325"/>
      <c r="AC80" s="647"/>
      <c r="AD80" s="325">
        <f t="shared" si="8"/>
        <v>11.1</v>
      </c>
      <c r="AE80" s="325"/>
      <c r="AF80" s="647"/>
      <c r="AG80" s="348">
        <f>'Exhibit G State'!AG80+'Exhibit G Federal'!AG50</f>
        <v>10.7</v>
      </c>
      <c r="AH80" s="1530"/>
      <c r="AI80" s="325"/>
      <c r="AJ80" s="325">
        <f t="shared" si="14"/>
        <v>0.4</v>
      </c>
      <c r="AK80" s="14"/>
      <c r="AL80" s="327">
        <f>ROUND(IF(AG80=0,0,AJ80/ABS(AG80)),3)</f>
        <v>3.6999999999999998E-2</v>
      </c>
      <c r="AM80" s="513"/>
      <c r="AN80" s="513"/>
      <c r="AO80" s="513"/>
      <c r="AP80" s="513"/>
      <c r="AQ80" s="513"/>
      <c r="AR80" s="513"/>
      <c r="AS80" s="513"/>
    </row>
    <row r="81" spans="1:45" ht="15" customHeight="1">
      <c r="A81" s="353"/>
      <c r="B81" s="427" t="s">
        <v>1525</v>
      </c>
      <c r="C81" s="353"/>
      <c r="D81" s="348">
        <f>'Exhibit G State'!D81+'Exhibit G Federal'!D51</f>
        <v>-25.2</v>
      </c>
      <c r="E81" s="348"/>
      <c r="F81" s="348">
        <f>'Exhibit G State'!F81+'Exhibit G Federal'!F51</f>
        <v>31.299999999999997</v>
      </c>
      <c r="G81" s="348"/>
      <c r="H81" s="348">
        <f>'Exhibit G State'!H81+'Exhibit G Federal'!H51</f>
        <v>60.900000000000006</v>
      </c>
      <c r="J81" s="348">
        <f>'Exhibit G State'!J81+'Exhibit G Federal'!J51</f>
        <v>14.699999999999989</v>
      </c>
      <c r="L81" s="348">
        <f>'Exhibit G State'!L81+'Exhibit G Federal'!L51</f>
        <v>217.4</v>
      </c>
      <c r="N81" s="348">
        <f>'Exhibit G State'!N81+'Exhibit G Federal'!N51</f>
        <v>268.70000000000005</v>
      </c>
      <c r="P81" s="348">
        <f>'Exhibit G State'!P81+'Exhibit G Federal'!P51</f>
        <v>152.60000000000002</v>
      </c>
      <c r="R81" s="348">
        <f>'Exhibit G State'!R81+'Exhibit G Federal'!R51</f>
        <v>38</v>
      </c>
      <c r="S81" s="348"/>
      <c r="T81" s="348"/>
      <c r="U81" s="348"/>
      <c r="V81" s="348"/>
      <c r="W81" s="348"/>
      <c r="X81" s="348"/>
      <c r="Y81" s="348"/>
      <c r="Z81" s="348"/>
      <c r="AA81" s="348"/>
      <c r="AB81" s="325"/>
      <c r="AC81" s="647"/>
      <c r="AD81" s="325">
        <f t="shared" si="8"/>
        <v>758.4</v>
      </c>
      <c r="AE81" s="325"/>
      <c r="AF81" s="647"/>
      <c r="AG81" s="348">
        <f>'Exhibit G State'!AG81+'Exhibit G Federal'!AG51</f>
        <v>771.5</v>
      </c>
      <c r="AH81" s="1530"/>
      <c r="AI81" s="325"/>
      <c r="AJ81" s="325">
        <f t="shared" si="14"/>
        <v>-13.1</v>
      </c>
      <c r="AK81" s="14"/>
      <c r="AL81" s="327">
        <f>ROUND(IF(AG81=0,0,AJ81/ABS(AG81)),3)</f>
        <v>-1.7000000000000001E-2</v>
      </c>
      <c r="AM81" s="513"/>
      <c r="AN81" s="513"/>
      <c r="AO81" s="513"/>
      <c r="AP81" s="513"/>
      <c r="AQ81" s="513"/>
      <c r="AR81" s="513"/>
      <c r="AS81" s="513"/>
    </row>
    <row r="82" spans="1:45" s="72" customFormat="1" ht="15" customHeight="1">
      <c r="A82" s="6"/>
      <c r="B82" s="118" t="s">
        <v>537</v>
      </c>
      <c r="C82" s="6"/>
      <c r="D82" s="842">
        <f>ROUND(SUM(D42:D81),1)</f>
        <v>1671.7</v>
      </c>
      <c r="E82"/>
      <c r="F82" s="842">
        <f>ROUND(SUM(F42:F81),1)</f>
        <v>1081</v>
      </c>
      <c r="G82"/>
      <c r="H82" s="842">
        <f>ROUND(SUM(H42:H81),1)</f>
        <v>2290.3000000000002</v>
      </c>
      <c r="I82"/>
      <c r="J82" s="842">
        <f>ROUND(SUM(J42:J81),1)</f>
        <v>1781.6</v>
      </c>
      <c r="K82"/>
      <c r="L82" s="842">
        <f>ROUND(SUM(L42:L81),1)</f>
        <v>2169.1</v>
      </c>
      <c r="M82"/>
      <c r="N82" s="842">
        <f>ROUND(SUM(N42:N81),1)</f>
        <v>2198.6</v>
      </c>
      <c r="O82"/>
      <c r="P82" s="842">
        <f>ROUND(SUM(P42:P81),1)</f>
        <v>2002.7</v>
      </c>
      <c r="Q82"/>
      <c r="R82" s="842">
        <f>ROUND(SUM(R42:R81),1)</f>
        <v>1788.3</v>
      </c>
      <c r="S82"/>
      <c r="T82" s="842">
        <f>ROUND(SUM(T42:T81),1)</f>
        <v>0</v>
      </c>
      <c r="U82"/>
      <c r="V82" s="842">
        <f>ROUND(SUM(V42:V81),1)</f>
        <v>0</v>
      </c>
      <c r="W82"/>
      <c r="X82" s="842">
        <f>ROUND(SUM(X42:X81),1)</f>
        <v>0</v>
      </c>
      <c r="Y82"/>
      <c r="Z82" s="842">
        <f>ROUND(SUM(Z42:Z81),1)</f>
        <v>0</v>
      </c>
      <c r="AA82" s="16"/>
      <c r="AB82" s="842">
        <f>SUM(AB42:AB81)</f>
        <v>0</v>
      </c>
      <c r="AC82" s="18"/>
      <c r="AD82" s="842">
        <f>ROUND(SUM(AD42:AD81),1)</f>
        <v>14983.3</v>
      </c>
      <c r="AE82" s="16"/>
      <c r="AF82" s="18"/>
      <c r="AG82" s="842">
        <f>ROUND(SUM(AG42:AG81),1)</f>
        <v>13303.7</v>
      </c>
      <c r="AH82" s="108"/>
      <c r="AI82" s="16"/>
      <c r="AJ82" s="842">
        <f>ROUND(SUM(AJ42:AJ81),1)</f>
        <v>1679.6</v>
      </c>
      <c r="AK82" s="253"/>
      <c r="AL82" s="1274">
        <f>ROUND(SUM(+AJ82/AG82),3)</f>
        <v>0.126</v>
      </c>
      <c r="AM82" s="513"/>
      <c r="AN82" s="513"/>
      <c r="AO82" s="513"/>
      <c r="AP82" s="513"/>
      <c r="AQ82" s="513"/>
      <c r="AR82" s="513"/>
      <c r="AS82" s="513"/>
    </row>
    <row r="83" spans="1:45" ht="15" customHeight="1">
      <c r="A83" s="353"/>
      <c r="B83" s="427"/>
      <c r="C83" s="353"/>
      <c r="D83" s="14"/>
      <c r="F83" s="14"/>
      <c r="H83" s="14"/>
      <c r="J83" s="325"/>
      <c r="L83" s="325"/>
      <c r="N83" s="325"/>
      <c r="P83" s="325"/>
      <c r="R83" s="325"/>
      <c r="T83" s="325"/>
      <c r="V83" s="348"/>
      <c r="X83" s="348"/>
      <c r="Z83" s="348"/>
      <c r="AA83" s="14"/>
      <c r="AB83" s="325"/>
      <c r="AC83" s="647"/>
      <c r="AD83" s="325"/>
      <c r="AE83" s="325"/>
      <c r="AF83" s="647"/>
      <c r="AG83" s="325"/>
      <c r="AH83" s="643"/>
      <c r="AI83" s="325"/>
      <c r="AJ83" s="325"/>
      <c r="AK83" s="14"/>
      <c r="AL83" s="344"/>
      <c r="AM83" s="513"/>
      <c r="AN83" s="513"/>
      <c r="AO83" s="513"/>
      <c r="AP83" s="513"/>
      <c r="AQ83" s="513"/>
      <c r="AR83" s="513"/>
      <c r="AS83" s="513"/>
    </row>
    <row r="84" spans="1:45" ht="15" customHeight="1">
      <c r="A84" s="353"/>
      <c r="B84" s="1531" t="s">
        <v>538</v>
      </c>
      <c r="C84" s="353"/>
      <c r="D84" s="348">
        <f>'Exhibit G State'!D84+'Exhibit G Federal'!D54</f>
        <v>8716.1</v>
      </c>
      <c r="E84" s="348"/>
      <c r="F84" s="348">
        <f>'Exhibit G State'!F84+'Exhibit G Federal'!F54</f>
        <v>7415.7999999999993</v>
      </c>
      <c r="G84" s="348"/>
      <c r="H84" s="348">
        <f>'Exhibit G State'!H84+'Exhibit G Federal'!H54</f>
        <v>11399.300000000001</v>
      </c>
      <c r="J84" s="348">
        <f>'Exhibit G State'!J84+'Exhibit G Federal'!J54</f>
        <v>7065.6000000000058</v>
      </c>
      <c r="L84" s="348">
        <f>'Exhibit G State'!L84+'Exhibit G Federal'!L54</f>
        <v>7073.3999999999924</v>
      </c>
      <c r="N84" s="348">
        <f>'Exhibit G State'!N84+'Exhibit G Federal'!N54</f>
        <v>5991.9000000000015</v>
      </c>
      <c r="P84" s="348">
        <f>'Exhibit G State'!P84+'Exhibit G Federal'!P54</f>
        <v>6602.700000000008</v>
      </c>
      <c r="R84" s="348">
        <f>'Exhibit G State'!R84+'Exhibit G Federal'!R54</f>
        <v>7757.9999999999945</v>
      </c>
      <c r="S84" s="348"/>
      <c r="T84" s="348"/>
      <c r="U84" s="348"/>
      <c r="V84" s="348"/>
      <c r="W84" s="348"/>
      <c r="X84" s="348"/>
      <c r="Z84" s="348"/>
      <c r="AA84" s="348"/>
      <c r="AB84" s="1532"/>
      <c r="AC84" s="647"/>
      <c r="AD84" s="325">
        <f t="shared" si="8"/>
        <v>62022.8</v>
      </c>
      <c r="AE84" s="325"/>
      <c r="AF84" s="647"/>
      <c r="AG84" s="348">
        <f>'Exhibit G State'!AG84+'Exhibit G Federal'!AG54</f>
        <v>52312.6</v>
      </c>
      <c r="AH84" s="643"/>
      <c r="AI84" s="325"/>
      <c r="AJ84" s="325">
        <f>ROUND(SUM(+AD84-AG84),1)</f>
        <v>9710.2000000000007</v>
      </c>
      <c r="AK84" s="14"/>
      <c r="AL84" s="327">
        <f>ROUND(IF(AG84=0,0,AJ84/ABS(AG84)),3)</f>
        <v>0.186</v>
      </c>
      <c r="AM84" s="513"/>
      <c r="AN84" s="513"/>
      <c r="AO84" s="513"/>
      <c r="AP84" s="513"/>
      <c r="AQ84" s="513"/>
      <c r="AR84" s="513"/>
      <c r="AS84" s="513"/>
    </row>
    <row r="85" spans="1:45" ht="15" customHeight="1">
      <c r="A85" s="353"/>
      <c r="B85" s="353"/>
      <c r="C85" s="353"/>
      <c r="D85" s="783"/>
      <c r="F85" s="783"/>
      <c r="H85" s="783"/>
      <c r="J85" s="783"/>
      <c r="L85" s="783"/>
      <c r="N85" s="783"/>
      <c r="P85" s="783"/>
      <c r="R85" s="783"/>
      <c r="T85" s="783"/>
      <c r="V85" s="783"/>
      <c r="X85" s="783"/>
      <c r="Z85" s="783"/>
      <c r="AA85" s="325"/>
      <c r="AB85" s="2045"/>
      <c r="AC85" s="325"/>
      <c r="AD85" s="783"/>
      <c r="AE85" s="325"/>
      <c r="AF85" s="647"/>
      <c r="AG85" s="783"/>
      <c r="AH85" s="643"/>
      <c r="AI85" s="325"/>
      <c r="AJ85" s="1533"/>
      <c r="AK85" s="466"/>
      <c r="AL85" s="1534"/>
      <c r="AM85" s="513"/>
      <c r="AN85" s="513"/>
      <c r="AO85" s="513"/>
      <c r="AP85" s="513"/>
      <c r="AQ85" s="513"/>
      <c r="AR85" s="513"/>
      <c r="AS85" s="513"/>
    </row>
    <row r="86" spans="1:45" ht="15" customHeight="1">
      <c r="A86" s="353"/>
      <c r="B86" s="6" t="s">
        <v>457</v>
      </c>
      <c r="C86" s="353"/>
      <c r="D86" s="16">
        <f>ROUND(SUM(D84+D82+D38),1)</f>
        <v>10912.6</v>
      </c>
      <c r="F86" s="16">
        <f>ROUND(SUM(F84+F82+F38),1)</f>
        <v>8723</v>
      </c>
      <c r="H86" s="16">
        <f>ROUND(SUM(H84+H82+H38),1)</f>
        <v>14302.7</v>
      </c>
      <c r="J86" s="16">
        <f>ROUND(SUM(J84+J82+J38),1)</f>
        <v>9101.1</v>
      </c>
      <c r="L86" s="16">
        <f>ROUND(SUM(L84+L82+L38),1)</f>
        <v>9473.4</v>
      </c>
      <c r="N86" s="16">
        <f>ROUND(SUM(N84+N82+N38),1)</f>
        <v>8816.9</v>
      </c>
      <c r="P86" s="16">
        <f>ROUND(SUM(P84+P82+P38),1)</f>
        <v>8889.5</v>
      </c>
      <c r="R86" s="16">
        <f>ROUND(SUM(R84+R82+R38),1)</f>
        <v>9803.2999999999993</v>
      </c>
      <c r="T86" s="16">
        <f>ROUND(SUM(T84+T82+T38),1)</f>
        <v>0</v>
      </c>
      <c r="V86" s="16">
        <f>ROUND(SUM(V84+V82+V38),1)</f>
        <v>0</v>
      </c>
      <c r="X86" s="16">
        <f>ROUND(SUM(X84+X82+X38),1)</f>
        <v>0</v>
      </c>
      <c r="Z86" s="16">
        <f>ROUND(SUM(Z84+Z82+Z38),1)</f>
        <v>0</v>
      </c>
      <c r="AA86" s="16"/>
      <c r="AB86" s="963">
        <f>ROUND(SUM(AB84+AB82+AB38),1)</f>
        <v>0</v>
      </c>
      <c r="AC86" s="18"/>
      <c r="AD86" s="16">
        <f>ROUND(SUM(AD84+AD82+AD38),1)</f>
        <v>80022.5</v>
      </c>
      <c r="AE86" s="16"/>
      <c r="AF86" s="18"/>
      <c r="AG86" s="16">
        <f>ROUND(SUM(AG84+AG82+AG38),1)</f>
        <v>68413.5</v>
      </c>
      <c r="AH86" s="108"/>
      <c r="AI86" s="16"/>
      <c r="AJ86" s="434">
        <f>ROUND(SUM(AJ84+AJ82+AJ38),1)</f>
        <v>11609</v>
      </c>
      <c r="AK86" s="109"/>
      <c r="AL86" s="470">
        <f>ROUND(SUM(+AJ86/AG86),3)</f>
        <v>0.17</v>
      </c>
      <c r="AM86" s="513"/>
      <c r="AN86" s="513"/>
      <c r="AO86" s="513"/>
      <c r="AP86" s="513"/>
      <c r="AQ86" s="513"/>
      <c r="AR86" s="513"/>
      <c r="AS86" s="513"/>
    </row>
    <row r="87" spans="1:45" ht="15" customHeight="1">
      <c r="A87" s="353"/>
      <c r="B87" s="353"/>
      <c r="C87" s="353"/>
      <c r="D87" s="783"/>
      <c r="F87" s="783"/>
      <c r="H87" s="783"/>
      <c r="J87" s="783"/>
      <c r="L87" s="783"/>
      <c r="N87" s="783"/>
      <c r="P87" s="783"/>
      <c r="R87" s="783"/>
      <c r="T87" s="783"/>
      <c r="V87" s="783"/>
      <c r="X87" s="783"/>
      <c r="Z87" s="783"/>
      <c r="AA87" s="325"/>
      <c r="AB87" s="325"/>
      <c r="AC87" s="647"/>
      <c r="AD87" s="783"/>
      <c r="AE87" s="325"/>
      <c r="AF87" s="647"/>
      <c r="AG87" s="783"/>
      <c r="AH87" s="643"/>
      <c r="AI87" s="325"/>
      <c r="AJ87" s="325"/>
      <c r="AK87" s="466"/>
      <c r="AL87" s="344"/>
      <c r="AM87" s="513"/>
      <c r="AN87" s="513"/>
      <c r="AO87" s="513"/>
      <c r="AP87" s="513"/>
      <c r="AQ87" s="513"/>
      <c r="AR87" s="513"/>
      <c r="AS87" s="513"/>
    </row>
    <row r="88" spans="1:45" ht="15" customHeight="1">
      <c r="A88" s="353"/>
      <c r="B88" s="2006" t="s">
        <v>123</v>
      </c>
      <c r="C88" s="353"/>
      <c r="D88" s="325"/>
      <c r="F88" s="325"/>
      <c r="H88" s="325"/>
      <c r="J88" s="325"/>
      <c r="L88" s="325"/>
      <c r="N88" s="325"/>
      <c r="P88" s="325"/>
      <c r="R88" s="325"/>
      <c r="T88" s="325"/>
      <c r="V88" s="325"/>
      <c r="X88" s="325"/>
      <c r="Z88" s="325"/>
      <c r="AA88" s="325"/>
      <c r="AB88" s="325"/>
      <c r="AC88" s="647"/>
      <c r="AD88" s="325"/>
      <c r="AE88" s="2045"/>
      <c r="AF88" s="648"/>
      <c r="AG88" s="325"/>
      <c r="AH88" s="643"/>
      <c r="AI88" s="325"/>
      <c r="AJ88" s="325"/>
      <c r="AK88" s="466"/>
      <c r="AL88" s="344"/>
      <c r="AM88" s="513"/>
      <c r="AN88" s="513"/>
      <c r="AO88" s="513"/>
      <c r="AP88" s="513"/>
      <c r="AQ88" s="513"/>
      <c r="AR88" s="513"/>
      <c r="AS88" s="513"/>
    </row>
    <row r="89" spans="1:45" ht="15" customHeight="1">
      <c r="A89" s="353"/>
      <c r="B89" s="353" t="s">
        <v>481</v>
      </c>
      <c r="C89" s="353"/>
      <c r="D89" s="14"/>
      <c r="F89" s="14"/>
      <c r="H89" s="14"/>
      <c r="J89" s="325"/>
      <c r="L89" s="325"/>
      <c r="N89" s="325"/>
      <c r="P89" s="325"/>
      <c r="R89" s="325"/>
      <c r="T89" s="325"/>
      <c r="V89" s="325"/>
      <c r="X89" s="325"/>
      <c r="Z89" s="348"/>
      <c r="AA89" s="14"/>
      <c r="AB89" s="325"/>
      <c r="AC89" s="647"/>
      <c r="AD89" s="325"/>
      <c r="AE89" s="325"/>
      <c r="AF89" s="647"/>
      <c r="AG89" s="325"/>
      <c r="AH89" s="643"/>
      <c r="AI89" s="325"/>
      <c r="AJ89" s="325"/>
      <c r="AK89" s="466"/>
      <c r="AL89" s="344"/>
      <c r="AM89" s="513"/>
      <c r="AN89" s="513"/>
      <c r="AO89" s="513"/>
      <c r="AP89" s="513"/>
      <c r="AQ89" s="513"/>
      <c r="AR89" s="513"/>
      <c r="AS89" s="513"/>
    </row>
    <row r="90" spans="1:45" ht="15" customHeight="1">
      <c r="A90" s="353"/>
      <c r="B90" s="488" t="s">
        <v>125</v>
      </c>
      <c r="C90" s="353"/>
      <c r="D90" s="348">
        <f>'Exhibit G State'!D90+'Exhibit G Federal'!D60</f>
        <v>691.2</v>
      </c>
      <c r="E90" s="348"/>
      <c r="F90" s="348">
        <f>'Exhibit G State'!F90+'Exhibit G Federal'!F60</f>
        <v>455.99999999999989</v>
      </c>
      <c r="G90" s="348"/>
      <c r="H90" s="348">
        <f>'Exhibit G State'!H90+'Exhibit G Federal'!H60</f>
        <v>1174.8000000000002</v>
      </c>
      <c r="J90" s="348">
        <f>'Exhibit G State'!J90+'Exhibit G Federal'!J60</f>
        <v>534.79999999999984</v>
      </c>
      <c r="L90" s="348">
        <f>'Exhibit G State'!L90+'Exhibit G Federal'!L60</f>
        <v>471.59999999999985</v>
      </c>
      <c r="N90" s="348">
        <f>'Exhibit G State'!N90+'Exhibit G Federal'!N60</f>
        <v>3516.9000000000015</v>
      </c>
      <c r="P90" s="348">
        <f>'Exhibit G State'!P90+'Exhibit G Federal'!P60</f>
        <v>586</v>
      </c>
      <c r="R90" s="348">
        <f>'Exhibit G State'!R90+'Exhibit G Federal'!R60</f>
        <v>1624.3</v>
      </c>
      <c r="S90" s="348"/>
      <c r="T90" s="348"/>
      <c r="U90" s="348"/>
      <c r="V90" s="348"/>
      <c r="W90" s="348"/>
      <c r="X90" s="348"/>
      <c r="Y90" s="348"/>
      <c r="Z90" s="348"/>
      <c r="AA90" s="348"/>
      <c r="AB90" s="325"/>
      <c r="AC90" s="647"/>
      <c r="AD90" s="325">
        <f>ROUND(SUM(D90:Z90),1)</f>
        <v>9055.6</v>
      </c>
      <c r="AE90" s="325"/>
      <c r="AF90" s="647"/>
      <c r="AG90" s="348">
        <f>'Exhibit G State'!AG90+'Exhibit G Federal'!AG60</f>
        <v>7449.2</v>
      </c>
      <c r="AH90" s="643"/>
      <c r="AI90" s="325"/>
      <c r="AJ90" s="325">
        <f>ROUND(SUM(+AD90-AG90),1)</f>
        <v>1606.4</v>
      </c>
      <c r="AK90" s="14"/>
      <c r="AL90" s="327">
        <f>ROUND(IF(AG90=0,0,AJ90/ABS(AG90)),3)</f>
        <v>0.216</v>
      </c>
      <c r="AM90" s="513"/>
      <c r="AN90" s="513"/>
      <c r="AO90" s="513"/>
      <c r="AP90" s="513"/>
      <c r="AQ90" s="513"/>
      <c r="AR90" s="513"/>
      <c r="AS90" s="2116"/>
    </row>
    <row r="91" spans="1:45" ht="15" customHeight="1">
      <c r="A91" s="353"/>
      <c r="B91" s="488" t="s">
        <v>1527</v>
      </c>
      <c r="C91" s="353"/>
      <c r="D91" s="348">
        <f>'Exhibit G State'!D91+'Exhibit G Federal'!D61</f>
        <v>0</v>
      </c>
      <c r="E91" s="348"/>
      <c r="F91" s="348">
        <f>'Exhibit G State'!F91+'Exhibit G Federal'!F61</f>
        <v>0.2</v>
      </c>
      <c r="G91" s="348"/>
      <c r="H91" s="348">
        <f>'Exhibit G State'!H91+'Exhibit G Federal'!H61</f>
        <v>0</v>
      </c>
      <c r="J91" s="348">
        <f>'Exhibit G State'!J91+'Exhibit G Federal'!J61</f>
        <v>1.3</v>
      </c>
      <c r="L91" s="348">
        <f>'Exhibit G State'!L91+'Exhibit G Federal'!L61</f>
        <v>0.19999999999999996</v>
      </c>
      <c r="N91" s="348">
        <f>'Exhibit G State'!N91+'Exhibit G Federal'!N61</f>
        <v>0.40000000000000013</v>
      </c>
      <c r="P91" s="348">
        <f>'Exhibit G State'!P91+'Exhibit G Federal'!P61</f>
        <v>0</v>
      </c>
      <c r="R91" s="348">
        <f>'Exhibit G State'!R91+'Exhibit G Federal'!R61</f>
        <v>1.8999999999999992</v>
      </c>
      <c r="S91" s="348"/>
      <c r="T91" s="348"/>
      <c r="U91" s="348"/>
      <c r="V91" s="348"/>
      <c r="W91" s="348"/>
      <c r="X91" s="348"/>
      <c r="Y91" s="348"/>
      <c r="Z91" s="348"/>
      <c r="AA91" s="348"/>
      <c r="AB91" s="325"/>
      <c r="AC91" s="647"/>
      <c r="AD91" s="325">
        <f>ROUND(SUM(D91:Z91),1)</f>
        <v>4</v>
      </c>
      <c r="AE91" s="325"/>
      <c r="AF91" s="647"/>
      <c r="AG91" s="348">
        <f>'Exhibit G State'!AG91+'Exhibit G Federal'!AG61</f>
        <v>5.3</v>
      </c>
      <c r="AH91" s="643"/>
      <c r="AI91" s="325"/>
      <c r="AJ91" s="325">
        <f>ROUND(SUM(+AD91-AG91),1)</f>
        <v>-1.3</v>
      </c>
      <c r="AK91" s="14"/>
      <c r="AL91" s="670">
        <f>ROUND(IF(AG91=0,0,AJ91/ABS(AG91)),3)</f>
        <v>-0.245</v>
      </c>
      <c r="AM91" s="513"/>
      <c r="AN91" s="513"/>
      <c r="AO91" s="513"/>
      <c r="AP91" s="513"/>
      <c r="AQ91" s="513"/>
      <c r="AR91" s="2116"/>
      <c r="AS91" s="2116"/>
    </row>
    <row r="92" spans="1:45" ht="15" customHeight="1">
      <c r="A92" s="353"/>
      <c r="B92" s="488" t="s">
        <v>1526</v>
      </c>
      <c r="C92" s="353"/>
      <c r="D92" s="348">
        <f>'Exhibit G State'!D92+'Exhibit G Federal'!D62</f>
        <v>3.2</v>
      </c>
      <c r="E92" s="348"/>
      <c r="F92" s="348">
        <f>'Exhibit G State'!F92+'Exhibit G Federal'!F62</f>
        <v>46.400000000000006</v>
      </c>
      <c r="G92" s="348"/>
      <c r="H92" s="348">
        <f>'Exhibit G State'!H92+'Exhibit G Federal'!H62</f>
        <v>5.3999999999999995</v>
      </c>
      <c r="J92" s="348">
        <f>'Exhibit G State'!J92+'Exhibit G Federal'!J62</f>
        <v>24.8</v>
      </c>
      <c r="L92" s="348">
        <f>'Exhibit G State'!L92+'Exhibit G Federal'!L62</f>
        <v>38</v>
      </c>
      <c r="N92" s="348">
        <f>'Exhibit G State'!N92+'Exhibit G Federal'!N62</f>
        <v>6.6999999999999957</v>
      </c>
      <c r="P92" s="348">
        <f>'Exhibit G State'!P92+'Exhibit G Federal'!P62</f>
        <v>19.2</v>
      </c>
      <c r="R92" s="348">
        <f>'Exhibit G State'!R92+'Exhibit G Federal'!R62</f>
        <v>29.600000000000012</v>
      </c>
      <c r="S92" s="348"/>
      <c r="T92" s="348"/>
      <c r="U92" s="348"/>
      <c r="V92" s="348"/>
      <c r="W92" s="348"/>
      <c r="X92" s="348"/>
      <c r="Y92" s="348"/>
      <c r="Z92" s="348"/>
      <c r="AA92" s="348"/>
      <c r="AB92" s="325"/>
      <c r="AC92" s="647"/>
      <c r="AD92" s="325">
        <f>ROUND(SUM(D92:Z92),1)</f>
        <v>173.3</v>
      </c>
      <c r="AE92" s="325"/>
      <c r="AF92" s="647"/>
      <c r="AG92" s="348">
        <f>'Exhibit G State'!AG92+'Exhibit G Federal'!AG62</f>
        <v>746.09999999999991</v>
      </c>
      <c r="AH92" s="643"/>
      <c r="AI92" s="325"/>
      <c r="AJ92" s="325">
        <f>ROUND(SUM(+AD92-AG92),1)</f>
        <v>-572.79999999999995</v>
      </c>
      <c r="AK92" s="14"/>
      <c r="AL92" s="1289">
        <f>ROUND(IF(AG92=0,0,AJ92/ABS(AG92)),3)</f>
        <v>-0.76800000000000002</v>
      </c>
      <c r="AM92" s="513"/>
      <c r="AN92" s="513"/>
      <c r="AO92" s="513"/>
      <c r="AP92" s="513"/>
      <c r="AQ92" s="513"/>
      <c r="AR92" s="2116"/>
      <c r="AS92" s="2116"/>
    </row>
    <row r="93" spans="1:45" ht="15" customHeight="1">
      <c r="A93" s="353"/>
      <c r="B93" s="488" t="s">
        <v>128</v>
      </c>
      <c r="C93" s="353"/>
      <c r="D93" s="325"/>
      <c r="E93" s="325"/>
      <c r="F93" s="325"/>
      <c r="G93" s="325"/>
      <c r="H93" s="325"/>
      <c r="J93" s="325"/>
      <c r="L93" s="325"/>
      <c r="N93" s="325"/>
      <c r="P93" s="325"/>
      <c r="R93" s="325"/>
      <c r="S93" s="325"/>
      <c r="T93" s="325"/>
      <c r="U93" s="325"/>
      <c r="V93" s="325"/>
      <c r="W93" s="325"/>
      <c r="X93" s="325"/>
      <c r="Y93" s="325"/>
      <c r="Z93" s="325"/>
      <c r="AA93" s="325"/>
      <c r="AB93" s="325"/>
      <c r="AC93" s="647"/>
      <c r="AD93" s="325"/>
      <c r="AE93" s="325"/>
      <c r="AF93" s="647"/>
      <c r="AG93" s="325"/>
      <c r="AH93" s="643"/>
      <c r="AI93" s="325"/>
      <c r="AJ93" s="325" t="s">
        <v>104</v>
      </c>
      <c r="AK93" s="329" t="s">
        <v>104</v>
      </c>
      <c r="AL93" s="344" t="s">
        <v>104</v>
      </c>
      <c r="AM93" s="513"/>
      <c r="AN93" s="513"/>
      <c r="AO93" s="513"/>
      <c r="AP93" s="513"/>
      <c r="AQ93" s="513"/>
      <c r="AR93" s="513"/>
      <c r="AS93" s="513"/>
    </row>
    <row r="94" spans="1:45" ht="15" customHeight="1">
      <c r="A94" s="353"/>
      <c r="B94" s="1523" t="s">
        <v>129</v>
      </c>
      <c r="C94" s="353"/>
      <c r="D94" s="348">
        <f>'Exhibit G State'!D94+'Exhibit G Federal'!D64</f>
        <v>4589.7</v>
      </c>
      <c r="E94" s="348"/>
      <c r="F94" s="348">
        <f>'Exhibit G State'!F94+'Exhibit G Federal'!F64</f>
        <v>7948.5999999999995</v>
      </c>
      <c r="G94" s="348"/>
      <c r="H94" s="348">
        <f>'Exhibit G State'!H94+'Exhibit G Federal'!H64</f>
        <v>4733.3999999999996</v>
      </c>
      <c r="J94" s="348">
        <f>'Exhibit G State'!J94+'Exhibit G Federal'!J64</f>
        <v>5170.7000000000007</v>
      </c>
      <c r="L94" s="348">
        <f>'Exhibit G State'!L94+'Exhibit G Federal'!L64</f>
        <v>5992.6</v>
      </c>
      <c r="N94" s="348">
        <f>'Exhibit G State'!N94+'Exhibit G Federal'!N64</f>
        <v>2424.1000000000004</v>
      </c>
      <c r="P94" s="348">
        <f>'Exhibit G State'!P94+'Exhibit G Federal'!P64</f>
        <v>4699.2000000000025</v>
      </c>
      <c r="R94" s="348">
        <f>'Exhibit G State'!R94+'Exhibit G Federal'!R64</f>
        <v>5788.2999999999975</v>
      </c>
      <c r="S94" s="348"/>
      <c r="T94" s="348"/>
      <c r="U94" s="348"/>
      <c r="V94" s="348"/>
      <c r="W94" s="348"/>
      <c r="X94" s="348"/>
      <c r="Y94" s="348"/>
      <c r="Z94" s="348"/>
      <c r="AA94" s="348"/>
      <c r="AB94" s="325"/>
      <c r="AC94" s="647"/>
      <c r="AD94" s="325">
        <f t="shared" ref="AD94:AD99" si="17">ROUND(SUM(D94:Z94),1)</f>
        <v>41346.6</v>
      </c>
      <c r="AE94" s="325"/>
      <c r="AF94" s="647"/>
      <c r="AG94" s="348">
        <f>'Exhibit G State'!AG94+'Exhibit G Federal'!AG64</f>
        <v>38182.799999999996</v>
      </c>
      <c r="AH94" s="643"/>
      <c r="AI94" s="325"/>
      <c r="AJ94" s="325">
        <f t="shared" ref="AJ94:AJ99" si="18">ROUND(SUM(+AD94-AG94),1)</f>
        <v>3163.8</v>
      </c>
      <c r="AK94" s="14"/>
      <c r="AL94" s="327">
        <f>ROUND(IF(AG94=0,0,AJ94/ABS(AG94)),3)</f>
        <v>8.3000000000000004E-2</v>
      </c>
      <c r="AM94" s="513"/>
      <c r="AN94" s="513"/>
      <c r="AO94" s="513"/>
      <c r="AP94" s="513"/>
      <c r="AQ94" s="513"/>
      <c r="AR94" s="513"/>
      <c r="AS94" s="513"/>
    </row>
    <row r="95" spans="1:45" ht="15" customHeight="1">
      <c r="A95" s="353"/>
      <c r="B95" s="488" t="s">
        <v>130</v>
      </c>
      <c r="C95" s="353"/>
      <c r="D95" s="348">
        <f>'Exhibit G State'!D95+'Exhibit G Federal'!D65</f>
        <v>834.19999999999993</v>
      </c>
      <c r="E95" s="348"/>
      <c r="F95" s="348">
        <f>'Exhibit G State'!F95+'Exhibit G Federal'!F65</f>
        <v>875.3</v>
      </c>
      <c r="G95" s="348"/>
      <c r="H95" s="348">
        <f>'Exhibit G State'!H95+'Exhibit G Federal'!H65</f>
        <v>1088.6999999999998</v>
      </c>
      <c r="J95" s="348">
        <f>'Exhibit G State'!J95+'Exhibit G Federal'!J65</f>
        <v>1055.8000000000004</v>
      </c>
      <c r="L95" s="348">
        <f>'Exhibit G State'!L95+'Exhibit G Federal'!L65</f>
        <v>1070.799999999999</v>
      </c>
      <c r="N95" s="348">
        <f>'Exhibit G State'!N95+'Exhibit G Federal'!N65</f>
        <v>1566.9</v>
      </c>
      <c r="P95" s="348">
        <f>'Exhibit G State'!P95+'Exhibit G Federal'!P65</f>
        <v>1143.9999999999995</v>
      </c>
      <c r="R95" s="348">
        <f>'Exhibit G State'!R95+'Exhibit G Federal'!R65</f>
        <v>1192.4999999999995</v>
      </c>
      <c r="S95" s="348"/>
      <c r="T95" s="348"/>
      <c r="U95" s="348"/>
      <c r="V95" s="348"/>
      <c r="W95" s="348"/>
      <c r="X95" s="348"/>
      <c r="Y95" s="348"/>
      <c r="Z95" s="348"/>
      <c r="AA95" s="348"/>
      <c r="AB95" s="325"/>
      <c r="AC95" s="647"/>
      <c r="AD95" s="325">
        <f t="shared" si="17"/>
        <v>8828.2000000000007</v>
      </c>
      <c r="AE95" s="325"/>
      <c r="AF95" s="647"/>
      <c r="AG95" s="348">
        <f>'Exhibit G State'!AG95+'Exhibit G Federal'!AG65</f>
        <v>6199.9000000000005</v>
      </c>
      <c r="AH95" s="643"/>
      <c r="AI95" s="325"/>
      <c r="AJ95" s="325">
        <f t="shared" si="18"/>
        <v>2628.3</v>
      </c>
      <c r="AK95" s="14"/>
      <c r="AL95" s="327">
        <f t="shared" ref="AL95:AL99" si="19">ROUND(IF(AG95=0,0,AJ95/ABS(AG95)),3)</f>
        <v>0.42399999999999999</v>
      </c>
      <c r="AM95" s="513"/>
      <c r="AN95" s="513"/>
      <c r="AO95" s="513"/>
      <c r="AP95" s="513"/>
      <c r="AQ95" s="513"/>
      <c r="AR95" s="513"/>
      <c r="AS95" s="513"/>
    </row>
    <row r="96" spans="1:45" ht="15" customHeight="1">
      <c r="A96" s="353"/>
      <c r="B96" s="488" t="s">
        <v>131</v>
      </c>
      <c r="C96" s="353"/>
      <c r="D96" s="348">
        <f>'Exhibit G State'!D96+'Exhibit G Federal'!D66</f>
        <v>1078.5</v>
      </c>
      <c r="E96" s="348"/>
      <c r="F96" s="348">
        <f>'Exhibit G State'!F96+'Exhibit G Federal'!F66</f>
        <v>196.39999999999992</v>
      </c>
      <c r="G96" s="348"/>
      <c r="H96" s="348">
        <f>'Exhibit G State'!H96+'Exhibit G Federal'!H66</f>
        <v>849.30000000000007</v>
      </c>
      <c r="J96" s="348">
        <f>'Exhibit G State'!J96+'Exhibit G Federal'!J66</f>
        <v>370.7000000000001</v>
      </c>
      <c r="L96" s="348">
        <f>'Exhibit G State'!L96+'Exhibit G Federal'!L66</f>
        <v>274.60000000000008</v>
      </c>
      <c r="N96" s="348">
        <f>'Exhibit G State'!N96+'Exhibit G Federal'!N66</f>
        <v>188.99999999999997</v>
      </c>
      <c r="P96" s="348">
        <f>'Exhibit G State'!P96+'Exhibit G Federal'!P66</f>
        <v>865.89999999999952</v>
      </c>
      <c r="R96" s="348">
        <f>'Exhibit G State'!R96+'Exhibit G Federal'!R66</f>
        <v>149.50000000000051</v>
      </c>
      <c r="S96" s="348"/>
      <c r="T96" s="348"/>
      <c r="U96" s="348"/>
      <c r="V96" s="348"/>
      <c r="W96" s="348"/>
      <c r="X96" s="348"/>
      <c r="Y96" s="348"/>
      <c r="Z96" s="348"/>
      <c r="AA96" s="348"/>
      <c r="AB96" s="325"/>
      <c r="AC96" s="647"/>
      <c r="AD96" s="325">
        <f t="shared" si="17"/>
        <v>3973.9</v>
      </c>
      <c r="AE96" s="325"/>
      <c r="AF96" s="647"/>
      <c r="AG96" s="348">
        <f>'Exhibit G State'!AG96+'Exhibit G Federal'!AG66</f>
        <v>1167.2</v>
      </c>
      <c r="AH96" s="643"/>
      <c r="AI96" s="325"/>
      <c r="AJ96" s="325">
        <f t="shared" si="18"/>
        <v>2806.7</v>
      </c>
      <c r="AK96" s="14"/>
      <c r="AL96" s="1289">
        <f t="shared" si="19"/>
        <v>2.4049999999999998</v>
      </c>
      <c r="AM96" s="513"/>
      <c r="AN96" s="513"/>
      <c r="AO96" s="513"/>
      <c r="AP96" s="513"/>
      <c r="AQ96" s="513"/>
      <c r="AR96" s="513"/>
      <c r="AS96" s="513"/>
    </row>
    <row r="97" spans="1:45" ht="15" customHeight="1">
      <c r="A97" s="353"/>
      <c r="B97" s="488" t="s">
        <v>132</v>
      </c>
      <c r="C97" s="353"/>
      <c r="D97" s="348">
        <f>'Exhibit G State'!D97+'Exhibit G Federal'!D67</f>
        <v>612.5</v>
      </c>
      <c r="E97" s="348"/>
      <c r="F97" s="348">
        <f>'Exhibit G State'!F97+'Exhibit G Federal'!F67</f>
        <v>410.60000000000008</v>
      </c>
      <c r="G97" s="348"/>
      <c r="H97" s="348">
        <f>'Exhibit G State'!H97+'Exhibit G Federal'!H67</f>
        <v>288.30000000000007</v>
      </c>
      <c r="J97" s="348">
        <f>'Exhibit G State'!J97+'Exhibit G Federal'!J67</f>
        <v>269.99999999999989</v>
      </c>
      <c r="L97" s="348">
        <f>'Exhibit G State'!L97+'Exhibit G Federal'!L67</f>
        <v>389.7000000000001</v>
      </c>
      <c r="N97" s="348">
        <f>'Exhibit G State'!N97+'Exhibit G Federal'!N67</f>
        <v>611.79999999999984</v>
      </c>
      <c r="P97" s="348">
        <f>'Exhibit G State'!P97+'Exhibit G Federal'!P67</f>
        <v>795.2999999999995</v>
      </c>
      <c r="R97" s="348">
        <f>'Exhibit G State'!R97+'Exhibit G Federal'!R67</f>
        <v>577.20000000000016</v>
      </c>
      <c r="S97" s="348"/>
      <c r="T97" s="348"/>
      <c r="U97" s="348"/>
      <c r="V97" s="348"/>
      <c r="W97" s="348"/>
      <c r="X97" s="348"/>
      <c r="Y97" s="348"/>
      <c r="Z97" s="348"/>
      <c r="AA97" s="348"/>
      <c r="AB97" s="325"/>
      <c r="AC97" s="647"/>
      <c r="AD97" s="325">
        <f t="shared" si="17"/>
        <v>3955.4</v>
      </c>
      <c r="AE97" s="325"/>
      <c r="AF97" s="647"/>
      <c r="AG97" s="348">
        <f>'Exhibit G State'!AG97+'Exhibit G Federal'!AG67</f>
        <v>4102.5999999999995</v>
      </c>
      <c r="AH97" s="643"/>
      <c r="AI97" s="325"/>
      <c r="AJ97" s="325">
        <f t="shared" si="18"/>
        <v>-147.19999999999999</v>
      </c>
      <c r="AK97" s="14"/>
      <c r="AL97" s="327">
        <f t="shared" si="19"/>
        <v>-3.5999999999999997E-2</v>
      </c>
      <c r="AM97" s="513"/>
      <c r="AN97" s="513"/>
      <c r="AO97" s="513"/>
      <c r="AP97" s="513"/>
      <c r="AQ97" s="513"/>
      <c r="AR97" s="513"/>
      <c r="AS97" s="513"/>
    </row>
    <row r="98" spans="1:45" ht="15" customHeight="1">
      <c r="A98" s="353"/>
      <c r="B98" s="488" t="s">
        <v>133</v>
      </c>
      <c r="C98" s="353"/>
      <c r="D98" s="348">
        <f>'Exhibit G State'!D98+'Exhibit G Federal'!D68</f>
        <v>0.5</v>
      </c>
      <c r="E98" s="348"/>
      <c r="F98" s="348">
        <f>'Exhibit G State'!F98+'Exhibit G Federal'!F68</f>
        <v>154.30000000000001</v>
      </c>
      <c r="G98" s="348"/>
      <c r="H98" s="348">
        <f>'Exhibit G State'!H98+'Exhibit G Federal'!H68</f>
        <v>2.5999999999999996</v>
      </c>
      <c r="J98" s="348">
        <f>'Exhibit G State'!J98+'Exhibit G Federal'!J68</f>
        <v>11.099999999999994</v>
      </c>
      <c r="L98" s="348">
        <f>'Exhibit G State'!L98+'Exhibit G Federal'!L68</f>
        <v>6.0000000000000124</v>
      </c>
      <c r="N98" s="348">
        <f>'Exhibit G State'!N98+'Exhibit G Federal'!N68</f>
        <v>5.9999999999999947</v>
      </c>
      <c r="P98" s="348">
        <f>'Exhibit G State'!P98+'Exhibit G Federal'!P68</f>
        <v>1.7999999999999972</v>
      </c>
      <c r="R98" s="348">
        <f>'Exhibit G State'!R98+'Exhibit G Federal'!R68</f>
        <v>3.6000000000000156</v>
      </c>
      <c r="S98" s="348"/>
      <c r="T98" s="348"/>
      <c r="U98" s="348"/>
      <c r="V98" s="348"/>
      <c r="W98" s="348"/>
      <c r="X98" s="348"/>
      <c r="Y98" s="348"/>
      <c r="Z98" s="348"/>
      <c r="AA98" s="348"/>
      <c r="AB98" s="325"/>
      <c r="AC98" s="647"/>
      <c r="AD98" s="325">
        <f t="shared" si="17"/>
        <v>185.9</v>
      </c>
      <c r="AE98" s="325"/>
      <c r="AF98" s="647"/>
      <c r="AG98" s="348">
        <f>'Exhibit G State'!AG98+'Exhibit G Federal'!AG68</f>
        <v>40.5</v>
      </c>
      <c r="AH98" s="643"/>
      <c r="AI98" s="325"/>
      <c r="AJ98" s="325">
        <f t="shared" si="18"/>
        <v>145.4</v>
      </c>
      <c r="AK98" s="14"/>
      <c r="AL98" s="670">
        <f>ROUND(IF(AG98=0,0,AJ98/ABS(AG98)),3)</f>
        <v>3.59</v>
      </c>
      <c r="AM98" s="513"/>
      <c r="AN98" s="513"/>
      <c r="AO98" s="513"/>
      <c r="AP98" s="513"/>
      <c r="AQ98" s="513"/>
      <c r="AR98" s="2116"/>
      <c r="AS98" s="2116"/>
    </row>
    <row r="99" spans="1:45" ht="15" customHeight="1">
      <c r="A99" s="353"/>
      <c r="B99" s="488" t="s">
        <v>134</v>
      </c>
      <c r="C99" s="353"/>
      <c r="D99" s="348">
        <f>'Exhibit G State'!D99+'Exhibit G Federal'!D69</f>
        <v>88.5</v>
      </c>
      <c r="E99" s="348"/>
      <c r="F99" s="348">
        <f>'Exhibit G State'!F99+'Exhibit G Federal'!F69</f>
        <v>584.29999999999995</v>
      </c>
      <c r="G99" s="348"/>
      <c r="H99" s="348">
        <f>'Exhibit G State'!H99+'Exhibit G Federal'!H69</f>
        <v>350.00000000000006</v>
      </c>
      <c r="J99" s="348">
        <f>'Exhibit G State'!J99+'Exhibit G Federal'!J69</f>
        <v>380.9</v>
      </c>
      <c r="L99" s="348">
        <f>'Exhibit G State'!L99+'Exhibit G Federal'!L69</f>
        <v>536.19999999999982</v>
      </c>
      <c r="N99" s="348">
        <f>'Exhibit G State'!N99+'Exhibit G Federal'!N69</f>
        <v>364.70000000000044</v>
      </c>
      <c r="P99" s="348">
        <f>'Exhibit G State'!P99+'Exhibit G Federal'!P69</f>
        <v>416.8</v>
      </c>
      <c r="R99" s="348">
        <f>'Exhibit G State'!R99+'Exhibit G Federal'!R69</f>
        <v>685.69999999999982</v>
      </c>
      <c r="S99" s="348"/>
      <c r="T99" s="348"/>
      <c r="U99" s="348"/>
      <c r="V99" s="348"/>
      <c r="W99" s="348"/>
      <c r="X99" s="348"/>
      <c r="Y99" s="348"/>
      <c r="Z99" s="348"/>
      <c r="AA99" s="348"/>
      <c r="AB99" s="325"/>
      <c r="AC99" s="647"/>
      <c r="AD99" s="325">
        <f t="shared" si="17"/>
        <v>3407.1</v>
      </c>
      <c r="AE99" s="325"/>
      <c r="AF99" s="647"/>
      <c r="AG99" s="348">
        <f>'Exhibit G State'!AG99+'Exhibit G Federal'!AG69</f>
        <v>3186.6</v>
      </c>
      <c r="AH99" s="643"/>
      <c r="AI99" s="325"/>
      <c r="AJ99" s="325">
        <f t="shared" si="18"/>
        <v>220.5</v>
      </c>
      <c r="AK99" s="14"/>
      <c r="AL99" s="661">
        <f t="shared" si="19"/>
        <v>6.9000000000000006E-2</v>
      </c>
      <c r="AM99" s="513"/>
      <c r="AN99" s="513"/>
      <c r="AO99" s="513"/>
      <c r="AP99" s="513"/>
      <c r="AQ99" s="513"/>
      <c r="AR99" s="513"/>
      <c r="AS99" s="513"/>
    </row>
    <row r="100" spans="1:45" ht="15" customHeight="1">
      <c r="A100" s="353"/>
      <c r="B100" s="6" t="s">
        <v>539</v>
      </c>
      <c r="C100" s="353"/>
      <c r="D100" s="842">
        <f>ROUND(SUM(D90:D99),1)</f>
        <v>7898.3</v>
      </c>
      <c r="F100" s="842">
        <f>ROUND(SUM(F90:F99),1)</f>
        <v>10672.1</v>
      </c>
      <c r="H100" s="842">
        <f>ROUND(SUM(H90:H99),1)</f>
        <v>8492.5</v>
      </c>
      <c r="J100" s="842">
        <f>ROUND(SUM(J90:J99),1)</f>
        <v>7820.1</v>
      </c>
      <c r="L100" s="842">
        <f>ROUND(SUM(L90:L99),1)</f>
        <v>8779.7000000000007</v>
      </c>
      <c r="N100" s="842">
        <f>ROUND(SUM(N90:N99),1)</f>
        <v>8686.5</v>
      </c>
      <c r="P100" s="842">
        <f>ROUND(SUM(P90:P99),1)</f>
        <v>8528.2000000000007</v>
      </c>
      <c r="R100" s="842">
        <f>ROUND(SUM(R90:R99),1)</f>
        <v>10052.6</v>
      </c>
      <c r="T100" s="842">
        <f>ROUND(SUM(T90:T99),1)</f>
        <v>0</v>
      </c>
      <c r="V100" s="842">
        <f>ROUND(SUM(V90:V99),1)</f>
        <v>0</v>
      </c>
      <c r="X100" s="842">
        <f>ROUND(SUM(X90:X99),1)</f>
        <v>0</v>
      </c>
      <c r="Z100" s="842">
        <f>ROUND(SUM(Z90:Z99),1)</f>
        <v>0</v>
      </c>
      <c r="AA100" s="16"/>
      <c r="AB100" s="842">
        <f>ROUND(SUM(AB90:AB99),1)</f>
        <v>0</v>
      </c>
      <c r="AC100" s="18"/>
      <c r="AD100" s="842">
        <f>ROUND(SUM(AD90:AD99),1)</f>
        <v>70930</v>
      </c>
      <c r="AE100" s="16"/>
      <c r="AF100" s="18"/>
      <c r="AG100" s="842">
        <f>ROUND(SUM(AG90:AG99),1)</f>
        <v>61080.2</v>
      </c>
      <c r="AH100" s="108"/>
      <c r="AI100" s="16"/>
      <c r="AJ100" s="842">
        <f>ROUND(SUM(AJ90:AJ99),1)</f>
        <v>9849.7999999999993</v>
      </c>
      <c r="AK100" s="51"/>
      <c r="AL100" s="470">
        <f>ROUND(SUM(+AJ100/AG100),3)</f>
        <v>0.161</v>
      </c>
      <c r="AM100" s="513"/>
      <c r="AN100" s="513"/>
      <c r="AO100" s="513"/>
      <c r="AP100" s="513"/>
      <c r="AQ100" s="513"/>
      <c r="AR100" s="513"/>
      <c r="AS100" s="513"/>
    </row>
    <row r="101" spans="1:45" ht="15" customHeight="1">
      <c r="A101" s="353"/>
      <c r="B101" s="353" t="s">
        <v>540</v>
      </c>
      <c r="C101" s="353"/>
      <c r="D101" s="325"/>
      <c r="F101" s="325"/>
      <c r="H101" s="325"/>
      <c r="J101" s="325"/>
      <c r="L101" s="325"/>
      <c r="N101" s="325"/>
      <c r="P101" s="325"/>
      <c r="R101" s="325"/>
      <c r="T101" s="325"/>
      <c r="V101" s="325"/>
      <c r="X101" s="325"/>
      <c r="Z101" s="325"/>
      <c r="AA101" s="325"/>
      <c r="AB101" s="325"/>
      <c r="AC101" s="647"/>
      <c r="AD101" s="325"/>
      <c r="AE101" s="325"/>
      <c r="AF101" s="647"/>
      <c r="AG101" s="325"/>
      <c r="AH101" s="643"/>
      <c r="AI101" s="325"/>
      <c r="AJ101" s="325"/>
      <c r="AK101" s="466"/>
      <c r="AL101" s="344"/>
      <c r="AM101" s="513"/>
      <c r="AN101" s="513"/>
      <c r="AO101" s="513"/>
      <c r="AP101" s="513"/>
      <c r="AQ101" s="513"/>
      <c r="AR101" s="513"/>
      <c r="AS101" s="513"/>
    </row>
    <row r="102" spans="1:45" ht="15" customHeight="1">
      <c r="A102" s="353"/>
      <c r="B102" s="353" t="s">
        <v>484</v>
      </c>
      <c r="C102" s="353"/>
      <c r="D102" s="348">
        <f>'Exhibit G State'!D102+'Exhibit G Federal'!D72</f>
        <v>527.4</v>
      </c>
      <c r="E102" s="348"/>
      <c r="F102" s="348">
        <f>'Exhibit G State'!F102+'Exhibit G Federal'!F72</f>
        <v>495.3</v>
      </c>
      <c r="G102" s="348"/>
      <c r="H102" s="348">
        <f>'Exhibit G State'!H102+'Exhibit G Federal'!H72</f>
        <v>451.6</v>
      </c>
      <c r="J102" s="348">
        <f>'Exhibit G State'!J102+'Exhibit G Federal'!J72</f>
        <v>465.09999999999991</v>
      </c>
      <c r="L102" s="348">
        <f>'Exhibit G State'!L102+'Exhibit G Federal'!L72</f>
        <v>723.2</v>
      </c>
      <c r="N102" s="348">
        <f>'Exhibit G State'!N102+'Exhibit G Federal'!N72</f>
        <v>459.2000000000001</v>
      </c>
      <c r="P102" s="348">
        <f>'Exhibit G State'!P102+'Exhibit G Federal'!P72</f>
        <v>499.4</v>
      </c>
      <c r="R102" s="348">
        <f>'Exhibit G State'!R102+'Exhibit G Federal'!R72</f>
        <v>646.80000000000064</v>
      </c>
      <c r="S102" s="348"/>
      <c r="T102" s="348"/>
      <c r="U102" s="348"/>
      <c r="V102" s="348"/>
      <c r="W102" s="348"/>
      <c r="X102" s="348"/>
      <c r="Y102" s="348"/>
      <c r="Z102" s="348"/>
      <c r="AA102" s="348"/>
      <c r="AB102" s="325"/>
      <c r="AC102" s="647"/>
      <c r="AD102" s="325">
        <f>ROUND(SUM(D102:Z102),1)</f>
        <v>4268</v>
      </c>
      <c r="AE102" s="325"/>
      <c r="AF102" s="647"/>
      <c r="AG102" s="348">
        <f>'Exhibit G State'!AG102+'Exhibit G Federal'!AG72</f>
        <v>3948.5</v>
      </c>
      <c r="AH102" s="643"/>
      <c r="AI102" s="325"/>
      <c r="AJ102" s="325">
        <f>ROUND(SUM(+AD102-AG102),1)</f>
        <v>319.5</v>
      </c>
      <c r="AK102" s="14"/>
      <c r="AL102" s="327">
        <f>ROUND(IF(AG102=0,0,AJ102/ABS(AG102)),3)</f>
        <v>8.1000000000000003E-2</v>
      </c>
      <c r="AM102" s="513"/>
      <c r="AN102" s="513"/>
      <c r="AO102" s="513"/>
      <c r="AP102" s="513"/>
      <c r="AQ102" s="513"/>
      <c r="AR102" s="513"/>
      <c r="AS102" s="513"/>
    </row>
    <row r="103" spans="1:45" ht="15" customHeight="1">
      <c r="A103" s="353"/>
      <c r="B103" s="353" t="s">
        <v>541</v>
      </c>
      <c r="C103" s="353"/>
      <c r="D103" s="348">
        <f>'Exhibit G State'!D103+'Exhibit G Federal'!D73</f>
        <v>292.39999999999998</v>
      </c>
      <c r="E103" s="348"/>
      <c r="F103" s="348">
        <f>'Exhibit G State'!F103+'Exhibit G Federal'!F73</f>
        <v>404.8</v>
      </c>
      <c r="G103" s="348"/>
      <c r="H103" s="348">
        <f>'Exhibit G State'!H103+'Exhibit G Federal'!H73</f>
        <v>1074.5999999999999</v>
      </c>
      <c r="J103" s="348">
        <f>'Exhibit G State'!J103+'Exhibit G Federal'!J73</f>
        <v>325.60000000000014</v>
      </c>
      <c r="L103" s="348">
        <f>'Exhibit G State'!L103+'Exhibit G Federal'!L73</f>
        <v>456.79999999999984</v>
      </c>
      <c r="N103" s="348">
        <f>'Exhibit G State'!N103+'Exhibit G Federal'!N73</f>
        <v>693.00000000000011</v>
      </c>
      <c r="P103" s="348">
        <f>'Exhibit G State'!P103+'Exhibit G Federal'!P73</f>
        <v>495.89999999999986</v>
      </c>
      <c r="R103" s="348">
        <f>'Exhibit G State'!R103+'Exhibit G Federal'!R73</f>
        <v>443.29999999999995</v>
      </c>
      <c r="S103" s="348"/>
      <c r="T103" s="348"/>
      <c r="U103" s="348"/>
      <c r="V103" s="348"/>
      <c r="W103" s="348"/>
      <c r="X103" s="348"/>
      <c r="Y103" s="348"/>
      <c r="Z103" s="348"/>
      <c r="AA103" s="348"/>
      <c r="AB103" s="325"/>
      <c r="AC103" s="647"/>
      <c r="AD103" s="325">
        <f>ROUND(SUM(D103:Z103),1)</f>
        <v>4186.3999999999996</v>
      </c>
      <c r="AE103" s="325"/>
      <c r="AF103" s="647"/>
      <c r="AG103" s="348">
        <f>'Exhibit G State'!AG103+'Exhibit G Federal'!AG73</f>
        <v>3101.1</v>
      </c>
      <c r="AH103" s="643"/>
      <c r="AI103" s="325"/>
      <c r="AJ103" s="325">
        <f>ROUND(SUM(+AD103-AG103),1)</f>
        <v>1085.3</v>
      </c>
      <c r="AK103" s="14"/>
      <c r="AL103" s="327">
        <f>ROUND(IF(AG103=0,0,AJ103/ABS(AG103)),3)</f>
        <v>0.35</v>
      </c>
      <c r="AM103" s="513"/>
      <c r="AN103" s="513"/>
      <c r="AO103" s="513"/>
      <c r="AP103" s="513"/>
      <c r="AQ103" s="513"/>
      <c r="AR103" s="513"/>
      <c r="AS103" s="513"/>
    </row>
    <row r="104" spans="1:45" ht="15" customHeight="1">
      <c r="A104" s="353"/>
      <c r="B104" s="353" t="s">
        <v>542</v>
      </c>
      <c r="C104" s="353"/>
      <c r="D104" s="348">
        <f>'Exhibit G State'!D104+'Exhibit G Federal'!D74</f>
        <v>29.9</v>
      </c>
      <c r="E104" s="348"/>
      <c r="F104" s="348">
        <f>'Exhibit G State'!F104+'Exhibit G Federal'!F74</f>
        <v>170.2</v>
      </c>
      <c r="G104" s="348"/>
      <c r="H104" s="348">
        <f>'Exhibit G State'!H104+'Exhibit G Federal'!H74</f>
        <v>130.69999999999999</v>
      </c>
      <c r="J104" s="348">
        <f>'Exhibit G State'!J104+'Exhibit G Federal'!J74</f>
        <v>84.500000000000014</v>
      </c>
      <c r="L104" s="348">
        <f>'Exhibit G State'!L104+'Exhibit G Federal'!L74</f>
        <v>160.6</v>
      </c>
      <c r="N104" s="348">
        <f>'Exhibit G State'!N104+'Exhibit G Federal'!N74</f>
        <v>97.600000000000094</v>
      </c>
      <c r="P104" s="348">
        <f>'Exhibit G State'!P104+'Exhibit G Federal'!P74</f>
        <v>107.70000000000005</v>
      </c>
      <c r="R104" s="348">
        <f>'Exhibit G State'!R104+'Exhibit G Federal'!R74</f>
        <v>164.89999999999998</v>
      </c>
      <c r="S104" s="348"/>
      <c r="T104" s="348"/>
      <c r="U104" s="348"/>
      <c r="V104" s="348"/>
      <c r="W104" s="348"/>
      <c r="X104" s="348"/>
      <c r="Y104" s="348"/>
      <c r="Z104" s="348"/>
      <c r="AA104" s="348"/>
      <c r="AB104" s="325"/>
      <c r="AC104" s="647"/>
      <c r="AD104" s="325">
        <f>ROUND(SUM(D104:Z104),1)</f>
        <v>946.1</v>
      </c>
      <c r="AE104" s="325"/>
      <c r="AF104" s="647"/>
      <c r="AG104" s="348">
        <f>'Exhibit G State'!AG104+'Exhibit G Federal'!AG74</f>
        <v>935.09999999999991</v>
      </c>
      <c r="AH104" s="643"/>
      <c r="AI104" s="325"/>
      <c r="AJ104" s="325">
        <f>ROUND(SUM(+AD104-AG104),1)</f>
        <v>11</v>
      </c>
      <c r="AK104" s="14"/>
      <c r="AL104" s="327">
        <f>ROUND(IF(AG104=0,0,AJ104/ABS(AG104)),3)</f>
        <v>1.2E-2</v>
      </c>
      <c r="AM104" s="513"/>
      <c r="AN104" s="513"/>
      <c r="AO104" s="513"/>
      <c r="AP104" s="513"/>
      <c r="AQ104" s="513"/>
      <c r="AR104" s="513"/>
      <c r="AS104" s="513"/>
    </row>
    <row r="105" spans="1:45" ht="15" customHeight="1">
      <c r="A105" s="353"/>
      <c r="B105" s="79" t="s">
        <v>1528</v>
      </c>
      <c r="C105" s="353"/>
      <c r="D105" s="348"/>
      <c r="E105" s="348"/>
      <c r="F105" s="348"/>
      <c r="G105" s="348"/>
      <c r="H105" s="348"/>
      <c r="J105" s="348"/>
      <c r="L105" s="348"/>
      <c r="N105" s="348"/>
      <c r="P105" s="348"/>
      <c r="R105" s="348"/>
      <c r="S105" s="348"/>
      <c r="T105" s="348"/>
      <c r="U105" s="348"/>
      <c r="V105" s="348"/>
      <c r="W105" s="348"/>
      <c r="X105" s="348"/>
      <c r="Y105" s="348"/>
      <c r="Z105" s="348"/>
      <c r="AA105" s="348"/>
      <c r="AB105" s="325"/>
      <c r="AC105" s="647"/>
      <c r="AD105" s="325"/>
      <c r="AE105" s="325"/>
      <c r="AF105" s="647"/>
      <c r="AG105" s="348"/>
      <c r="AH105" s="643"/>
      <c r="AI105" s="325"/>
      <c r="AJ105" s="325"/>
      <c r="AK105" s="14"/>
      <c r="AL105" s="327"/>
      <c r="AM105" s="513"/>
      <c r="AN105" s="513"/>
      <c r="AO105" s="513"/>
      <c r="AP105" s="513"/>
      <c r="AQ105" s="513"/>
      <c r="AR105" s="513"/>
      <c r="AS105" s="513"/>
    </row>
    <row r="106" spans="1:45" ht="15" customHeight="1">
      <c r="A106" s="353"/>
      <c r="B106" s="79" t="s">
        <v>544</v>
      </c>
      <c r="C106" s="353"/>
      <c r="D106" s="348">
        <f>'Exhibit G Federal'!D76</f>
        <v>0</v>
      </c>
      <c r="E106" s="348"/>
      <c r="F106" s="348">
        <f>'Exhibit G Federal'!F76</f>
        <v>0</v>
      </c>
      <c r="G106" s="348"/>
      <c r="H106" s="348">
        <f>'Exhibit G Federal'!H76</f>
        <v>0</v>
      </c>
      <c r="J106" s="348">
        <f>'Exhibit G Federal'!J76</f>
        <v>0</v>
      </c>
      <c r="L106" s="348">
        <f>'Exhibit G Federal'!L76</f>
        <v>0</v>
      </c>
      <c r="N106" s="348">
        <f>'Exhibit G Federal'!N76</f>
        <v>0</v>
      </c>
      <c r="P106" s="348">
        <f>'Exhibit G Federal'!P76</f>
        <v>0</v>
      </c>
      <c r="R106" s="348">
        <f>'Exhibit G Federal'!R76</f>
        <v>0</v>
      </c>
      <c r="S106" s="348"/>
      <c r="T106" s="348"/>
      <c r="U106" s="348"/>
      <c r="V106" s="348"/>
      <c r="W106" s="348"/>
      <c r="X106" s="348"/>
      <c r="Y106" s="348"/>
      <c r="Z106" s="348"/>
      <c r="AA106" s="348"/>
      <c r="AB106" s="325"/>
      <c r="AC106" s="647"/>
      <c r="AD106" s="325">
        <f>ROUND(SUM(D106:Z106),1)</f>
        <v>0</v>
      </c>
      <c r="AE106" s="325"/>
      <c r="AF106" s="647"/>
      <c r="AG106" s="348">
        <f>'Exhibit G Federal'!AG76</f>
        <v>0</v>
      </c>
      <c r="AH106" s="643"/>
      <c r="AI106" s="325"/>
      <c r="AJ106" s="325">
        <f>ROUND(SUM(+AD106-AG106),1)</f>
        <v>0</v>
      </c>
      <c r="AK106" s="14"/>
      <c r="AL106" s="327">
        <f>ROUND(IF(AG106=0,0,AJ106/ABS(AG106)),3)</f>
        <v>0</v>
      </c>
      <c r="AM106" s="513"/>
      <c r="AN106" s="513"/>
      <c r="AO106" s="513"/>
      <c r="AP106" s="513"/>
      <c r="AQ106" s="513"/>
      <c r="AR106" s="513"/>
      <c r="AS106" s="513"/>
    </row>
    <row r="107" spans="1:45" ht="15" customHeight="1">
      <c r="A107" s="353"/>
      <c r="B107" s="353" t="s">
        <v>545</v>
      </c>
      <c r="C107" s="353"/>
      <c r="D107" s="348">
        <f>'Exhibit G State'!D105+'Exhibit G Federal'!D77</f>
        <v>0</v>
      </c>
      <c r="E107" s="348"/>
      <c r="F107" s="348">
        <f>'Exhibit G State'!F105+'Exhibit G Federal'!F77</f>
        <v>0</v>
      </c>
      <c r="G107" s="348"/>
      <c r="H107" s="348">
        <f>'Exhibit G State'!H105+'Exhibit G Federal'!H77</f>
        <v>0</v>
      </c>
      <c r="J107" s="348">
        <f>'Exhibit G State'!J105+'Exhibit G Federal'!J77</f>
        <v>0</v>
      </c>
      <c r="L107" s="348">
        <f>'Exhibit G State'!L105+'Exhibit G Federal'!L77</f>
        <v>0</v>
      </c>
      <c r="N107" s="348">
        <f>'Exhibit G State'!N105+'Exhibit G Federal'!N77</f>
        <v>0</v>
      </c>
      <c r="P107" s="348">
        <f>'Exhibit G State'!P105+'Exhibit G Federal'!P77</f>
        <v>0</v>
      </c>
      <c r="R107" s="348">
        <f>'Exhibit G State'!R105+'Exhibit G Federal'!R77</f>
        <v>0</v>
      </c>
      <c r="S107" s="348"/>
      <c r="T107" s="348"/>
      <c r="U107" s="348"/>
      <c r="V107" s="348"/>
      <c r="W107" s="348"/>
      <c r="X107" s="348"/>
      <c r="Y107" s="348"/>
      <c r="Z107" s="348"/>
      <c r="AA107" s="348"/>
      <c r="AB107" s="1532"/>
      <c r="AC107" s="647"/>
      <c r="AD107" s="325">
        <f>ROUND(SUM(D107:Z107),1)</f>
        <v>0</v>
      </c>
      <c r="AE107" s="325"/>
      <c r="AF107" s="647"/>
      <c r="AG107" s="348">
        <f>'Exhibit G State'!AG105+'Exhibit G Federal'!AG77</f>
        <v>0</v>
      </c>
      <c r="AH107" s="643"/>
      <c r="AI107" s="325"/>
      <c r="AJ107" s="325">
        <f>ROUND(SUM(+AD107-AG107),1)</f>
        <v>0</v>
      </c>
      <c r="AK107" s="14"/>
      <c r="AL107" s="327">
        <f>ROUND(IF(AG107=0,0,AJ107/ABS(AG107)),3)</f>
        <v>0</v>
      </c>
      <c r="AM107" s="513"/>
      <c r="AN107" s="513"/>
      <c r="AO107" s="513"/>
      <c r="AP107" s="513"/>
      <c r="AQ107" s="513"/>
      <c r="AR107" s="513"/>
      <c r="AS107" s="513"/>
    </row>
    <row r="108" spans="1:45" ht="15" customHeight="1">
      <c r="A108" s="353"/>
      <c r="B108" s="353"/>
      <c r="C108" s="353"/>
      <c r="D108" s="783"/>
      <c r="F108" s="783"/>
      <c r="H108" s="783"/>
      <c r="J108" s="783"/>
      <c r="L108" s="783"/>
      <c r="N108" s="783"/>
      <c r="P108" s="783"/>
      <c r="R108" s="783"/>
      <c r="T108" s="783"/>
      <c r="V108" s="783"/>
      <c r="X108" s="783"/>
      <c r="Z108" s="783"/>
      <c r="AA108" s="325"/>
      <c r="AB108" s="325"/>
      <c r="AC108" s="647"/>
      <c r="AD108" s="783"/>
      <c r="AE108" s="325"/>
      <c r="AF108" s="647"/>
      <c r="AG108" s="783"/>
      <c r="AH108" s="643"/>
      <c r="AI108" s="325"/>
      <c r="AJ108" s="1533"/>
      <c r="AK108" s="466"/>
      <c r="AL108" s="1534"/>
      <c r="AM108" s="513"/>
      <c r="AN108" s="513"/>
      <c r="AO108" s="513"/>
      <c r="AP108" s="513"/>
      <c r="AQ108" s="513"/>
      <c r="AR108" s="513"/>
      <c r="AS108" s="513"/>
    </row>
    <row r="109" spans="1:45" ht="15" customHeight="1">
      <c r="A109" s="353"/>
      <c r="B109" s="6" t="s">
        <v>487</v>
      </c>
      <c r="C109" s="353"/>
      <c r="D109" s="16">
        <f>ROUND(SUM(D100:D107),1)</f>
        <v>8748</v>
      </c>
      <c r="F109" s="16">
        <f>ROUND(SUM(F100:F107),1)</f>
        <v>11742.4</v>
      </c>
      <c r="H109" s="16">
        <f>ROUND(SUM(H100:H107),1)</f>
        <v>10149.4</v>
      </c>
      <c r="J109" s="16">
        <f>ROUND(SUM(J100:J107),1)</f>
        <v>8695.2999999999993</v>
      </c>
      <c r="L109" s="16">
        <f>ROUND(SUM(L100:L107),1)</f>
        <v>10120.299999999999</v>
      </c>
      <c r="N109" s="16">
        <f>ROUND(SUM(N100:N107),1)</f>
        <v>9936.2999999999993</v>
      </c>
      <c r="P109" s="16">
        <f>ROUND(SUM(P100:P107),1)</f>
        <v>9631.2000000000007</v>
      </c>
      <c r="R109" s="16">
        <f>ROUND(SUM(R100:R107),1)</f>
        <v>11307.6</v>
      </c>
      <c r="T109" s="16">
        <f>ROUND(SUM(T100:T107),1)</f>
        <v>0</v>
      </c>
      <c r="V109" s="16">
        <f>ROUND(SUM(V100:V107),1)</f>
        <v>0</v>
      </c>
      <c r="X109" s="16">
        <f>ROUND(SUM(X100:X107),1)</f>
        <v>0</v>
      </c>
      <c r="Z109" s="16">
        <f>ROUND(SUM(Z100:Z107),1)</f>
        <v>0</v>
      </c>
      <c r="AA109" s="16"/>
      <c r="AB109" s="963">
        <v>0</v>
      </c>
      <c r="AC109" s="18"/>
      <c r="AD109" s="16">
        <f>ROUND(SUM(AD100:AD107),1)</f>
        <v>80330.5</v>
      </c>
      <c r="AE109" s="16"/>
      <c r="AF109" s="18"/>
      <c r="AG109" s="16">
        <f>ROUND(SUM(AG100:AG107),1)</f>
        <v>69064.899999999994</v>
      </c>
      <c r="AH109" s="108"/>
      <c r="AI109" s="16"/>
      <c r="AJ109" s="434">
        <f>ROUND(SUM(AJ100:AJ107),1)</f>
        <v>11265.6</v>
      </c>
      <c r="AK109" s="72"/>
      <c r="AL109" s="470">
        <f>ROUND(SUM(+AJ109/AG109),3)</f>
        <v>0.16300000000000001</v>
      </c>
      <c r="AM109" s="513"/>
      <c r="AN109" s="513"/>
      <c r="AO109" s="513"/>
      <c r="AP109" s="513"/>
      <c r="AQ109" s="513"/>
      <c r="AR109" s="513"/>
      <c r="AS109" s="513"/>
    </row>
    <row r="110" spans="1:45" ht="15" customHeight="1">
      <c r="A110" s="353"/>
      <c r="B110" s="353"/>
      <c r="C110" s="353"/>
      <c r="D110" s="783"/>
      <c r="F110" s="783"/>
      <c r="H110" s="783"/>
      <c r="J110" s="783"/>
      <c r="L110" s="783"/>
      <c r="N110" s="783"/>
      <c r="P110" s="783"/>
      <c r="R110" s="783"/>
      <c r="T110" s="783"/>
      <c r="V110" s="783"/>
      <c r="X110" s="783"/>
      <c r="Z110" s="783"/>
      <c r="AA110" s="325"/>
      <c r="AB110" s="325"/>
      <c r="AC110" s="647"/>
      <c r="AD110" s="783"/>
      <c r="AE110" s="325"/>
      <c r="AF110" s="647"/>
      <c r="AG110" s="783"/>
      <c r="AH110" s="643"/>
      <c r="AI110" s="325"/>
      <c r="AJ110" s="325"/>
      <c r="AK110" s="466"/>
      <c r="AL110" s="344"/>
      <c r="AM110" s="513"/>
      <c r="AN110" s="513"/>
      <c r="AO110" s="513"/>
      <c r="AP110" s="513"/>
      <c r="AQ110" s="513"/>
      <c r="AR110" s="513"/>
      <c r="AS110" s="513"/>
    </row>
    <row r="111" spans="1:45" ht="15" customHeight="1">
      <c r="A111" s="353"/>
      <c r="B111" s="6" t="s">
        <v>488</v>
      </c>
      <c r="C111" s="353"/>
      <c r="D111" s="325"/>
      <c r="F111" s="325"/>
      <c r="H111" s="325"/>
      <c r="J111" s="325"/>
      <c r="L111" s="325"/>
      <c r="N111" s="325"/>
      <c r="P111" s="325"/>
      <c r="R111" s="325"/>
      <c r="T111" s="325"/>
      <c r="V111" s="325"/>
      <c r="X111" s="325"/>
      <c r="Z111" s="325"/>
      <c r="AA111" s="325"/>
      <c r="AB111" s="325"/>
      <c r="AC111" s="647"/>
      <c r="AD111" s="325" t="s">
        <v>546</v>
      </c>
      <c r="AE111" s="1200"/>
      <c r="AF111" s="1201"/>
      <c r="AG111" s="325"/>
      <c r="AH111" s="1209"/>
      <c r="AI111" s="15"/>
      <c r="AJ111" s="325"/>
      <c r="AK111" s="466"/>
      <c r="AL111" s="344"/>
      <c r="AM111" s="513"/>
      <c r="AN111" s="513"/>
      <c r="AO111" s="513"/>
      <c r="AP111" s="513"/>
      <c r="AQ111" s="513"/>
      <c r="AR111" s="513"/>
      <c r="AS111" s="513"/>
    </row>
    <row r="112" spans="1:45" ht="15" customHeight="1">
      <c r="A112" s="353"/>
      <c r="B112" s="6" t="s">
        <v>146</v>
      </c>
      <c r="C112" s="353"/>
      <c r="D112" s="16">
        <f>ROUND(SUM(D86-D109),1)</f>
        <v>2164.6</v>
      </c>
      <c r="F112" s="16">
        <f>ROUND(SUM(F86-F109),1)</f>
        <v>-3019.4</v>
      </c>
      <c r="G112" s="16"/>
      <c r="H112" s="16">
        <f>ROUND(SUM(H86-H109),1)</f>
        <v>4153.3</v>
      </c>
      <c r="J112" s="16">
        <f>ROUND(SUM(J86-J109),1)</f>
        <v>405.8</v>
      </c>
      <c r="L112" s="16">
        <f>ROUND(SUM(L86-L109),1)</f>
        <v>-646.9</v>
      </c>
      <c r="N112" s="16">
        <f>ROUND(SUM(N86-N109),1)</f>
        <v>-1119.4000000000001</v>
      </c>
      <c r="P112" s="16">
        <f>ROUND(SUM(P86-P109),1)</f>
        <v>-741.7</v>
      </c>
      <c r="R112" s="16">
        <f>ROUND(SUM(R86-R109),1)</f>
        <v>-1504.3</v>
      </c>
      <c r="T112" s="16">
        <f>ROUND(SUM(T86-T109),1)</f>
        <v>0</v>
      </c>
      <c r="V112" s="16">
        <f>ROUND(SUM(V86-V109),1)</f>
        <v>0</v>
      </c>
      <c r="X112" s="16">
        <f>ROUND(SUM(X86-X109),1)</f>
        <v>0</v>
      </c>
      <c r="Z112" s="16">
        <f>ROUND(SUM(Z86-Z109),1)</f>
        <v>0</v>
      </c>
      <c r="AA112" s="16"/>
      <c r="AB112" s="963">
        <v>0</v>
      </c>
      <c r="AC112" s="18"/>
      <c r="AD112" s="16">
        <f>ROUND(SUM(AD86-AD109),1)</f>
        <v>-308</v>
      </c>
      <c r="AE112" s="16"/>
      <c r="AF112" s="18"/>
      <c r="AG112" s="16">
        <f>ROUND(SUM(AG86-AG109),1)</f>
        <v>-651.4</v>
      </c>
      <c r="AH112" s="108"/>
      <c r="AI112" s="16"/>
      <c r="AJ112" s="434">
        <f>ROUND(SUM(AJ86-AJ109),1)</f>
        <v>343.4</v>
      </c>
      <c r="AK112" s="72"/>
      <c r="AL112" s="779">
        <f>ROUND(SUM(+AJ112/ABS(AG112)),3)</f>
        <v>0.52700000000000002</v>
      </c>
      <c r="AM112" s="513"/>
      <c r="AN112" s="513"/>
      <c r="AO112" s="513"/>
      <c r="AP112" s="513"/>
      <c r="AQ112" s="513"/>
      <c r="AR112" s="513"/>
      <c r="AS112" s="513"/>
    </row>
    <row r="113" spans="1:49" ht="15" customHeight="1">
      <c r="A113" s="353"/>
      <c r="B113" s="353"/>
      <c r="C113" s="353"/>
      <c r="D113" s="783"/>
      <c r="F113" s="783"/>
      <c r="H113" s="783"/>
      <c r="J113" s="783"/>
      <c r="L113" s="783"/>
      <c r="N113" s="783"/>
      <c r="P113" s="783"/>
      <c r="R113" s="783"/>
      <c r="T113" s="783"/>
      <c r="V113" s="783"/>
      <c r="X113" s="783"/>
      <c r="Z113" s="783"/>
      <c r="AA113" s="325"/>
      <c r="AB113" s="325"/>
      <c r="AC113" s="647"/>
      <c r="AD113" s="783"/>
      <c r="AE113" s="325"/>
      <c r="AF113" s="647"/>
      <c r="AG113" s="783"/>
      <c r="AH113" s="643"/>
      <c r="AI113" s="325"/>
      <c r="AJ113" s="325"/>
      <c r="AK113" s="466"/>
      <c r="AL113" s="344"/>
      <c r="AM113" s="513"/>
      <c r="AN113" s="513"/>
      <c r="AO113" s="513"/>
      <c r="AP113" s="513"/>
      <c r="AQ113" s="513"/>
      <c r="AR113" s="513"/>
      <c r="AS113" s="513"/>
      <c r="AT113" s="466"/>
      <c r="AU113" s="466"/>
      <c r="AV113" s="466"/>
      <c r="AW113" s="466"/>
    </row>
    <row r="114" spans="1:49" ht="15" customHeight="1">
      <c r="A114" s="353"/>
      <c r="B114" s="6" t="s">
        <v>147</v>
      </c>
      <c r="C114" s="353"/>
      <c r="D114" s="325"/>
      <c r="F114" s="325"/>
      <c r="H114" s="325"/>
      <c r="J114" s="325"/>
      <c r="L114" s="325"/>
      <c r="N114" s="325"/>
      <c r="P114" s="325"/>
      <c r="R114" s="325"/>
      <c r="T114" s="325"/>
      <c r="V114" s="325"/>
      <c r="X114" s="325"/>
      <c r="Z114" s="325"/>
      <c r="AA114" s="325"/>
      <c r="AB114" s="325"/>
      <c r="AC114" s="647"/>
      <c r="AD114" s="325"/>
      <c r="AE114" s="325"/>
      <c r="AF114" s="647"/>
      <c r="AG114" s="325"/>
      <c r="AH114" s="643"/>
      <c r="AI114" s="325"/>
      <c r="AJ114" s="325"/>
      <c r="AK114" s="466"/>
      <c r="AL114" s="344"/>
      <c r="AM114" s="513"/>
      <c r="AN114" s="513"/>
      <c r="AO114" s="513"/>
      <c r="AP114" s="513"/>
      <c r="AQ114" s="513"/>
      <c r="AR114" s="513"/>
      <c r="AS114" s="513"/>
      <c r="AT114" s="466"/>
      <c r="AU114" s="466"/>
      <c r="AV114" s="466"/>
      <c r="AW114" s="466"/>
    </row>
    <row r="115" spans="1:49" s="1728" customFormat="1" ht="15" customHeight="1">
      <c r="A115" s="474"/>
      <c r="B115" s="1985" t="s">
        <v>547</v>
      </c>
      <c r="C115" s="1985"/>
      <c r="D115" s="1993">
        <f>+'Exhibit G State'!D113+'Exhibit G Federal'!D85</f>
        <v>310</v>
      </c>
      <c r="E115" s="1993"/>
      <c r="F115" s="1993">
        <f>+'Exhibit G State'!F113+'Exhibit G Federal'!F85</f>
        <v>859.09999999999991</v>
      </c>
      <c r="G115" s="1993"/>
      <c r="H115" s="1993">
        <f>+'Exhibit G State'!H113+'Exhibit G Federal'!H85</f>
        <v>441.20000000000005</v>
      </c>
      <c r="I115" s="1731"/>
      <c r="J115" s="1993">
        <f>+'Exhibit G State'!J113+'Exhibit G Federal'!J85</f>
        <v>342</v>
      </c>
      <c r="K115" s="1730"/>
      <c r="L115" s="1993">
        <f>+'Exhibit G State'!L113+'Exhibit G Federal'!L85</f>
        <v>144.20000000000005</v>
      </c>
      <c r="M115" s="1730"/>
      <c r="N115" s="1993">
        <f>+'Exhibit G State'!N113+'Exhibit G Federal'!N85</f>
        <v>94.5</v>
      </c>
      <c r="O115" s="1730"/>
      <c r="P115" s="1993">
        <f>+'Exhibit G State'!P113+'Exhibit G Federal'!P85</f>
        <v>111.9</v>
      </c>
      <c r="Q115" s="1730"/>
      <c r="R115" s="348">
        <f>'Exhibit G State'!R113+'Exhibit G Federal'!R85</f>
        <v>324.60000000000002</v>
      </c>
      <c r="S115" s="1731"/>
      <c r="T115" s="1731"/>
      <c r="U115" s="1732"/>
      <c r="V115" s="1731"/>
      <c r="W115" s="1731"/>
      <c r="X115" s="1731"/>
      <c r="Y115" s="1731"/>
      <c r="Z115" s="1731"/>
      <c r="AA115" s="1733"/>
      <c r="AB115" s="1921">
        <v>-420.6</v>
      </c>
      <c r="AC115" s="1734"/>
      <c r="AD115" s="1922">
        <f>ROUND(SUM(D115:AB115),1)</f>
        <v>2206.9</v>
      </c>
      <c r="AE115" s="776"/>
      <c r="AF115" s="1734"/>
      <c r="AG115" s="1973">
        <f>'Exhibit G State'!AG113+'Exhibit G Federal'!AG85-436.2</f>
        <v>2483.9</v>
      </c>
      <c r="AH115" s="1736"/>
      <c r="AI115" s="776"/>
      <c r="AJ115" s="1200">
        <f>ROUND(SUM(+AD115-AG115),1)</f>
        <v>-277</v>
      </c>
      <c r="AK115" s="1737"/>
      <c r="AL115" s="327">
        <f>ROUND(IF(AG115=0,0,AJ115/ABS(AG115)),3)</f>
        <v>-0.112</v>
      </c>
      <c r="AM115" s="513"/>
      <c r="AN115" s="513"/>
      <c r="AO115" s="513"/>
      <c r="AP115" s="513"/>
      <c r="AQ115" s="513"/>
      <c r="AR115" s="513"/>
      <c r="AS115" s="513"/>
    </row>
    <row r="116" spans="1:49" ht="15" customHeight="1">
      <c r="A116" s="353"/>
      <c r="B116" s="353" t="s">
        <v>548</v>
      </c>
      <c r="C116" s="353"/>
      <c r="D116" s="1535">
        <f>+'Exhibit G State'!D114+'Exhibit G Federal'!D86</f>
        <v>-99.7</v>
      </c>
      <c r="E116" s="1535"/>
      <c r="F116" s="1535">
        <f>+'Exhibit G State'!F114+'Exhibit G Federal'!F86</f>
        <v>-419.1</v>
      </c>
      <c r="G116" s="1535"/>
      <c r="H116" s="1535">
        <f>+'Exhibit G State'!H114+'Exhibit G Federal'!H86</f>
        <v>-177.3</v>
      </c>
      <c r="J116" s="1535">
        <f>+'Exhibit G State'!J114+'Exhibit G Federal'!J86</f>
        <v>-52.399999999999977</v>
      </c>
      <c r="L116" s="1535">
        <f>+'Exhibit G State'!L114+'Exhibit G Federal'!L86</f>
        <v>-192.8</v>
      </c>
      <c r="N116" s="1535">
        <f>+'Exhibit G State'!N114+'Exhibit G Federal'!N86</f>
        <v>-118.29999999999998</v>
      </c>
      <c r="P116" s="1535">
        <f>+'Exhibit G State'!P114+'Exhibit G Federal'!P86</f>
        <v>-192.80000000000013</v>
      </c>
      <c r="R116" s="348">
        <f>'Exhibit G State'!R114+'Exhibit G Federal'!R86</f>
        <v>-441.4</v>
      </c>
      <c r="S116" s="1535"/>
      <c r="T116" s="1535"/>
      <c r="U116" s="1536"/>
      <c r="V116" s="1535"/>
      <c r="W116" s="1535"/>
      <c r="X116" s="1535"/>
      <c r="Y116" s="1535"/>
      <c r="Z116" s="1535"/>
      <c r="AA116" s="350"/>
      <c r="AB116" s="1696">
        <v>420.6</v>
      </c>
      <c r="AC116" s="647"/>
      <c r="AD116" s="325">
        <f>ROUND(SUM(D116:AB116),1)</f>
        <v>-1273.2</v>
      </c>
      <c r="AE116" s="325"/>
      <c r="AF116" s="647"/>
      <c r="AG116" s="348">
        <f>'Exhibit G State'!AG114+'Exhibit G Federal'!AG86+436.2</f>
        <v>-1048.9999999999998</v>
      </c>
      <c r="AH116" s="643"/>
      <c r="AI116" s="325"/>
      <c r="AJ116" s="325">
        <f>ROUND(SUM(+AD116-AG116)*-1,1)</f>
        <v>224.2</v>
      </c>
      <c r="AK116" s="14"/>
      <c r="AL116" s="327">
        <f>ROUND(IF(AG116=0,0,AJ116/ABS(AG116)),3)</f>
        <v>0.214</v>
      </c>
      <c r="AM116" s="513"/>
      <c r="AN116" s="513"/>
      <c r="AO116" s="513"/>
      <c r="AP116" s="513"/>
      <c r="AQ116" s="513"/>
      <c r="AR116" s="513"/>
      <c r="AS116" s="513"/>
      <c r="AT116" s="466"/>
      <c r="AU116" s="466"/>
      <c r="AV116" s="466"/>
      <c r="AW116" s="466"/>
    </row>
    <row r="117" spans="1:49" ht="15" customHeight="1">
      <c r="A117" s="353"/>
      <c r="B117" s="353"/>
      <c r="C117" s="353"/>
      <c r="D117" s="783"/>
      <c r="F117" s="783"/>
      <c r="H117" s="783"/>
      <c r="J117" s="783"/>
      <c r="L117" s="783"/>
      <c r="N117" s="783"/>
      <c r="P117" s="783"/>
      <c r="R117" s="783"/>
      <c r="T117" s="783"/>
      <c r="V117" s="783"/>
      <c r="X117" s="783"/>
      <c r="Z117" s="783"/>
      <c r="AA117" s="325"/>
      <c r="AB117" s="325"/>
      <c r="AC117" s="647"/>
      <c r="AD117" s="783"/>
      <c r="AE117" s="325"/>
      <c r="AF117" s="647"/>
      <c r="AG117" s="783"/>
      <c r="AH117" s="643"/>
      <c r="AI117" s="325"/>
      <c r="AJ117" s="1533"/>
      <c r="AK117" s="466"/>
      <c r="AL117" s="1534"/>
      <c r="AM117" s="513"/>
      <c r="AN117" s="513"/>
      <c r="AO117" s="513"/>
      <c r="AP117" s="513"/>
      <c r="AQ117" s="513"/>
      <c r="AR117" s="513"/>
      <c r="AS117" s="513"/>
      <c r="AT117" s="466"/>
      <c r="AU117" s="466"/>
      <c r="AV117" s="466"/>
      <c r="AW117" s="466"/>
    </row>
    <row r="118" spans="1:49" ht="15" customHeight="1">
      <c r="A118" s="353"/>
      <c r="B118" s="6" t="s">
        <v>549</v>
      </c>
      <c r="C118" s="353"/>
      <c r="D118" s="16">
        <f>ROUND(SUM(D115:D116),1)</f>
        <v>210.3</v>
      </c>
      <c r="F118" s="16">
        <f>ROUND(SUM(F115:F116),1)</f>
        <v>440</v>
      </c>
      <c r="H118" s="16">
        <f>ROUND(SUM(H115:H116),1)</f>
        <v>263.89999999999998</v>
      </c>
      <c r="J118" s="16">
        <f>ROUND(SUM(J115:J116),1)</f>
        <v>289.60000000000002</v>
      </c>
      <c r="L118" s="16">
        <f>ROUND(SUM(L115:L116),1)</f>
        <v>-48.6</v>
      </c>
      <c r="N118" s="16">
        <f>ROUND(SUM(N115:N116),1)</f>
        <v>-23.8</v>
      </c>
      <c r="P118" s="16">
        <f>ROUND(SUM(P115:P116),1)</f>
        <v>-80.900000000000006</v>
      </c>
      <c r="R118" s="16">
        <f>ROUND(SUM(R115:R116),1)</f>
        <v>-116.8</v>
      </c>
      <c r="T118" s="16">
        <f>ROUND(SUM(T115:T116),1)</f>
        <v>0</v>
      </c>
      <c r="V118" s="16">
        <f>ROUND(SUM(V115:V116),1)</f>
        <v>0</v>
      </c>
      <c r="X118" s="16">
        <f>ROUND(SUM(X115:X116),1)</f>
        <v>0</v>
      </c>
      <c r="Z118" s="16">
        <f>ROUND(SUM(Z115:Z116),1)</f>
        <v>0</v>
      </c>
      <c r="AA118" s="16"/>
      <c r="AB118" s="963">
        <f>ROUND(SUM(AB115:AB116),1)</f>
        <v>0</v>
      </c>
      <c r="AC118" s="18"/>
      <c r="AD118" s="16">
        <f>ROUND(SUM(AD115:AD116),1)</f>
        <v>933.7</v>
      </c>
      <c r="AE118" s="16"/>
      <c r="AF118" s="18"/>
      <c r="AG118" s="16">
        <f>ROUND(SUM(AG115:AG116),1)</f>
        <v>1434.9</v>
      </c>
      <c r="AH118" s="108"/>
      <c r="AI118" s="16"/>
      <c r="AJ118" s="434">
        <f>ROUND(SUM(AD118-AG118),1)</f>
        <v>-501.2</v>
      </c>
      <c r="AK118" s="51"/>
      <c r="AL118" s="470">
        <f>ROUND(SUM(+AJ118/AG118),3)</f>
        <v>-0.34899999999999998</v>
      </c>
      <c r="AM118" s="513"/>
      <c r="AN118" s="513"/>
      <c r="AO118" s="513"/>
      <c r="AP118" s="513"/>
      <c r="AQ118" s="513"/>
      <c r="AR118" s="513"/>
      <c r="AS118" s="513"/>
      <c r="AT118" s="466"/>
      <c r="AU118" s="466"/>
      <c r="AV118" s="466"/>
      <c r="AW118" s="466"/>
    </row>
    <row r="119" spans="1:49" ht="15" customHeight="1">
      <c r="A119" s="353"/>
      <c r="B119" s="353"/>
      <c r="C119" s="353"/>
      <c r="D119" s="783"/>
      <c r="F119" s="783"/>
      <c r="H119" s="783"/>
      <c r="J119" s="783"/>
      <c r="L119" s="783"/>
      <c r="N119" s="783"/>
      <c r="P119" s="783"/>
      <c r="R119" s="783"/>
      <c r="T119" s="783"/>
      <c r="V119" s="783"/>
      <c r="X119" s="783"/>
      <c r="Z119" s="783"/>
      <c r="AA119" s="325"/>
      <c r="AB119" s="325"/>
      <c r="AC119" s="647"/>
      <c r="AD119" s="783"/>
      <c r="AE119" s="325"/>
      <c r="AF119" s="647"/>
      <c r="AG119" s="783"/>
      <c r="AH119" s="643"/>
      <c r="AI119" s="325"/>
      <c r="AJ119" s="325"/>
      <c r="AK119" s="466"/>
      <c r="AL119" s="344"/>
      <c r="AM119" s="513"/>
      <c r="AN119" s="513"/>
      <c r="AO119" s="513"/>
      <c r="AP119" s="513"/>
      <c r="AQ119" s="513"/>
      <c r="AR119" s="513"/>
      <c r="AS119" s="513"/>
      <c r="AT119" s="466"/>
      <c r="AU119" s="466"/>
      <c r="AV119" s="466"/>
      <c r="AW119" s="466"/>
    </row>
    <row r="120" spans="1:49" ht="15" customHeight="1">
      <c r="A120" s="353"/>
      <c r="B120" s="6" t="s">
        <v>499</v>
      </c>
      <c r="C120" s="353"/>
      <c r="D120" s="325"/>
      <c r="F120" s="325"/>
      <c r="H120" s="325"/>
      <c r="J120" s="325"/>
      <c r="L120" s="325"/>
      <c r="N120" s="325"/>
      <c r="P120" s="325"/>
      <c r="R120" s="325"/>
      <c r="T120" s="325"/>
      <c r="V120" s="325"/>
      <c r="X120" s="325"/>
      <c r="Z120" s="325"/>
      <c r="AA120" s="325"/>
      <c r="AB120" s="325"/>
      <c r="AC120" s="647"/>
      <c r="AD120" s="325"/>
      <c r="AE120" s="325"/>
      <c r="AF120" s="647"/>
      <c r="AG120" s="325"/>
      <c r="AH120" s="643"/>
      <c r="AI120" s="325"/>
      <c r="AJ120" s="325"/>
      <c r="AK120" s="466"/>
      <c r="AL120" s="344"/>
      <c r="AM120" s="513"/>
      <c r="AN120" s="513"/>
      <c r="AO120" s="513"/>
      <c r="AP120" s="513"/>
      <c r="AQ120" s="513"/>
      <c r="AR120" s="513"/>
      <c r="AS120" s="513"/>
      <c r="AT120" s="466"/>
      <c r="AU120" s="466"/>
      <c r="AV120" s="466"/>
      <c r="AW120" s="466"/>
    </row>
    <row r="121" spans="1:49" ht="15" customHeight="1">
      <c r="A121" s="353"/>
      <c r="B121" s="6" t="s">
        <v>500</v>
      </c>
      <c r="C121" s="353"/>
      <c r="D121" s="325"/>
      <c r="F121" s="325"/>
      <c r="H121" s="325"/>
      <c r="J121" s="325"/>
      <c r="L121" s="325"/>
      <c r="N121" s="325"/>
      <c r="P121" s="325"/>
      <c r="R121" s="325"/>
      <c r="T121" s="325"/>
      <c r="V121" s="325"/>
      <c r="X121" s="325"/>
      <c r="Z121" s="325"/>
      <c r="AA121" s="325"/>
      <c r="AB121" s="325"/>
      <c r="AC121" s="647"/>
      <c r="AD121" s="325"/>
      <c r="AE121" s="325"/>
      <c r="AF121" s="647"/>
      <c r="AG121" s="325"/>
      <c r="AH121" s="643"/>
      <c r="AI121" s="325"/>
      <c r="AJ121" s="325"/>
      <c r="AK121" s="466"/>
      <c r="AL121" s="344"/>
      <c r="AM121" s="513"/>
      <c r="AN121" s="513"/>
      <c r="AO121" s="513"/>
      <c r="AP121" s="513"/>
      <c r="AQ121" s="513"/>
      <c r="AR121" s="513"/>
      <c r="AS121" s="513"/>
      <c r="AT121" s="466"/>
      <c r="AU121" s="466"/>
      <c r="AV121" s="466"/>
      <c r="AW121" s="466"/>
    </row>
    <row r="122" spans="1:49" ht="15" customHeight="1">
      <c r="A122" s="353"/>
      <c r="B122" s="6" t="s">
        <v>550</v>
      </c>
      <c r="C122" s="353"/>
      <c r="D122" s="16">
        <f>ROUND(SUM(D112+D118),1)</f>
        <v>2374.9</v>
      </c>
      <c r="F122" s="16">
        <f>ROUND(SUM(F112+F118),1)</f>
        <v>-2579.4</v>
      </c>
      <c r="H122" s="16">
        <f>ROUND(SUM(H112+H118),1)</f>
        <v>4417.2</v>
      </c>
      <c r="J122" s="16">
        <f>ROUND(SUM(J112+J118),1)</f>
        <v>695.4</v>
      </c>
      <c r="L122" s="16">
        <f>ROUND(SUM(L112+L118),1)</f>
        <v>-695.5</v>
      </c>
      <c r="N122" s="16">
        <f>ROUND(SUM(N112+N118),1)</f>
        <v>-1143.2</v>
      </c>
      <c r="P122" s="16">
        <f>ROUND(SUM(P112+P118),1)</f>
        <v>-822.6</v>
      </c>
      <c r="R122" s="16">
        <f>ROUND(SUM(R112+R118),1)</f>
        <v>-1621.1</v>
      </c>
      <c r="T122" s="16"/>
      <c r="V122" s="16"/>
      <c r="X122" s="16"/>
      <c r="Z122" s="16"/>
      <c r="AA122" s="16"/>
      <c r="AB122" s="963">
        <f>ROUND(SUM(AB112+AB118),1)</f>
        <v>0</v>
      </c>
      <c r="AC122" s="18"/>
      <c r="AD122" s="16">
        <f>ROUND(SUM(AD112+AD118),1)</f>
        <v>625.70000000000005</v>
      </c>
      <c r="AE122" s="16"/>
      <c r="AF122" s="18"/>
      <c r="AG122" s="16">
        <f>ROUND(SUM(AG112+AG118),1)</f>
        <v>783.5</v>
      </c>
      <c r="AH122" s="108"/>
      <c r="AI122" s="16"/>
      <c r="AJ122" s="434">
        <f>ROUND(SUM(AD122-AG122),1)</f>
        <v>-157.80000000000001</v>
      </c>
      <c r="AK122" s="72"/>
      <c r="AL122" s="779">
        <f>ROUND(SUM(AJ122/ABS(AG122)),3)</f>
        <v>-0.20100000000000001</v>
      </c>
      <c r="AM122" s="513"/>
      <c r="AN122" s="513"/>
      <c r="AO122" s="513"/>
      <c r="AP122" s="513"/>
      <c r="AQ122" s="513"/>
      <c r="AR122" s="513"/>
      <c r="AS122" s="513"/>
      <c r="AT122" s="466"/>
      <c r="AU122" s="466"/>
      <c r="AV122" s="466"/>
      <c r="AW122" s="466"/>
    </row>
    <row r="123" spans="1:49" ht="15" customHeight="1">
      <c r="A123" s="353"/>
      <c r="B123" s="353"/>
      <c r="C123" s="353"/>
      <c r="D123" s="1443"/>
      <c r="F123" s="1443"/>
      <c r="H123" s="1443"/>
      <c r="J123" s="1443"/>
      <c r="L123" s="1443"/>
      <c r="N123" s="1443"/>
      <c r="P123" s="1443"/>
      <c r="R123" s="1443"/>
      <c r="T123" s="1443"/>
      <c r="V123" s="1443"/>
      <c r="X123" s="1443"/>
      <c r="Z123" s="1443"/>
      <c r="AA123" s="466"/>
      <c r="AB123" s="466"/>
      <c r="AC123" s="1528"/>
      <c r="AD123" s="1443"/>
      <c r="AE123" s="466"/>
      <c r="AF123" s="1528"/>
      <c r="AG123" s="1443"/>
      <c r="AH123" s="1529"/>
      <c r="AI123" s="466"/>
      <c r="AJ123" s="466"/>
      <c r="AK123" s="466"/>
      <c r="AL123" s="344"/>
      <c r="AM123" s="513"/>
      <c r="AN123" s="513"/>
      <c r="AO123" s="513"/>
      <c r="AP123" s="513"/>
      <c r="AQ123" s="513"/>
      <c r="AR123" s="513"/>
      <c r="AS123" s="513"/>
      <c r="AT123" s="466"/>
      <c r="AU123" s="466"/>
      <c r="AV123" s="466"/>
      <c r="AW123" s="466"/>
    </row>
    <row r="124" spans="1:49" ht="15" customHeight="1" thickBot="1">
      <c r="A124" s="353"/>
      <c r="B124" s="6" t="s">
        <v>551</v>
      </c>
      <c r="C124" s="353"/>
      <c r="D124" s="26">
        <f>ROUND(SUM(D13+D122),1)</f>
        <v>26315.1</v>
      </c>
      <c r="F124" s="26">
        <f>ROUND(SUM(F13+F122),1)</f>
        <v>23735.7</v>
      </c>
      <c r="H124" s="26">
        <f>ROUND(SUM(H13+H122),1)</f>
        <v>28152.9</v>
      </c>
      <c r="J124" s="26">
        <f>ROUND(SUM(J13+J122),1)</f>
        <v>28848.3</v>
      </c>
      <c r="L124" s="26">
        <f>ROUND(SUM(L13+L122),1)</f>
        <v>28152.799999999999</v>
      </c>
      <c r="N124" s="26">
        <f>ROUND(SUM(N13+N122),1)</f>
        <v>27009.599999999999</v>
      </c>
      <c r="P124" s="26">
        <f>ROUND(SUM(P13+P122),1)</f>
        <v>26187</v>
      </c>
      <c r="R124" s="26">
        <f>ROUND(SUM(R13+R122),1)</f>
        <v>24565.9</v>
      </c>
      <c r="T124" s="26">
        <f>ROUND(SUM(T13+T122),1)</f>
        <v>0</v>
      </c>
      <c r="V124" s="26">
        <f>ROUND(SUM(V13+V122),1)</f>
        <v>0</v>
      </c>
      <c r="X124" s="26">
        <f>ROUND(SUM(X13+X122),1)</f>
        <v>0</v>
      </c>
      <c r="Z124" s="26">
        <f>ROUND(SUM(Z13+Z122),1)</f>
        <v>0</v>
      </c>
      <c r="AA124" s="26"/>
      <c r="AB124" s="964">
        <f>ROUND(SUM(AB13+AB122),1)</f>
        <v>0</v>
      </c>
      <c r="AC124" s="27"/>
      <c r="AD124" s="26">
        <f>ROUND(SUM(AD13+AD122),1)</f>
        <v>24565.9</v>
      </c>
      <c r="AE124" s="26"/>
      <c r="AF124" s="27"/>
      <c r="AG124" s="102">
        <f>ROUND(SUM(AG13+AG122),1)</f>
        <v>22721.7</v>
      </c>
      <c r="AH124" s="106"/>
      <c r="AI124" s="26"/>
      <c r="AJ124" s="102">
        <f>ROUND(SUM(AD124-AG124),1)</f>
        <v>1844.2</v>
      </c>
      <c r="AK124" s="56"/>
      <c r="AL124" s="110">
        <f>ROUND(SUM(+AJ124/AG124),3)</f>
        <v>8.1000000000000003E-2</v>
      </c>
      <c r="AM124" s="513"/>
      <c r="AN124" s="513"/>
      <c r="AO124" s="513"/>
      <c r="AP124" s="513"/>
      <c r="AQ124" s="513"/>
      <c r="AR124" s="513"/>
      <c r="AS124" s="513"/>
      <c r="AT124" s="513"/>
      <c r="AU124" s="513"/>
      <c r="AV124" s="513"/>
      <c r="AW124" s="513"/>
    </row>
    <row r="125" spans="1:49" ht="15" customHeight="1" thickTop="1">
      <c r="A125" s="353"/>
      <c r="B125" s="353"/>
      <c r="C125" s="353"/>
      <c r="D125" s="1537"/>
      <c r="F125" s="1537"/>
      <c r="H125" s="1537"/>
      <c r="J125" s="1537"/>
      <c r="L125" s="1537"/>
      <c r="N125" s="1537"/>
      <c r="P125" s="1537"/>
      <c r="R125" s="1537"/>
      <c r="T125" s="1537"/>
      <c r="V125" s="1537"/>
      <c r="X125" s="1537"/>
      <c r="Z125" s="1537"/>
      <c r="AA125" s="513"/>
      <c r="AB125" s="513"/>
      <c r="AC125" s="513"/>
      <c r="AD125" s="1537"/>
      <c r="AE125" s="513"/>
      <c r="AF125" s="513"/>
      <c r="AG125" s="513"/>
      <c r="AH125" s="513"/>
      <c r="AI125" s="513"/>
      <c r="AJ125" s="513"/>
      <c r="AK125" s="513"/>
      <c r="AL125" s="344"/>
      <c r="AM125" s="513"/>
      <c r="AN125" s="513"/>
      <c r="AO125" s="513"/>
      <c r="AP125" s="513"/>
      <c r="AQ125" s="513"/>
      <c r="AR125" s="513"/>
      <c r="AS125" s="513"/>
      <c r="AT125" s="513"/>
      <c r="AU125" s="513"/>
      <c r="AV125" s="513"/>
      <c r="AW125" s="513"/>
    </row>
    <row r="126" spans="1:49" ht="15" customHeight="1">
      <c r="A126" s="353"/>
      <c r="B126" s="353"/>
      <c r="C126" s="353"/>
      <c r="D126" s="513"/>
      <c r="F126" s="513"/>
      <c r="H126" s="513"/>
      <c r="J126" s="513"/>
      <c r="L126" s="513"/>
      <c r="N126" s="513"/>
      <c r="P126" s="513"/>
      <c r="R126" s="513"/>
      <c r="T126" s="513"/>
      <c r="V126" s="513"/>
      <c r="X126" s="513"/>
      <c r="Z126" s="513"/>
      <c r="AA126" s="513"/>
      <c r="AB126" s="513" t="s">
        <v>104</v>
      </c>
      <c r="AC126" s="513"/>
      <c r="AD126" s="513"/>
      <c r="AE126" s="513"/>
      <c r="AF126" s="513"/>
      <c r="AG126" s="513"/>
      <c r="AH126" s="513"/>
      <c r="AI126" s="513"/>
      <c r="AJ126" s="513"/>
      <c r="AK126" s="513"/>
      <c r="AL126" s="344"/>
      <c r="AM126" s="513"/>
      <c r="AN126" s="513"/>
      <c r="AO126" s="513"/>
      <c r="AP126" s="513"/>
      <c r="AQ126" s="513"/>
      <c r="AR126" s="513"/>
      <c r="AS126" s="513"/>
      <c r="AT126" s="513"/>
      <c r="AU126" s="513"/>
      <c r="AV126" s="513"/>
      <c r="AW126" s="513"/>
    </row>
    <row r="127" spans="1:49" ht="15" customHeight="1">
      <c r="A127" s="466"/>
      <c r="B127" s="466" t="s">
        <v>552</v>
      </c>
      <c r="C127" s="466"/>
      <c r="D127" s="513"/>
      <c r="F127" s="513"/>
      <c r="H127" s="513"/>
      <c r="J127" s="513"/>
      <c r="L127" s="513"/>
      <c r="N127" s="513"/>
      <c r="P127" s="513"/>
      <c r="R127" s="513"/>
      <c r="T127" s="513"/>
      <c r="V127" s="513"/>
      <c r="X127" s="513"/>
      <c r="Z127" s="513"/>
      <c r="AA127" s="513"/>
      <c r="AB127" s="513" t="s">
        <v>104</v>
      </c>
      <c r="AC127" s="513"/>
      <c r="AD127" s="513"/>
      <c r="AE127" s="513"/>
      <c r="AF127" s="513"/>
      <c r="AG127" s="513"/>
      <c r="AH127" s="513"/>
      <c r="AI127" s="513"/>
      <c r="AJ127" s="513"/>
      <c r="AK127" s="513"/>
      <c r="AL127" s="344"/>
      <c r="AM127" s="513"/>
      <c r="AN127" s="513"/>
      <c r="AO127" s="513"/>
      <c r="AP127" s="513"/>
      <c r="AQ127" s="513"/>
      <c r="AR127" s="513"/>
      <c r="AS127" s="513"/>
      <c r="AT127" s="513"/>
      <c r="AU127" s="513"/>
      <c r="AV127" s="513"/>
      <c r="AW127" s="513"/>
    </row>
    <row r="128" spans="1:49" ht="15" customHeight="1">
      <c r="A128" s="466"/>
      <c r="B128" s="73"/>
      <c r="C128" s="466"/>
      <c r="D128" s="513"/>
      <c r="F128" s="513"/>
      <c r="H128" s="513"/>
      <c r="J128" s="513"/>
      <c r="L128" s="513"/>
      <c r="N128" s="513"/>
      <c r="P128" s="513"/>
      <c r="R128" s="513"/>
      <c r="T128" s="513"/>
      <c r="V128" s="513"/>
      <c r="X128" s="513"/>
      <c r="Z128" s="513"/>
      <c r="AA128" s="513"/>
      <c r="AB128" s="513"/>
      <c r="AC128" s="513"/>
      <c r="AD128" s="513"/>
      <c r="AE128" s="513"/>
      <c r="AF128" s="513"/>
      <c r="AG128" s="513"/>
      <c r="AH128" s="513"/>
      <c r="AI128" s="513"/>
      <c r="AJ128" s="513"/>
      <c r="AK128" s="513"/>
      <c r="AL128" s="344"/>
      <c r="AM128" s="513"/>
      <c r="AN128" s="513"/>
      <c r="AO128" s="513"/>
      <c r="AP128" s="513"/>
      <c r="AQ128" s="513"/>
      <c r="AR128" s="513"/>
      <c r="AS128" s="513"/>
      <c r="AT128" s="513"/>
      <c r="AU128" s="513"/>
      <c r="AV128" s="513"/>
      <c r="AW128" s="513"/>
    </row>
    <row r="129" spans="8:38" ht="15" customHeight="1">
      <c r="H129" s="466"/>
      <c r="J129" s="466"/>
      <c r="L129" s="466"/>
      <c r="N129" s="466"/>
      <c r="P129" s="466"/>
      <c r="R129" s="466"/>
      <c r="T129" s="466"/>
      <c r="V129" s="466"/>
      <c r="X129" s="466"/>
      <c r="Z129" s="466"/>
      <c r="AA129" s="466"/>
      <c r="AB129" s="466"/>
      <c r="AC129" s="466"/>
      <c r="AD129" s="466"/>
      <c r="AE129" s="466"/>
      <c r="AF129" s="466"/>
      <c r="AG129" s="466"/>
      <c r="AH129" s="466"/>
      <c r="AI129" s="466"/>
      <c r="AJ129" s="466"/>
      <c r="AK129" s="466"/>
      <c r="AL129" s="344"/>
    </row>
    <row r="130" spans="8:38" ht="15" customHeight="1">
      <c r="H130" s="466"/>
      <c r="J130" s="466"/>
      <c r="L130" s="466"/>
      <c r="N130" s="466"/>
      <c r="P130" s="466"/>
      <c r="R130" s="466"/>
      <c r="T130" s="466"/>
      <c r="V130" s="466"/>
      <c r="X130" s="466"/>
      <c r="Z130" s="466"/>
      <c r="AA130" s="466"/>
      <c r="AB130" s="466"/>
      <c r="AC130" s="466"/>
      <c r="AD130" s="466"/>
      <c r="AE130" s="466"/>
      <c r="AF130" s="466"/>
      <c r="AG130" s="466"/>
      <c r="AH130" s="466"/>
      <c r="AI130" s="466"/>
      <c r="AJ130" s="466"/>
      <c r="AK130" s="466"/>
      <c r="AL130" s="344"/>
    </row>
    <row r="131" spans="8:38" ht="15" customHeight="1">
      <c r="H131" s="466"/>
      <c r="J131" s="466"/>
      <c r="L131" s="466"/>
      <c r="N131" s="466"/>
      <c r="P131" s="466"/>
      <c r="R131" s="466"/>
      <c r="T131" s="466"/>
      <c r="V131" s="466"/>
      <c r="X131" s="466"/>
      <c r="Z131" s="466"/>
      <c r="AA131" s="466"/>
      <c r="AB131" s="466"/>
      <c r="AC131" s="466"/>
      <c r="AD131" s="466"/>
      <c r="AE131" s="466"/>
      <c r="AF131" s="466"/>
      <c r="AG131" s="466"/>
      <c r="AH131" s="466"/>
      <c r="AI131" s="466"/>
      <c r="AJ131" s="466"/>
      <c r="AK131" s="466"/>
      <c r="AL131" s="344"/>
    </row>
    <row r="132" spans="8:38" ht="15" customHeight="1">
      <c r="H132" s="466" t="s">
        <v>104</v>
      </c>
      <c r="J132" s="466"/>
      <c r="L132" s="466"/>
      <c r="N132" s="466"/>
      <c r="P132" s="466"/>
      <c r="R132" s="466"/>
      <c r="T132" s="466"/>
      <c r="V132" s="466"/>
      <c r="X132" s="466"/>
      <c r="Z132" s="466"/>
      <c r="AA132" s="466"/>
      <c r="AB132" s="466"/>
      <c r="AC132" s="466"/>
      <c r="AD132" s="466"/>
      <c r="AE132" s="466"/>
      <c r="AF132" s="466"/>
      <c r="AG132" s="466"/>
      <c r="AH132" s="466"/>
      <c r="AI132" s="466"/>
      <c r="AJ132" s="466"/>
      <c r="AK132" s="466"/>
      <c r="AL132" s="344"/>
    </row>
    <row r="133" spans="8:38" ht="15" customHeight="1">
      <c r="H133" s="466" t="s">
        <v>104</v>
      </c>
      <c r="J133" s="466"/>
      <c r="L133" s="466"/>
      <c r="N133" s="466"/>
      <c r="P133" s="466"/>
      <c r="R133" s="466"/>
      <c r="T133" s="466"/>
      <c r="V133" s="466"/>
      <c r="X133" s="466"/>
      <c r="Z133" s="466"/>
      <c r="AA133" s="466"/>
      <c r="AB133" s="466"/>
      <c r="AC133" s="466"/>
      <c r="AD133" s="466"/>
      <c r="AE133" s="466"/>
      <c r="AF133" s="466"/>
      <c r="AG133" s="466"/>
      <c r="AH133" s="466"/>
      <c r="AI133" s="466"/>
      <c r="AJ133" s="466"/>
      <c r="AK133" s="466"/>
      <c r="AL133" s="344"/>
    </row>
    <row r="134" spans="8:38" ht="15" customHeight="1">
      <c r="H134" s="466"/>
      <c r="J134" s="466"/>
      <c r="L134" s="466"/>
      <c r="N134" s="466"/>
      <c r="P134" s="466"/>
      <c r="R134" s="466"/>
      <c r="T134" s="466"/>
      <c r="V134" s="466"/>
      <c r="X134" s="466"/>
      <c r="Z134" s="466"/>
      <c r="AA134" s="466"/>
      <c r="AB134" s="466"/>
      <c r="AC134" s="466"/>
      <c r="AD134" s="466"/>
      <c r="AE134" s="466"/>
      <c r="AF134" s="466"/>
      <c r="AG134" s="466"/>
      <c r="AH134" s="466"/>
      <c r="AI134" s="466"/>
      <c r="AJ134" s="466"/>
      <c r="AK134" s="466"/>
      <c r="AL134" s="344"/>
    </row>
    <row r="135" spans="8:38" ht="15" customHeight="1">
      <c r="H135" s="466"/>
      <c r="J135" s="466"/>
      <c r="L135" s="466"/>
      <c r="N135" s="466"/>
      <c r="P135" s="466"/>
      <c r="R135" s="466"/>
      <c r="T135" s="466"/>
      <c r="V135" s="466"/>
      <c r="X135" s="466"/>
      <c r="Z135" s="466"/>
      <c r="AA135" s="466"/>
      <c r="AB135" s="466"/>
      <c r="AC135" s="466"/>
      <c r="AD135" s="466"/>
      <c r="AE135" s="466"/>
      <c r="AF135" s="466"/>
      <c r="AG135" s="466"/>
      <c r="AH135" s="466"/>
      <c r="AI135" s="466"/>
      <c r="AJ135" s="466"/>
      <c r="AK135" s="466"/>
      <c r="AL135" s="344"/>
    </row>
    <row r="136" spans="8:38" ht="15" customHeight="1">
      <c r="H136" s="466"/>
      <c r="J136" s="466"/>
      <c r="L136" s="466"/>
      <c r="N136" s="466"/>
      <c r="P136" s="466"/>
      <c r="R136" s="466"/>
      <c r="T136" s="466"/>
      <c r="V136" s="466"/>
      <c r="X136" s="466"/>
      <c r="Z136" s="466"/>
      <c r="AA136" s="466"/>
      <c r="AB136" s="466"/>
      <c r="AC136" s="466"/>
      <c r="AD136" s="466"/>
      <c r="AE136" s="466"/>
      <c r="AF136" s="466"/>
      <c r="AG136" s="466"/>
      <c r="AH136" s="466"/>
      <c r="AI136" s="466"/>
      <c r="AJ136" s="466"/>
      <c r="AK136" s="466"/>
      <c r="AL136" s="344"/>
    </row>
    <row r="137" spans="8:38" ht="15" customHeight="1">
      <c r="H137" s="466"/>
      <c r="J137" s="466"/>
      <c r="L137" s="466"/>
      <c r="N137" s="466"/>
      <c r="P137" s="466"/>
      <c r="R137" s="466"/>
      <c r="T137" s="466"/>
      <c r="V137" s="466"/>
      <c r="X137" s="466"/>
      <c r="Z137" s="466"/>
      <c r="AA137" s="466"/>
      <c r="AB137" s="466"/>
      <c r="AC137" s="466"/>
      <c r="AD137" s="466"/>
      <c r="AE137" s="466"/>
      <c r="AF137" s="466"/>
      <c r="AG137" s="466"/>
      <c r="AH137" s="466"/>
      <c r="AI137" s="466"/>
      <c r="AJ137" s="466"/>
      <c r="AK137" s="466"/>
      <c r="AL137" s="344"/>
    </row>
    <row r="138" spans="8:38" ht="15" customHeight="1">
      <c r="H138" s="466"/>
      <c r="J138" s="466"/>
      <c r="L138" s="466"/>
      <c r="N138" s="466"/>
      <c r="P138" s="466"/>
      <c r="R138" s="466"/>
      <c r="T138" s="466"/>
      <c r="V138" s="466"/>
      <c r="X138" s="466"/>
      <c r="Z138" s="466"/>
      <c r="AA138" s="466"/>
      <c r="AB138" s="466"/>
      <c r="AC138" s="466"/>
      <c r="AD138" s="466"/>
      <c r="AE138" s="466"/>
      <c r="AF138" s="466"/>
      <c r="AG138" s="466"/>
      <c r="AH138" s="466"/>
      <c r="AI138" s="466"/>
      <c r="AJ138" s="466"/>
      <c r="AK138" s="466"/>
      <c r="AL138" s="344"/>
    </row>
    <row r="139" spans="8:38" ht="15" customHeight="1">
      <c r="H139" s="466"/>
      <c r="J139" s="466"/>
      <c r="L139" s="466"/>
      <c r="N139" s="466"/>
      <c r="P139" s="466"/>
      <c r="R139" s="466"/>
      <c r="T139" s="466"/>
      <c r="V139" s="466"/>
      <c r="X139" s="466"/>
      <c r="Z139" s="466"/>
      <c r="AA139" s="466"/>
      <c r="AB139" s="466"/>
      <c r="AC139" s="466"/>
      <c r="AD139" s="466"/>
      <c r="AE139" s="466"/>
      <c r="AF139" s="466"/>
      <c r="AG139" s="466"/>
      <c r="AH139" s="466"/>
      <c r="AI139" s="466"/>
      <c r="AJ139" s="466"/>
      <c r="AK139" s="466"/>
      <c r="AL139" s="344"/>
    </row>
    <row r="140" spans="8:38" ht="15" customHeight="1">
      <c r="H140" s="466"/>
      <c r="J140" s="466"/>
      <c r="L140" s="466"/>
      <c r="N140" s="466"/>
      <c r="P140" s="466"/>
      <c r="R140" s="466"/>
      <c r="T140" s="466"/>
      <c r="V140" s="466"/>
      <c r="X140" s="466"/>
      <c r="Z140" s="466"/>
      <c r="AA140" s="466"/>
      <c r="AB140" s="466"/>
      <c r="AC140" s="466"/>
      <c r="AD140" s="466"/>
      <c r="AE140" s="466"/>
      <c r="AF140" s="466"/>
      <c r="AG140" s="466"/>
      <c r="AH140" s="466"/>
      <c r="AI140" s="466"/>
      <c r="AJ140" s="466"/>
      <c r="AK140" s="466"/>
      <c r="AL140" s="344"/>
    </row>
    <row r="141" spans="8:38" ht="15" customHeight="1">
      <c r="H141" s="466"/>
      <c r="J141" s="466"/>
      <c r="L141" s="466"/>
      <c r="N141" s="466"/>
      <c r="P141" s="466"/>
      <c r="R141" s="466"/>
      <c r="T141" s="466"/>
      <c r="V141" s="466"/>
      <c r="X141" s="466"/>
      <c r="Z141" s="466"/>
      <c r="AA141" s="466"/>
      <c r="AB141" s="466"/>
      <c r="AC141" s="466"/>
      <c r="AD141" s="466"/>
      <c r="AE141" s="466"/>
      <c r="AF141" s="466"/>
      <c r="AG141" s="466"/>
      <c r="AH141" s="466"/>
      <c r="AI141" s="466"/>
      <c r="AJ141" s="466"/>
      <c r="AK141" s="466"/>
      <c r="AL141" s="344"/>
    </row>
    <row r="142" spans="8:38" ht="15" customHeight="1">
      <c r="H142" s="466"/>
      <c r="J142" s="466"/>
      <c r="L142" s="466"/>
      <c r="N142" s="466"/>
      <c r="P142" s="466"/>
      <c r="R142" s="466"/>
      <c r="T142" s="466"/>
      <c r="V142" s="466"/>
      <c r="X142" s="466"/>
      <c r="Z142" s="466"/>
      <c r="AA142" s="466"/>
      <c r="AB142" s="466"/>
      <c r="AC142" s="466"/>
      <c r="AD142" s="466"/>
      <c r="AE142" s="466"/>
      <c r="AF142" s="466"/>
      <c r="AG142" s="466"/>
      <c r="AH142" s="466"/>
      <c r="AI142" s="466"/>
      <c r="AJ142" s="466"/>
      <c r="AK142" s="466"/>
      <c r="AL142" s="344"/>
    </row>
    <row r="143" spans="8:38" ht="15" customHeight="1">
      <c r="H143" s="466"/>
      <c r="J143" s="466"/>
      <c r="L143" s="466"/>
      <c r="N143" s="466"/>
      <c r="P143" s="466"/>
      <c r="R143" s="466"/>
      <c r="T143" s="466"/>
      <c r="V143" s="466"/>
      <c r="X143" s="466"/>
      <c r="Z143" s="466"/>
      <c r="AA143" s="466"/>
      <c r="AB143" s="466"/>
      <c r="AC143" s="466"/>
      <c r="AD143" s="466"/>
      <c r="AE143" s="466"/>
      <c r="AF143" s="466"/>
      <c r="AG143" s="466"/>
      <c r="AH143" s="466"/>
      <c r="AI143" s="466"/>
      <c r="AJ143" s="466"/>
      <c r="AK143" s="466"/>
      <c r="AL143" s="344"/>
    </row>
    <row r="144" spans="8:38" ht="15" customHeight="1">
      <c r="H144" s="466"/>
      <c r="J144" s="466"/>
      <c r="L144" s="466"/>
      <c r="N144" s="466"/>
      <c r="P144" s="466"/>
      <c r="R144" s="466"/>
      <c r="T144" s="466"/>
      <c r="V144" s="466"/>
      <c r="X144" s="466"/>
      <c r="Z144" s="466"/>
      <c r="AA144" s="466"/>
      <c r="AB144" s="466"/>
      <c r="AC144" s="466"/>
      <c r="AD144" s="466"/>
      <c r="AE144" s="466"/>
      <c r="AF144" s="466"/>
      <c r="AG144" s="466"/>
      <c r="AH144" s="466"/>
      <c r="AI144" s="466"/>
      <c r="AJ144" s="466"/>
      <c r="AK144" s="466"/>
      <c r="AL144" s="344"/>
    </row>
    <row r="145" spans="36:38" ht="15" customHeight="1">
      <c r="AJ145" s="466"/>
      <c r="AK145" s="466"/>
      <c r="AL145" s="344"/>
    </row>
    <row r="146" spans="36:38" ht="15" customHeight="1">
      <c r="AJ146" s="466"/>
      <c r="AK146" s="466"/>
      <c r="AL146" s="344"/>
    </row>
    <row r="147" spans="36:38" ht="15" customHeight="1">
      <c r="AJ147" s="466"/>
      <c r="AK147" s="466"/>
      <c r="AL147" s="344"/>
    </row>
    <row r="148" spans="36:38" ht="15" customHeight="1">
      <c r="AJ148" s="466"/>
      <c r="AK148" s="466"/>
      <c r="AL148" s="344"/>
    </row>
    <row r="149" spans="36:38" ht="15" customHeight="1">
      <c r="AJ149" s="466"/>
      <c r="AK149" s="466"/>
      <c r="AL149" s="344"/>
    </row>
    <row r="150" spans="36:38" ht="15" customHeight="1">
      <c r="AJ150" s="466"/>
      <c r="AK150" s="466"/>
      <c r="AL150" s="344"/>
    </row>
    <row r="151" spans="36:38" ht="15" customHeight="1">
      <c r="AJ151" s="466"/>
      <c r="AK151" s="466"/>
      <c r="AL151" s="344"/>
    </row>
    <row r="152" spans="36:38" ht="15" customHeight="1">
      <c r="AJ152" s="466"/>
      <c r="AK152" s="466"/>
      <c r="AL152" s="344"/>
    </row>
    <row r="153" spans="36:38" ht="15" customHeight="1">
      <c r="AJ153" s="466"/>
      <c r="AK153" s="466"/>
      <c r="AL153" s="344"/>
    </row>
    <row r="154" spans="36:38" ht="15" customHeight="1">
      <c r="AJ154" s="466"/>
      <c r="AK154" s="466"/>
      <c r="AL154" s="344"/>
    </row>
    <row r="155" spans="36:38" ht="15" customHeight="1">
      <c r="AJ155" s="466"/>
      <c r="AK155" s="466"/>
      <c r="AL155" s="344"/>
    </row>
    <row r="156" spans="36:38" ht="15" customHeight="1">
      <c r="AJ156" s="466"/>
      <c r="AK156" s="466"/>
      <c r="AL156" s="344"/>
    </row>
    <row r="157" spans="36:38" ht="15" customHeight="1">
      <c r="AJ157" s="466"/>
      <c r="AK157" s="466"/>
      <c r="AL157" s="344"/>
    </row>
    <row r="158" spans="36:38" ht="15" customHeight="1">
      <c r="AJ158" s="466"/>
      <c r="AK158" s="466"/>
      <c r="AL158" s="344"/>
    </row>
    <row r="159" spans="36:38" ht="15" customHeight="1">
      <c r="AJ159" s="466"/>
      <c r="AK159" s="466"/>
      <c r="AL159" s="344"/>
    </row>
    <row r="160" spans="36:38" ht="15" customHeight="1">
      <c r="AJ160" s="466"/>
      <c r="AK160" s="466"/>
      <c r="AL160" s="344"/>
    </row>
    <row r="161" spans="36:38" ht="15" customHeight="1">
      <c r="AJ161" s="466"/>
      <c r="AK161" s="466"/>
      <c r="AL161" s="344"/>
    </row>
    <row r="162" spans="36:38" ht="15" customHeight="1">
      <c r="AJ162" s="466"/>
      <c r="AK162" s="466"/>
      <c r="AL162" s="344"/>
    </row>
    <row r="163" spans="36:38" ht="15" customHeight="1">
      <c r="AJ163" s="466"/>
      <c r="AK163" s="466"/>
      <c r="AL163" s="344"/>
    </row>
    <row r="164" spans="36:38" ht="15" customHeight="1">
      <c r="AJ164" s="466"/>
      <c r="AK164" s="466"/>
      <c r="AL164" s="344"/>
    </row>
    <row r="165" spans="36:38" ht="15" customHeight="1">
      <c r="AJ165" s="466"/>
      <c r="AK165" s="466"/>
      <c r="AL165" s="344"/>
    </row>
    <row r="166" spans="36:38" ht="15" customHeight="1">
      <c r="AJ166" s="466"/>
      <c r="AK166" s="466"/>
      <c r="AL166" s="344"/>
    </row>
    <row r="167" spans="36:38" ht="15" customHeight="1">
      <c r="AJ167" s="466"/>
      <c r="AK167" s="466"/>
      <c r="AL167" s="344"/>
    </row>
    <row r="168" spans="36:38" ht="15" customHeight="1">
      <c r="AJ168" s="466"/>
      <c r="AK168" s="466"/>
      <c r="AL168" s="344"/>
    </row>
    <row r="169" spans="36:38" ht="15" customHeight="1">
      <c r="AJ169" s="466"/>
      <c r="AK169" s="466"/>
      <c r="AL169" s="344"/>
    </row>
    <row r="170" spans="36:38" ht="15" customHeight="1">
      <c r="AJ170" s="466"/>
      <c r="AK170" s="466"/>
      <c r="AL170" s="344"/>
    </row>
    <row r="171" spans="36:38" ht="15" customHeight="1">
      <c r="AJ171" s="466"/>
      <c r="AK171" s="466"/>
    </row>
    <row r="172" spans="36:38" ht="15" customHeight="1">
      <c r="AJ172" s="466"/>
      <c r="AK172" s="466"/>
    </row>
    <row r="173" spans="36:38" ht="15" customHeight="1">
      <c r="AJ173" s="466"/>
      <c r="AK173" s="466"/>
    </row>
    <row r="174" spans="36:38" ht="15" customHeight="1">
      <c r="AJ174" s="466"/>
      <c r="AK174" s="466"/>
    </row>
    <row r="175" spans="36:38" ht="15" customHeight="1">
      <c r="AJ175" s="466"/>
      <c r="AK175" s="466"/>
    </row>
    <row r="176" spans="36:38" ht="15" customHeight="1">
      <c r="AJ176" s="466"/>
      <c r="AK176" s="466"/>
    </row>
  </sheetData>
  <mergeCells count="1">
    <mergeCell ref="AC9:AL9"/>
  </mergeCells>
  <pageMargins left="0.25" right="0.25" top="0.5" bottom="0.25" header="0" footer="0.25"/>
  <pageSetup scale="36" firstPageNumber="22" fitToHeight="2" orientation="landscape" useFirstPageNumber="1" r:id="rId1"/>
  <headerFooter scaleWithDoc="0" alignWithMargins="0">
    <oddFooter>&amp;C&amp;8&amp;P</oddFooter>
  </headerFooter>
  <rowBreaks count="1" manualBreakCount="1">
    <brk id="87" min="1" max="37" man="1"/>
  </rowBreaks>
  <customProperties>
    <customPr name="SheetOptions" r:id="rId2"/>
  </customProperties>
  <ignoredErrors>
    <ignoredError sqref="AL110:AL111 AL119:AL121 AL123 AL125 AL50:AL51 AL26 AL78:AL85 AL87:AL90 AL101:AL104 AL113:AL115 AL19:AL20 AL108 AL29:AL33 AL117 AL63 AL92:AL93 AL35:AL46 AL53:AL56 AL66:AL69 AL58 AL61 AL95:AL97 AL48 AL24" unlockedFormula="1"/>
    <ignoredError sqref="AL75:AL77 AL73 AL22" formula="1" unlockedFormula="1"/>
    <ignoredError sqref="AJ23:AL23 AL52 AL34 AL65 AL71 AJ72" formula="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pageSetUpPr fitToPage="1"/>
  </sheetPr>
  <dimension ref="A1:AN106"/>
  <sheetViews>
    <sheetView showGridLines="0" zoomScale="90" zoomScaleNormal="90" workbookViewId="0"/>
  </sheetViews>
  <sheetFormatPr defaultColWidth="8.84375" defaultRowHeight="10"/>
  <cols>
    <col min="1" max="1" width="35.07421875" style="1895" customWidth="1"/>
    <col min="2" max="2" width="9.07421875" style="1895" customWidth="1"/>
    <col min="3" max="3" width="5.53515625" style="1895" customWidth="1"/>
    <col min="4" max="4" width="12.84375" style="1895" bestFit="1" customWidth="1"/>
    <col min="5" max="5" width="1.84375" style="1895" customWidth="1"/>
    <col min="6" max="6" width="13.4609375" style="1895" customWidth="1"/>
    <col min="7" max="7" width="2.07421875" style="1895" customWidth="1"/>
    <col min="8" max="8" width="12.84375" style="1895" bestFit="1" customWidth="1"/>
    <col min="9" max="9" width="1.84375" style="1895" customWidth="1"/>
    <col min="10" max="10" width="13.84375" style="1895" customWidth="1"/>
    <col min="11" max="11" width="1.84375" style="1895" customWidth="1"/>
    <col min="12" max="12" width="11.84375" style="1895" customWidth="1"/>
    <col min="13" max="13" width="2" style="1895" customWidth="1"/>
    <col min="14" max="14" width="13.84375" style="1895" customWidth="1"/>
    <col min="15" max="15" width="1.84375" style="1895" customWidth="1"/>
    <col min="16" max="16" width="13" style="1895" customWidth="1"/>
    <col min="17" max="17" width="1.84375" style="1895" customWidth="1"/>
    <col min="18" max="18" width="13.07421875" style="1895" customWidth="1"/>
    <col min="19" max="21" width="1.07421875" style="1895" customWidth="1"/>
    <col min="22" max="22" width="12.84375" style="1895" bestFit="1" customWidth="1"/>
    <col min="23" max="23" width="1.84375" style="1895" customWidth="1"/>
    <col min="24" max="24" width="13.84375" style="1895" customWidth="1"/>
    <col min="25" max="27" width="1.07421875" style="1895" customWidth="1"/>
    <col min="28" max="28" width="12.07421875" style="1895" customWidth="1"/>
    <col min="29" max="29" width="1.84375" style="1895" customWidth="1"/>
    <col min="30" max="30" width="13.84375" style="1895" customWidth="1"/>
    <col min="31" max="32" width="1" style="1895" customWidth="1"/>
    <col min="33" max="33" width="13.07421875" style="1895" bestFit="1" customWidth="1"/>
    <col min="34" max="34" width="1.84375" style="1895" customWidth="1"/>
    <col min="35" max="35" width="12.84375" style="1896" customWidth="1"/>
    <col min="36" max="36" width="19.07421875" style="894" customWidth="1"/>
    <col min="37" max="16384" width="8.84375" style="894"/>
  </cols>
  <sheetData>
    <row r="1" spans="1:38" ht="15.5">
      <c r="A1" s="1894" t="s">
        <v>98</v>
      </c>
    </row>
    <row r="2" spans="1:38" ht="15.5">
      <c r="A2" s="1894"/>
    </row>
    <row r="3" spans="1:38" ht="20">
      <c r="A3" s="1897" t="s">
        <v>99</v>
      </c>
      <c r="B3" s="1999"/>
      <c r="C3" s="1999"/>
      <c r="D3" s="1999"/>
      <c r="E3" s="1999"/>
      <c r="F3" s="1999"/>
      <c r="G3" s="1999"/>
      <c r="H3" s="1999"/>
      <c r="I3" s="1999"/>
      <c r="J3" s="1999"/>
      <c r="K3" s="1999"/>
      <c r="L3" s="1999"/>
      <c r="M3" s="1999"/>
      <c r="N3" s="1999"/>
      <c r="O3" s="1999"/>
      <c r="P3" s="1999"/>
      <c r="Q3" s="1999"/>
      <c r="R3" s="1999"/>
      <c r="S3" s="1999"/>
      <c r="T3" s="1999"/>
      <c r="U3" s="1999"/>
      <c r="V3" s="1999"/>
      <c r="W3" s="1999"/>
      <c r="X3" s="1999"/>
      <c r="Y3" s="1999"/>
      <c r="Z3" s="1999"/>
      <c r="AA3" s="1999"/>
      <c r="AB3" s="1999"/>
      <c r="AC3" s="1999"/>
      <c r="AD3" s="1999"/>
      <c r="AE3" s="1999"/>
      <c r="AF3" s="1999"/>
      <c r="AG3" s="1999"/>
      <c r="AH3" s="1999"/>
      <c r="AI3" s="1898" t="s">
        <v>100</v>
      </c>
      <c r="AJ3" s="345"/>
    </row>
    <row r="4" spans="1:38" ht="20.25" customHeight="1">
      <c r="A4" s="2204" t="s">
        <v>101</v>
      </c>
      <c r="B4" s="2205"/>
      <c r="C4" s="2205"/>
      <c r="D4" s="2205"/>
      <c r="E4" s="2205"/>
      <c r="F4" s="2205"/>
      <c r="G4" s="2205"/>
      <c r="H4" s="2205"/>
      <c r="I4" s="2205"/>
      <c r="J4" s="2205"/>
      <c r="K4" s="2205"/>
      <c r="L4" s="2205"/>
      <c r="M4" s="2205"/>
      <c r="N4" s="2205"/>
      <c r="O4" s="2205"/>
      <c r="P4" s="2205"/>
      <c r="Q4" s="2205"/>
      <c r="R4" s="2205"/>
      <c r="S4" s="2205"/>
      <c r="T4" s="2205"/>
      <c r="U4" s="2205"/>
      <c r="V4" s="2205"/>
      <c r="W4" s="2205"/>
      <c r="X4" s="2205"/>
      <c r="Y4" s="2205"/>
      <c r="Z4" s="2205"/>
      <c r="AA4" s="2205"/>
      <c r="AB4" s="2205"/>
      <c r="AC4" s="2205"/>
      <c r="AD4" s="2205"/>
      <c r="AE4" s="2205"/>
      <c r="AF4" s="2205"/>
      <c r="AG4" s="2205"/>
      <c r="AH4" s="2205"/>
      <c r="AI4" s="2205"/>
      <c r="AJ4" s="345"/>
    </row>
    <row r="5" spans="1:38" ht="20">
      <c r="A5" s="2204" t="s">
        <v>102</v>
      </c>
      <c r="B5" s="2206"/>
      <c r="C5" s="2206"/>
      <c r="D5" s="2206"/>
      <c r="E5" s="2206"/>
      <c r="F5" s="2206"/>
      <c r="G5" s="2206"/>
      <c r="H5" s="2206"/>
      <c r="I5" s="2206"/>
      <c r="J5" s="2206"/>
      <c r="K5" s="2206"/>
      <c r="L5" s="2206"/>
      <c r="M5" s="2206"/>
      <c r="N5" s="2206"/>
      <c r="O5" s="2206"/>
      <c r="P5" s="2206"/>
      <c r="Q5" s="2206"/>
      <c r="R5" s="2206"/>
      <c r="S5" s="2206"/>
      <c r="T5" s="2206"/>
      <c r="U5" s="2206"/>
      <c r="V5" s="2206"/>
      <c r="W5" s="2206"/>
      <c r="X5" s="2206"/>
      <c r="Y5" s="2206"/>
      <c r="Z5" s="2206"/>
      <c r="AA5" s="2206"/>
      <c r="AB5" s="2206"/>
      <c r="AC5" s="2206"/>
      <c r="AD5" s="2206"/>
      <c r="AE5" s="2205"/>
      <c r="AF5" s="2205"/>
      <c r="AG5" s="2205"/>
      <c r="AH5" s="2205"/>
      <c r="AI5" s="2205"/>
      <c r="AJ5" s="345"/>
    </row>
    <row r="6" spans="1:38" ht="21" customHeight="1">
      <c r="A6" s="2204" t="s">
        <v>103</v>
      </c>
      <c r="B6" s="2205"/>
      <c r="C6" s="2205"/>
      <c r="D6" s="2205"/>
      <c r="E6" s="2205"/>
      <c r="F6" s="2205"/>
      <c r="G6" s="2205"/>
      <c r="H6" s="2205"/>
      <c r="I6" s="2205"/>
      <c r="J6" s="2205"/>
      <c r="K6" s="2205"/>
      <c r="L6" s="2205"/>
      <c r="M6" s="2205"/>
      <c r="N6" s="2205"/>
      <c r="O6" s="2205"/>
      <c r="P6" s="2205"/>
      <c r="Q6" s="2205"/>
      <c r="R6" s="2205"/>
      <c r="S6" s="2205"/>
      <c r="T6" s="2205"/>
      <c r="U6" s="2205"/>
      <c r="V6" s="2205"/>
      <c r="W6" s="2205"/>
      <c r="X6" s="2205"/>
      <c r="Y6" s="2205"/>
      <c r="Z6" s="2205"/>
      <c r="AA6" s="2205"/>
      <c r="AB6" s="2205"/>
      <c r="AC6" s="2205"/>
      <c r="AD6" s="2205"/>
      <c r="AE6" s="2205"/>
      <c r="AF6" s="2205"/>
      <c r="AG6" s="2205"/>
      <c r="AH6" s="2205"/>
      <c r="AI6" s="2205"/>
      <c r="AJ6" s="345"/>
    </row>
    <row r="7" spans="1:38" ht="15.5">
      <c r="A7" s="1899"/>
      <c r="B7" s="1899"/>
      <c r="C7" s="1899"/>
      <c r="D7" s="1899"/>
      <c r="E7" s="1899"/>
      <c r="F7" s="1899"/>
      <c r="G7" s="1899"/>
      <c r="H7" s="1900"/>
      <c r="I7" s="1900"/>
      <c r="J7" s="1900"/>
      <c r="K7" s="1900"/>
      <c r="L7" s="1900"/>
      <c r="M7" s="1899"/>
      <c r="N7" s="1900"/>
      <c r="O7" s="1900"/>
      <c r="P7" s="1900"/>
      <c r="Q7" s="1900"/>
      <c r="R7" s="1900"/>
      <c r="S7" s="1899"/>
      <c r="T7" s="1899"/>
      <c r="U7" s="1899"/>
      <c r="V7" s="1899"/>
      <c r="W7" s="1899"/>
      <c r="X7" s="1899" t="s">
        <v>104</v>
      </c>
      <c r="Y7" s="1899"/>
      <c r="Z7" s="1899"/>
      <c r="AA7" s="1899"/>
      <c r="AB7" s="1899"/>
      <c r="AC7" s="1899"/>
      <c r="AD7" s="1901"/>
      <c r="AE7" s="1901"/>
      <c r="AF7" s="1901"/>
      <c r="AG7" s="1901"/>
      <c r="AJ7" s="345"/>
      <c r="AK7" s="345"/>
      <c r="AL7" s="345"/>
    </row>
    <row r="8" spans="1:38" ht="16.399999999999999" customHeight="1">
      <c r="A8" s="1900"/>
      <c r="B8" s="1899"/>
      <c r="C8" s="1899"/>
      <c r="D8" s="1900"/>
      <c r="E8" s="1899"/>
      <c r="F8" s="1899"/>
      <c r="G8" s="1899"/>
      <c r="H8" s="1900"/>
      <c r="I8" s="1900"/>
      <c r="J8" s="1900"/>
      <c r="K8" s="1900"/>
      <c r="L8" s="1900"/>
      <c r="M8" s="1899"/>
      <c r="N8" s="1900"/>
      <c r="O8" s="1900"/>
      <c r="P8" s="1900"/>
      <c r="Q8" s="1900"/>
      <c r="R8" s="1900"/>
      <c r="S8" s="1899"/>
      <c r="T8" s="1899"/>
      <c r="U8" s="1899"/>
      <c r="V8" s="1899"/>
      <c r="W8" s="1899"/>
      <c r="X8" s="1899" t="s">
        <v>104</v>
      </c>
      <c r="Y8" s="1899"/>
      <c r="Z8" s="1899"/>
      <c r="AA8" s="1899"/>
      <c r="AB8" s="1899"/>
      <c r="AC8" s="1899"/>
      <c r="AD8" s="1902"/>
      <c r="AE8" s="1902"/>
      <c r="AF8" s="1903"/>
      <c r="AG8" s="1903"/>
      <c r="AI8" s="1894"/>
      <c r="AJ8" s="345"/>
      <c r="AK8" s="345"/>
      <c r="AL8" s="345"/>
    </row>
    <row r="9" spans="1:38" ht="16.399999999999999" customHeight="1">
      <c r="A9" s="1899"/>
      <c r="B9" s="1899"/>
      <c r="C9" s="1899"/>
      <c r="D9" s="1899"/>
      <c r="E9" s="1899"/>
      <c r="F9" s="1899"/>
      <c r="G9" s="1899"/>
      <c r="H9" s="1900"/>
      <c r="I9" s="1900"/>
      <c r="J9" s="1900"/>
      <c r="K9" s="1900"/>
      <c r="L9" s="1900"/>
      <c r="M9" s="1899"/>
      <c r="N9" s="1900"/>
      <c r="O9" s="1900"/>
      <c r="P9" s="1900"/>
      <c r="Q9" s="1900"/>
      <c r="R9" s="1900"/>
      <c r="S9" s="1899"/>
      <c r="T9" s="1899"/>
      <c r="U9" s="1899"/>
      <c r="V9" s="1899"/>
      <c r="W9" s="1899"/>
      <c r="X9" s="1899"/>
      <c r="Y9" s="1899"/>
      <c r="Z9" s="1899"/>
      <c r="AA9" s="1899"/>
      <c r="AB9" s="1899"/>
      <c r="AC9" s="1899"/>
      <c r="AD9" s="1904"/>
      <c r="AE9" s="1904"/>
      <c r="AF9" s="1904"/>
      <c r="AG9" s="1904"/>
      <c r="AI9" s="1894"/>
      <c r="AJ9" s="345"/>
      <c r="AK9" s="345"/>
      <c r="AL9" s="345"/>
    </row>
    <row r="10" spans="1:38" ht="16.399999999999999" customHeight="1">
      <c r="A10" s="1905"/>
      <c r="B10" s="1905"/>
      <c r="C10" s="1905"/>
      <c r="D10" s="1906" t="s">
        <v>105</v>
      </c>
      <c r="E10" s="1906"/>
      <c r="F10" s="1906"/>
      <c r="G10" s="1904"/>
      <c r="H10" s="1906" t="s">
        <v>106</v>
      </c>
      <c r="I10" s="1906"/>
      <c r="J10" s="1906"/>
      <c r="K10" s="1904"/>
      <c r="L10" s="1906" t="s">
        <v>107</v>
      </c>
      <c r="M10" s="1906"/>
      <c r="N10" s="1906"/>
      <c r="O10" s="1904"/>
      <c r="P10" s="1906" t="s">
        <v>108</v>
      </c>
      <c r="Q10" s="1906"/>
      <c r="R10" s="1906"/>
      <c r="S10" s="1904"/>
      <c r="T10" s="1904"/>
      <c r="U10" s="1904"/>
      <c r="V10" s="2207" t="s">
        <v>109</v>
      </c>
      <c r="W10" s="2208"/>
      <c r="X10" s="2208"/>
      <c r="Y10" s="2208"/>
      <c r="Z10" s="2208"/>
      <c r="AA10" s="2208"/>
      <c r="AB10" s="2208"/>
      <c r="AC10" s="2208"/>
      <c r="AD10" s="2208"/>
      <c r="AE10" s="2208"/>
      <c r="AF10" s="2208"/>
      <c r="AG10" s="2208"/>
      <c r="AH10" s="2208"/>
      <c r="AI10" s="2208"/>
      <c r="AJ10" s="345"/>
      <c r="AK10" s="345"/>
      <c r="AL10" s="345"/>
    </row>
    <row r="11" spans="1:38" ht="16.399999999999999" customHeight="1">
      <c r="A11" s="1905"/>
      <c r="B11" s="1905"/>
      <c r="C11" s="1905"/>
      <c r="D11" s="1903" t="s">
        <v>110</v>
      </c>
      <c r="E11" s="1903"/>
      <c r="F11" s="1907" t="s">
        <v>1584</v>
      </c>
      <c r="G11" s="1903"/>
      <c r="H11" s="1903" t="s">
        <v>110</v>
      </c>
      <c r="I11" s="1903"/>
      <c r="J11" s="1903" t="str">
        <f>F11</f>
        <v>8 MOS. ENDED</v>
      </c>
      <c r="K11" s="1903"/>
      <c r="L11" s="1903" t="s">
        <v>110</v>
      </c>
      <c r="M11" s="1903"/>
      <c r="N11" s="1903" t="str">
        <f>F11</f>
        <v>8 MOS. ENDED</v>
      </c>
      <c r="O11" s="1903"/>
      <c r="P11" s="1903" t="s">
        <v>110</v>
      </c>
      <c r="Q11" s="1903"/>
      <c r="R11" s="1903" t="str">
        <f>J11</f>
        <v>8 MOS. ENDED</v>
      </c>
      <c r="S11" s="1903"/>
      <c r="T11" s="1903"/>
      <c r="U11" s="1908"/>
      <c r="V11" s="1903" t="s">
        <v>110</v>
      </c>
      <c r="W11" s="1903"/>
      <c r="X11" s="1903" t="str">
        <f>F11</f>
        <v>8 MOS. ENDED</v>
      </c>
      <c r="Y11" s="1903"/>
      <c r="Z11" s="1903"/>
      <c r="AA11" s="1903"/>
      <c r="AB11" s="1903" t="s">
        <v>110</v>
      </c>
      <c r="AC11" s="1903"/>
      <c r="AD11" s="1903" t="str">
        <f>F11</f>
        <v>8 MOS. ENDED</v>
      </c>
      <c r="AE11" s="1903"/>
      <c r="AF11" s="1903"/>
      <c r="AG11" s="1903" t="s">
        <v>111</v>
      </c>
      <c r="AH11" s="1894"/>
      <c r="AI11" s="1903" t="s">
        <v>112</v>
      </c>
      <c r="AJ11" s="345"/>
      <c r="AK11" s="345"/>
      <c r="AL11" s="345"/>
    </row>
    <row r="12" spans="1:38" ht="16.399999999999999" customHeight="1">
      <c r="A12" s="1905"/>
      <c r="B12" s="1905"/>
      <c r="C12" s="1905"/>
      <c r="D12" s="1909" t="s">
        <v>1585</v>
      </c>
      <c r="E12" s="1903"/>
      <c r="F12" s="1909" t="s">
        <v>1586</v>
      </c>
      <c r="G12" s="1903"/>
      <c r="H12" s="1910" t="str">
        <f>D12</f>
        <v>NOV. 2023</v>
      </c>
      <c r="I12" s="1903"/>
      <c r="J12" s="1910" t="str">
        <f>F12</f>
        <v>NOV. 30, 2023</v>
      </c>
      <c r="K12" s="1903"/>
      <c r="L12" s="1910" t="str">
        <f>D12</f>
        <v>NOV. 2023</v>
      </c>
      <c r="M12" s="1903"/>
      <c r="N12" s="1910" t="str">
        <f>F12</f>
        <v>NOV. 30, 2023</v>
      </c>
      <c r="O12" s="1903"/>
      <c r="P12" s="1910" t="str">
        <f>D12</f>
        <v>NOV. 2023</v>
      </c>
      <c r="Q12" s="1903"/>
      <c r="R12" s="1910" t="str">
        <f>J12</f>
        <v>NOV. 30, 2023</v>
      </c>
      <c r="S12" s="1903"/>
      <c r="T12" s="1903"/>
      <c r="U12" s="1908"/>
      <c r="V12" s="1910" t="str">
        <f>D12</f>
        <v>NOV. 2023</v>
      </c>
      <c r="W12" s="1903"/>
      <c r="X12" s="1910" t="str">
        <f>F12</f>
        <v>NOV. 30, 2023</v>
      </c>
      <c r="Y12" s="1903"/>
      <c r="Z12" s="1903"/>
      <c r="AA12" s="1903"/>
      <c r="AB12" s="1909" t="s">
        <v>1552</v>
      </c>
      <c r="AC12" s="1903"/>
      <c r="AD12" s="1909" t="s">
        <v>1553</v>
      </c>
      <c r="AE12" s="1907"/>
      <c r="AF12" s="1907"/>
      <c r="AG12" s="1910" t="s">
        <v>113</v>
      </c>
      <c r="AH12" s="1894"/>
      <c r="AI12" s="1909" t="s">
        <v>114</v>
      </c>
      <c r="AJ12" s="345"/>
      <c r="AK12" s="345"/>
      <c r="AL12" s="345"/>
    </row>
    <row r="13" spans="1:38" ht="16.399999999999999" customHeight="1">
      <c r="A13" s="1904" t="s">
        <v>115</v>
      </c>
      <c r="B13" s="1905"/>
      <c r="C13" s="1905"/>
      <c r="D13" s="1905" t="s">
        <v>104</v>
      </c>
      <c r="E13" s="1905"/>
      <c r="F13" s="1905"/>
      <c r="G13" s="1905"/>
      <c r="H13" s="1905" t="s">
        <v>104</v>
      </c>
      <c r="I13" s="1905"/>
      <c r="J13" s="1905"/>
      <c r="K13" s="1905"/>
      <c r="L13" s="1905" t="s">
        <v>104</v>
      </c>
      <c r="M13" s="1905"/>
      <c r="N13" s="1905"/>
      <c r="O13" s="1905"/>
      <c r="P13" s="1905" t="s">
        <v>104</v>
      </c>
      <c r="Q13" s="1905"/>
      <c r="R13" s="1905"/>
      <c r="S13" s="2152"/>
      <c r="T13" s="2152"/>
      <c r="U13" s="1905"/>
      <c r="V13" s="1905"/>
      <c r="W13" s="1905"/>
      <c r="X13" s="1905"/>
      <c r="Y13" s="2152"/>
      <c r="Z13" s="2153"/>
      <c r="AA13" s="1905"/>
      <c r="AB13" s="1905"/>
      <c r="AC13" s="1905"/>
      <c r="AD13" s="1905"/>
      <c r="AE13" s="1905"/>
      <c r="AF13" s="1911"/>
      <c r="AG13" s="1905"/>
      <c r="AI13" s="1894"/>
      <c r="AJ13" s="345"/>
      <c r="AK13" s="345"/>
      <c r="AL13" s="345"/>
    </row>
    <row r="14" spans="1:38" ht="18" customHeight="1">
      <c r="A14" s="1905" t="s">
        <v>116</v>
      </c>
      <c r="B14" s="2202" t="s">
        <v>1581</v>
      </c>
      <c r="C14" s="1905"/>
      <c r="D14" s="1913">
        <f>+'Exhibit F'!R26</f>
        <v>1685.3</v>
      </c>
      <c r="E14" s="1914" t="s">
        <v>104</v>
      </c>
      <c r="F14" s="1913">
        <f>+'Exhibit F'!AC26</f>
        <v>15818.1</v>
      </c>
      <c r="G14" s="1914"/>
      <c r="H14" s="1913">
        <f>'Exhibit G'!R17</f>
        <v>0.1</v>
      </c>
      <c r="I14" s="2154"/>
      <c r="J14" s="1913">
        <f>'Exhibit G'!AD17</f>
        <v>0.1</v>
      </c>
      <c r="K14" s="1914"/>
      <c r="L14" s="2155">
        <f>+'Exhibit H'!P16</f>
        <v>1685.4000000000024</v>
      </c>
      <c r="M14" s="1913"/>
      <c r="N14" s="1913">
        <f>+'Exhibit H'!AA16</f>
        <v>15818.2</v>
      </c>
      <c r="O14" s="1913"/>
      <c r="P14" s="2156">
        <v>0</v>
      </c>
      <c r="Q14" s="1913"/>
      <c r="R14" s="2156">
        <v>0</v>
      </c>
      <c r="S14" s="2157"/>
      <c r="T14" s="2157"/>
      <c r="U14" s="1913"/>
      <c r="V14" s="1913">
        <f>ROUND(SUM(D14)+SUM(H14)+SUM(L14)+SUM(P14),1)</f>
        <v>3370.8</v>
      </c>
      <c r="W14" s="1913" t="s">
        <v>104</v>
      </c>
      <c r="X14" s="1913">
        <f>ROUND(SUM(F14)+SUM(J14)+SUM(N14)+SUM(R14),1)</f>
        <v>31636.400000000001</v>
      </c>
      <c r="Y14" s="2158"/>
      <c r="Z14" s="2159"/>
      <c r="AA14" s="1914"/>
      <c r="AB14" s="1915">
        <v>2715.3</v>
      </c>
      <c r="AC14" s="1914"/>
      <c r="AD14" s="1914">
        <f>'Exhibit F'!AF26+'Exhibit G'!AG17+'Exhibit H'!AD16</f>
        <v>37837.1</v>
      </c>
      <c r="AE14" s="1914"/>
      <c r="AF14" s="1916"/>
      <c r="AG14" s="1914">
        <f t="shared" ref="AG14:AG19" si="0">ROUND(SUM(X14-AD14),1)</f>
        <v>-6200.7</v>
      </c>
      <c r="AH14" s="1917"/>
      <c r="AI14" s="1918">
        <f t="shared" ref="AI14:AI19" si="1">ROUND(SUM((+X14-AD14)/ABS(AD14)),3)</f>
        <v>-0.16400000000000001</v>
      </c>
      <c r="AJ14" s="1328"/>
      <c r="AK14" s="345"/>
      <c r="AL14" s="345"/>
    </row>
    <row r="15" spans="1:38" ht="18" customHeight="1">
      <c r="A15" s="1905" t="s">
        <v>117</v>
      </c>
      <c r="B15" s="1919" t="s">
        <v>104</v>
      </c>
      <c r="C15" s="1905"/>
      <c r="D15" s="1920">
        <f>+'Exhibit F'!R37</f>
        <v>773.7</v>
      </c>
      <c r="E15" s="1920"/>
      <c r="F15" s="1920">
        <f>+'Exhibit F'!AC37</f>
        <v>6504.7</v>
      </c>
      <c r="G15" s="1920"/>
      <c r="H15" s="1920">
        <f>'Exhibit G'!R29</f>
        <v>164.6</v>
      </c>
      <c r="I15" s="1920"/>
      <c r="J15" s="1920">
        <f>+'Exhibit G'!AD29</f>
        <v>1432.4</v>
      </c>
      <c r="K15" s="1920"/>
      <c r="L15" s="1921">
        <f>'Exhibit H'!P20</f>
        <v>727</v>
      </c>
      <c r="M15" s="1920"/>
      <c r="N15" s="1920">
        <f>+'Exhibit H'!AA20</f>
        <v>6108.4</v>
      </c>
      <c r="O15" s="1920"/>
      <c r="P15" s="1921">
        <f>'Exhibit I'!S23</f>
        <v>43.1</v>
      </c>
      <c r="Q15" s="1920"/>
      <c r="R15" s="1921">
        <f>+'Exhibit I'!AF23</f>
        <v>414.2</v>
      </c>
      <c r="S15" s="2160"/>
      <c r="T15" s="2160"/>
      <c r="U15" s="1920"/>
      <c r="V15" s="1920">
        <f>ROUND(SUM(D15)+SUM(H15)+SUM(L15)+SUM(P15),1)</f>
        <v>1708.4</v>
      </c>
      <c r="W15" s="1920" t="s">
        <v>104</v>
      </c>
      <c r="X15" s="1920">
        <f t="shared" ref="X15:X19" si="2">ROUND(SUM(F15)+SUM(J15)+SUM(N15)+SUM(R15),1)</f>
        <v>14459.7</v>
      </c>
      <c r="Y15" s="2160"/>
      <c r="Z15" s="2161"/>
      <c r="AA15" s="1920"/>
      <c r="AB15" s="1922">
        <v>1570.8</v>
      </c>
      <c r="AC15" s="1920"/>
      <c r="AD15" s="311">
        <f>'Exhibit F'!AF37+'Exhibit G'!AG29+'Exhibit H'!AD20+'Exhibit I'!AI23</f>
        <v>13526.699999999999</v>
      </c>
      <c r="AE15" s="1920"/>
      <c r="AF15" s="1923"/>
      <c r="AG15" s="1920">
        <f t="shared" si="0"/>
        <v>933</v>
      </c>
      <c r="AI15" s="1918">
        <f t="shared" si="1"/>
        <v>6.9000000000000006E-2</v>
      </c>
      <c r="AJ15" s="1328"/>
      <c r="AK15" s="345"/>
      <c r="AL15" s="345"/>
    </row>
    <row r="16" spans="1:38" ht="18" customHeight="1">
      <c r="A16" s="1905" t="s">
        <v>118</v>
      </c>
      <c r="B16" s="1924"/>
      <c r="C16" s="1905"/>
      <c r="D16" s="1920">
        <f>+'Exhibit F'!R45</f>
        <v>98.1</v>
      </c>
      <c r="E16" s="1920"/>
      <c r="F16" s="1920">
        <f>+'Exhibit F'!AC45</f>
        <v>7897.4</v>
      </c>
      <c r="G16" s="1920"/>
      <c r="H16" s="1920">
        <f>'Exhibit G'!R36</f>
        <v>92.3</v>
      </c>
      <c r="I16" s="1920"/>
      <c r="J16" s="1920">
        <f>'Exhibit G'!AD36</f>
        <v>1583.9</v>
      </c>
      <c r="K16" s="1920"/>
      <c r="L16" s="1921">
        <f>'Exhibit H'!P23</f>
        <v>24.6</v>
      </c>
      <c r="M16" s="1920"/>
      <c r="N16" s="1921">
        <f>+'Exhibit H'!AA23</f>
        <v>2431.8000000000002</v>
      </c>
      <c r="O16" s="1920"/>
      <c r="P16" s="1921">
        <f>'Exhibit I'!S28</f>
        <v>53.3</v>
      </c>
      <c r="Q16" s="1920"/>
      <c r="R16" s="1921">
        <f>'Exhibit I'!AF28</f>
        <v>441.5</v>
      </c>
      <c r="S16" s="2160"/>
      <c r="T16" s="2160"/>
      <c r="U16" s="1920"/>
      <c r="V16" s="1920">
        <f t="shared" ref="V16:V17" si="3">ROUND(SUM(D16)+SUM(H16)+SUM(L16)+SUM(P16),1)</f>
        <v>268.3</v>
      </c>
      <c r="W16" s="1920" t="s">
        <v>104</v>
      </c>
      <c r="X16" s="1920">
        <f t="shared" si="2"/>
        <v>12354.6</v>
      </c>
      <c r="Y16" s="2160"/>
      <c r="Z16" s="2161"/>
      <c r="AA16" s="1920"/>
      <c r="AB16" s="1922">
        <v>335.79999999999995</v>
      </c>
      <c r="AC16" s="1920"/>
      <c r="AD16" s="1905">
        <f>'Exhibit F'!AF45+'Exhibit G'!AG36+'Exhibit I'!AI28+'Exhibit H'!AD22</f>
        <v>12959.2</v>
      </c>
      <c r="AE16" s="1920"/>
      <c r="AF16" s="1923"/>
      <c r="AG16" s="1920">
        <f t="shared" si="0"/>
        <v>-604.6</v>
      </c>
      <c r="AI16" s="1918">
        <f t="shared" si="1"/>
        <v>-4.7E-2</v>
      </c>
      <c r="AJ16" s="1328"/>
      <c r="AK16" s="345"/>
      <c r="AL16" s="345"/>
    </row>
    <row r="17" spans="1:38" ht="18" customHeight="1">
      <c r="A17" s="1905" t="s">
        <v>119</v>
      </c>
      <c r="B17" s="1919" t="s">
        <v>104</v>
      </c>
      <c r="C17" s="1905"/>
      <c r="D17" s="1920">
        <f>+'Exhibit F'!R53</f>
        <v>144</v>
      </c>
      <c r="E17" s="1920"/>
      <c r="F17" s="1920">
        <f>+'Exhibit F'!AC53</f>
        <v>1535.5</v>
      </c>
      <c r="G17" s="1920"/>
      <c r="H17" s="1920">
        <v>0</v>
      </c>
      <c r="I17" s="1920"/>
      <c r="J17" s="1920">
        <v>0</v>
      </c>
      <c r="K17" s="1920"/>
      <c r="L17" s="1921">
        <f>'Exhibit H'!P27</f>
        <v>71.8</v>
      </c>
      <c r="M17" s="1920"/>
      <c r="N17" s="1920">
        <f>+'Exhibit H'!AA27</f>
        <v>661.1</v>
      </c>
      <c r="O17" s="1920"/>
      <c r="P17" s="1921">
        <f>'Exhibit I'!S31</f>
        <v>25.7</v>
      </c>
      <c r="Q17" s="1920"/>
      <c r="R17" s="1921">
        <f>'Exhibit I'!AF31</f>
        <v>154.4</v>
      </c>
      <c r="S17" s="2160"/>
      <c r="T17" s="2160"/>
      <c r="U17" s="1920"/>
      <c r="V17" s="1920">
        <f t="shared" si="3"/>
        <v>241.5</v>
      </c>
      <c r="W17" s="1920" t="s">
        <v>104</v>
      </c>
      <c r="X17" s="1920">
        <f t="shared" si="2"/>
        <v>2351</v>
      </c>
      <c r="Y17" s="2160"/>
      <c r="Z17" s="2161"/>
      <c r="AA17" s="1920"/>
      <c r="AB17" s="1922">
        <v>366.6</v>
      </c>
      <c r="AC17" s="1920"/>
      <c r="AD17" s="1920">
        <f>'Exhibit F'!AF53+'Exhibit H'!AD27+'Exhibit I'!AI31</f>
        <v>2704.0000000000005</v>
      </c>
      <c r="AE17" s="1920"/>
      <c r="AF17" s="1923"/>
      <c r="AG17" s="1920">
        <f t="shared" si="0"/>
        <v>-353</v>
      </c>
      <c r="AI17" s="1918">
        <f t="shared" si="1"/>
        <v>-0.13100000000000001</v>
      </c>
      <c r="AJ17" s="1328" t="s">
        <v>104</v>
      </c>
      <c r="AK17" s="345"/>
      <c r="AL17" s="345"/>
    </row>
    <row r="18" spans="1:38" ht="18" customHeight="1">
      <c r="A18" s="1905" t="s">
        <v>120</v>
      </c>
      <c r="B18" s="1919" t="s">
        <v>104</v>
      </c>
      <c r="C18" s="1905"/>
      <c r="D18" s="1920">
        <f>+'Exhibit F'!R96</f>
        <v>388.9</v>
      </c>
      <c r="E18" s="1920"/>
      <c r="F18" s="1920">
        <f>+'Exhibit F'!AC96</f>
        <v>2840.3</v>
      </c>
      <c r="G18" s="1920"/>
      <c r="H18" s="1920">
        <f>'Exhibit G'!R82</f>
        <v>1788.3</v>
      </c>
      <c r="I18" s="1920"/>
      <c r="J18" s="1920">
        <f>+'Exhibit G'!AD82</f>
        <v>14983.3</v>
      </c>
      <c r="K18" s="1920"/>
      <c r="L18" s="1921">
        <f>+'Exhibit H'!P50</f>
        <v>54.4</v>
      </c>
      <c r="M18" s="1920"/>
      <c r="N18" s="1921">
        <f>+'Exhibit H'!AA50</f>
        <v>344.5</v>
      </c>
      <c r="O18" s="1920"/>
      <c r="P18" s="1921">
        <f>+'Exhibit I'!S61</f>
        <v>117</v>
      </c>
      <c r="Q18" s="1920"/>
      <c r="R18" s="1920">
        <f>+'Exhibit I'!AF61</f>
        <v>3696.6</v>
      </c>
      <c r="S18" s="2160"/>
      <c r="T18" s="2160"/>
      <c r="U18" s="1920"/>
      <c r="V18" s="1920">
        <f>ROUND(SUM(D18)+SUM(H18)+SUM(L18)+SUM(P18),1)</f>
        <v>2348.6</v>
      </c>
      <c r="W18" s="1920" t="s">
        <v>104</v>
      </c>
      <c r="X18" s="1920">
        <f t="shared" si="2"/>
        <v>21864.7</v>
      </c>
      <c r="Y18" s="2160"/>
      <c r="Z18" s="2161"/>
      <c r="AA18" s="1920"/>
      <c r="AB18" s="1922">
        <v>2550.4</v>
      </c>
      <c r="AC18" s="1920"/>
      <c r="AD18" s="1920">
        <f>'Exhibit F'!AF96+'Exhibit G'!AG82+'Exhibit H'!AD50+'Exhibit I'!AI61</f>
        <v>20312.300000000003</v>
      </c>
      <c r="AE18" s="1920"/>
      <c r="AF18" s="1923"/>
      <c r="AG18" s="1920">
        <f t="shared" si="0"/>
        <v>1552.4</v>
      </c>
      <c r="AI18" s="1918">
        <f t="shared" si="1"/>
        <v>7.5999999999999998E-2</v>
      </c>
      <c r="AJ18" s="1328"/>
      <c r="AK18" s="345"/>
      <c r="AL18" s="345"/>
    </row>
    <row r="19" spans="1:38" ht="18" customHeight="1">
      <c r="A19" s="1905" t="s">
        <v>121</v>
      </c>
      <c r="B19" s="1912"/>
      <c r="C19" s="1905"/>
      <c r="D19" s="1920">
        <f>+'Exhibit F'!R98</f>
        <v>0</v>
      </c>
      <c r="E19" s="1920"/>
      <c r="F19" s="1920">
        <f>+'Exhibit F'!AC98</f>
        <v>0.3</v>
      </c>
      <c r="G19" s="1920"/>
      <c r="H19" s="1920">
        <f>'Exhibit G'!R84</f>
        <v>7757.9999999999945</v>
      </c>
      <c r="I19" s="1920"/>
      <c r="J19" s="1920">
        <f>+'Exhibit G'!AD84</f>
        <v>62022.8</v>
      </c>
      <c r="K19" s="1920"/>
      <c r="L19" s="1921">
        <f>+'Exhibit H'!P52</f>
        <v>0</v>
      </c>
      <c r="M19" s="1920"/>
      <c r="N19" s="1920">
        <f>+'Exhibit H'!AA52</f>
        <v>34.9</v>
      </c>
      <c r="O19" s="1920"/>
      <c r="P19" s="1921">
        <f>+'Exhibit I'!S63</f>
        <v>268.40000000000009</v>
      </c>
      <c r="Q19" s="1920"/>
      <c r="R19" s="1920">
        <f>+'Exhibit I'!AF63</f>
        <v>1887.9</v>
      </c>
      <c r="S19" s="2160"/>
      <c r="T19" s="2160"/>
      <c r="U19" s="1920"/>
      <c r="V19" s="1920">
        <f>ROUND(SUM(D19)+SUM(H19)+SUM(L19)+SUM(P19),1)</f>
        <v>8026.4</v>
      </c>
      <c r="W19" s="1920" t="s">
        <v>104</v>
      </c>
      <c r="X19" s="1920">
        <f t="shared" si="2"/>
        <v>63945.9</v>
      </c>
      <c r="Y19" s="2160"/>
      <c r="Z19" s="2161"/>
      <c r="AA19" s="1920"/>
      <c r="AB19" s="1922">
        <v>5427.4</v>
      </c>
      <c r="AC19" s="1920"/>
      <c r="AD19" s="1920">
        <f>'Exhibit F'!AF98+'Exhibit G'!AG84+'Exhibit H'!AD52+'Exhibit I'!AI63</f>
        <v>54123.9</v>
      </c>
      <c r="AE19" s="1920"/>
      <c r="AF19" s="1923"/>
      <c r="AG19" s="1920">
        <f t="shared" si="0"/>
        <v>9822</v>
      </c>
      <c r="AI19" s="1918">
        <f t="shared" si="1"/>
        <v>0.18099999999999999</v>
      </c>
      <c r="AJ19" s="1328"/>
      <c r="AK19" s="345"/>
      <c r="AL19" s="345"/>
    </row>
    <row r="20" spans="1:38" ht="18" customHeight="1">
      <c r="A20" s="1904" t="s">
        <v>122</v>
      </c>
      <c r="B20" s="1905"/>
      <c r="C20" s="1905"/>
      <c r="D20" s="1925">
        <f>ROUND(SUM(D14:D19),1)</f>
        <v>3090</v>
      </c>
      <c r="E20" s="1926"/>
      <c r="F20" s="1925">
        <f>ROUND(SUM(F14:F19),1)</f>
        <v>34596.300000000003</v>
      </c>
      <c r="G20" s="1927"/>
      <c r="H20" s="1928">
        <f>ROUND(SUM(H14:H19),1)</f>
        <v>9803.2999999999993</v>
      </c>
      <c r="I20" s="1927"/>
      <c r="J20" s="1928">
        <f>ROUND(SUM(J14:J19),1)</f>
        <v>80022.5</v>
      </c>
      <c r="K20" s="1927"/>
      <c r="L20" s="1925">
        <f>ROUND(SUM(L14:L19),1)</f>
        <v>2563.1999999999998</v>
      </c>
      <c r="M20" s="1927"/>
      <c r="N20" s="1928">
        <f>ROUND(SUM(N14:N19),1)</f>
        <v>25398.9</v>
      </c>
      <c r="O20" s="1927"/>
      <c r="P20" s="1928">
        <f>ROUND(SUM(P14:P19),1)</f>
        <v>507.5</v>
      </c>
      <c r="Q20" s="1927"/>
      <c r="R20" s="1928">
        <f>ROUND(SUM(R14:R19),1)</f>
        <v>6594.6</v>
      </c>
      <c r="S20" s="2162"/>
      <c r="T20" s="2162"/>
      <c r="U20" s="1927"/>
      <c r="V20" s="1928">
        <f>ROUND(SUM(V14:V19),1)</f>
        <v>15964</v>
      </c>
      <c r="W20" s="1927"/>
      <c r="X20" s="1928">
        <f>ROUND(SUM(X14:X19),1)</f>
        <v>146612.29999999999</v>
      </c>
      <c r="Y20" s="2162"/>
      <c r="Z20" s="2163"/>
      <c r="AA20" s="1927"/>
      <c r="AB20" s="1928">
        <f>ROUND(SUM(AB14:AB19),1)</f>
        <v>12966.3</v>
      </c>
      <c r="AC20" s="1927"/>
      <c r="AD20" s="1928">
        <f>ROUND(SUM(AD14:AD19),1)</f>
        <v>141463.20000000001</v>
      </c>
      <c r="AE20" s="1927"/>
      <c r="AF20" s="1929"/>
      <c r="AG20" s="1928">
        <f>ROUND(SUM(AG14:AG19),1)</f>
        <v>5149.1000000000004</v>
      </c>
      <c r="AH20" s="1930"/>
      <c r="AI20" s="1931">
        <f>(+X20-AD20)/ABS(AD20)</f>
        <v>3.6398865570692419E-2</v>
      </c>
      <c r="AJ20" s="898" t="s">
        <v>104</v>
      </c>
      <c r="AK20" s="345"/>
      <c r="AL20" s="345"/>
    </row>
    <row r="21" spans="1:38" ht="16.399999999999999" customHeight="1">
      <c r="A21" s="1904"/>
      <c r="B21" s="1905"/>
      <c r="C21" s="1905"/>
      <c r="D21" s="1920"/>
      <c r="E21" s="1920"/>
      <c r="F21" s="1920"/>
      <c r="G21" s="1920"/>
      <c r="H21" s="1920"/>
      <c r="I21" s="1920"/>
      <c r="J21" s="1920"/>
      <c r="K21" s="1920"/>
      <c r="L21" s="1920"/>
      <c r="M21" s="1920"/>
      <c r="N21" s="1920"/>
      <c r="O21" s="1920"/>
      <c r="P21" s="1920"/>
      <c r="Q21" s="1920"/>
      <c r="R21" s="1920" t="s">
        <v>104</v>
      </c>
      <c r="S21" s="2160"/>
      <c r="T21" s="2160"/>
      <c r="U21" s="1920"/>
      <c r="V21" s="1920"/>
      <c r="W21" s="1920"/>
      <c r="X21" s="1920"/>
      <c r="Y21" s="2160"/>
      <c r="Z21" s="2161"/>
      <c r="AA21" s="1920"/>
      <c r="AB21" s="1920"/>
      <c r="AC21" s="1920"/>
      <c r="AD21" s="1920"/>
      <c r="AE21" s="1920"/>
      <c r="AF21" s="1923"/>
      <c r="AG21" s="1920"/>
      <c r="AI21" s="1894"/>
      <c r="AJ21" s="311"/>
      <c r="AK21" s="345"/>
      <c r="AL21" s="345"/>
    </row>
    <row r="22" spans="1:38" ht="16.399999999999999" customHeight="1">
      <c r="A22" s="1904" t="s">
        <v>123</v>
      </c>
      <c r="B22" s="1905"/>
      <c r="C22" s="1905"/>
      <c r="D22" s="1920"/>
      <c r="E22" s="1920"/>
      <c r="F22" s="1920"/>
      <c r="G22" s="1920"/>
      <c r="H22" s="1920"/>
      <c r="I22" s="1920"/>
      <c r="J22" s="1920"/>
      <c r="K22" s="1920"/>
      <c r="L22" s="1920"/>
      <c r="M22" s="1920"/>
      <c r="N22" s="1920"/>
      <c r="O22" s="1920"/>
      <c r="P22" s="1920"/>
      <c r="Q22" s="1920"/>
      <c r="R22" s="1920" t="s">
        <v>104</v>
      </c>
      <c r="S22" s="2160"/>
      <c r="T22" s="2160"/>
      <c r="U22" s="1920"/>
      <c r="V22" s="1920"/>
      <c r="W22" s="1920"/>
      <c r="X22" s="1920" t="s">
        <v>104</v>
      </c>
      <c r="Y22" s="2160"/>
      <c r="Z22" s="2161"/>
      <c r="AA22" s="1920"/>
      <c r="AB22" s="1920"/>
      <c r="AC22" s="1920"/>
      <c r="AD22" s="1920"/>
      <c r="AE22" s="1920"/>
      <c r="AF22" s="1923"/>
      <c r="AG22" s="1920"/>
      <c r="AI22" s="1894"/>
      <c r="AJ22" s="311"/>
      <c r="AK22" s="345"/>
      <c r="AL22" s="345"/>
    </row>
    <row r="23" spans="1:38" ht="16.399999999999999" customHeight="1">
      <c r="A23" s="1905" t="s">
        <v>124</v>
      </c>
      <c r="B23" s="1912" t="s">
        <v>104</v>
      </c>
      <c r="C23" s="1905"/>
      <c r="D23" s="1932" t="s">
        <v>104</v>
      </c>
      <c r="E23" s="1920"/>
      <c r="F23" s="1932" t="s">
        <v>104</v>
      </c>
      <c r="G23" s="1920"/>
      <c r="H23" s="1933"/>
      <c r="I23" s="1920"/>
      <c r="J23" s="1933"/>
      <c r="K23" s="1920"/>
      <c r="L23" s="1933"/>
      <c r="M23" s="1920"/>
      <c r="N23" s="1933"/>
      <c r="O23" s="1920"/>
      <c r="P23" s="1933"/>
      <c r="Q23" s="1920"/>
      <c r="R23" s="1933"/>
      <c r="S23" s="2160"/>
      <c r="T23" s="2160"/>
      <c r="U23" s="1920"/>
      <c r="V23" s="1933"/>
      <c r="W23" s="1920"/>
      <c r="X23" s="1933"/>
      <c r="Y23" s="2160"/>
      <c r="Z23" s="2161"/>
      <c r="AA23" s="1920"/>
      <c r="AB23" s="1933"/>
      <c r="AC23" s="1920"/>
      <c r="AD23" s="1933"/>
      <c r="AE23" s="1920"/>
      <c r="AF23" s="1923"/>
      <c r="AG23" s="1933"/>
      <c r="AI23" s="1934"/>
      <c r="AJ23" s="311"/>
      <c r="AK23" s="345"/>
      <c r="AL23" s="345"/>
    </row>
    <row r="24" spans="1:38" ht="18" customHeight="1">
      <c r="A24" s="1935" t="s">
        <v>125</v>
      </c>
      <c r="B24" s="1905"/>
      <c r="C24" s="1905"/>
      <c r="D24" s="1936">
        <f>+'Exhibit F'!R104</f>
        <v>2231.7000000000007</v>
      </c>
      <c r="E24" s="1920"/>
      <c r="F24" s="1920">
        <f>+'Exhibit F'!AC104</f>
        <v>16718.2</v>
      </c>
      <c r="G24" s="1920"/>
      <c r="H24" s="1921">
        <f>'Exhibit G'!R90</f>
        <v>1624.3</v>
      </c>
      <c r="I24" s="1920"/>
      <c r="J24" s="1920">
        <f>+'Exhibit G'!AD90</f>
        <v>9055.6</v>
      </c>
      <c r="K24" s="1920"/>
      <c r="L24" s="1933">
        <v>0</v>
      </c>
      <c r="M24" s="1920"/>
      <c r="N24" s="1933">
        <v>0</v>
      </c>
      <c r="O24" s="1920"/>
      <c r="P24" s="1921">
        <f>'Exhibit I'!S69</f>
        <v>5.0999999999999659</v>
      </c>
      <c r="Q24" s="1921"/>
      <c r="R24" s="1920">
        <f>+'Exhibit I'!AF69</f>
        <v>340.7</v>
      </c>
      <c r="S24" s="2160"/>
      <c r="T24" s="2160"/>
      <c r="U24" s="1920"/>
      <c r="V24" s="1920">
        <f>ROUND(SUM(D24)+SUM(H24)+SUM(L24)+SUM(P24),1)</f>
        <v>3861.1</v>
      </c>
      <c r="W24" s="1920" t="s">
        <v>104</v>
      </c>
      <c r="X24" s="1920">
        <f>ROUND(SUM(F24)+SUM(J24)+SUM(N24)+SUM(R24),1)</f>
        <v>26114.5</v>
      </c>
      <c r="Y24" s="2160"/>
      <c r="Z24" s="2161"/>
      <c r="AA24" s="1920"/>
      <c r="AB24" s="1922">
        <v>2867.5</v>
      </c>
      <c r="AC24" s="1920"/>
      <c r="AD24" s="1920">
        <f>'Exhibit F'!AF104+'Exhibit G'!AG90+'Exhibit I'!AI69</f>
        <v>22621.5</v>
      </c>
      <c r="AE24" s="1921"/>
      <c r="AF24" s="1937"/>
      <c r="AG24" s="1920">
        <f>ROUND(SUM(X24-AD24),1)</f>
        <v>3493</v>
      </c>
      <c r="AI24" s="1918">
        <f>ROUND(SUM((+X24-AD24)/ABS(AD24)),3)</f>
        <v>0.154</v>
      </c>
      <c r="AJ24" s="311"/>
      <c r="AK24" s="345"/>
      <c r="AL24" s="345"/>
    </row>
    <row r="25" spans="1:38" ht="18" customHeight="1">
      <c r="A25" s="1935" t="s">
        <v>126</v>
      </c>
      <c r="B25" s="1938"/>
      <c r="C25" s="1905"/>
      <c r="D25" s="1936">
        <f>+'Exhibit F'!R105</f>
        <v>0.19999999999999984</v>
      </c>
      <c r="E25" s="1920"/>
      <c r="F25" s="1920">
        <f>+'Exhibit F'!AC105</f>
        <v>2</v>
      </c>
      <c r="G25" s="1920"/>
      <c r="H25" s="1921">
        <f>'Exhibit G'!R91</f>
        <v>1.8999999999999992</v>
      </c>
      <c r="I25" s="1920"/>
      <c r="J25" s="1920">
        <f>+'Exhibit G'!AD91</f>
        <v>4</v>
      </c>
      <c r="K25" s="1920"/>
      <c r="L25" s="1933">
        <v>0</v>
      </c>
      <c r="M25" s="1920"/>
      <c r="N25" s="1933">
        <v>0</v>
      </c>
      <c r="O25" s="1920"/>
      <c r="P25" s="1921">
        <f>'Exhibit I'!S70</f>
        <v>58.099999999999994</v>
      </c>
      <c r="Q25" s="1921"/>
      <c r="R25" s="1920">
        <f>+'Exhibit I'!AF70</f>
        <v>510.7</v>
      </c>
      <c r="S25" s="2160"/>
      <c r="T25" s="2160"/>
      <c r="U25" s="1920"/>
      <c r="V25" s="1920">
        <f t="shared" ref="V25:V32" si="4">ROUND(SUM(D25)+SUM(H25)+SUM(L25)+SUM(P25),1)</f>
        <v>60.2</v>
      </c>
      <c r="W25" s="1920" t="s">
        <v>104</v>
      </c>
      <c r="X25" s="1920">
        <f t="shared" ref="X25:X32" si="5">ROUND(SUM(F25)+SUM(J25)+SUM(N25)+SUM(R25),1)</f>
        <v>516.70000000000005</v>
      </c>
      <c r="Y25" s="2160"/>
      <c r="Z25" s="2161"/>
      <c r="AA25" s="1920"/>
      <c r="AB25" s="1922">
        <v>13.3</v>
      </c>
      <c r="AC25" s="1921"/>
      <c r="AD25" s="1920">
        <f>'Exhibit F'!AF105+'Exhibit G'!AG91+'Exhibit I'!AI70</f>
        <v>223.79999999999998</v>
      </c>
      <c r="AE25" s="1920"/>
      <c r="AF25" s="1923"/>
      <c r="AG25" s="1920">
        <f t="shared" ref="AG25:AG33" si="6">ROUND(SUM(X25-AD25),1)</f>
        <v>292.89999999999998</v>
      </c>
      <c r="AI25" s="1939">
        <f t="shared" ref="AI25:AI32" si="7">ROUND(SUM((+X25-AD25)/ABS(AD25)),3)</f>
        <v>1.3089999999999999</v>
      </c>
      <c r="AJ25" s="311"/>
      <c r="AK25" s="345"/>
      <c r="AL25" s="345"/>
    </row>
    <row r="26" spans="1:38" ht="18" customHeight="1">
      <c r="A26" s="1935" t="s">
        <v>127</v>
      </c>
      <c r="B26" s="1940"/>
      <c r="C26" s="1905"/>
      <c r="D26" s="1936">
        <f>+'Exhibit F'!R106</f>
        <v>45.200000000000045</v>
      </c>
      <c r="E26" s="1920"/>
      <c r="F26" s="1920">
        <f>+'Exhibit F'!AC106</f>
        <v>784</v>
      </c>
      <c r="G26" s="1920"/>
      <c r="H26" s="1921">
        <f>'Exhibit G'!R92</f>
        <v>29.600000000000012</v>
      </c>
      <c r="I26" s="1920"/>
      <c r="J26" s="1920">
        <f>+'Exhibit G'!AD92</f>
        <v>173.3</v>
      </c>
      <c r="K26" s="1920"/>
      <c r="L26" s="1933">
        <v>0</v>
      </c>
      <c r="M26" s="1920"/>
      <c r="N26" s="1933">
        <v>0</v>
      </c>
      <c r="O26" s="1920"/>
      <c r="P26" s="1921">
        <f>'Exhibit I'!S71</f>
        <v>26.600000000000023</v>
      </c>
      <c r="Q26" s="1921"/>
      <c r="R26" s="1920">
        <f>+'Exhibit I'!AF71</f>
        <v>346.5</v>
      </c>
      <c r="S26" s="2160"/>
      <c r="T26" s="2160"/>
      <c r="U26" s="1920"/>
      <c r="V26" s="1920">
        <f t="shared" si="4"/>
        <v>101.4</v>
      </c>
      <c r="W26" s="1920" t="s">
        <v>104</v>
      </c>
      <c r="X26" s="1920">
        <f t="shared" si="5"/>
        <v>1303.8</v>
      </c>
      <c r="Y26" s="2160"/>
      <c r="Z26" s="2161"/>
      <c r="AA26" s="1920"/>
      <c r="AB26" s="325">
        <v>85.600000000000009</v>
      </c>
      <c r="AC26" s="1920"/>
      <c r="AD26" s="1920">
        <f>'Exhibit F'!AF106+'Exhibit G'!AG92+'Exhibit I'!AI71</f>
        <v>1864.8</v>
      </c>
      <c r="AE26" s="1920"/>
      <c r="AF26" s="1923"/>
      <c r="AG26" s="1920">
        <f t="shared" si="6"/>
        <v>-561</v>
      </c>
      <c r="AI26" s="1918">
        <f t="shared" si="7"/>
        <v>-0.30099999999999999</v>
      </c>
      <c r="AJ26" s="311"/>
      <c r="AK26" s="345"/>
      <c r="AL26" s="345"/>
    </row>
    <row r="27" spans="1:38" ht="18" customHeight="1">
      <c r="A27" s="1935" t="s">
        <v>128</v>
      </c>
      <c r="B27" s="1912"/>
      <c r="C27" s="1905"/>
      <c r="D27" s="1920"/>
      <c r="E27" s="1920"/>
      <c r="F27" s="1920"/>
      <c r="G27" s="1920"/>
      <c r="H27" s="1921"/>
      <c r="I27" s="1920"/>
      <c r="J27" s="1920" t="s">
        <v>104</v>
      </c>
      <c r="K27" s="1920"/>
      <c r="L27" s="1932" t="s">
        <v>104</v>
      </c>
      <c r="M27" s="1920"/>
      <c r="N27" s="1932" t="s">
        <v>104</v>
      </c>
      <c r="O27" s="1920"/>
      <c r="P27" s="1921"/>
      <c r="Q27" s="1921"/>
      <c r="R27" s="1920"/>
      <c r="S27" s="2160"/>
      <c r="T27" s="2160"/>
      <c r="U27" s="1920"/>
      <c r="V27" s="1920" t="s">
        <v>104</v>
      </c>
      <c r="W27" s="1920"/>
      <c r="X27" s="1920" t="s">
        <v>104</v>
      </c>
      <c r="Y27" s="2160"/>
      <c r="Z27" s="2161"/>
      <c r="AA27" s="1920"/>
      <c r="AB27" s="1920"/>
      <c r="AC27" s="1920"/>
      <c r="AD27" s="1920"/>
      <c r="AE27" s="1920"/>
      <c r="AF27" s="1923"/>
      <c r="AG27" s="1920"/>
      <c r="AI27" s="1918" t="s">
        <v>104</v>
      </c>
      <c r="AJ27" s="311"/>
      <c r="AK27" s="345"/>
      <c r="AL27" s="345"/>
    </row>
    <row r="28" spans="1:38" ht="18" customHeight="1">
      <c r="A28" s="1941" t="s">
        <v>129</v>
      </c>
      <c r="B28" s="1919"/>
      <c r="C28" s="1905"/>
      <c r="D28" s="1936">
        <f>+'Exhibit F'!R108</f>
        <v>1583.1999999999971</v>
      </c>
      <c r="E28" s="1920"/>
      <c r="F28" s="1920">
        <f>+'Exhibit F'!AC108</f>
        <v>18229.599999999999</v>
      </c>
      <c r="G28" s="1920"/>
      <c r="H28" s="1921">
        <f>'Exhibit G'!R94</f>
        <v>5788.2999999999975</v>
      </c>
      <c r="I28" s="1920"/>
      <c r="J28" s="1920">
        <f>+'Exhibit G'!AD94</f>
        <v>41346.6</v>
      </c>
      <c r="K28" s="1920"/>
      <c r="L28" s="1933">
        <v>0</v>
      </c>
      <c r="M28" s="1920"/>
      <c r="N28" s="1933">
        <v>0</v>
      </c>
      <c r="O28" s="1920"/>
      <c r="P28" s="1921">
        <f>'Exhibit I'!S73</f>
        <v>0</v>
      </c>
      <c r="Q28" s="1921"/>
      <c r="R28" s="1933">
        <f>+'Exhibit I'!AF73</f>
        <v>0</v>
      </c>
      <c r="S28" s="2160"/>
      <c r="T28" s="2160"/>
      <c r="U28" s="1920"/>
      <c r="V28" s="1920">
        <f t="shared" si="4"/>
        <v>7371.5</v>
      </c>
      <c r="W28" s="1920" t="s">
        <v>104</v>
      </c>
      <c r="X28" s="1920">
        <f t="shared" si="5"/>
        <v>59576.2</v>
      </c>
      <c r="Y28" s="2160"/>
      <c r="Z28" s="2161"/>
      <c r="AA28" s="1920"/>
      <c r="AB28" s="1922">
        <v>7519.7</v>
      </c>
      <c r="AC28" s="1920"/>
      <c r="AD28" s="1920">
        <f>'Exhibit F'!AF108+'Exhibit G'!AG94+'Exhibit I'!AI73</f>
        <v>53329.599999999991</v>
      </c>
      <c r="AE28" s="1920"/>
      <c r="AF28" s="1923"/>
      <c r="AG28" s="1920">
        <f t="shared" si="6"/>
        <v>6246.6</v>
      </c>
      <c r="AI28" s="1918">
        <f t="shared" si="7"/>
        <v>0.11700000000000001</v>
      </c>
      <c r="AJ28" s="311"/>
      <c r="AK28" s="1425"/>
      <c r="AL28" s="345"/>
    </row>
    <row r="29" spans="1:38" ht="18" customHeight="1">
      <c r="A29" s="1935" t="s">
        <v>130</v>
      </c>
      <c r="B29" s="1919"/>
      <c r="C29" s="1905"/>
      <c r="D29" s="1936">
        <f>+'Exhibit F'!R109</f>
        <v>41.599999999999909</v>
      </c>
      <c r="E29" s="1920"/>
      <c r="F29" s="1920">
        <f>+'Exhibit F'!AC109</f>
        <v>1495.8</v>
      </c>
      <c r="G29" s="1920"/>
      <c r="H29" s="1921">
        <f>'Exhibit G'!R95</f>
        <v>1192.4999999999995</v>
      </c>
      <c r="I29" s="1920"/>
      <c r="J29" s="1920">
        <f>+'Exhibit G'!AD95</f>
        <v>8828.2000000000007</v>
      </c>
      <c r="K29" s="1920"/>
      <c r="L29" s="1933">
        <v>0</v>
      </c>
      <c r="M29" s="1920"/>
      <c r="N29" s="1933">
        <v>0</v>
      </c>
      <c r="O29" s="1920"/>
      <c r="P29" s="1921">
        <f>'Exhibit I'!S74</f>
        <v>34.500000000000085</v>
      </c>
      <c r="Q29" s="1921"/>
      <c r="R29" s="1920">
        <f>+'Exhibit I'!AF74</f>
        <v>350.1</v>
      </c>
      <c r="S29" s="2160"/>
      <c r="T29" s="2160"/>
      <c r="U29" s="1920"/>
      <c r="V29" s="1920">
        <f t="shared" si="4"/>
        <v>1268.5999999999999</v>
      </c>
      <c r="W29" s="1920" t="s">
        <v>104</v>
      </c>
      <c r="X29" s="1920">
        <f t="shared" si="5"/>
        <v>10674.1</v>
      </c>
      <c r="Y29" s="2160"/>
      <c r="Z29" s="2161"/>
      <c r="AA29" s="1920"/>
      <c r="AB29" s="1922">
        <v>943.1</v>
      </c>
      <c r="AC29" s="1920"/>
      <c r="AD29" s="1920">
        <f>'Exhibit F'!AF109+'Exhibit G'!AG95+'Exhibit I'!AI74</f>
        <v>8008.1</v>
      </c>
      <c r="AE29" s="1920"/>
      <c r="AF29" s="1923"/>
      <c r="AG29" s="1920">
        <f t="shared" si="6"/>
        <v>2666</v>
      </c>
      <c r="AI29" s="1918">
        <f t="shared" si="7"/>
        <v>0.33300000000000002</v>
      </c>
      <c r="AJ29" s="311"/>
      <c r="AK29" s="345"/>
      <c r="AL29" s="345"/>
    </row>
    <row r="30" spans="1:38" ht="18" customHeight="1">
      <c r="A30" s="1935" t="s">
        <v>131</v>
      </c>
      <c r="B30" s="1912"/>
      <c r="C30" s="1905"/>
      <c r="D30" s="1936">
        <f>+'Exhibit F'!R110</f>
        <v>31</v>
      </c>
      <c r="E30" s="1920"/>
      <c r="F30" s="1920">
        <f>+'Exhibit F'!AC110</f>
        <v>205.4</v>
      </c>
      <c r="G30" s="1920"/>
      <c r="H30" s="1921">
        <f>'Exhibit G'!R96</f>
        <v>149.50000000000051</v>
      </c>
      <c r="I30" s="1920"/>
      <c r="J30" s="1920">
        <f>+'Exhibit G'!AD96</f>
        <v>3973.9</v>
      </c>
      <c r="K30" s="1920"/>
      <c r="L30" s="1933">
        <v>0</v>
      </c>
      <c r="M30" s="1920"/>
      <c r="N30" s="1933">
        <v>0</v>
      </c>
      <c r="O30" s="1920"/>
      <c r="P30" s="1921">
        <f>'Exhibit I'!S75</f>
        <v>3.4000000000000004</v>
      </c>
      <c r="Q30" s="1921"/>
      <c r="R30" s="1933">
        <f>+'Exhibit I'!AF75</f>
        <v>15.5</v>
      </c>
      <c r="S30" s="2160"/>
      <c r="T30" s="2160"/>
      <c r="U30" s="1920"/>
      <c r="V30" s="1920">
        <f t="shared" si="4"/>
        <v>183.9</v>
      </c>
      <c r="W30" s="1920" t="s">
        <v>104</v>
      </c>
      <c r="X30" s="1920">
        <f t="shared" si="5"/>
        <v>4194.8</v>
      </c>
      <c r="Y30" s="2160"/>
      <c r="Z30" s="2161"/>
      <c r="AA30" s="1920"/>
      <c r="AB30" s="1922">
        <v>152</v>
      </c>
      <c r="AC30" s="1920"/>
      <c r="AD30" s="1920">
        <f>'Exhibit F'!AF110+'Exhibit G'!AG96+'Exhibit I'!AI75</f>
        <v>1423.2</v>
      </c>
      <c r="AE30" s="1920"/>
      <c r="AF30" s="1923"/>
      <c r="AG30" s="1920">
        <f t="shared" si="6"/>
        <v>2771.6</v>
      </c>
      <c r="AI30" s="1939">
        <f t="shared" si="7"/>
        <v>1.9470000000000001</v>
      </c>
      <c r="AJ30" s="311"/>
      <c r="AK30" s="345"/>
      <c r="AL30" s="345"/>
    </row>
    <row r="31" spans="1:38" ht="18" customHeight="1">
      <c r="A31" s="1935" t="s">
        <v>132</v>
      </c>
      <c r="B31" s="1905"/>
      <c r="C31" s="1905"/>
      <c r="D31" s="1936">
        <f>+'Exhibit F'!R111</f>
        <v>506.90000000000049</v>
      </c>
      <c r="E31" s="1920"/>
      <c r="F31" s="1920">
        <f>+'Exhibit F'!AC111</f>
        <v>2546.8000000000002</v>
      </c>
      <c r="G31" s="1920"/>
      <c r="H31" s="1921">
        <f>'Exhibit G'!R97</f>
        <v>577.20000000000016</v>
      </c>
      <c r="I31" s="1920"/>
      <c r="J31" s="1920">
        <f>+'Exhibit G'!AD97</f>
        <v>3955.4</v>
      </c>
      <c r="K31" s="1920"/>
      <c r="L31" s="1933">
        <v>0</v>
      </c>
      <c r="M31" s="1920"/>
      <c r="N31" s="1933">
        <v>0</v>
      </c>
      <c r="O31" s="1920"/>
      <c r="P31" s="1921">
        <f>'Exhibit I'!S76</f>
        <v>123.1</v>
      </c>
      <c r="Q31" s="1921"/>
      <c r="R31" s="1920">
        <f>+'Exhibit I'!AF76</f>
        <v>717.2</v>
      </c>
      <c r="S31" s="2160"/>
      <c r="T31" s="2160"/>
      <c r="U31" s="1920"/>
      <c r="V31" s="1920">
        <f t="shared" si="4"/>
        <v>1207.2</v>
      </c>
      <c r="W31" s="1920" t="s">
        <v>104</v>
      </c>
      <c r="X31" s="1920">
        <f t="shared" si="5"/>
        <v>7219.4</v>
      </c>
      <c r="Y31" s="2160"/>
      <c r="Z31" s="2161"/>
      <c r="AA31" s="1920"/>
      <c r="AB31" s="1922">
        <v>517.70000000000005</v>
      </c>
      <c r="AC31" s="1920"/>
      <c r="AD31" s="1920">
        <f>'Exhibit F'!AF111+'Exhibit G'!AG97+'Exhibit I'!AI76</f>
        <v>6706.4999999999991</v>
      </c>
      <c r="AE31" s="1920"/>
      <c r="AF31" s="1923"/>
      <c r="AG31" s="1920">
        <f t="shared" si="6"/>
        <v>512.9</v>
      </c>
      <c r="AI31" s="1918">
        <f t="shared" si="7"/>
        <v>7.5999999999999998E-2</v>
      </c>
      <c r="AJ31" s="311"/>
      <c r="AK31" s="345"/>
      <c r="AL31" s="345"/>
    </row>
    <row r="32" spans="1:38" ht="18" customHeight="1">
      <c r="A32" s="1935" t="s">
        <v>133</v>
      </c>
      <c r="B32" s="1912"/>
      <c r="C32" s="1905"/>
      <c r="D32" s="1936">
        <f>+'Exhibit F'!R112</f>
        <v>8.8000000000000114</v>
      </c>
      <c r="E32" s="1920"/>
      <c r="F32" s="1920">
        <f>+'Exhibit F'!AC112</f>
        <v>112.4</v>
      </c>
      <c r="G32" s="1920"/>
      <c r="H32" s="1921">
        <f>'Exhibit G'!R98</f>
        <v>3.6000000000000156</v>
      </c>
      <c r="I32" s="1920"/>
      <c r="J32" s="1920">
        <f>+'Exhibit G'!AD98</f>
        <v>185.9</v>
      </c>
      <c r="K32" s="1920"/>
      <c r="L32" s="1933">
        <v>0</v>
      </c>
      <c r="M32" s="1920" t="s">
        <v>104</v>
      </c>
      <c r="N32" s="1933">
        <v>0</v>
      </c>
      <c r="O32" s="1920"/>
      <c r="P32" s="1921">
        <f>'Exhibit I'!S77</f>
        <v>55.30000000000004</v>
      </c>
      <c r="Q32" s="1921"/>
      <c r="R32" s="1920">
        <f>+'Exhibit I'!AF77</f>
        <v>554.20000000000005</v>
      </c>
      <c r="S32" s="2160"/>
      <c r="T32" s="2160"/>
      <c r="U32" s="1920"/>
      <c r="V32" s="1920">
        <f t="shared" si="4"/>
        <v>67.7</v>
      </c>
      <c r="W32" s="1920" t="s">
        <v>104</v>
      </c>
      <c r="X32" s="1920">
        <f t="shared" si="5"/>
        <v>852.5</v>
      </c>
      <c r="Y32" s="2160"/>
      <c r="Z32" s="2161"/>
      <c r="AA32" s="1920"/>
      <c r="AB32" s="1922">
        <v>161.69999999999999</v>
      </c>
      <c r="AC32" s="1920"/>
      <c r="AD32" s="1920">
        <f>'Exhibit F'!AF112+'Exhibit G'!AG98+'Exhibit I'!AI77</f>
        <v>1011.2</v>
      </c>
      <c r="AE32" s="1920"/>
      <c r="AF32" s="1923"/>
      <c r="AG32" s="1920">
        <f t="shared" si="6"/>
        <v>-158.69999999999999</v>
      </c>
      <c r="AI32" s="1918">
        <f t="shared" si="7"/>
        <v>-0.157</v>
      </c>
      <c r="AJ32" s="311"/>
      <c r="AK32" s="345"/>
      <c r="AL32" s="345"/>
    </row>
    <row r="33" spans="1:38" ht="18" customHeight="1">
      <c r="A33" s="1935" t="s">
        <v>134</v>
      </c>
      <c r="B33" s="1905"/>
      <c r="C33" s="1905"/>
      <c r="D33" s="1936">
        <f>+'Exhibit F'!R113</f>
        <v>44.400000000000006</v>
      </c>
      <c r="E33" s="1920"/>
      <c r="F33" s="1920">
        <f>+'Exhibit F'!AC113</f>
        <v>176.20000000000002</v>
      </c>
      <c r="G33" s="1920"/>
      <c r="H33" s="1921">
        <f>'Exhibit G'!R99</f>
        <v>685.69999999999982</v>
      </c>
      <c r="I33" s="1920"/>
      <c r="J33" s="1920">
        <f>+'Exhibit G'!AD99</f>
        <v>3407.1</v>
      </c>
      <c r="K33" s="1920"/>
      <c r="L33" s="1933">
        <v>0</v>
      </c>
      <c r="M33" s="1920"/>
      <c r="N33" s="1933">
        <v>0</v>
      </c>
      <c r="O33" s="1920"/>
      <c r="P33" s="1921">
        <f>'Exhibit I'!S78</f>
        <v>36.500000000000057</v>
      </c>
      <c r="Q33" s="1921"/>
      <c r="R33" s="1920">
        <f>+'Exhibit I'!AF78</f>
        <v>794.5</v>
      </c>
      <c r="S33" s="2160"/>
      <c r="T33" s="2160"/>
      <c r="U33" s="1920"/>
      <c r="V33" s="1920">
        <f>ROUND(SUM(D33)+SUM(H33)+SUM(L33)+SUM(P33),1)</f>
        <v>766.6</v>
      </c>
      <c r="W33" s="1920" t="s">
        <v>104</v>
      </c>
      <c r="X33" s="1920">
        <f>ROUND(SUM(F33)+SUM(J33)+SUM(N33)+SUM(R33),1)</f>
        <v>4377.8</v>
      </c>
      <c r="Y33" s="2160"/>
      <c r="Z33" s="2161"/>
      <c r="AA33" s="1920"/>
      <c r="AB33" s="325">
        <v>739.4</v>
      </c>
      <c r="AC33" s="1920"/>
      <c r="AD33" s="1920">
        <f>'Exhibit F'!AF113+'Exhibit G'!AG99+'Exhibit I'!AI78</f>
        <v>3850</v>
      </c>
      <c r="AE33" s="1920"/>
      <c r="AF33" s="1923"/>
      <c r="AG33" s="1920">
        <f t="shared" si="6"/>
        <v>527.79999999999995</v>
      </c>
      <c r="AI33" s="1918">
        <f>ROUND(SUM((+X33-AD33)/ABS(AD33)),3)</f>
        <v>0.13700000000000001</v>
      </c>
      <c r="AJ33" s="311"/>
      <c r="AK33" s="345"/>
      <c r="AL33" s="345"/>
    </row>
    <row r="34" spans="1:38" ht="18" customHeight="1">
      <c r="A34" s="1904" t="s">
        <v>135</v>
      </c>
      <c r="B34" s="1905"/>
      <c r="C34" s="1905"/>
      <c r="D34" s="1928">
        <f>ROUND(SUM(D24:D33),1)</f>
        <v>4493</v>
      </c>
      <c r="E34" s="1927"/>
      <c r="F34" s="1928">
        <f>ROUND(SUM(F24:F33),1)</f>
        <v>40270.400000000001</v>
      </c>
      <c r="G34" s="1927"/>
      <c r="H34" s="1928">
        <f>ROUND(SUM(H24:H33),1)</f>
        <v>10052.6</v>
      </c>
      <c r="I34" s="1927"/>
      <c r="J34" s="1928">
        <f>ROUND(SUM(J24:J33),1)</f>
        <v>70930</v>
      </c>
      <c r="K34" s="1927"/>
      <c r="L34" s="1928">
        <f>ROUND(SUM(L24:L33),1)</f>
        <v>0</v>
      </c>
      <c r="M34" s="1927"/>
      <c r="N34" s="2164">
        <f>ROUND(SUM(N24:N33),1)</f>
        <v>0</v>
      </c>
      <c r="O34" s="1927"/>
      <c r="P34" s="1925">
        <f>ROUND(SUM(P24:P33),1)</f>
        <v>342.6</v>
      </c>
      <c r="Q34" s="1927"/>
      <c r="R34" s="1925">
        <f>ROUND(SUM(R24:R33),1)</f>
        <v>3629.4</v>
      </c>
      <c r="S34" s="2162"/>
      <c r="T34" s="2162"/>
      <c r="U34" s="1927"/>
      <c r="V34" s="1928">
        <f>ROUND(SUM(V24:V33),1)</f>
        <v>14888.2</v>
      </c>
      <c r="W34" s="1927"/>
      <c r="X34" s="1928">
        <f>ROUND(SUM(X24:X33),1)</f>
        <v>114829.8</v>
      </c>
      <c r="Y34" s="2162"/>
      <c r="Z34" s="2163"/>
      <c r="AA34" s="1927"/>
      <c r="AB34" s="1928">
        <f>ROUND(SUM(AB23:AB33),1)</f>
        <v>13000</v>
      </c>
      <c r="AC34" s="1927"/>
      <c r="AD34" s="1928">
        <f>ROUND(SUM(AD23:AD33),1)</f>
        <v>99038.7</v>
      </c>
      <c r="AE34" s="1927"/>
      <c r="AF34" s="1929"/>
      <c r="AG34" s="1928">
        <f>ROUND(SUM(AG24:AG33),1)</f>
        <v>15791.1</v>
      </c>
      <c r="AH34" s="1930"/>
      <c r="AI34" s="1931">
        <f>ROUND(SUM((+X34-AD34)/ABS(AD34)),3)</f>
        <v>0.159</v>
      </c>
      <c r="AJ34" s="899"/>
      <c r="AK34" s="345"/>
      <c r="AL34" s="345"/>
    </row>
    <row r="35" spans="1:38" ht="18" customHeight="1">
      <c r="A35" s="1905" t="s">
        <v>136</v>
      </c>
      <c r="B35" s="1940"/>
      <c r="C35" s="1905"/>
      <c r="D35" s="1920"/>
      <c r="E35" s="1920"/>
      <c r="F35" s="1920"/>
      <c r="G35" s="1920"/>
      <c r="H35" s="1920"/>
      <c r="I35" s="1920"/>
      <c r="J35" s="1920"/>
      <c r="K35" s="1920"/>
      <c r="L35" s="1920"/>
      <c r="M35" s="1920"/>
      <c r="N35" s="1920"/>
      <c r="O35" s="1920"/>
      <c r="P35" s="1920"/>
      <c r="Q35" s="1920"/>
      <c r="R35" s="1920"/>
      <c r="S35" s="2160"/>
      <c r="T35" s="2160"/>
      <c r="U35" s="1920"/>
      <c r="V35" s="1920"/>
      <c r="W35" s="1920"/>
      <c r="X35" s="1920" t="s">
        <v>104</v>
      </c>
      <c r="Y35" s="2160"/>
      <c r="Z35" s="2161"/>
      <c r="AA35" s="1920"/>
      <c r="AB35" s="1920"/>
      <c r="AC35" s="1920"/>
      <c r="AD35" s="1920"/>
      <c r="AE35" s="1920"/>
      <c r="AF35" s="1923"/>
      <c r="AG35" s="1920"/>
      <c r="AI35" s="1894"/>
      <c r="AJ35" s="311"/>
      <c r="AK35" s="345"/>
      <c r="AL35" s="345"/>
    </row>
    <row r="36" spans="1:38" ht="18" customHeight="1">
      <c r="A36" s="1905" t="s">
        <v>137</v>
      </c>
      <c r="B36" s="1938"/>
      <c r="C36" s="1905"/>
      <c r="D36" s="1920">
        <f>+'Exhibit F'!R116</f>
        <v>1018.3000000000008</v>
      </c>
      <c r="E36" s="1920"/>
      <c r="F36" s="1920">
        <f>+'Exhibit F'!AC116</f>
        <v>6772</v>
      </c>
      <c r="G36" s="1920"/>
      <c r="H36" s="1921">
        <f>'Exhibit G'!R102</f>
        <v>646.80000000000064</v>
      </c>
      <c r="I36" s="1920"/>
      <c r="J36" s="1920">
        <f>+'Exhibit G'!AD102</f>
        <v>4268</v>
      </c>
      <c r="K36" s="1920"/>
      <c r="L36" s="1932">
        <v>0</v>
      </c>
      <c r="M36" s="1920"/>
      <c r="N36" s="1932">
        <v>0</v>
      </c>
      <c r="O36" s="1920"/>
      <c r="P36" s="1932">
        <f>'Exhibit I'!S81</f>
        <v>0</v>
      </c>
      <c r="Q36" s="1920"/>
      <c r="R36" s="1932">
        <f>+'Exhibit I'!AF81</f>
        <v>0</v>
      </c>
      <c r="S36" s="2160"/>
      <c r="T36" s="2160"/>
      <c r="U36" s="1920"/>
      <c r="V36" s="1920">
        <f>ROUND(SUM(D36)+SUM(H36)+SUM(L36)+SUM(P36),1)</f>
        <v>1665.1</v>
      </c>
      <c r="W36" s="1920" t="s">
        <v>104</v>
      </c>
      <c r="X36" s="1920">
        <f>ROUND(SUM(F36)+SUM(J36)+SUM(N36)+SUM(R36),1)</f>
        <v>11040</v>
      </c>
      <c r="Y36" s="2160"/>
      <c r="Z36" s="2161"/>
      <c r="AA36" s="1920"/>
      <c r="AB36" s="1922">
        <v>1252.2</v>
      </c>
      <c r="AC36" s="1920"/>
      <c r="AD36" s="1920">
        <f>'Exhibit F'!AF116+'Exhibit G'!AG102+'Exhibit I'!AI81</f>
        <v>10135.1</v>
      </c>
      <c r="AE36" s="1920"/>
      <c r="AF36" s="1923"/>
      <c r="AG36" s="1920">
        <f>ROUND(SUM(X36-AD36),1)</f>
        <v>904.9</v>
      </c>
      <c r="AI36" s="1918">
        <f>ROUND(SUM((+X36-AD36)/ABS(AD36)),3)</f>
        <v>8.8999999999999996E-2</v>
      </c>
      <c r="AJ36" s="311"/>
      <c r="AK36" s="345"/>
      <c r="AL36" s="345"/>
    </row>
    <row r="37" spans="1:38" ht="18" customHeight="1">
      <c r="A37" s="1905" t="s">
        <v>138</v>
      </c>
      <c r="B37" s="1940"/>
      <c r="C37" s="1905"/>
      <c r="D37" s="1920">
        <f>+'Exhibit F'!R117</f>
        <v>260.7999999999999</v>
      </c>
      <c r="E37" s="1920"/>
      <c r="F37" s="1920">
        <f>+'Exhibit F'!AC117</f>
        <v>1067</v>
      </c>
      <c r="G37" s="1920"/>
      <c r="H37" s="1921">
        <f>'Exhibit G'!R103</f>
        <v>443.29999999999995</v>
      </c>
      <c r="I37" s="1920"/>
      <c r="J37" s="1920">
        <f>+'Exhibit G'!AD103</f>
        <v>4186.3999999999996</v>
      </c>
      <c r="K37" s="1920"/>
      <c r="L37" s="1921">
        <f>+'Exhibit H'!P58</f>
        <v>1.6999999999999957</v>
      </c>
      <c r="M37" s="1920"/>
      <c r="N37" s="1920">
        <f>+'Exhibit H'!AA58</f>
        <v>38.4</v>
      </c>
      <c r="O37" s="1920" t="s">
        <v>104</v>
      </c>
      <c r="P37" s="1932">
        <f>'Exhibit I'!S82</f>
        <v>0</v>
      </c>
      <c r="Q37" s="1920"/>
      <c r="R37" s="1932">
        <f>+'Exhibit I'!AF82</f>
        <v>0</v>
      </c>
      <c r="S37" s="2160"/>
      <c r="T37" s="2160"/>
      <c r="U37" s="1920"/>
      <c r="V37" s="1920">
        <f>ROUND(SUM(D37)+SUM(H37)+SUM(L37)+SUM(P37),1)</f>
        <v>705.8</v>
      </c>
      <c r="W37" s="1920" t="s">
        <v>104</v>
      </c>
      <c r="X37" s="1920">
        <f>ROUND(SUM(F37)+SUM(J37)+SUM(N37)+SUM(R37),1)</f>
        <v>5291.8</v>
      </c>
      <c r="Y37" s="2160"/>
      <c r="Z37" s="2161"/>
      <c r="AA37" s="1920"/>
      <c r="AB37" s="1922">
        <v>711.3</v>
      </c>
      <c r="AC37" s="1920"/>
      <c r="AD37" s="1920">
        <f>'Exhibit F'!AF117+'Exhibit G'!AG103+'Exhibit I'!AI82+'Exhibit H'!AD58</f>
        <v>4854.3</v>
      </c>
      <c r="AE37" s="1920"/>
      <c r="AF37" s="1923"/>
      <c r="AG37" s="1920">
        <f>ROUND(SUM(X37-AD37),1)</f>
        <v>437.5</v>
      </c>
      <c r="AI37" s="1918">
        <f>ROUND(SUM((+X37-AD37)/ABS(AD37)),3)</f>
        <v>0.09</v>
      </c>
      <c r="AJ37" s="311"/>
      <c r="AK37" s="345"/>
      <c r="AL37" s="345"/>
    </row>
    <row r="38" spans="1:38" ht="18" customHeight="1">
      <c r="A38" s="1905" t="s">
        <v>139</v>
      </c>
      <c r="B38" s="1912"/>
      <c r="C38" s="1905"/>
      <c r="D38" s="1920">
        <f>+'Exhibit F'!R118</f>
        <v>426.80000000000018</v>
      </c>
      <c r="E38" s="1920"/>
      <c r="F38" s="1920">
        <f>+'Exhibit F'!AC118</f>
        <v>5293</v>
      </c>
      <c r="G38" s="2165"/>
      <c r="H38" s="1921">
        <f>'Exhibit G'!R104</f>
        <v>164.89999999999998</v>
      </c>
      <c r="I38" s="1920"/>
      <c r="J38" s="1920">
        <f>+'Exhibit G'!AD104</f>
        <v>946.1</v>
      </c>
      <c r="K38" s="1920"/>
      <c r="L38" s="1932">
        <v>0</v>
      </c>
      <c r="M38" s="1920"/>
      <c r="N38" s="1932">
        <v>0</v>
      </c>
      <c r="O38" s="1920"/>
      <c r="P38" s="1932">
        <f>'Exhibit I'!S83</f>
        <v>0</v>
      </c>
      <c r="Q38" s="1920"/>
      <c r="R38" s="1932">
        <f>+'Exhibit I'!AF83</f>
        <v>0</v>
      </c>
      <c r="S38" s="2160"/>
      <c r="T38" s="2160"/>
      <c r="U38" s="1920"/>
      <c r="V38" s="1920">
        <f>ROUND(SUM(D38)+SUM(H38)+SUM(L38)+SUM(P38),1)</f>
        <v>591.70000000000005</v>
      </c>
      <c r="W38" s="1920" t="s">
        <v>104</v>
      </c>
      <c r="X38" s="1920">
        <f>ROUND(SUM(F38)+SUM(J38)+SUM(N38)+SUM(R38),1)</f>
        <v>6239.1</v>
      </c>
      <c r="Y38" s="2160"/>
      <c r="Z38" s="2161"/>
      <c r="AA38" s="1920"/>
      <c r="AB38" s="1922">
        <v>559.5</v>
      </c>
      <c r="AC38" s="1920"/>
      <c r="AD38" s="1920">
        <f>'Exhibit F'!AF118+'Exhibit G'!AG104+'Exhibit I'!AI83</f>
        <v>6483.7999999999993</v>
      </c>
      <c r="AE38" s="1920"/>
      <c r="AF38" s="1923"/>
      <c r="AG38" s="1920">
        <f>ROUND(SUM(X38-AD38),1)</f>
        <v>-244.7</v>
      </c>
      <c r="AI38" s="1918">
        <f>ROUND(SUM((+X38-AD38)/ABS(AD38)),3)</f>
        <v>-3.7999999999999999E-2</v>
      </c>
      <c r="AJ38" s="311"/>
      <c r="AK38" s="345"/>
      <c r="AL38" s="345"/>
    </row>
    <row r="39" spans="1:38" ht="18" customHeight="1">
      <c r="A39" s="1905" t="s">
        <v>140</v>
      </c>
      <c r="B39" s="1905"/>
      <c r="C39" s="1905"/>
      <c r="D39" s="1920"/>
      <c r="E39" s="1920"/>
      <c r="F39" s="1920"/>
      <c r="G39" s="1920"/>
      <c r="H39" s="1920"/>
      <c r="I39" s="1920"/>
      <c r="J39" s="2166"/>
      <c r="K39" s="1920"/>
      <c r="L39" s="1920"/>
      <c r="M39" s="1920"/>
      <c r="N39" s="1920"/>
      <c r="O39" s="1920"/>
      <c r="P39" s="1932"/>
      <c r="Q39" s="1920"/>
      <c r="R39" s="1920"/>
      <c r="S39" s="2160"/>
      <c r="T39" s="2160"/>
      <c r="U39" s="1920"/>
      <c r="V39" s="1920"/>
      <c r="W39" s="1920"/>
      <c r="X39" s="1920"/>
      <c r="Y39" s="2160"/>
      <c r="Z39" s="2161"/>
      <c r="AA39" s="1920"/>
      <c r="AB39" s="1920"/>
      <c r="AC39" s="1920"/>
      <c r="AD39" s="1920"/>
      <c r="AE39" s="1920"/>
      <c r="AF39" s="1923"/>
      <c r="AG39" s="1920"/>
      <c r="AI39" s="1918"/>
      <c r="AJ39" s="311"/>
      <c r="AK39" s="345"/>
      <c r="AL39" s="345"/>
    </row>
    <row r="40" spans="1:38" ht="18" customHeight="1">
      <c r="A40" s="1905" t="s">
        <v>141</v>
      </c>
      <c r="B40" s="1912"/>
      <c r="C40" s="1905"/>
      <c r="D40" s="1932">
        <v>0</v>
      </c>
      <c r="E40" s="1920"/>
      <c r="F40" s="1932">
        <v>0</v>
      </c>
      <c r="G40" s="1920"/>
      <c r="H40" s="1921">
        <f>'Exhibit G'!R106</f>
        <v>0</v>
      </c>
      <c r="I40" s="1920"/>
      <c r="J40" s="1932">
        <f>'Exhibit G'!AD106</f>
        <v>0</v>
      </c>
      <c r="K40" s="1920"/>
      <c r="L40" s="1920">
        <f>+'Exhibit H'!P60</f>
        <v>13.799999999999955</v>
      </c>
      <c r="M40" s="1920"/>
      <c r="N40" s="1920">
        <f>+'Exhibit H'!AA60</f>
        <v>580.5</v>
      </c>
      <c r="O40" s="1920" t="s">
        <v>104</v>
      </c>
      <c r="P40" s="1932">
        <v>0</v>
      </c>
      <c r="Q40" s="1920"/>
      <c r="R40" s="1932">
        <v>0</v>
      </c>
      <c r="S40" s="2160"/>
      <c r="T40" s="2160"/>
      <c r="U40" s="1920"/>
      <c r="V40" s="1920">
        <f>ROUND(SUM(D40)+SUM(H40)+SUM(L40)+SUM(P40),1)</f>
        <v>13.8</v>
      </c>
      <c r="W40" s="1920" t="s">
        <v>104</v>
      </c>
      <c r="X40" s="1920">
        <f>ROUND(SUM(F40)+SUM(J40)+SUM(N40)+SUM(R40),1)</f>
        <v>580.5</v>
      </c>
      <c r="Y40" s="2160"/>
      <c r="Z40" s="2161"/>
      <c r="AA40" s="1920"/>
      <c r="AB40" s="1922">
        <v>12.8</v>
      </c>
      <c r="AC40" s="1920"/>
      <c r="AD40" s="1920">
        <f>'Exhibit H'!AD60+'Exhibit G Federal'!AG76</f>
        <v>1440.6</v>
      </c>
      <c r="AE40" s="1920"/>
      <c r="AF40" s="1923"/>
      <c r="AG40" s="1920">
        <f>ROUND(SUM(X40-AD40),1)</f>
        <v>-860.1</v>
      </c>
      <c r="AI40" s="1918">
        <f>ROUND(SUM((+X40-AD40)/ABS(AD40)),3)</f>
        <v>-0.59699999999999998</v>
      </c>
      <c r="AJ40" s="900"/>
      <c r="AK40" s="345"/>
      <c r="AL40" s="345"/>
    </row>
    <row r="41" spans="1:38" ht="18" customHeight="1">
      <c r="A41" s="1905" t="s">
        <v>142</v>
      </c>
      <c r="B41" s="1912" t="s">
        <v>143</v>
      </c>
      <c r="C41" s="1905"/>
      <c r="D41" s="1932">
        <v>0</v>
      </c>
      <c r="E41" s="1920"/>
      <c r="F41" s="1932">
        <v>0</v>
      </c>
      <c r="G41" s="1920"/>
      <c r="H41" s="1921">
        <f>'Exhibit G'!R107</f>
        <v>0</v>
      </c>
      <c r="I41" s="1920"/>
      <c r="J41" s="1920">
        <f>+'Exhibit G'!AD107</f>
        <v>0</v>
      </c>
      <c r="K41" s="1920"/>
      <c r="L41" s="1932">
        <v>0</v>
      </c>
      <c r="M41" s="1920"/>
      <c r="N41" s="1932">
        <v>0</v>
      </c>
      <c r="O41" s="1920"/>
      <c r="P41" s="1921">
        <f>'Exhibit I'!S84</f>
        <v>816.39999999999895</v>
      </c>
      <c r="Q41" s="1920"/>
      <c r="R41" s="1942">
        <f>+'Exhibit I'!AF84</f>
        <v>5730.3</v>
      </c>
      <c r="S41" s="2160"/>
      <c r="T41" s="2160"/>
      <c r="U41" s="1920"/>
      <c r="V41" s="1920">
        <f>ROUND(SUM(D41)+SUM(H41)+SUM(L41)+SUM(P41),1)</f>
        <v>816.4</v>
      </c>
      <c r="W41" s="1920" t="s">
        <v>104</v>
      </c>
      <c r="X41" s="1920">
        <f>ROUND(SUM(F41)+SUM(J41)+SUM(N41)+SUM(R41),1)</f>
        <v>5730.3</v>
      </c>
      <c r="Y41" s="2160"/>
      <c r="Z41" s="2161"/>
      <c r="AA41" s="1920"/>
      <c r="AB41" s="1922">
        <v>765.6</v>
      </c>
      <c r="AC41" s="1920"/>
      <c r="AD41" s="1920">
        <f>'Exhibit G'!AG107+'Exhibit I'!AI84</f>
        <v>5439.5</v>
      </c>
      <c r="AE41" s="1920"/>
      <c r="AF41" s="1923"/>
      <c r="AG41" s="1920">
        <f>ROUND(SUM(X41-AD41),1)</f>
        <v>290.8</v>
      </c>
      <c r="AI41" s="1918">
        <f>ROUND(SUM((+X41-AD41)/ABS(AD41)),3)</f>
        <v>5.2999999999999999E-2</v>
      </c>
      <c r="AJ41" s="900"/>
      <c r="AK41" s="345" t="s">
        <v>104</v>
      </c>
      <c r="AL41" s="345"/>
    </row>
    <row r="42" spans="1:38" ht="18" customHeight="1">
      <c r="A42" s="1904" t="s">
        <v>144</v>
      </c>
      <c r="B42" s="1905"/>
      <c r="C42" s="1905"/>
      <c r="D42" s="1928">
        <f>ROUND(SUM(D34:D41),1)</f>
        <v>6198.9</v>
      </c>
      <c r="E42" s="1927"/>
      <c r="F42" s="1928">
        <f>ROUND(SUM(F34:F41),1)</f>
        <v>53402.400000000001</v>
      </c>
      <c r="G42" s="1927"/>
      <c r="H42" s="1928">
        <f>ROUND(SUM(H34:H41),1)</f>
        <v>11307.6</v>
      </c>
      <c r="I42" s="1927"/>
      <c r="J42" s="1928">
        <f>ROUND(SUM(J34:J41),1)</f>
        <v>80330.5</v>
      </c>
      <c r="K42" s="1927"/>
      <c r="L42" s="1928">
        <f>ROUND(SUM(L34:L41),1)</f>
        <v>15.5</v>
      </c>
      <c r="M42" s="1927"/>
      <c r="N42" s="1928">
        <f>ROUND(SUM(N34:N41),1)</f>
        <v>618.9</v>
      </c>
      <c r="O42" s="1927"/>
      <c r="P42" s="1928">
        <f>ROUND(SUM(P34:P41),1)</f>
        <v>1159</v>
      </c>
      <c r="Q42" s="1927"/>
      <c r="R42" s="1928">
        <f>ROUND(SUM(R34:R41),1)</f>
        <v>9359.7000000000007</v>
      </c>
      <c r="S42" s="2162"/>
      <c r="T42" s="2162"/>
      <c r="U42" s="1927"/>
      <c r="V42" s="1928">
        <f>ROUND(SUM(V34:V41),1)</f>
        <v>18681</v>
      </c>
      <c r="W42" s="1927"/>
      <c r="X42" s="1928">
        <f>ROUND(SUM(X34:X41),1)</f>
        <v>143711.5</v>
      </c>
      <c r="Y42" s="2162"/>
      <c r="Z42" s="2163"/>
      <c r="AA42" s="1927"/>
      <c r="AB42" s="1928">
        <f>ROUND(SUM(AB34:AB41),1)</f>
        <v>16301.4</v>
      </c>
      <c r="AC42" s="1927"/>
      <c r="AD42" s="1928">
        <f>ROUND(SUM(AD34:AD41),1)</f>
        <v>127392</v>
      </c>
      <c r="AE42" s="1927"/>
      <c r="AF42" s="1929"/>
      <c r="AG42" s="1928">
        <f>ROUND(SUM(AG34:AG41),1)</f>
        <v>16319.5</v>
      </c>
      <c r="AH42" s="1930"/>
      <c r="AI42" s="1931">
        <f>ROUND(SUM((+X42-AD42)/ABS(AD42)),3)</f>
        <v>0.128</v>
      </c>
      <c r="AJ42" s="899"/>
      <c r="AK42" s="345"/>
      <c r="AL42" s="345"/>
    </row>
    <row r="43" spans="1:38" ht="16.399999999999999" customHeight="1">
      <c r="A43" s="1904"/>
      <c r="B43" s="1905"/>
      <c r="C43" s="1905"/>
      <c r="D43" s="1920"/>
      <c r="E43" s="1920"/>
      <c r="F43" s="1920"/>
      <c r="G43" s="1920"/>
      <c r="H43" s="1920"/>
      <c r="I43" s="1920"/>
      <c r="J43" s="1920"/>
      <c r="K43" s="1920"/>
      <c r="L43" s="1920"/>
      <c r="M43" s="1920"/>
      <c r="N43" s="1920"/>
      <c r="O43" s="1920"/>
      <c r="P43" s="1921"/>
      <c r="Q43" s="1920"/>
      <c r="R43" s="1920"/>
      <c r="S43" s="2160"/>
      <c r="T43" s="2160"/>
      <c r="U43" s="1920"/>
      <c r="V43" s="1920"/>
      <c r="W43" s="1920"/>
      <c r="X43" s="1920"/>
      <c r="Y43" s="2160"/>
      <c r="Z43" s="2161"/>
      <c r="AA43" s="1920"/>
      <c r="AB43" s="1920" t="s">
        <v>104</v>
      </c>
      <c r="AC43" s="1920"/>
      <c r="AD43" s="1920"/>
      <c r="AE43" s="1920"/>
      <c r="AF43" s="1923"/>
      <c r="AG43" s="1920"/>
      <c r="AI43" s="1894"/>
      <c r="AJ43" s="311"/>
      <c r="AK43" s="345"/>
      <c r="AL43" s="345"/>
    </row>
    <row r="44" spans="1:38" ht="16.399999999999999" customHeight="1">
      <c r="A44" s="1904" t="s">
        <v>145</v>
      </c>
      <c r="B44" s="1904"/>
      <c r="C44" s="1905"/>
      <c r="D44" s="1920"/>
      <c r="E44" s="1920"/>
      <c r="F44" s="1920"/>
      <c r="G44" s="1920"/>
      <c r="H44" s="1920"/>
      <c r="I44" s="1920"/>
      <c r="J44" s="1920"/>
      <c r="K44" s="1920"/>
      <c r="L44" s="1920" t="s">
        <v>104</v>
      </c>
      <c r="M44" s="1920"/>
      <c r="N44" s="1920"/>
      <c r="O44" s="1920"/>
      <c r="P44" s="1921"/>
      <c r="Q44" s="1920"/>
      <c r="R44" s="1920"/>
      <c r="S44" s="2160"/>
      <c r="T44" s="2160"/>
      <c r="U44" s="1920"/>
      <c r="V44" s="1920"/>
      <c r="W44" s="1920"/>
      <c r="X44" s="1920"/>
      <c r="Y44" s="2160"/>
      <c r="Z44" s="2161"/>
      <c r="AA44" s="1920"/>
      <c r="AB44" s="1920"/>
      <c r="AC44" s="1920"/>
      <c r="AD44" s="1920"/>
      <c r="AE44" s="1920"/>
      <c r="AF44" s="1923"/>
      <c r="AG44" s="1920"/>
      <c r="AI44" s="1894"/>
      <c r="AJ44" s="311"/>
      <c r="AK44" s="345"/>
      <c r="AL44" s="345"/>
    </row>
    <row r="45" spans="1:38" ht="16.399999999999999" customHeight="1">
      <c r="A45" s="1904" t="s">
        <v>146</v>
      </c>
      <c r="B45" s="1904"/>
      <c r="C45" s="1905"/>
      <c r="D45" s="1943">
        <f>ROUND(SUM(D20-D42),1)</f>
        <v>-3108.9</v>
      </c>
      <c r="E45" s="1927"/>
      <c r="F45" s="1943">
        <f>ROUND(SUM(F20-F42),1)</f>
        <v>-18806.099999999999</v>
      </c>
      <c r="G45" s="1927"/>
      <c r="H45" s="1943">
        <f>ROUND(SUM(H20-H42),1)</f>
        <v>-1504.3</v>
      </c>
      <c r="I45" s="1927"/>
      <c r="J45" s="1943">
        <f>ROUND(SUM(J20-J42),1)</f>
        <v>-308</v>
      </c>
      <c r="K45" s="1927"/>
      <c r="L45" s="1943">
        <f>ROUND(SUM(L20-L42),1)</f>
        <v>2547.6999999999998</v>
      </c>
      <c r="M45" s="1927" t="s">
        <v>104</v>
      </c>
      <c r="N45" s="1943">
        <f>ROUND(SUM(N20-N42),1)</f>
        <v>24780</v>
      </c>
      <c r="O45" s="1927" t="s">
        <v>104</v>
      </c>
      <c r="P45" s="2167">
        <f>ROUND(SUM(P20-P42),1)</f>
        <v>-651.5</v>
      </c>
      <c r="Q45" s="1927" t="s">
        <v>104</v>
      </c>
      <c r="R45" s="2167">
        <f>ROUND(SUM(R20-R42),1)</f>
        <v>-2765.1</v>
      </c>
      <c r="S45" s="2162"/>
      <c r="T45" s="2162"/>
      <c r="U45" s="1927"/>
      <c r="V45" s="1943">
        <f>ROUND(SUM(V20-V42),1)</f>
        <v>-2717</v>
      </c>
      <c r="W45" s="1927" t="s">
        <v>104</v>
      </c>
      <c r="X45" s="1943">
        <f>ROUND(SUM(X20-X42),1)</f>
        <v>2900.8</v>
      </c>
      <c r="Y45" s="2162"/>
      <c r="Z45" s="2163"/>
      <c r="AA45" s="1927"/>
      <c r="AB45" s="1943">
        <f>ROUND(SUM(AB20-AB42),1)</f>
        <v>-3335.1</v>
      </c>
      <c r="AC45" s="1927"/>
      <c r="AD45" s="1943">
        <f>ROUND(SUM(AD20-AD42),1)</f>
        <v>14071.2</v>
      </c>
      <c r="AE45" s="1927"/>
      <c r="AF45" s="1929"/>
      <c r="AG45" s="1943">
        <f>ROUND(SUM(X45-AD45),1)</f>
        <v>-11170.4</v>
      </c>
      <c r="AH45" s="1930"/>
      <c r="AI45" s="1944">
        <f>ROUND(SUM((+X45-AD45)/ABS(AD45)),3)</f>
        <v>-0.79400000000000004</v>
      </c>
      <c r="AJ45" s="899"/>
      <c r="AK45" s="345"/>
      <c r="AL45" s="345"/>
    </row>
    <row r="46" spans="1:38" ht="16.399999999999999" customHeight="1">
      <c r="A46" s="1905"/>
      <c r="B46" s="1905"/>
      <c r="C46" s="1905"/>
      <c r="D46" s="1920"/>
      <c r="E46" s="1920"/>
      <c r="F46" s="1920"/>
      <c r="G46" s="1920"/>
      <c r="H46" s="1920"/>
      <c r="I46" s="1920"/>
      <c r="J46" s="1920"/>
      <c r="K46" s="1920"/>
      <c r="L46" s="1920"/>
      <c r="M46" s="1920"/>
      <c r="N46" s="1920"/>
      <c r="O46" s="1920"/>
      <c r="P46" s="1921"/>
      <c r="Q46" s="1920"/>
      <c r="R46" s="1920"/>
      <c r="S46" s="2160"/>
      <c r="T46" s="2160"/>
      <c r="U46" s="1920"/>
      <c r="V46" s="1920"/>
      <c r="W46" s="1920"/>
      <c r="X46" s="1920"/>
      <c r="Y46" s="2160"/>
      <c r="Z46" s="2161"/>
      <c r="AA46" s="1920"/>
      <c r="AB46" s="1920"/>
      <c r="AC46" s="1920"/>
      <c r="AD46" s="1920"/>
      <c r="AE46" s="1920"/>
      <c r="AF46" s="1923"/>
      <c r="AG46" s="1920"/>
      <c r="AI46" s="1894"/>
      <c r="AJ46" s="311"/>
      <c r="AK46" s="345"/>
      <c r="AL46" s="345"/>
    </row>
    <row r="47" spans="1:38" ht="16.399999999999999" customHeight="1">
      <c r="A47" s="1904" t="s">
        <v>147</v>
      </c>
      <c r="B47" s="1904"/>
      <c r="C47" s="1905"/>
      <c r="D47" s="1920"/>
      <c r="E47" s="1920"/>
      <c r="F47" s="1920"/>
      <c r="G47" s="1920"/>
      <c r="H47" s="1920"/>
      <c r="I47" s="1920"/>
      <c r="J47" s="1920"/>
      <c r="K47" s="1920"/>
      <c r="L47" s="1920"/>
      <c r="M47" s="1920"/>
      <c r="N47" s="1920"/>
      <c r="O47" s="1920"/>
      <c r="P47" s="1921"/>
      <c r="Q47" s="1920"/>
      <c r="R47" s="1920"/>
      <c r="S47" s="2160"/>
      <c r="T47" s="2160"/>
      <c r="U47" s="1920"/>
      <c r="V47" s="1920"/>
      <c r="W47" s="1920"/>
      <c r="X47" s="1920"/>
      <c r="Y47" s="2160"/>
      <c r="Z47" s="2161"/>
      <c r="AA47" s="1920"/>
      <c r="AB47" s="1920"/>
      <c r="AC47" s="1920"/>
      <c r="AD47" s="1920"/>
      <c r="AE47" s="1920"/>
      <c r="AF47" s="1923"/>
      <c r="AG47" s="1920"/>
      <c r="AI47" s="1894"/>
      <c r="AJ47" s="311"/>
      <c r="AK47" s="345"/>
      <c r="AL47" s="345"/>
    </row>
    <row r="48" spans="1:38" ht="18" customHeight="1">
      <c r="A48" s="1905" t="s">
        <v>148</v>
      </c>
      <c r="B48" s="1905"/>
      <c r="C48" s="1905"/>
      <c r="D48" s="1932">
        <v>0</v>
      </c>
      <c r="E48" s="1920"/>
      <c r="F48" s="1932">
        <v>0</v>
      </c>
      <c r="G48" s="1920"/>
      <c r="H48" s="1932">
        <v>0</v>
      </c>
      <c r="I48" s="1920"/>
      <c r="J48" s="1932">
        <v>0</v>
      </c>
      <c r="K48" s="1920"/>
      <c r="L48" s="1932">
        <v>0</v>
      </c>
      <c r="M48" s="1920"/>
      <c r="N48" s="1932">
        <v>0</v>
      </c>
      <c r="O48" s="1920"/>
      <c r="P48" s="1932">
        <f>+'Exhibit I'!S92</f>
        <v>0</v>
      </c>
      <c r="Q48" s="1920"/>
      <c r="R48" s="1932">
        <f>'Exhibit I'!AF92</f>
        <v>505</v>
      </c>
      <c r="S48" s="2160"/>
      <c r="T48" s="2160"/>
      <c r="U48" s="1920"/>
      <c r="V48" s="1920">
        <f>ROUND(SUM(D48)+SUM(H48)+SUM(L48)+SUM(P48),1)</f>
        <v>0</v>
      </c>
      <c r="W48" s="1932"/>
      <c r="X48" s="1920">
        <f>ROUND(SUM(F48)+SUM(J48)+SUM(N48)+SUM(R48),1)</f>
        <v>505</v>
      </c>
      <c r="Y48" s="2168"/>
      <c r="Z48" s="2169"/>
      <c r="AA48" s="1965"/>
      <c r="AB48" s="1922">
        <v>0</v>
      </c>
      <c r="AC48" s="1932"/>
      <c r="AD48" s="1933">
        <f>'Exhibit I'!AI92</f>
        <v>0</v>
      </c>
      <c r="AE48" s="1932"/>
      <c r="AF48" s="1945"/>
      <c r="AG48" s="1920">
        <f>X48-AD48</f>
        <v>505</v>
      </c>
      <c r="AI48" s="1918">
        <f>ROUND(IF(AD48=0,1,AG48/ABS(AD48)),3)</f>
        <v>1</v>
      </c>
      <c r="AJ48" s="900"/>
      <c r="AK48" s="345"/>
      <c r="AL48" s="345"/>
    </row>
    <row r="49" spans="1:40" ht="18" customHeight="1">
      <c r="A49" s="1905" t="s">
        <v>149</v>
      </c>
      <c r="B49" s="1912" t="s">
        <v>150</v>
      </c>
      <c r="C49" s="1905"/>
      <c r="D49" s="1920">
        <f>+'Exhibit F'!R127+'Exhibit F'!R128+'Exhibit F'!R129+'Exhibit F'!R130</f>
        <v>2589.2999999999965</v>
      </c>
      <c r="E49" s="1920"/>
      <c r="F49" s="1920">
        <f>+'Exhibit F'!AC127+'Exhibit F'!AC128+'Exhibit F'!AC129+'Exhibit F'!AC130</f>
        <v>25578.799999999999</v>
      </c>
      <c r="G49" s="1920"/>
      <c r="H49" s="1920">
        <f>'Exhibit G'!R115-17.3</f>
        <v>307.3</v>
      </c>
      <c r="I49" s="1920"/>
      <c r="J49" s="1920">
        <f>+'Exhibit G'!AD115</f>
        <v>2206.9</v>
      </c>
      <c r="K49" s="1920"/>
      <c r="L49" s="1920">
        <f>+'Exhibit H'!P68</f>
        <v>427.5</v>
      </c>
      <c r="M49" s="1920"/>
      <c r="N49" s="1920">
        <f>+'Exhibit H'!AA68</f>
        <v>1234.2</v>
      </c>
      <c r="O49" s="1920"/>
      <c r="P49" s="1932">
        <f>'Exhibit I'!S93</f>
        <v>477.90000000000009</v>
      </c>
      <c r="Q49" s="1920"/>
      <c r="R49" s="1920">
        <f>+'Exhibit I'!AF93</f>
        <v>1917.9</v>
      </c>
      <c r="S49" s="2160"/>
      <c r="T49" s="2160"/>
      <c r="U49" s="1920"/>
      <c r="V49" s="1920">
        <f>ROUND(SUM(D49)+SUM(H49)+SUM(L49)+SUM(P49),1)</f>
        <v>3802</v>
      </c>
      <c r="W49" s="1920" t="s">
        <v>104</v>
      </c>
      <c r="X49" s="1920">
        <f>ROUND(SUM(F49)+SUM(J49)+SUM(N49)+SUM(R49),1)</f>
        <v>30937.8</v>
      </c>
      <c r="Y49" s="2168"/>
      <c r="Z49" s="2169"/>
      <c r="AA49" s="1965"/>
      <c r="AB49" s="1922">
        <v>2749.2000000000003</v>
      </c>
      <c r="AC49" s="1920"/>
      <c r="AD49" s="1920">
        <f>'Exhibit F'!AF127+'Exhibit F'!AF128+'Exhibit F'!AF129+'Exhibit F'!AF130+'Exhibit G'!AG115+'Exhibit H'!AD68+'Exhibit I'!AI93</f>
        <v>34614</v>
      </c>
      <c r="AE49" s="1920"/>
      <c r="AF49" s="1923"/>
      <c r="AG49" s="1920">
        <f>ROUND(SUM(X49-AD49),1)</f>
        <v>-3676.2</v>
      </c>
      <c r="AI49" s="1918">
        <f>ROUND(SUM((+X49-AD49)/ABS(AD49)),3)</f>
        <v>-0.106</v>
      </c>
      <c r="AJ49" s="311"/>
      <c r="AK49" s="345"/>
      <c r="AL49" s="345"/>
    </row>
    <row r="50" spans="1:40" ht="18" customHeight="1">
      <c r="A50" s="1905" t="s">
        <v>151</v>
      </c>
      <c r="B50" s="1912" t="s">
        <v>150</v>
      </c>
      <c r="C50" s="1905"/>
      <c r="D50" s="1920">
        <f>+'Exhibit F'!R131+'Exhibit F'!R133+'Exhibit F'!R134+'Exhibit F'!R132</f>
        <v>-778.99999999999932</v>
      </c>
      <c r="E50" s="1920"/>
      <c r="F50" s="1920">
        <f>+'Exhibit F'!AC131+'Exhibit F'!AC133+'Exhibit F'!AC134+'Exhibit F'!AC132</f>
        <v>-4096.9999999999991</v>
      </c>
      <c r="G50" s="1920"/>
      <c r="H50" s="1920">
        <f>'Exhibit G'!R116+17.3</f>
        <v>-424.09999999999997</v>
      </c>
      <c r="I50" s="1920"/>
      <c r="J50" s="1920">
        <f>+'Exhibit G'!AD116</f>
        <v>-1273.2</v>
      </c>
      <c r="K50" s="1920"/>
      <c r="L50" s="1920">
        <f>+'Exhibit H'!P69</f>
        <v>-2599.4000000000015</v>
      </c>
      <c r="M50" s="1920"/>
      <c r="N50" s="1920">
        <f>+'Exhibit H'!AA69</f>
        <v>-25519.200000000001</v>
      </c>
      <c r="O50" s="1920"/>
      <c r="P50" s="1932">
        <f>'Exhibit I'!S94</f>
        <v>-6.6000000000000156</v>
      </c>
      <c r="Q50" s="1920"/>
      <c r="R50" s="1920">
        <f>+'Exhibit I'!AF94</f>
        <v>-71.099999999999994</v>
      </c>
      <c r="S50" s="2160"/>
      <c r="T50" s="2160"/>
      <c r="U50" s="1920"/>
      <c r="V50" s="1920">
        <f>ROUND(SUM(D50)+SUM(H50)+SUM(L50)+SUM(P50),1)</f>
        <v>-3809.1</v>
      </c>
      <c r="W50" s="1920" t="s">
        <v>104</v>
      </c>
      <c r="X50" s="1920">
        <f>ROUND(SUM(F50)+SUM(J50)+SUM(N50)+SUM(R50),1)</f>
        <v>-30960.5</v>
      </c>
      <c r="Y50" s="2168"/>
      <c r="Z50" s="2169"/>
      <c r="AA50" s="1965"/>
      <c r="AB50" s="1922">
        <v>-2759.4</v>
      </c>
      <c r="AC50" s="1920"/>
      <c r="AD50" s="1920">
        <f>'Exhibit F'!AF131+'Exhibit F'!AF132+'Exhibit F'!AF133+'Exhibit F'!AF134+'Exhibit G'!AG116+'Exhibit H'!AD69+'Exhibit I'!AI94</f>
        <v>-34686.300000000003</v>
      </c>
      <c r="AE50" s="1920"/>
      <c r="AF50" s="1923"/>
      <c r="AG50" s="1942">
        <f>ROUND(SUM(X50-AD50),1)*-1</f>
        <v>-3725.8</v>
      </c>
      <c r="AI50" s="1946">
        <f>-ROUND(SUM((+X50-AD50)/ABS(AD50)),3)</f>
        <v>-0.107</v>
      </c>
      <c r="AJ50" s="311"/>
      <c r="AK50" s="345"/>
      <c r="AL50" s="345"/>
    </row>
    <row r="51" spans="1:40" ht="18" customHeight="1">
      <c r="A51" s="1904" t="s">
        <v>152</v>
      </c>
      <c r="B51" s="1904"/>
      <c r="C51" s="1905"/>
      <c r="D51" s="1928">
        <f>ROUND(SUM(D48:D50),1)</f>
        <v>1810.3</v>
      </c>
      <c r="E51" s="1920"/>
      <c r="F51" s="1928">
        <f>ROUND(SUM(F48:F50),1)</f>
        <v>21481.8</v>
      </c>
      <c r="G51" s="1927"/>
      <c r="H51" s="1928">
        <f>ROUND(SUM(H48:H50),1)</f>
        <v>-116.8</v>
      </c>
      <c r="I51" s="1927"/>
      <c r="J51" s="1928">
        <f>ROUND(SUM(J48:J50),1)</f>
        <v>933.7</v>
      </c>
      <c r="K51" s="1927"/>
      <c r="L51" s="1928">
        <f>ROUND(SUM(L48:L50),1)</f>
        <v>-2171.9</v>
      </c>
      <c r="M51" s="1927"/>
      <c r="N51" s="1928">
        <f>ROUND(SUM(N48:N50),1)</f>
        <v>-24285</v>
      </c>
      <c r="O51" s="1927"/>
      <c r="P51" s="1928">
        <f>ROUND(SUM(P48:P50),1)</f>
        <v>471.3</v>
      </c>
      <c r="Q51" s="1927"/>
      <c r="R51" s="1928">
        <f>ROUND(SUM(R48:R50),1)</f>
        <v>2351.8000000000002</v>
      </c>
      <c r="S51" s="2162"/>
      <c r="T51" s="2162"/>
      <c r="U51" s="1927"/>
      <c r="V51" s="1947">
        <f>ROUND(SUM(V48+V49+V50),1)</f>
        <v>-7.1</v>
      </c>
      <c r="W51" s="1927"/>
      <c r="X51" s="1947">
        <f>ROUND(SUM(+X48+X49+X50),1)</f>
        <v>482.3</v>
      </c>
      <c r="Y51" s="2170"/>
      <c r="Z51" s="2171"/>
      <c r="AA51" s="1966"/>
      <c r="AB51" s="1947">
        <f>ROUND(SUM(+AB48+AB49+AB50),1)</f>
        <v>-10.199999999999999</v>
      </c>
      <c r="AC51" s="1927"/>
      <c r="AD51" s="1947">
        <f>ROUND(SUM(+AD48+AD49+AD50),1)</f>
        <v>-72.3</v>
      </c>
      <c r="AE51" s="1948"/>
      <c r="AF51" s="1929"/>
      <c r="AG51" s="1925">
        <f>ROUND(SUM(+AG49-AG50+AG48),1)</f>
        <v>554.6</v>
      </c>
      <c r="AH51" s="1930"/>
      <c r="AI51" s="1944">
        <f>-ROUND(SUM(AG51/AD51),3)</f>
        <v>7.6710000000000003</v>
      </c>
      <c r="AJ51" s="899" t="s">
        <v>104</v>
      </c>
      <c r="AK51" s="345"/>
      <c r="AL51" s="345"/>
    </row>
    <row r="52" spans="1:40" ht="16.399999999999999" customHeight="1">
      <c r="A52" s="1905"/>
      <c r="B52" s="1905"/>
      <c r="C52" s="1905"/>
      <c r="D52" s="1920"/>
      <c r="E52" s="1920"/>
      <c r="F52" s="1920" t="s">
        <v>104</v>
      </c>
      <c r="G52" s="1920"/>
      <c r="H52" s="1920" t="s">
        <v>104</v>
      </c>
      <c r="I52" s="1920"/>
      <c r="J52" s="1920"/>
      <c r="K52" s="1920"/>
      <c r="L52" s="1920" t="s">
        <v>104</v>
      </c>
      <c r="M52" s="1920"/>
      <c r="N52" s="1920"/>
      <c r="O52" s="1920"/>
      <c r="P52" s="1920" t="s">
        <v>104</v>
      </c>
      <c r="Q52" s="1920"/>
      <c r="R52" s="1920" t="s">
        <v>104</v>
      </c>
      <c r="S52" s="2160"/>
      <c r="T52" s="2160"/>
      <c r="U52" s="1920"/>
      <c r="V52" s="1920"/>
      <c r="W52" s="1920"/>
      <c r="X52" s="1920"/>
      <c r="Y52" s="2160"/>
      <c r="Z52" s="2161"/>
      <c r="AA52" s="1920"/>
      <c r="AB52" s="1920"/>
      <c r="AC52" s="1920"/>
      <c r="AD52" s="1920"/>
      <c r="AE52" s="1920"/>
      <c r="AF52" s="1923"/>
      <c r="AG52" s="1920"/>
      <c r="AI52" s="1894"/>
      <c r="AJ52" s="311"/>
      <c r="AK52" s="345"/>
      <c r="AL52" s="345"/>
    </row>
    <row r="53" spans="1:40" ht="18" customHeight="1">
      <c r="A53" s="1904" t="s">
        <v>145</v>
      </c>
      <c r="B53" s="1904"/>
      <c r="C53" s="1905"/>
      <c r="D53" s="1920" t="s">
        <v>104</v>
      </c>
      <c r="E53" s="1920"/>
      <c r="F53" s="1920" t="s">
        <v>104</v>
      </c>
      <c r="G53" s="1920"/>
      <c r="H53" s="1920" t="s">
        <v>104</v>
      </c>
      <c r="I53" s="1920"/>
      <c r="J53" s="1920"/>
      <c r="K53" s="1920"/>
      <c r="L53" s="1920" t="s">
        <v>104</v>
      </c>
      <c r="M53" s="1920"/>
      <c r="N53" s="1920"/>
      <c r="O53" s="1920"/>
      <c r="P53" s="1920" t="s">
        <v>104</v>
      </c>
      <c r="Q53" s="1920"/>
      <c r="R53" s="1920"/>
      <c r="S53" s="2160"/>
      <c r="T53" s="2160"/>
      <c r="U53" s="1920"/>
      <c r="V53" s="1920" t="s">
        <v>104</v>
      </c>
      <c r="W53" s="1920"/>
      <c r="X53" s="1920"/>
      <c r="Y53" s="2160"/>
      <c r="Z53" s="2161"/>
      <c r="AA53" s="1920"/>
      <c r="AB53" s="1920"/>
      <c r="AC53" s="1920"/>
      <c r="AD53" s="1920"/>
      <c r="AE53" s="1920"/>
      <c r="AF53" s="1923"/>
      <c r="AG53" s="1920"/>
      <c r="AI53" s="1949"/>
      <c r="AJ53" s="311"/>
      <c r="AK53" s="345"/>
      <c r="AL53" s="345"/>
    </row>
    <row r="54" spans="1:40" ht="18" customHeight="1">
      <c r="A54" s="1904" t="s">
        <v>153</v>
      </c>
      <c r="B54" s="1904"/>
      <c r="C54" s="1905"/>
      <c r="D54" s="1920"/>
      <c r="E54" s="1920"/>
      <c r="F54" s="1920"/>
      <c r="G54" s="1920"/>
      <c r="H54" s="1920"/>
      <c r="I54" s="1920"/>
      <c r="J54" s="1920"/>
      <c r="K54" s="1920"/>
      <c r="L54" s="1920"/>
      <c r="M54" s="1920"/>
      <c r="N54" s="1920"/>
      <c r="O54" s="1920"/>
      <c r="P54" s="1920"/>
      <c r="Q54" s="1920"/>
      <c r="R54" s="1920"/>
      <c r="S54" s="2160"/>
      <c r="T54" s="2160"/>
      <c r="U54" s="1920"/>
      <c r="V54" s="1920" t="s">
        <v>104</v>
      </c>
      <c r="W54" s="1920"/>
      <c r="X54" s="1920"/>
      <c r="Y54" s="2160"/>
      <c r="Z54" s="2161"/>
      <c r="AA54" s="1920"/>
      <c r="AB54" s="1920"/>
      <c r="AC54" s="1920"/>
      <c r="AD54" s="1920"/>
      <c r="AE54" s="1920"/>
      <c r="AF54" s="1923"/>
      <c r="AG54" s="1920"/>
      <c r="AI54" s="1894"/>
      <c r="AJ54" s="311"/>
      <c r="AK54" s="345"/>
      <c r="AL54" s="345"/>
    </row>
    <row r="55" spans="1:40" ht="18" customHeight="1">
      <c r="A55" s="1904" t="s">
        <v>154</v>
      </c>
      <c r="B55" s="1904"/>
      <c r="C55" s="1905"/>
      <c r="D55" s="1927">
        <f>ROUND(SUM(D45+D51),1)</f>
        <v>-1298.5999999999999</v>
      </c>
      <c r="E55" s="1927"/>
      <c r="F55" s="1927">
        <f>ROUND(SUM(F45)+SUM(F51),1)</f>
        <v>2675.7</v>
      </c>
      <c r="G55" s="1927"/>
      <c r="H55" s="1927">
        <f>ROUND(SUM(H45+H51),1)</f>
        <v>-1621.1</v>
      </c>
      <c r="I55" s="1927"/>
      <c r="J55" s="1927">
        <f>ROUND(SUM(J45)+SUM(J51),1)</f>
        <v>625.70000000000005</v>
      </c>
      <c r="K55" s="1927"/>
      <c r="L55" s="1927">
        <f>ROUND(SUM(L45+L51),1)</f>
        <v>375.8</v>
      </c>
      <c r="M55" s="1927"/>
      <c r="N55" s="1927">
        <f>ROUND(SUM(N45+N51),1)</f>
        <v>495</v>
      </c>
      <c r="O55" s="1927"/>
      <c r="P55" s="1927">
        <f>ROUND(SUM(P45+P51),1)</f>
        <v>-180.2</v>
      </c>
      <c r="Q55" s="1927"/>
      <c r="R55" s="1927">
        <f>ROUND(SUM(R45+R51),1)</f>
        <v>-413.3</v>
      </c>
      <c r="S55" s="2162"/>
      <c r="T55" s="2162"/>
      <c r="U55" s="1927"/>
      <c r="V55" s="1927">
        <f>ROUND(SUM(V45)+SUM(V51),1)</f>
        <v>-2724.1</v>
      </c>
      <c r="W55" s="1927"/>
      <c r="X55" s="1927">
        <f>ROUND(SUM(X45)+SUM(X51),1)</f>
        <v>3383.1</v>
      </c>
      <c r="Y55" s="2170"/>
      <c r="Z55" s="2171"/>
      <c r="AA55" s="1966"/>
      <c r="AB55" s="1927">
        <f>ROUND(SUM(AB45)+SUM(AB51),1)</f>
        <v>-3345.3</v>
      </c>
      <c r="AC55" s="1966"/>
      <c r="AD55" s="4">
        <f>ROUND(SUM(AD45)+SUM(AD51),1)</f>
        <v>13998.9</v>
      </c>
      <c r="AE55" s="1966"/>
      <c r="AF55" s="1967"/>
      <c r="AG55" s="1927">
        <f>ROUND(SUM(+AG45+AG51),1)</f>
        <v>-10615.8</v>
      </c>
      <c r="AH55" s="1930"/>
      <c r="AI55" s="1950">
        <f>ROUND(SUM((+X55-AD55)/ABS(AD55)),3)</f>
        <v>-0.75800000000000001</v>
      </c>
      <c r="AJ55" s="899"/>
      <c r="AK55" s="346"/>
      <c r="AL55" s="345"/>
    </row>
    <row r="56" spans="1:40" ht="16.399999999999999" customHeight="1">
      <c r="A56" s="1904"/>
      <c r="B56" s="1904"/>
      <c r="C56" s="1905"/>
      <c r="D56" s="1920"/>
      <c r="E56" s="1920"/>
      <c r="F56" s="1920"/>
      <c r="G56" s="1920"/>
      <c r="H56" s="1920"/>
      <c r="I56" s="1920"/>
      <c r="J56" s="1920"/>
      <c r="K56" s="1920"/>
      <c r="L56" s="1920"/>
      <c r="M56" s="1920"/>
      <c r="N56" s="1920"/>
      <c r="O56" s="1920"/>
      <c r="P56" s="1920"/>
      <c r="Q56" s="1920"/>
      <c r="R56" s="1920"/>
      <c r="S56" s="2160"/>
      <c r="T56" s="2160"/>
      <c r="U56" s="1920"/>
      <c r="V56" s="1920"/>
      <c r="W56" s="1920"/>
      <c r="X56" s="1920"/>
      <c r="Y56" s="2168"/>
      <c r="Z56" s="2169"/>
      <c r="AA56" s="1965"/>
      <c r="AB56" s="1965"/>
      <c r="AC56" s="1965"/>
      <c r="AD56" s="309"/>
      <c r="AE56" s="1965"/>
      <c r="AF56" s="1968"/>
      <c r="AG56" s="1920"/>
      <c r="AI56" s="1894"/>
      <c r="AJ56" s="311"/>
      <c r="AK56" s="345"/>
      <c r="AL56" s="345"/>
    </row>
    <row r="57" spans="1:40" ht="18" customHeight="1">
      <c r="A57" s="1951" t="s">
        <v>155</v>
      </c>
      <c r="B57" s="1912"/>
      <c r="C57" s="1905"/>
      <c r="D57" s="1943">
        <f>+'Exhibit F'!R12</f>
        <v>47424.9</v>
      </c>
      <c r="E57" s="1927"/>
      <c r="F57" s="1943">
        <f>'Exhibit F'!D12</f>
        <v>43450.6</v>
      </c>
      <c r="G57" s="1927"/>
      <c r="H57" s="1943">
        <f>+'Exhibit G'!R13</f>
        <v>26187</v>
      </c>
      <c r="I57" s="1927"/>
      <c r="J57" s="1943">
        <f>'Exhibit G'!D13</f>
        <v>23940.199999999997</v>
      </c>
      <c r="K57" s="1927"/>
      <c r="L57" s="1943">
        <f>'Exhibit H'!P12</f>
        <v>278.60000000000002</v>
      </c>
      <c r="M57" s="1927"/>
      <c r="N57" s="1943">
        <f>'Exhibit H'!B12</f>
        <v>159.4</v>
      </c>
      <c r="O57" s="1927"/>
      <c r="P57" s="1943">
        <f>+'Exhibit I'!S15</f>
        <v>-1827.6</v>
      </c>
      <c r="Q57" s="1927"/>
      <c r="R57" s="1943">
        <f>'Exhibit I'!E15</f>
        <v>-1594.5</v>
      </c>
      <c r="S57" s="2162"/>
      <c r="T57" s="2162"/>
      <c r="U57" s="1927"/>
      <c r="V57" s="1943">
        <f>D57+H57+L57+P57</f>
        <v>72062.899999999994</v>
      </c>
      <c r="W57" s="1927"/>
      <c r="X57" s="1943">
        <f>F57+J57+N57+R57</f>
        <v>65955.699999999983</v>
      </c>
      <c r="Y57" s="2170"/>
      <c r="Z57" s="2171"/>
      <c r="AA57" s="1966"/>
      <c r="AB57" s="2024">
        <v>70893.2</v>
      </c>
      <c r="AC57" s="1966"/>
      <c r="AD57" s="1426">
        <f>'Exhibit F'!AF12+'Exhibit G'!AG13+'Exhibit H'!AD12+'Exhibit I'!AI15</f>
        <v>53548.999999999993</v>
      </c>
      <c r="AE57" s="1966"/>
      <c r="AF57" s="1967"/>
      <c r="AG57" s="1943">
        <f>ROUND(SUM(X57-AD57),1)</f>
        <v>12406.7</v>
      </c>
      <c r="AH57" s="1930"/>
      <c r="AI57" s="1952">
        <f>ROUND(SUM((+X57-AD57)/ABS(AD57)),3)</f>
        <v>0.23200000000000001</v>
      </c>
      <c r="AJ57" s="899"/>
      <c r="AK57" s="345"/>
      <c r="AL57" s="345"/>
    </row>
    <row r="58" spans="1:40" ht="16.399999999999999" customHeight="1">
      <c r="A58" s="1905"/>
      <c r="B58" s="1905"/>
      <c r="C58" s="1905"/>
      <c r="D58" s="1920"/>
      <c r="E58" s="1920"/>
      <c r="F58" s="1920"/>
      <c r="G58" s="1920"/>
      <c r="H58" s="1920"/>
      <c r="I58" s="1920"/>
      <c r="J58" s="1920"/>
      <c r="K58" s="1920"/>
      <c r="L58" s="1920"/>
      <c r="M58" s="1920"/>
      <c r="N58" s="1920"/>
      <c r="O58" s="1920"/>
      <c r="P58" s="1920"/>
      <c r="Q58" s="1920"/>
      <c r="R58" s="1920"/>
      <c r="S58" s="2160"/>
      <c r="T58" s="2160"/>
      <c r="U58" s="1920"/>
      <c r="V58" s="1920"/>
      <c r="W58" s="1920"/>
      <c r="X58" s="1920"/>
      <c r="Y58" s="2168"/>
      <c r="Z58" s="2169"/>
      <c r="AA58" s="1965"/>
      <c r="AB58" s="1965"/>
      <c r="AC58" s="1965"/>
      <c r="AD58" s="309"/>
      <c r="AE58" s="1965"/>
      <c r="AF58" s="1968"/>
      <c r="AG58" s="1920"/>
      <c r="AI58" s="1894"/>
      <c r="AJ58" s="311"/>
      <c r="AK58" s="345"/>
      <c r="AL58" s="345"/>
    </row>
    <row r="59" spans="1:40" ht="18" customHeight="1" thickBot="1">
      <c r="A59" s="1951" t="s">
        <v>156</v>
      </c>
      <c r="B59" s="1938"/>
      <c r="C59" s="1918"/>
      <c r="D59" s="1953">
        <f>ROUND(SUM(D55+D57),1)</f>
        <v>46126.3</v>
      </c>
      <c r="E59" s="1954"/>
      <c r="F59" s="1953">
        <f>ROUND(SUM(F55+F57),1)</f>
        <v>46126.3</v>
      </c>
      <c r="G59" s="1954"/>
      <c r="H59" s="1953">
        <f>ROUND(SUM(H55+H57),1)</f>
        <v>24565.9</v>
      </c>
      <c r="I59" s="1954"/>
      <c r="J59" s="1953">
        <f>ROUND(SUM(J55)+SUM(J57),1)</f>
        <v>24565.9</v>
      </c>
      <c r="K59" s="1954"/>
      <c r="L59" s="1953">
        <f>ROUND(SUM(L55+L57),1)</f>
        <v>654.4</v>
      </c>
      <c r="M59" s="1954"/>
      <c r="N59" s="1953">
        <f>ROUND(SUM(N55+N57),1)</f>
        <v>654.4</v>
      </c>
      <c r="O59" s="1954"/>
      <c r="P59" s="1953">
        <f>ROUND(SUM(P55+P57),1)</f>
        <v>-2007.8</v>
      </c>
      <c r="Q59" s="1954"/>
      <c r="R59" s="1953">
        <f>ROUND(SUM(R55+R57),1)</f>
        <v>-2007.8</v>
      </c>
      <c r="S59" s="2172"/>
      <c r="T59" s="2172"/>
      <c r="U59" s="1954"/>
      <c r="V59" s="1953">
        <f>ROUND(SUM(V55+V57),1)</f>
        <v>69338.8</v>
      </c>
      <c r="W59" s="1954"/>
      <c r="X59" s="1953">
        <f>ROUND(SUM(X55+X57),1)</f>
        <v>69338.8</v>
      </c>
      <c r="Y59" s="2173"/>
      <c r="Z59" s="2174"/>
      <c r="AA59" s="1969"/>
      <c r="AB59" s="1953">
        <f>ROUND(SUM(AB55+AB57),1)</f>
        <v>67547.899999999994</v>
      </c>
      <c r="AC59" s="1969"/>
      <c r="AD59" s="1290">
        <f>ROUND(SUM(AD55+AD57),1)</f>
        <v>67547.899999999994</v>
      </c>
      <c r="AE59" s="1969"/>
      <c r="AF59" s="1970"/>
      <c r="AG59" s="1953">
        <f>ROUND(SUM(AG55+AG57),1)</f>
        <v>1790.9</v>
      </c>
      <c r="AH59" s="1930"/>
      <c r="AI59" s="1955">
        <f>ROUND(SUM((+X59-AD59)/ABS(AD59)),3)</f>
        <v>2.7E-2</v>
      </c>
      <c r="AJ59" s="907"/>
      <c r="AK59" s="346"/>
      <c r="AL59" s="346"/>
      <c r="AM59" s="1150"/>
      <c r="AN59" s="902"/>
    </row>
    <row r="60" spans="1:40" ht="15.5">
      <c r="A60" s="1956"/>
      <c r="B60" s="1956"/>
      <c r="C60" s="1956"/>
      <c r="D60" s="1905"/>
      <c r="E60" s="1905"/>
      <c r="F60" s="1905"/>
      <c r="G60" s="1905"/>
      <c r="H60" s="1905"/>
      <c r="I60" s="1905"/>
      <c r="J60" s="1905"/>
      <c r="K60" s="1905"/>
      <c r="L60" s="1905"/>
      <c r="M60" s="1905"/>
      <c r="N60" s="1905"/>
      <c r="O60" s="1905"/>
      <c r="P60" s="1905"/>
      <c r="Q60" s="1905"/>
      <c r="R60" s="1905"/>
      <c r="S60" s="1957"/>
      <c r="T60" s="1957"/>
      <c r="U60" s="1957"/>
      <c r="V60" s="1957"/>
      <c r="W60" s="1957"/>
      <c r="X60" s="1905"/>
      <c r="Y60" s="1957"/>
      <c r="Z60" s="1957"/>
      <c r="AA60" s="1957"/>
      <c r="AB60" s="1957"/>
      <c r="AC60" s="1957"/>
      <c r="AD60" s="1957"/>
      <c r="AE60" s="1957"/>
      <c r="AF60" s="1957"/>
      <c r="AG60" s="1957"/>
      <c r="AI60" s="1958"/>
      <c r="AJ60" s="345"/>
      <c r="AK60" s="345"/>
      <c r="AL60" s="345"/>
    </row>
    <row r="61" spans="1:40" ht="15.5">
      <c r="A61" s="1959"/>
      <c r="B61" s="1930"/>
      <c r="C61" s="1930"/>
      <c r="P61" s="1959"/>
      <c r="R61" s="1959"/>
      <c r="T61" s="1895" t="s">
        <v>104</v>
      </c>
      <c r="X61" s="1894"/>
      <c r="AI61" s="1958"/>
      <c r="AJ61" s="345"/>
      <c r="AK61" s="345"/>
      <c r="AL61" s="345"/>
    </row>
    <row r="62" spans="1:40" ht="15.5">
      <c r="V62" s="1895" t="s">
        <v>104</v>
      </c>
      <c r="AB62" s="1960"/>
      <c r="AD62" s="1894"/>
      <c r="AI62" s="1958"/>
      <c r="AJ62" s="345"/>
      <c r="AK62" s="345"/>
      <c r="AL62" s="345"/>
    </row>
    <row r="63" spans="1:40" ht="15.5">
      <c r="V63" s="1895" t="s">
        <v>104</v>
      </c>
      <c r="AB63" s="1960"/>
      <c r="AI63" s="1958"/>
      <c r="AJ63" s="345"/>
      <c r="AK63" s="345"/>
      <c r="AL63" s="345"/>
    </row>
    <row r="64" spans="1:40" ht="15.5">
      <c r="A64" s="1961"/>
      <c r="AI64" s="1958"/>
      <c r="AJ64" s="345"/>
      <c r="AK64" s="345"/>
      <c r="AL64" s="345"/>
    </row>
    <row r="65" spans="1:38" ht="15.5">
      <c r="A65" s="1961"/>
      <c r="AB65" s="1960"/>
      <c r="AI65" s="1958"/>
      <c r="AJ65" s="345"/>
      <c r="AK65" s="345"/>
      <c r="AL65" s="345"/>
    </row>
    <row r="66" spans="1:38" ht="15.5">
      <c r="A66" s="1962"/>
      <c r="B66" s="1963"/>
      <c r="C66" s="1959"/>
      <c r="D66" s="1964"/>
      <c r="E66" s="1964"/>
      <c r="F66" s="1964"/>
      <c r="G66" s="1964"/>
      <c r="H66" s="1964"/>
      <c r="I66" s="1964"/>
      <c r="J66" s="1964"/>
      <c r="K66" s="1964"/>
      <c r="L66" s="1964"/>
      <c r="AI66" s="1958"/>
      <c r="AJ66" s="345"/>
      <c r="AK66" s="345"/>
      <c r="AL66" s="345"/>
    </row>
    <row r="67" spans="1:38" ht="15.5">
      <c r="A67" s="1894"/>
      <c r="B67" s="1894"/>
      <c r="C67" s="1894"/>
      <c r="D67" s="1894"/>
      <c r="E67" s="1894"/>
      <c r="F67" s="1894"/>
      <c r="G67" s="1894"/>
      <c r="H67" s="1894"/>
      <c r="I67" s="1894"/>
      <c r="J67" s="1894"/>
      <c r="K67" s="1894"/>
      <c r="L67" s="1894"/>
      <c r="N67" s="1895" t="s">
        <v>104</v>
      </c>
      <c r="AI67" s="1958"/>
      <c r="AJ67" s="345"/>
      <c r="AK67" s="345"/>
      <c r="AL67" s="345"/>
    </row>
    <row r="68" spans="1:38" ht="15.5">
      <c r="A68" s="1894"/>
      <c r="B68" s="1894"/>
      <c r="C68" s="1894"/>
      <c r="D68" s="1894"/>
      <c r="E68" s="1894"/>
      <c r="F68" s="1894"/>
      <c r="G68" s="1894"/>
      <c r="H68" s="1894"/>
      <c r="I68" s="1894"/>
      <c r="J68" s="1894"/>
      <c r="K68" s="1894"/>
      <c r="L68" s="1894"/>
      <c r="N68" s="1895" t="s">
        <v>104</v>
      </c>
      <c r="AI68" s="1958"/>
      <c r="AJ68" s="345"/>
      <c r="AK68" s="345"/>
      <c r="AL68" s="345"/>
    </row>
    <row r="69" spans="1:38" ht="15.5">
      <c r="A69" s="1894"/>
      <c r="B69" s="1894"/>
      <c r="C69" s="1894"/>
      <c r="D69" s="1894"/>
      <c r="E69" s="1894"/>
      <c r="F69" s="1894"/>
      <c r="G69" s="1894"/>
      <c r="H69" s="1894"/>
      <c r="I69" s="1894"/>
      <c r="J69" s="1894"/>
      <c r="K69" s="1894"/>
      <c r="L69" s="1894"/>
      <c r="AI69" s="1958"/>
      <c r="AJ69" s="345"/>
      <c r="AK69" s="345"/>
      <c r="AL69" s="345"/>
    </row>
    <row r="70" spans="1:38" ht="15.5">
      <c r="AI70" s="1958"/>
      <c r="AJ70" s="345"/>
      <c r="AK70" s="345"/>
      <c r="AL70" s="345"/>
    </row>
    <row r="71" spans="1:38" ht="15.5">
      <c r="AI71" s="1958"/>
      <c r="AJ71" s="345"/>
      <c r="AK71" s="345"/>
      <c r="AL71" s="345"/>
    </row>
    <row r="72" spans="1:38" ht="15.5">
      <c r="AI72" s="1958"/>
      <c r="AJ72" s="345"/>
      <c r="AK72" s="345"/>
      <c r="AL72" s="345"/>
    </row>
    <row r="73" spans="1:38" ht="15.5">
      <c r="AI73" s="1958"/>
      <c r="AJ73" s="345"/>
      <c r="AK73" s="345"/>
      <c r="AL73" s="345"/>
    </row>
    <row r="74" spans="1:38" ht="15.5">
      <c r="AI74" s="1958"/>
      <c r="AJ74" s="345"/>
      <c r="AK74" s="345"/>
      <c r="AL74" s="345"/>
    </row>
    <row r="75" spans="1:38" ht="15.5">
      <c r="AI75" s="1958"/>
      <c r="AJ75" s="345"/>
      <c r="AK75" s="345"/>
      <c r="AL75" s="345"/>
    </row>
    <row r="76" spans="1:38" ht="15.5">
      <c r="AI76" s="1958"/>
      <c r="AJ76" s="345"/>
      <c r="AK76" s="345"/>
      <c r="AL76" s="345"/>
    </row>
    <row r="77" spans="1:38" ht="15.5">
      <c r="AI77" s="1958"/>
      <c r="AJ77" s="345"/>
      <c r="AK77" s="345"/>
      <c r="AL77" s="345"/>
    </row>
    <row r="78" spans="1:38" ht="15.5">
      <c r="AI78" s="1958"/>
      <c r="AJ78" s="345"/>
      <c r="AK78" s="345"/>
      <c r="AL78" s="345"/>
    </row>
    <row r="79" spans="1:38" ht="15.5">
      <c r="AI79" s="1958"/>
      <c r="AJ79" s="345"/>
      <c r="AK79" s="345"/>
      <c r="AL79" s="345"/>
    </row>
    <row r="80" spans="1:38" ht="15.5">
      <c r="AI80" s="1958"/>
      <c r="AJ80" s="345"/>
      <c r="AK80" s="345"/>
      <c r="AL80" s="345"/>
    </row>
    <row r="81" spans="35:38" ht="15.5">
      <c r="AI81" s="1958"/>
      <c r="AJ81" s="345"/>
      <c r="AK81" s="345"/>
      <c r="AL81" s="345"/>
    </row>
    <row r="82" spans="35:38" ht="15.5">
      <c r="AI82" s="1958"/>
      <c r="AJ82" s="345"/>
      <c r="AK82" s="345"/>
      <c r="AL82" s="345"/>
    </row>
    <row r="83" spans="35:38" ht="15.5">
      <c r="AI83" s="1958"/>
      <c r="AJ83" s="345"/>
      <c r="AK83" s="345"/>
      <c r="AL83" s="345"/>
    </row>
    <row r="84" spans="35:38" ht="15.5">
      <c r="AI84" s="1958"/>
      <c r="AJ84" s="345"/>
      <c r="AK84" s="345"/>
      <c r="AL84" s="345"/>
    </row>
    <row r="85" spans="35:38" ht="15.5">
      <c r="AI85" s="1958"/>
      <c r="AJ85" s="345"/>
      <c r="AK85" s="345"/>
      <c r="AL85" s="345"/>
    </row>
    <row r="86" spans="35:38" ht="15.5">
      <c r="AI86" s="1958"/>
      <c r="AJ86" s="345"/>
      <c r="AK86" s="345"/>
      <c r="AL86" s="345"/>
    </row>
    <row r="87" spans="35:38" ht="15.5">
      <c r="AI87" s="1958"/>
      <c r="AJ87" s="345"/>
      <c r="AK87" s="345"/>
      <c r="AL87" s="345"/>
    </row>
    <row r="88" spans="35:38" ht="15.5">
      <c r="AI88" s="1958"/>
      <c r="AJ88" s="345"/>
      <c r="AK88" s="345"/>
      <c r="AL88" s="345"/>
    </row>
    <row r="89" spans="35:38" ht="15.5">
      <c r="AI89" s="1958"/>
      <c r="AJ89" s="345"/>
      <c r="AK89" s="345"/>
      <c r="AL89" s="345"/>
    </row>
    <row r="90" spans="35:38" ht="15.5">
      <c r="AI90" s="1958"/>
      <c r="AJ90" s="345"/>
      <c r="AK90" s="345"/>
      <c r="AL90" s="345"/>
    </row>
    <row r="91" spans="35:38" ht="15.5">
      <c r="AI91" s="1958"/>
      <c r="AJ91" s="345"/>
      <c r="AK91" s="345"/>
      <c r="AL91" s="345"/>
    </row>
    <row r="92" spans="35:38" ht="15.5">
      <c r="AI92" s="1958"/>
      <c r="AJ92" s="345"/>
      <c r="AK92" s="345"/>
      <c r="AL92" s="345"/>
    </row>
    <row r="93" spans="35:38" ht="15.5">
      <c r="AI93" s="1958"/>
      <c r="AJ93" s="345"/>
      <c r="AK93" s="345"/>
      <c r="AL93" s="345"/>
    </row>
    <row r="94" spans="35:38" ht="15.5">
      <c r="AI94" s="1958"/>
      <c r="AJ94" s="345"/>
      <c r="AK94" s="345"/>
      <c r="AL94" s="345"/>
    </row>
    <row r="95" spans="35:38" ht="15.5">
      <c r="AI95" s="1958"/>
      <c r="AJ95" s="345"/>
      <c r="AK95" s="345"/>
      <c r="AL95" s="345"/>
    </row>
    <row r="96" spans="35:38" ht="15.5">
      <c r="AI96" s="1958"/>
      <c r="AJ96" s="345"/>
      <c r="AK96" s="345"/>
      <c r="AL96" s="345"/>
    </row>
    <row r="97" spans="35:38" ht="15.5">
      <c r="AI97" s="1958"/>
      <c r="AJ97" s="345"/>
      <c r="AK97" s="345"/>
      <c r="AL97" s="345"/>
    </row>
    <row r="98" spans="35:38" ht="15.5">
      <c r="AI98" s="1958"/>
      <c r="AJ98" s="345"/>
      <c r="AK98" s="345"/>
      <c r="AL98" s="345"/>
    </row>
    <row r="99" spans="35:38" ht="15.5">
      <c r="AI99" s="1958"/>
      <c r="AJ99" s="345"/>
      <c r="AK99" s="345"/>
      <c r="AL99" s="345"/>
    </row>
    <row r="100" spans="35:38" ht="15.5">
      <c r="AI100" s="1958"/>
      <c r="AJ100" s="345"/>
      <c r="AK100" s="345"/>
      <c r="AL100" s="345"/>
    </row>
    <row r="101" spans="35:38" ht="15.5">
      <c r="AI101" s="1958"/>
      <c r="AJ101" s="345"/>
      <c r="AK101" s="345"/>
      <c r="AL101" s="345"/>
    </row>
    <row r="102" spans="35:38" ht="15.5">
      <c r="AI102" s="1958"/>
      <c r="AJ102" s="345"/>
      <c r="AK102" s="345"/>
      <c r="AL102" s="345"/>
    </row>
    <row r="103" spans="35:38" ht="15.5">
      <c r="AI103" s="1958"/>
      <c r="AJ103" s="345"/>
      <c r="AK103" s="345"/>
      <c r="AL103" s="345"/>
    </row>
    <row r="104" spans="35:38" ht="15.5">
      <c r="AI104" s="1958"/>
      <c r="AJ104" s="345"/>
      <c r="AK104" s="345"/>
      <c r="AL104" s="345"/>
    </row>
    <row r="105" spans="35:38" ht="15.5">
      <c r="AI105" s="1958"/>
      <c r="AJ105" s="345"/>
      <c r="AK105" s="345"/>
      <c r="AL105" s="345"/>
    </row>
    <row r="106" spans="35:38" ht="15.5">
      <c r="AI106" s="1958"/>
      <c r="AJ106" s="345"/>
      <c r="AK106" s="345"/>
      <c r="AL106" s="345"/>
    </row>
  </sheetData>
  <mergeCells count="4">
    <mergeCell ref="A4:AI4"/>
    <mergeCell ref="A5:AI5"/>
    <mergeCell ref="A6:AI6"/>
    <mergeCell ref="V10:AI10"/>
  </mergeCells>
  <pageMargins left="0.25" right="0.25" top="0.5" bottom="0.25" header="0" footer="0.25"/>
  <pageSetup scale="43" firstPageNumber="2" orientation="landscape" useFirstPageNumber="1" r:id="rId1"/>
  <headerFooter scaleWithDoc="0" alignWithMargins="0">
    <oddFooter>&amp;C&amp;8&amp;P</oddFooter>
  </headerFooter>
  <customProperties>
    <customPr name="SheetOptions" r:id="rId2"/>
  </customProperties>
  <ignoredErrors>
    <ignoredError sqref="E12 I12 M12 AG20:AH20 S59:AA59 S55:U55 S51:U51 S45:AG45 S42:AD42 S34:W34 S20:AF20 S56:AI56 S52:U52 S46:AI47 S44:AI44 S23:AI23 S35:W35 G12 AE14:AG14 AE19:AH19 AE24:AH24 AE25:AH25 AE26:AH26 AE28:AH28 AE29:AH29 AE30:AH30 AE31:AH31 AE32:AH32 S39:AA39 AE36:AH36 AE37:AH37 AE38:AH38 AE40:AH40 W14 S58:AI58 AE49:AF49 S14:U14 S40:AA40 S15:U15 S16:AA16 S18:U18 S19:U19 S24:AA24 S25:AA25 S26:AA26 S29:AA29 S31:AA31 S32:AA32 S33:W33 S41:AA41 S49:U49 S50:U50 S57:U57 S27:AA27 S28:AA28 S30:AA30 S36:AA36 S38:AA38 S37:AA37 S48:AA48 R17:AA17 E17:G17 E16:G16 E15:G15 E27:G27 E34 E14 E19:G19 E18 E28 I19:K19 I14 O45 M45 O42 M42 O34 M34 O20 M20 K45 I45 H46:P46 E45 D46:F47 K42 I42 H43:K44 K34 I34 K20 I20 I21:P23 E42 D43:F44 E35:F35 I27:P27 I24:O24 I25:O25 I35:P35 D20:G20 E25:G25 E26:G26 E24:G24 G35:G41 F34:G34 G43:G44 F42:G42 D21:G23 J20 J34 J42 G46:G49 F45:H45 J45 N20 N34 P34 N42 N45 P45 I50 H48:O48 I15 I16 I17 I18:K18 I26:O26 I33:O33 I28:O28 I29:O29 I30:O30 I31:O31 I32 I39:K39 I36:O36 I37:K37 I38:K38 I41:K41 I40 I49:K49 D39:F40 E36:F36 E37:F37 E38:F38 E50 E49 M14 M15 M17 M18:O18 M19:O19 M37:O37 M40:O40 M49:O49 M50 Q17 Q48:R48 Q37:R37 Q38:R38 Q36:R36 Q30:R30 Q28:R28 Q27:R27 Q50 Q49:R49 Q41:R41 Q33:R33 Q32:R32 Q31:R31 Q29:R29 Q26:R26 Q25:R25 Q24:R24 Q19:R19 Q18:R18 Q16 Q15 O57 Q40:R40 Q14:R14 D58:F58 H58:R58 Q39:R39 R59 R34 P59 N59 P55 N51 L59 J59 J55 J51 G59:H59 G55 G56:G58 F51:G51 G52:G54 Q35:R35 D54:F54 E51 D56:F56 E55 E59 Q23:R23 Q43:R44 Q46:R47 H54:R54 I51 K51 H56:R56 I55 K55 I59 K59 M51 O51 M55 O55 M59 O59 Q20 Q34 Q42 Q45 Q51 Q55 Q59 E30 E32:G33 F59 E29:G29 E31:G31 G50 G18 AE18:AH18 H39 H34 H20 H27 H35 H21:H23 D35 C26 C38 C35 C32 C27 C34 C33 M39:P39 M38:O38 L39 O16 AE50:AH50 K14 K15 K16 K17 AE15:AI17 O14:P14 O15 O17 R16 C24 C25 C28 C29 C30 C31 C36 C37 AE27:AH27 AE39:AI39 AE33:AH33 AE41:AH41 W51 Y51:AA51 AH51 AE57:AF57 AH45:AI45 K57 AE42:AH42 AI14 AI18:AI20 AI24:AI34 AI36:AI38 AI40:AI42 AI57 AE48:AH48 Y57:AA57 M43:P44 W49 G28 G30 M41:O41 AH49 W15:AA15 Y14:AA14 S43:U43 AC43:AI43 Y49:AA49 AH57 W50:AA50 K12 O12 Q12 S12:U12 W12 W18:AA18 AC51 AE51:AF51 E48 E41:F41 I52:K52 M52:O52 I53:K53 M53:O53 AC59:AH59 W55:AA55 K40 D52:E52 E53 Q52 Q53:R53 S54:AI54 S53:U53 W53:AI53 K32:O32 Q21 Q22 K50 O50 AC55 AE55:AH55 Y52:AI52 S21:U21 Y21:AI21 S22:W22 Y22:AI22 Y43:AA43 Y33:AA33 Y35:AI35 Y34:AA34 AC34:AH34 G14 W21 W43 W52 H47:I47 K47:P47 W19:AA19" unlockedFormula="1"/>
    <ignoredError sqref="B41:B48 B51:B56 B49:B50 B14" numberStoredAsText="1"/>
  </ignoredError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8"/>
  <dimension ref="A1:AW172"/>
  <sheetViews>
    <sheetView showGridLines="0" zoomScale="90" zoomScaleNormal="80" workbookViewId="0"/>
  </sheetViews>
  <sheetFormatPr defaultColWidth="8.84375" defaultRowHeight="12.5"/>
  <cols>
    <col min="1" max="1" width="1.84375" style="95" customWidth="1"/>
    <col min="2" max="2" width="40.84375" style="95" customWidth="1"/>
    <col min="3" max="3" width="1.84375" style="95" customWidth="1"/>
    <col min="4" max="4" width="12.07421875" style="95" customWidth="1"/>
    <col min="5" max="5" width="1.84375" style="95" customWidth="1"/>
    <col min="6" max="6" width="12.84375" style="95" customWidth="1"/>
    <col min="7" max="7" width="1.84375" style="95" customWidth="1"/>
    <col min="8" max="8" width="13.07421875" style="95" customWidth="1"/>
    <col min="9" max="9" width="1.84375" style="95" customWidth="1"/>
    <col min="10" max="10" width="13.07421875" style="95" customWidth="1"/>
    <col min="11" max="11" width="1.84375" style="95" customWidth="1"/>
    <col min="12" max="12" width="13.07421875" style="95" customWidth="1"/>
    <col min="13" max="13" width="1.84375" style="95" customWidth="1"/>
    <col min="14" max="14" width="14" style="95" customWidth="1"/>
    <col min="15" max="15" width="1.84375" style="95" customWidth="1"/>
    <col min="16" max="16" width="11.84375" style="95" customWidth="1"/>
    <col min="17" max="17" width="1.84375" style="95" customWidth="1"/>
    <col min="18" max="18" width="11.53515625" style="95" customWidth="1"/>
    <col min="19" max="19" width="1.84375" style="95" customWidth="1"/>
    <col min="20" max="20" width="12.07421875" style="95" customWidth="1"/>
    <col min="21" max="21" width="1.84375" style="95" customWidth="1"/>
    <col min="22" max="22" width="13" style="95" customWidth="1"/>
    <col min="23" max="23" width="1.84375" style="95" customWidth="1"/>
    <col min="24" max="24" width="12.07421875" style="95" customWidth="1"/>
    <col min="25" max="25" width="1.84375" style="95" customWidth="1"/>
    <col min="26" max="26" width="12.84375" style="95" customWidth="1"/>
    <col min="27" max="27" width="1.07421875" style="95" customWidth="1"/>
    <col min="28" max="29" width="1.84375" style="95" customWidth="1"/>
    <col min="30" max="30" width="15.84375" style="95" customWidth="1"/>
    <col min="31" max="32" width="1.4609375" style="95" customWidth="1"/>
    <col min="33" max="33" width="12.84375" style="95" bestFit="1" customWidth="1"/>
    <col min="34" max="34" width="1.53515625" style="95" customWidth="1"/>
    <col min="35" max="35" width="0.84375" style="95" customWidth="1"/>
    <col min="36" max="36" width="14.84375" style="95" customWidth="1"/>
    <col min="37" max="37" width="0.84375" style="95" customWidth="1"/>
    <col min="38" max="38" width="12.07421875" style="95" customWidth="1"/>
    <col min="39" max="16384" width="8.84375" style="95"/>
  </cols>
  <sheetData>
    <row r="1" spans="1:45" ht="15.5">
      <c r="B1" s="326" t="s">
        <v>98</v>
      </c>
    </row>
    <row r="2" spans="1:45" ht="15.5">
      <c r="M2" s="6"/>
      <c r="N2" s="6"/>
      <c r="O2" s="103"/>
    </row>
    <row r="3" spans="1:45" ht="20.25" customHeight="1">
      <c r="B3" s="97" t="s">
        <v>99</v>
      </c>
      <c r="M3" s="6"/>
      <c r="N3" s="6"/>
      <c r="O3" s="103"/>
      <c r="AF3" s="29"/>
      <c r="AG3" s="29"/>
      <c r="AH3" s="29"/>
      <c r="AI3" s="29"/>
      <c r="AJ3" s="29"/>
      <c r="AK3" s="29"/>
      <c r="AL3" s="154" t="s">
        <v>503</v>
      </c>
    </row>
    <row r="4" spans="1:45" ht="18">
      <c r="B4" s="97" t="s">
        <v>553</v>
      </c>
      <c r="L4" s="6"/>
      <c r="M4" s="6"/>
      <c r="O4" s="103"/>
    </row>
    <row r="5" spans="1:45" ht="18">
      <c r="B5" s="62" t="s">
        <v>474</v>
      </c>
      <c r="L5" s="103"/>
      <c r="M5" s="103"/>
      <c r="O5" s="103"/>
      <c r="X5" s="111"/>
    </row>
    <row r="6" spans="1:45" ht="20">
      <c r="B6" s="668" t="str">
        <f>'Cashflow Governmental'!A6</f>
        <v>FISCAL YEAR 2023-2024</v>
      </c>
      <c r="L6" s="103"/>
      <c r="M6" s="103"/>
      <c r="O6" s="103"/>
      <c r="AL6" s="105"/>
    </row>
    <row r="7" spans="1:45" ht="18">
      <c r="B7" s="97" t="s">
        <v>554</v>
      </c>
      <c r="AI7" s="46"/>
      <c r="AJ7" s="46"/>
      <c r="AK7" s="46"/>
      <c r="AL7" s="46"/>
    </row>
    <row r="8" spans="1:45" ht="13.5" customHeight="1">
      <c r="D8" s="1738"/>
      <c r="L8" s="103"/>
      <c r="M8" s="103"/>
      <c r="N8" s="103"/>
      <c r="O8" s="103"/>
      <c r="AC8" s="46"/>
      <c r="AD8" s="103"/>
      <c r="AE8" s="103"/>
      <c r="AF8" s="46"/>
      <c r="AG8" s="46"/>
      <c r="AH8" s="46"/>
      <c r="AI8" s="103"/>
      <c r="AJ8" s="103"/>
      <c r="AK8" s="103"/>
      <c r="AL8" s="103"/>
    </row>
    <row r="9" spans="1:45" ht="20.25" customHeight="1">
      <c r="M9" s="103"/>
      <c r="N9" s="103"/>
      <c r="O9" s="103"/>
      <c r="AC9" s="2228" t="str">
        <f>'Exhibit G'!AC9:AL9</f>
        <v>8 Months Ended November 30</v>
      </c>
      <c r="AD9" s="2228"/>
      <c r="AE9" s="2228"/>
      <c r="AF9" s="2228"/>
      <c r="AG9" s="2228"/>
      <c r="AH9" s="2228"/>
      <c r="AI9" s="2228"/>
      <c r="AJ9" s="2228"/>
      <c r="AK9" s="2228"/>
      <c r="AL9" s="2228"/>
    </row>
    <row r="10" spans="1:45" ht="15.5">
      <c r="B10" s="466"/>
      <c r="C10" s="466"/>
      <c r="D10" s="382" t="str">
        <f>'Cashflow Governmental'!C13</f>
        <v>2023</v>
      </c>
      <c r="E10" s="6"/>
      <c r="F10" s="6"/>
      <c r="G10" s="6"/>
      <c r="H10" s="6"/>
      <c r="I10" s="6"/>
      <c r="J10" s="6"/>
      <c r="K10" s="6"/>
      <c r="L10" s="6"/>
      <c r="M10" s="6"/>
      <c r="N10" s="6"/>
      <c r="O10" s="6"/>
      <c r="P10" s="6"/>
      <c r="Q10" s="6"/>
      <c r="R10" s="6"/>
      <c r="S10" s="6"/>
      <c r="T10" s="6"/>
      <c r="U10" s="6"/>
      <c r="V10" s="382">
        <f>'Cashflow Governmental'!U13</f>
        <v>2024</v>
      </c>
      <c r="W10" s="6"/>
      <c r="X10" s="6"/>
      <c r="Y10" s="6"/>
      <c r="Z10" s="6"/>
      <c r="AA10" s="6"/>
      <c r="AB10" s="6"/>
      <c r="AC10" s="6"/>
      <c r="AD10" s="72"/>
      <c r="AE10" s="72"/>
      <c r="AF10" s="72"/>
      <c r="AG10" s="72"/>
      <c r="AH10" s="72"/>
      <c r="AI10" s="72"/>
      <c r="AJ10" s="390" t="s">
        <v>111</v>
      </c>
      <c r="AK10" s="390"/>
      <c r="AL10" s="390" t="s">
        <v>112</v>
      </c>
      <c r="AM10" s="391"/>
      <c r="AN10" s="391"/>
    </row>
    <row r="11" spans="1:45" ht="15.5">
      <c r="B11" s="466"/>
      <c r="C11" s="466"/>
      <c r="D11" s="2007" t="s">
        <v>358</v>
      </c>
      <c r="E11" s="6"/>
      <c r="F11" s="2007" t="s">
        <v>359</v>
      </c>
      <c r="G11" s="6"/>
      <c r="H11" s="2007" t="s">
        <v>360</v>
      </c>
      <c r="I11" s="6"/>
      <c r="J11" s="2007" t="s">
        <v>361</v>
      </c>
      <c r="K11" s="6"/>
      <c r="L11" s="2007" t="s">
        <v>362</v>
      </c>
      <c r="M11" s="6"/>
      <c r="N11" s="2007" t="s">
        <v>475</v>
      </c>
      <c r="O11" s="6"/>
      <c r="P11" s="2007" t="s">
        <v>476</v>
      </c>
      <c r="Q11" s="6"/>
      <c r="R11" s="2007" t="s">
        <v>365</v>
      </c>
      <c r="S11" s="6"/>
      <c r="T11" s="2007" t="s">
        <v>366</v>
      </c>
      <c r="U11" s="6"/>
      <c r="V11" s="2007" t="s">
        <v>367</v>
      </c>
      <c r="W11" s="6"/>
      <c r="X11" s="2007" t="s">
        <v>368</v>
      </c>
      <c r="Y11" s="6"/>
      <c r="Z11" s="2007" t="s">
        <v>477</v>
      </c>
      <c r="AA11" s="66"/>
      <c r="AB11" s="6"/>
      <c r="AC11" s="6"/>
      <c r="AD11" s="2010">
        <f>'Cashflow Governmental'!AB14</f>
        <v>2023</v>
      </c>
      <c r="AE11" s="382"/>
      <c r="AF11" s="66" t="s">
        <v>104</v>
      </c>
      <c r="AG11" s="2010">
        <f>'Cashflow Governmental'!AE14</f>
        <v>2022</v>
      </c>
      <c r="AH11" s="382"/>
      <c r="AI11" s="72"/>
      <c r="AJ11" s="528" t="s">
        <v>113</v>
      </c>
      <c r="AK11" s="390"/>
      <c r="AL11" s="528" t="s">
        <v>114</v>
      </c>
      <c r="AM11" s="391"/>
      <c r="AN11" s="391"/>
    </row>
    <row r="12" spans="1:45" ht="5.25" customHeight="1">
      <c r="B12" s="466"/>
      <c r="C12" s="466"/>
      <c r="D12" s="66"/>
      <c r="E12" s="6"/>
      <c r="F12" s="66"/>
      <c r="G12" s="6"/>
      <c r="H12" s="66"/>
      <c r="I12" s="6"/>
      <c r="J12" s="66"/>
      <c r="K12" s="6"/>
      <c r="L12" s="66"/>
      <c r="M12" s="6"/>
      <c r="N12" s="66"/>
      <c r="O12" s="6"/>
      <c r="P12" s="66"/>
      <c r="Q12" s="6"/>
      <c r="R12" s="66"/>
      <c r="S12" s="6"/>
      <c r="T12" s="66"/>
      <c r="U12" s="6"/>
      <c r="V12" s="66"/>
      <c r="W12" s="6"/>
      <c r="X12" s="66"/>
      <c r="Y12" s="6"/>
      <c r="Z12" s="66"/>
      <c r="AA12" s="66"/>
      <c r="AB12" s="6"/>
      <c r="AC12" s="6"/>
      <c r="AD12" s="382"/>
      <c r="AE12" s="382"/>
      <c r="AF12" s="66"/>
      <c r="AG12" s="382"/>
      <c r="AH12" s="382"/>
      <c r="AI12" s="72"/>
      <c r="AJ12" s="390"/>
      <c r="AK12" s="390"/>
      <c r="AL12" s="390"/>
      <c r="AM12" s="391"/>
      <c r="AN12" s="391"/>
    </row>
    <row r="13" spans="1:45" ht="15.5">
      <c r="B13" s="6" t="s">
        <v>555</v>
      </c>
      <c r="C13" s="466"/>
      <c r="D13" s="117">
        <v>9113.7999999999993</v>
      </c>
      <c r="E13" s="6"/>
      <c r="F13" s="37">
        <f>D122</f>
        <v>10202</v>
      </c>
      <c r="G13" s="37"/>
      <c r="H13" s="37">
        <f t="shared" ref="H13:R13" si="0">F122</f>
        <v>10190</v>
      </c>
      <c r="I13" s="6"/>
      <c r="J13" s="37">
        <f t="shared" si="0"/>
        <v>11322.6</v>
      </c>
      <c r="K13" s="6"/>
      <c r="L13" s="37">
        <f t="shared" si="0"/>
        <v>11914.7</v>
      </c>
      <c r="M13" s="6"/>
      <c r="N13" s="37">
        <f t="shared" si="0"/>
        <v>12081.6</v>
      </c>
      <c r="O13" s="6"/>
      <c r="P13" s="37">
        <f t="shared" si="0"/>
        <v>9730.2000000000007</v>
      </c>
      <c r="Q13" s="6"/>
      <c r="R13" s="37">
        <f t="shared" si="0"/>
        <v>9911</v>
      </c>
      <c r="S13" s="37"/>
      <c r="T13" s="37"/>
      <c r="U13" s="37"/>
      <c r="V13" s="37"/>
      <c r="W13" s="37"/>
      <c r="X13" s="37"/>
      <c r="Y13" s="37"/>
      <c r="Z13" s="37"/>
      <c r="AA13" s="66"/>
      <c r="AB13" s="6"/>
      <c r="AC13" s="840"/>
      <c r="AD13" s="1713">
        <f>D13</f>
        <v>9113.7999999999993</v>
      </c>
      <c r="AE13" s="382"/>
      <c r="AF13" s="1714"/>
      <c r="AG13" s="26">
        <v>7612.5</v>
      </c>
      <c r="AH13" s="382"/>
      <c r="AI13" s="1527"/>
      <c r="AJ13" s="777">
        <f>ROUND(SUM(+AD13-AG13),1)</f>
        <v>1501.3</v>
      </c>
      <c r="AK13" s="16"/>
      <c r="AL13" s="107">
        <f>ROUND(IF(AG13=0,1,AJ13/ABS(AG13)),3)</f>
        <v>0.19700000000000001</v>
      </c>
      <c r="AM13" s="391"/>
      <c r="AN13" s="2114"/>
      <c r="AO13" s="2114"/>
      <c r="AP13" s="2114"/>
      <c r="AQ13" s="2114"/>
      <c r="AR13" s="2114"/>
      <c r="AS13" s="2114"/>
    </row>
    <row r="14" spans="1:45" ht="15.5">
      <c r="B14" s="6"/>
      <c r="C14" s="466"/>
      <c r="D14" s="66"/>
      <c r="E14" s="6"/>
      <c r="F14" s="66"/>
      <c r="G14" s="66"/>
      <c r="H14" s="66"/>
      <c r="I14" s="6"/>
      <c r="J14" s="66"/>
      <c r="K14" s="6"/>
      <c r="L14" s="66"/>
      <c r="M14" s="6"/>
      <c r="N14" s="66"/>
      <c r="O14" s="6"/>
      <c r="P14" s="66"/>
      <c r="Q14" s="6"/>
      <c r="R14" s="66"/>
      <c r="S14" s="6"/>
      <c r="T14" s="66"/>
      <c r="U14" s="6"/>
      <c r="V14" s="66"/>
      <c r="W14" s="6"/>
      <c r="X14" s="66"/>
      <c r="Y14" s="6"/>
      <c r="Z14" s="66"/>
      <c r="AA14" s="66"/>
      <c r="AB14" s="6"/>
      <c r="AC14" s="840"/>
      <c r="AD14" s="382"/>
      <c r="AE14" s="382"/>
      <c r="AF14" s="1714"/>
      <c r="AG14" s="382"/>
      <c r="AH14" s="382"/>
      <c r="AI14" s="1527"/>
      <c r="AJ14" s="390"/>
      <c r="AK14" s="390"/>
      <c r="AL14" s="390"/>
      <c r="AM14" s="391"/>
      <c r="AN14" s="2114"/>
      <c r="AO14" s="2114"/>
      <c r="AP14" s="2114"/>
      <c r="AQ14" s="2114"/>
      <c r="AR14" s="2114"/>
      <c r="AS14" s="2114"/>
    </row>
    <row r="15" spans="1:45" ht="15" customHeight="1">
      <c r="A15" s="46"/>
      <c r="B15" s="6" t="s">
        <v>115</v>
      </c>
      <c r="C15" s="353"/>
      <c r="D15" s="466"/>
      <c r="E15" s="466"/>
      <c r="F15" s="466"/>
      <c r="G15" s="466"/>
      <c r="H15" s="466"/>
      <c r="I15" s="466"/>
      <c r="J15" s="466"/>
      <c r="K15" s="466"/>
      <c r="L15" s="466"/>
      <c r="M15" s="466"/>
      <c r="N15" s="466"/>
      <c r="O15" s="466"/>
      <c r="P15" s="466"/>
      <c r="Q15" s="466"/>
      <c r="R15" s="466"/>
      <c r="S15" s="466"/>
      <c r="T15" s="466"/>
      <c r="U15" s="466"/>
      <c r="V15" s="466"/>
      <c r="W15" s="466"/>
      <c r="X15" s="466"/>
      <c r="Y15" s="466"/>
      <c r="Z15" s="466"/>
      <c r="AA15" s="466"/>
      <c r="AB15" s="466"/>
      <c r="AC15" s="1545"/>
      <c r="AD15" s="466"/>
      <c r="AE15" s="466"/>
      <c r="AF15" s="1545"/>
      <c r="AG15" s="466"/>
      <c r="AH15" s="466"/>
      <c r="AI15" s="1527"/>
      <c r="AJ15" s="466"/>
      <c r="AK15" s="466"/>
      <c r="AL15" s="466"/>
      <c r="AN15" s="2114"/>
      <c r="AO15" s="2114"/>
      <c r="AP15" s="2114"/>
      <c r="AQ15" s="2114"/>
      <c r="AR15" s="2114"/>
      <c r="AS15" s="2114"/>
    </row>
    <row r="16" spans="1:45" ht="15" customHeight="1">
      <c r="A16" s="46"/>
      <c r="B16" s="2006" t="s">
        <v>371</v>
      </c>
      <c r="C16" s="353"/>
      <c r="D16" s="466"/>
      <c r="E16" s="466"/>
      <c r="F16" s="466"/>
      <c r="G16" s="466"/>
      <c r="H16" s="466"/>
      <c r="I16" s="466"/>
      <c r="J16" s="466"/>
      <c r="K16" s="466"/>
      <c r="L16" s="466"/>
      <c r="M16" s="466"/>
      <c r="N16" s="466"/>
      <c r="O16" s="466"/>
      <c r="P16" s="466"/>
      <c r="Q16" s="466"/>
      <c r="R16" s="466"/>
      <c r="S16" s="466"/>
      <c r="T16" s="466"/>
      <c r="U16" s="466"/>
      <c r="V16" s="466"/>
      <c r="W16" s="466"/>
      <c r="X16" s="466"/>
      <c r="Y16" s="466"/>
      <c r="Z16" s="466"/>
      <c r="AA16" s="466"/>
      <c r="AB16" s="466"/>
      <c r="AC16" s="1545"/>
      <c r="AD16" s="466"/>
      <c r="AE16" s="466"/>
      <c r="AF16" s="1545"/>
      <c r="AG16" s="466"/>
      <c r="AH16" s="1529"/>
      <c r="AI16" s="466"/>
      <c r="AJ16" s="466"/>
      <c r="AK16" s="466"/>
      <c r="AL16" s="466"/>
      <c r="AN16" s="2114"/>
      <c r="AO16" s="2114"/>
      <c r="AP16" s="2114"/>
      <c r="AQ16" s="2114"/>
      <c r="AR16" s="2114"/>
      <c r="AS16" s="2114"/>
    </row>
    <row r="17" spans="1:45" s="391" customFormat="1" ht="15" customHeight="1">
      <c r="A17" s="530"/>
      <c r="B17" s="525" t="s">
        <v>510</v>
      </c>
      <c r="C17" s="6"/>
      <c r="D17" s="469">
        <v>0</v>
      </c>
      <c r="E17" s="469"/>
      <c r="F17" s="469">
        <v>0</v>
      </c>
      <c r="G17" s="469"/>
      <c r="H17" s="469">
        <v>0</v>
      </c>
      <c r="I17" s="325"/>
      <c r="J17" s="469">
        <v>0</v>
      </c>
      <c r="K17" s="690"/>
      <c r="L17" s="469">
        <v>0</v>
      </c>
      <c r="M17" s="763"/>
      <c r="N17" s="469">
        <v>0</v>
      </c>
      <c r="O17" s="763"/>
      <c r="P17" s="469">
        <v>0</v>
      </c>
      <c r="Q17" s="763"/>
      <c r="R17" s="469">
        <f>$AD17-$D17-$F17-$H17-$J17-$L17-$N17-$P17</f>
        <v>0.1</v>
      </c>
      <c r="S17" s="469"/>
      <c r="T17" s="469"/>
      <c r="U17" s="469"/>
      <c r="V17" s="469"/>
      <c r="W17" s="763"/>
      <c r="X17" s="469"/>
      <c r="Y17" s="469"/>
      <c r="Z17" s="469"/>
      <c r="AA17" s="493"/>
      <c r="AB17" s="335"/>
      <c r="AC17" s="1715"/>
      <c r="AD17" s="659">
        <v>0.1</v>
      </c>
      <c r="AE17" s="337"/>
      <c r="AF17" s="1716"/>
      <c r="AG17" s="659">
        <v>1.1000000000000001</v>
      </c>
      <c r="AH17" s="767"/>
      <c r="AI17" s="335"/>
      <c r="AJ17" s="325">
        <f>ROUND(SUM(+AD17-AG17),1)</f>
        <v>-1</v>
      </c>
      <c r="AK17" s="325"/>
      <c r="AL17" s="344">
        <f>ROUND(IF(AG17=0,0,AJ17/ABS(AG17)),3)</f>
        <v>-0.90900000000000003</v>
      </c>
      <c r="AN17" s="2114"/>
      <c r="AO17" s="2114"/>
      <c r="AP17" s="2114"/>
      <c r="AQ17" s="2114"/>
      <c r="AR17" s="2114"/>
      <c r="AS17" s="2114"/>
    </row>
    <row r="18" spans="1:45" s="391" customFormat="1" ht="6" customHeight="1">
      <c r="A18" s="530"/>
      <c r="B18" s="525"/>
      <c r="C18" s="6"/>
      <c r="D18" s="469" t="s">
        <v>104</v>
      </c>
      <c r="E18" s="26"/>
      <c r="F18" s="469"/>
      <c r="G18" s="469"/>
      <c r="H18" s="469"/>
      <c r="I18" s="26"/>
      <c r="J18" s="469" t="s">
        <v>104</v>
      </c>
      <c r="K18" s="26"/>
      <c r="L18" s="469"/>
      <c r="M18" s="26"/>
      <c r="N18" s="469"/>
      <c r="O18" s="26"/>
      <c r="P18" s="635"/>
      <c r="Q18" s="26"/>
      <c r="R18" s="469"/>
      <c r="S18" s="26"/>
      <c r="T18" s="469"/>
      <c r="U18" s="26"/>
      <c r="V18" s="469"/>
      <c r="W18" s="26"/>
      <c r="X18" s="469"/>
      <c r="Y18" s="26"/>
      <c r="Z18" s="469"/>
      <c r="AA18" s="55"/>
      <c r="AB18" s="26"/>
      <c r="AC18" s="1717"/>
      <c r="AD18" s="26" t="s">
        <v>104</v>
      </c>
      <c r="AE18" s="337"/>
      <c r="AF18" s="1716"/>
      <c r="AG18" s="26" t="s">
        <v>104</v>
      </c>
      <c r="AH18" s="767"/>
      <c r="AI18" s="335"/>
      <c r="AJ18" s="26"/>
      <c r="AK18" s="16"/>
      <c r="AL18" s="768"/>
      <c r="AN18" s="2114"/>
      <c r="AO18" s="2114"/>
      <c r="AP18" s="2114"/>
      <c r="AQ18" s="2114"/>
      <c r="AR18" s="2114"/>
      <c r="AS18" s="2114"/>
    </row>
    <row r="19" spans="1:45" ht="15" customHeight="1">
      <c r="A19" s="46"/>
      <c r="B19" s="525" t="s">
        <v>1529</v>
      </c>
      <c r="C19" s="353"/>
      <c r="D19" s="469" t="s">
        <v>104</v>
      </c>
      <c r="E19" s="325"/>
      <c r="F19" s="469"/>
      <c r="G19" s="469"/>
      <c r="H19" s="469"/>
      <c r="I19" s="325"/>
      <c r="J19" s="469" t="s">
        <v>104</v>
      </c>
      <c r="K19" s="325"/>
      <c r="L19" s="469"/>
      <c r="M19" s="325"/>
      <c r="N19" s="469"/>
      <c r="O19" s="325"/>
      <c r="P19" s="635"/>
      <c r="Q19" s="325"/>
      <c r="R19" s="469"/>
      <c r="S19" s="325"/>
      <c r="T19" s="469"/>
      <c r="U19" s="325"/>
      <c r="V19" s="469"/>
      <c r="W19" s="325"/>
      <c r="X19" s="469"/>
      <c r="Y19" s="325"/>
      <c r="Z19" s="469"/>
      <c r="AA19" s="325"/>
      <c r="AB19" s="325"/>
      <c r="AC19" s="648"/>
      <c r="AD19" s="325" t="s">
        <v>104</v>
      </c>
      <c r="AE19" s="325"/>
      <c r="AF19" s="648"/>
      <c r="AG19" s="325" t="s">
        <v>104</v>
      </c>
      <c r="AH19" s="643"/>
      <c r="AI19" s="325"/>
      <c r="AJ19" s="325"/>
      <c r="AK19" s="466"/>
      <c r="AL19" s="477"/>
      <c r="AN19" s="2114"/>
      <c r="AO19" s="2114"/>
      <c r="AP19" s="2114"/>
      <c r="AQ19" s="2114"/>
      <c r="AR19" s="2114"/>
      <c r="AS19" s="2114"/>
    </row>
    <row r="20" spans="1:45" ht="15" customHeight="1">
      <c r="A20" s="46"/>
      <c r="B20" s="466" t="s">
        <v>384</v>
      </c>
      <c r="C20" s="353"/>
      <c r="D20" s="469">
        <v>155.30000000000001</v>
      </c>
      <c r="E20" s="1718"/>
      <c r="F20" s="469">
        <v>94.999999999999972</v>
      </c>
      <c r="G20" s="469"/>
      <c r="H20" s="469">
        <v>124.20000000000002</v>
      </c>
      <c r="I20" s="1718"/>
      <c r="J20" s="469">
        <v>99.5</v>
      </c>
      <c r="K20" s="690"/>
      <c r="L20" s="469">
        <v>97.000000000000028</v>
      </c>
      <c r="M20" s="690"/>
      <c r="N20" s="469">
        <v>123.29999999999993</v>
      </c>
      <c r="O20" s="690"/>
      <c r="P20" s="469">
        <v>100</v>
      </c>
      <c r="Q20" s="690"/>
      <c r="R20" s="469">
        <f>$AD20-$D20-$F20-$H20-$J20-$L20-$N20-$P20</f>
        <v>100.00000000000003</v>
      </c>
      <c r="S20" s="690"/>
      <c r="T20" s="469"/>
      <c r="U20" s="690"/>
      <c r="V20" s="469"/>
      <c r="W20" s="690"/>
      <c r="X20" s="469"/>
      <c r="Y20" s="690"/>
      <c r="Z20" s="469"/>
      <c r="AA20" s="351"/>
      <c r="AB20" s="325"/>
      <c r="AC20" s="648"/>
      <c r="AD20" s="659">
        <v>894.3</v>
      </c>
      <c r="AE20" s="348"/>
      <c r="AF20" s="1719"/>
      <c r="AG20" s="659">
        <v>849.8</v>
      </c>
      <c r="AH20" s="643"/>
      <c r="AI20" s="325"/>
      <c r="AJ20" s="325">
        <f t="shared" ref="AJ20:AJ28" si="1">ROUND(SUM(+AD20-AG20),1)</f>
        <v>44.5</v>
      </c>
      <c r="AK20" s="466"/>
      <c r="AL20" s="766">
        <f t="shared" ref="AL20:AL29" si="2">ROUND(IF(AG20=0,0,AJ20/ABS(AG20)),3)</f>
        <v>5.1999999999999998E-2</v>
      </c>
      <c r="AN20" s="2114"/>
      <c r="AO20" s="2114"/>
      <c r="AP20" s="2114"/>
      <c r="AQ20" s="2114"/>
      <c r="AR20" s="2114"/>
      <c r="AS20" s="2114"/>
    </row>
    <row r="21" spans="1:45" ht="15" customHeight="1">
      <c r="A21" s="46"/>
      <c r="B21" s="466" t="s">
        <v>1530</v>
      </c>
      <c r="C21" s="353"/>
      <c r="D21" s="469">
        <v>1.9</v>
      </c>
      <c r="E21" s="1718"/>
      <c r="F21" s="469">
        <v>0</v>
      </c>
      <c r="G21" s="469"/>
      <c r="H21" s="469">
        <v>6.9</v>
      </c>
      <c r="I21" s="1718"/>
      <c r="J21" s="469">
        <v>0</v>
      </c>
      <c r="K21" s="690"/>
      <c r="L21" s="469">
        <v>0</v>
      </c>
      <c r="M21" s="690"/>
      <c r="N21" s="469">
        <v>10.1</v>
      </c>
      <c r="O21" s="690"/>
      <c r="P21" s="469">
        <v>0</v>
      </c>
      <c r="Q21" s="690"/>
      <c r="R21" s="469">
        <f t="shared" ref="R21:R28" si="3">$AD21-$D21-$F21-$H21-$J21-$L21-$N21-$P21</f>
        <v>0</v>
      </c>
      <c r="S21" s="690"/>
      <c r="T21" s="469"/>
      <c r="U21" s="690"/>
      <c r="V21" s="469"/>
      <c r="W21" s="690"/>
      <c r="X21" s="469"/>
      <c r="Y21" s="690"/>
      <c r="Z21" s="469"/>
      <c r="AA21" s="351"/>
      <c r="AB21" s="325"/>
      <c r="AC21" s="648"/>
      <c r="AD21" s="659">
        <v>18.899999999999999</v>
      </c>
      <c r="AE21" s="348"/>
      <c r="AF21" s="1719"/>
      <c r="AG21" s="659">
        <v>17</v>
      </c>
      <c r="AH21" s="643"/>
      <c r="AI21" s="325"/>
      <c r="AJ21" s="325">
        <f t="shared" si="1"/>
        <v>1.9</v>
      </c>
      <c r="AK21" s="466"/>
      <c r="AL21" s="344">
        <f t="shared" si="2"/>
        <v>0.112</v>
      </c>
      <c r="AN21" s="2114"/>
      <c r="AO21" s="2114"/>
      <c r="AP21" s="2114"/>
      <c r="AQ21" s="2114"/>
      <c r="AR21" s="2114"/>
      <c r="AS21" s="2114"/>
    </row>
    <row r="22" spans="1:45" ht="15" customHeight="1">
      <c r="A22" s="46"/>
      <c r="B22" s="466" t="s">
        <v>386</v>
      </c>
      <c r="C22" s="353"/>
      <c r="D22" s="469">
        <v>51.8</v>
      </c>
      <c r="E22" s="1718"/>
      <c r="F22" s="469">
        <v>51.7</v>
      </c>
      <c r="G22" s="469"/>
      <c r="H22" s="469">
        <v>48.800000000000011</v>
      </c>
      <c r="I22" s="1718"/>
      <c r="J22" s="469">
        <v>50.499999999999986</v>
      </c>
      <c r="K22" s="690"/>
      <c r="L22" s="469">
        <v>50.800000000000026</v>
      </c>
      <c r="M22" s="690"/>
      <c r="N22" s="469">
        <v>46.899999999999977</v>
      </c>
      <c r="O22" s="690"/>
      <c r="P22" s="469">
        <v>63.100000000000009</v>
      </c>
      <c r="Q22" s="690"/>
      <c r="R22" s="469">
        <f t="shared" si="3"/>
        <v>54.299999999999969</v>
      </c>
      <c r="S22" s="690"/>
      <c r="T22" s="469"/>
      <c r="U22" s="690"/>
      <c r="V22" s="469"/>
      <c r="W22" s="690"/>
      <c r="X22" s="469"/>
      <c r="Y22" s="690"/>
      <c r="Z22" s="469"/>
      <c r="AA22" s="351"/>
      <c r="AB22" s="325"/>
      <c r="AC22" s="648"/>
      <c r="AD22" s="659">
        <v>417.9</v>
      </c>
      <c r="AE22" s="348"/>
      <c r="AF22" s="1719"/>
      <c r="AG22" s="659">
        <v>431.09999999999997</v>
      </c>
      <c r="AH22" s="643"/>
      <c r="AI22" s="325"/>
      <c r="AJ22" s="325">
        <f t="shared" si="1"/>
        <v>-13.2</v>
      </c>
      <c r="AK22" s="466"/>
      <c r="AL22" s="344">
        <f t="shared" si="2"/>
        <v>-3.1E-2</v>
      </c>
      <c r="AN22" s="2114"/>
      <c r="AO22" s="2114"/>
      <c r="AP22" s="2114"/>
      <c r="AQ22" s="2114"/>
      <c r="AR22" s="2114"/>
      <c r="AS22" s="2114"/>
    </row>
    <row r="23" spans="1:45" ht="15" customHeight="1">
      <c r="A23" s="46"/>
      <c r="B23" s="345" t="s">
        <v>466</v>
      </c>
      <c r="C23" s="353"/>
      <c r="D23" s="469">
        <v>0.9</v>
      </c>
      <c r="E23" s="1718"/>
      <c r="F23" s="469">
        <v>0.79999999999999993</v>
      </c>
      <c r="G23" s="469"/>
      <c r="H23" s="469">
        <v>3.5999999999999996</v>
      </c>
      <c r="I23" s="1718"/>
      <c r="J23" s="469">
        <v>0.90000000000000036</v>
      </c>
      <c r="K23" s="690"/>
      <c r="L23" s="469">
        <v>0.29999999999999982</v>
      </c>
      <c r="M23" s="690"/>
      <c r="N23" s="469">
        <v>6.9999999999999991</v>
      </c>
      <c r="O23" s="690"/>
      <c r="P23" s="469">
        <v>1.0999999999999988</v>
      </c>
      <c r="Q23" s="690"/>
      <c r="R23" s="469">
        <f t="shared" si="3"/>
        <v>1.1000000000000014</v>
      </c>
      <c r="S23" s="690"/>
      <c r="T23" s="469"/>
      <c r="U23" s="690"/>
      <c r="V23" s="469"/>
      <c r="W23" s="690"/>
      <c r="X23" s="469"/>
      <c r="Y23" s="690"/>
      <c r="Z23" s="469"/>
      <c r="AA23" s="351"/>
      <c r="AB23" s="325"/>
      <c r="AC23" s="648"/>
      <c r="AD23" s="659">
        <v>15.7</v>
      </c>
      <c r="AE23" s="348"/>
      <c r="AF23" s="1719"/>
      <c r="AG23" s="659">
        <v>7.9</v>
      </c>
      <c r="AH23" s="643"/>
      <c r="AI23" s="325"/>
      <c r="AJ23" s="325">
        <f t="shared" si="1"/>
        <v>7.8</v>
      </c>
      <c r="AK23" s="466"/>
      <c r="AL23" s="344">
        <f t="shared" si="2"/>
        <v>0.98699999999999999</v>
      </c>
      <c r="AN23" s="2114"/>
      <c r="AO23" s="2114"/>
      <c r="AP23" s="2114"/>
      <c r="AQ23" s="2114"/>
      <c r="AR23" s="2114"/>
      <c r="AS23" s="2114"/>
    </row>
    <row r="24" spans="1:45" ht="15" customHeight="1">
      <c r="A24" s="46"/>
      <c r="B24" s="534" t="s">
        <v>388</v>
      </c>
      <c r="C24" s="353"/>
      <c r="D24" s="469">
        <v>8.1999999999999993</v>
      </c>
      <c r="E24" s="1718"/>
      <c r="F24" s="469">
        <v>9.1000000000000014</v>
      </c>
      <c r="G24" s="469"/>
      <c r="H24" s="469">
        <v>8.3000000000000007</v>
      </c>
      <c r="I24" s="1718"/>
      <c r="J24" s="469">
        <v>9.2999999999999972</v>
      </c>
      <c r="K24" s="690"/>
      <c r="L24" s="469">
        <v>9.0000000000000036</v>
      </c>
      <c r="M24" s="690"/>
      <c r="N24" s="469">
        <v>9.5999999999999943</v>
      </c>
      <c r="O24" s="690"/>
      <c r="P24" s="469">
        <v>8.7999999999999936</v>
      </c>
      <c r="Q24" s="690"/>
      <c r="R24" s="469">
        <f t="shared" si="3"/>
        <v>9</v>
      </c>
      <c r="S24" s="690"/>
      <c r="T24" s="469"/>
      <c r="U24" s="690"/>
      <c r="V24" s="469"/>
      <c r="W24" s="690"/>
      <c r="X24" s="469"/>
      <c r="Y24" s="690"/>
      <c r="Z24" s="469"/>
      <c r="AA24" s="351"/>
      <c r="AB24" s="325"/>
      <c r="AC24" s="648"/>
      <c r="AD24" s="659">
        <v>71.3</v>
      </c>
      <c r="AE24" s="348"/>
      <c r="AF24" s="1719"/>
      <c r="AG24" s="659">
        <v>16.7</v>
      </c>
      <c r="AH24" s="643"/>
      <c r="AI24" s="325"/>
      <c r="AJ24" s="325">
        <f t="shared" si="1"/>
        <v>54.6</v>
      </c>
      <c r="AK24" s="466"/>
      <c r="AL24" s="344">
        <f t="shared" si="2"/>
        <v>3.2690000000000001</v>
      </c>
      <c r="AN24" s="2114"/>
      <c r="AO24" s="2114"/>
      <c r="AP24" s="2114"/>
      <c r="AQ24" s="2114"/>
      <c r="AR24" s="2114"/>
      <c r="AS24" s="2114"/>
    </row>
    <row r="25" spans="1:45" ht="15" customHeight="1">
      <c r="A25" s="46"/>
      <c r="B25" s="466" t="s">
        <v>1507</v>
      </c>
      <c r="C25" s="353"/>
      <c r="D25" s="469">
        <v>0.1</v>
      </c>
      <c r="E25" s="1718"/>
      <c r="F25" s="469">
        <v>0</v>
      </c>
      <c r="G25" s="469"/>
      <c r="H25" s="469">
        <v>0.1</v>
      </c>
      <c r="I25" s="1718"/>
      <c r="J25" s="469">
        <v>0</v>
      </c>
      <c r="K25" s="690"/>
      <c r="L25" s="469">
        <v>0</v>
      </c>
      <c r="M25" s="690"/>
      <c r="N25" s="469">
        <v>9.9999999999999978E-2</v>
      </c>
      <c r="O25" s="690"/>
      <c r="P25" s="469">
        <v>0</v>
      </c>
      <c r="Q25" s="690"/>
      <c r="R25" s="469">
        <f t="shared" si="3"/>
        <v>0</v>
      </c>
      <c r="S25" s="690"/>
      <c r="T25" s="469"/>
      <c r="U25" s="690"/>
      <c r="V25" s="469"/>
      <c r="W25" s="690"/>
      <c r="X25" s="469"/>
      <c r="Y25" s="690"/>
      <c r="Z25" s="469"/>
      <c r="AA25" s="351"/>
      <c r="AB25" s="325"/>
      <c r="AC25" s="648"/>
      <c r="AD25" s="659">
        <v>0.3</v>
      </c>
      <c r="AE25" s="348"/>
      <c r="AF25" s="1719"/>
      <c r="AG25" s="659">
        <v>0</v>
      </c>
      <c r="AH25" s="643"/>
      <c r="AI25" s="325"/>
      <c r="AJ25" s="325">
        <f t="shared" ref="AJ25" si="4">ROUND(SUM(+AD25-AG25),1)</f>
        <v>0.3</v>
      </c>
      <c r="AK25" s="466"/>
      <c r="AL25" s="344">
        <f>ROUND(IF(AG25=0,1,AJ25/ABS(AG25)),3)</f>
        <v>1</v>
      </c>
      <c r="AN25" s="2114"/>
      <c r="AO25" s="2114"/>
      <c r="AP25" s="2114"/>
      <c r="AQ25" s="2114"/>
      <c r="AR25" s="2114"/>
      <c r="AS25" s="2114"/>
    </row>
    <row r="26" spans="1:45" ht="15" customHeight="1">
      <c r="A26" s="46"/>
      <c r="B26" s="466" t="s">
        <v>1531</v>
      </c>
      <c r="C26" s="353"/>
      <c r="D26" s="469">
        <v>0</v>
      </c>
      <c r="E26" s="1718"/>
      <c r="F26" s="469">
        <v>0</v>
      </c>
      <c r="G26" s="469"/>
      <c r="H26" s="469">
        <v>0</v>
      </c>
      <c r="I26" s="1718"/>
      <c r="J26" s="469">
        <v>0</v>
      </c>
      <c r="K26" s="690"/>
      <c r="L26" s="469">
        <v>0</v>
      </c>
      <c r="M26" s="690"/>
      <c r="N26" s="469">
        <v>0</v>
      </c>
      <c r="O26" s="690"/>
      <c r="P26" s="469">
        <v>0</v>
      </c>
      <c r="Q26" s="690"/>
      <c r="R26" s="469">
        <f t="shared" si="3"/>
        <v>0</v>
      </c>
      <c r="S26" s="690"/>
      <c r="T26" s="469"/>
      <c r="U26" s="690"/>
      <c r="V26" s="469"/>
      <c r="W26" s="690"/>
      <c r="X26" s="469"/>
      <c r="Y26" s="690"/>
      <c r="Z26" s="469"/>
      <c r="AA26" s="351"/>
      <c r="AB26" s="325"/>
      <c r="AC26" s="648"/>
      <c r="AD26" s="659">
        <v>0</v>
      </c>
      <c r="AE26" s="348"/>
      <c r="AF26" s="1719"/>
      <c r="AG26" s="659">
        <v>0</v>
      </c>
      <c r="AH26" s="643"/>
      <c r="AI26" s="325"/>
      <c r="AJ26" s="325">
        <f t="shared" si="1"/>
        <v>0</v>
      </c>
      <c r="AK26" s="466"/>
      <c r="AL26" s="344">
        <f t="shared" si="2"/>
        <v>0</v>
      </c>
      <c r="AN26" s="2114"/>
      <c r="AO26" s="2114"/>
      <c r="AP26" s="2114"/>
      <c r="AQ26" s="2114"/>
      <c r="AR26" s="2114"/>
      <c r="AS26" s="2114"/>
    </row>
    <row r="27" spans="1:45" ht="15" customHeight="1">
      <c r="A27" s="46"/>
      <c r="B27" s="534" t="s">
        <v>391</v>
      </c>
      <c r="C27" s="353"/>
      <c r="D27" s="469">
        <v>0.1</v>
      </c>
      <c r="E27" s="1718"/>
      <c r="F27" s="469">
        <v>0</v>
      </c>
      <c r="G27" s="469"/>
      <c r="H27" s="469">
        <v>0.1</v>
      </c>
      <c r="I27" s="1718"/>
      <c r="J27" s="469">
        <v>0</v>
      </c>
      <c r="K27" s="690"/>
      <c r="L27" s="469">
        <v>9.9999999999999978E-2</v>
      </c>
      <c r="M27" s="690"/>
      <c r="N27" s="469">
        <v>0</v>
      </c>
      <c r="O27" s="690"/>
      <c r="P27" s="469">
        <v>0.10000000000000006</v>
      </c>
      <c r="Q27" s="690"/>
      <c r="R27" s="469">
        <f t="shared" si="3"/>
        <v>0</v>
      </c>
      <c r="S27" s="690"/>
      <c r="T27" s="469"/>
      <c r="U27" s="690"/>
      <c r="V27" s="469"/>
      <c r="W27" s="690"/>
      <c r="X27" s="469"/>
      <c r="Y27" s="690"/>
      <c r="Z27" s="469"/>
      <c r="AA27" s="351"/>
      <c r="AB27" s="325"/>
      <c r="AC27" s="648"/>
      <c r="AD27" s="659">
        <v>0.4</v>
      </c>
      <c r="AE27" s="348"/>
      <c r="AF27" s="1719"/>
      <c r="AG27" s="659">
        <v>0.4</v>
      </c>
      <c r="AH27" s="643"/>
      <c r="AI27" s="325"/>
      <c r="AJ27" s="325">
        <f t="shared" si="1"/>
        <v>0</v>
      </c>
      <c r="AK27" s="466"/>
      <c r="AL27" s="769">
        <f>ROUND(IF(AG27=0,1,AJ27/ABS(AG27)),3)</f>
        <v>0</v>
      </c>
      <c r="AN27" s="2114"/>
      <c r="AO27" s="2114"/>
      <c r="AP27" s="2114"/>
      <c r="AQ27" s="2114"/>
      <c r="AR27" s="2114"/>
      <c r="AS27" s="2114"/>
    </row>
    <row r="28" spans="1:45" ht="15" customHeight="1">
      <c r="A28" s="46"/>
      <c r="B28" s="345" t="s">
        <v>467</v>
      </c>
      <c r="C28" s="353"/>
      <c r="D28" s="469">
        <v>0.2</v>
      </c>
      <c r="E28" s="1718"/>
      <c r="F28" s="469">
        <v>0.3</v>
      </c>
      <c r="G28" s="469"/>
      <c r="H28" s="469">
        <v>6.1</v>
      </c>
      <c r="I28" s="1718"/>
      <c r="J28" s="469">
        <v>0.10000000000000053</v>
      </c>
      <c r="K28" s="690"/>
      <c r="L28" s="469">
        <v>0</v>
      </c>
      <c r="M28" s="690"/>
      <c r="N28" s="469">
        <v>6.3999999999999995</v>
      </c>
      <c r="O28" s="690"/>
      <c r="P28" s="469">
        <v>0.30000000000000071</v>
      </c>
      <c r="Q28" s="690"/>
      <c r="R28" s="469">
        <f t="shared" si="3"/>
        <v>0.19999999999999929</v>
      </c>
      <c r="S28" s="690"/>
      <c r="T28" s="469"/>
      <c r="U28" s="690"/>
      <c r="V28" s="469"/>
      <c r="W28" s="690"/>
      <c r="X28" s="469"/>
      <c r="Y28" s="690"/>
      <c r="Z28" s="469"/>
      <c r="AA28" s="351"/>
      <c r="AB28" s="325"/>
      <c r="AC28" s="648"/>
      <c r="AD28" s="659">
        <v>13.6</v>
      </c>
      <c r="AE28" s="348"/>
      <c r="AF28" s="1719"/>
      <c r="AG28" s="659">
        <v>12.7</v>
      </c>
      <c r="AH28" s="643"/>
      <c r="AI28" s="325"/>
      <c r="AJ28" s="325">
        <f t="shared" si="1"/>
        <v>0.9</v>
      </c>
      <c r="AK28" s="466"/>
      <c r="AL28" s="769">
        <f>ROUND(IF(AG28=0,1,AJ28/ABS(AG28)),3)</f>
        <v>7.0999999999999994E-2</v>
      </c>
      <c r="AN28" s="2114"/>
      <c r="AO28" s="2114"/>
      <c r="AP28" s="2114"/>
      <c r="AQ28" s="2114"/>
      <c r="AR28" s="2114"/>
      <c r="AS28" s="2114"/>
    </row>
    <row r="29" spans="1:45" s="391" customFormat="1" ht="15" customHeight="1">
      <c r="A29" s="530"/>
      <c r="B29" s="6" t="s">
        <v>511</v>
      </c>
      <c r="C29" s="6"/>
      <c r="D29" s="842">
        <f>ROUND(SUM(D20:D28),1)</f>
        <v>218.5</v>
      </c>
      <c r="E29" s="16"/>
      <c r="F29" s="842">
        <f>ROUND(SUM(F20:F28),1)</f>
        <v>156.9</v>
      </c>
      <c r="G29" s="16"/>
      <c r="H29" s="842">
        <f>ROUND(SUM(H20:H28),1)</f>
        <v>198.1</v>
      </c>
      <c r="I29" s="16"/>
      <c r="J29" s="842">
        <f>ROUND(SUM(J20:J28),1)</f>
        <v>160.30000000000001</v>
      </c>
      <c r="K29" s="16"/>
      <c r="L29" s="842">
        <f>ROUND(SUM(L20:L28),1)</f>
        <v>157.19999999999999</v>
      </c>
      <c r="M29" s="16"/>
      <c r="N29" s="842">
        <f>ROUND(SUM(N20:N28),1)</f>
        <v>203.4</v>
      </c>
      <c r="O29" s="16"/>
      <c r="P29" s="842">
        <f>ROUND(SUM(P20:P28),1)</f>
        <v>173.4</v>
      </c>
      <c r="Q29" s="16"/>
      <c r="R29" s="842">
        <f>ROUND(SUM(R20:R28),1)</f>
        <v>164.6</v>
      </c>
      <c r="S29" s="16"/>
      <c r="T29" s="842">
        <f>ROUND(SUM(T20:T28),1)</f>
        <v>0</v>
      </c>
      <c r="U29" s="16"/>
      <c r="V29" s="842">
        <f>ROUND(SUM(V20:V28),1)</f>
        <v>0</v>
      </c>
      <c r="W29" s="16"/>
      <c r="X29" s="842">
        <f>ROUND(SUM(X20:X28),1)</f>
        <v>0</v>
      </c>
      <c r="Y29" s="16"/>
      <c r="Z29" s="842">
        <f>ROUND(SUM(Z20:Z28),1)</f>
        <v>0</v>
      </c>
      <c r="AA29" s="16"/>
      <c r="AB29" s="16"/>
      <c r="AC29" s="838"/>
      <c r="AD29" s="842">
        <f>ROUND(SUM(AD20:AD28),1)</f>
        <v>1432.4</v>
      </c>
      <c r="AE29" s="16"/>
      <c r="AF29" s="838"/>
      <c r="AG29" s="842">
        <f>ROUND(SUM(AG20:AG28),1)</f>
        <v>1335.6</v>
      </c>
      <c r="AH29" s="108"/>
      <c r="AI29" s="16"/>
      <c r="AJ29" s="842">
        <f>ROUND(SUM(AJ20:AJ28),1)</f>
        <v>96.8</v>
      </c>
      <c r="AK29" s="72"/>
      <c r="AL29" s="1539">
        <f t="shared" si="2"/>
        <v>7.1999999999999995E-2</v>
      </c>
      <c r="AN29" s="2114"/>
      <c r="AO29" s="2114"/>
      <c r="AP29" s="2114"/>
      <c r="AQ29" s="2114"/>
      <c r="AR29" s="2114"/>
      <c r="AS29" s="2114"/>
    </row>
    <row r="30" spans="1:45" ht="15" customHeight="1">
      <c r="A30" s="46"/>
      <c r="B30" s="525" t="s">
        <v>556</v>
      </c>
      <c r="C30" s="353"/>
      <c r="D30" s="325"/>
      <c r="E30" s="325"/>
      <c r="F30" s="325"/>
      <c r="G30" s="325"/>
      <c r="H30" s="325"/>
      <c r="I30" s="325"/>
      <c r="J30" s="325"/>
      <c r="K30" s="325"/>
      <c r="L30" s="325"/>
      <c r="M30" s="325"/>
      <c r="N30" s="325"/>
      <c r="O30" s="325"/>
      <c r="P30" s="325"/>
      <c r="Q30" s="325"/>
      <c r="R30" s="325"/>
      <c r="S30" s="325"/>
      <c r="T30" s="325"/>
      <c r="U30" s="325"/>
      <c r="V30" s="325"/>
      <c r="W30" s="325"/>
      <c r="X30" s="325"/>
      <c r="Y30" s="325"/>
      <c r="Z30" s="325"/>
      <c r="AA30" s="325"/>
      <c r="AB30" s="325"/>
      <c r="AC30" s="648"/>
      <c r="AD30" s="325"/>
      <c r="AE30" s="325"/>
      <c r="AF30" s="648"/>
      <c r="AG30" s="325"/>
      <c r="AH30" s="643"/>
      <c r="AI30" s="325"/>
      <c r="AJ30" s="325"/>
      <c r="AK30" s="466"/>
      <c r="AL30" s="466"/>
      <c r="AN30" s="2114"/>
      <c r="AO30" s="2114"/>
      <c r="AP30" s="2114"/>
      <c r="AQ30" s="2114"/>
      <c r="AR30" s="2114"/>
      <c r="AS30" s="2114"/>
    </row>
    <row r="31" spans="1:45" ht="15" customHeight="1">
      <c r="A31" s="46"/>
      <c r="B31" s="534" t="s">
        <v>396</v>
      </c>
      <c r="C31" s="353"/>
      <c r="D31" s="469">
        <v>223.3</v>
      </c>
      <c r="E31" s="1718"/>
      <c r="F31" s="469">
        <v>36.5</v>
      </c>
      <c r="G31" s="469"/>
      <c r="H31" s="469">
        <v>291.09999999999997</v>
      </c>
      <c r="I31" s="325"/>
      <c r="J31" s="469">
        <v>50.100000000000023</v>
      </c>
      <c r="K31" s="690"/>
      <c r="L31" s="469">
        <v>22.700000000000045</v>
      </c>
      <c r="M31" s="690"/>
      <c r="N31" s="469">
        <v>304.59999999999997</v>
      </c>
      <c r="O31" s="690"/>
      <c r="P31" s="469">
        <v>62.299999999999955</v>
      </c>
      <c r="Q31" s="690"/>
      <c r="R31" s="469">
        <f t="shared" ref="R31:R35" si="5">$AD31-$D31-$F31-$H31-$J31-$L31-$N31-$P31</f>
        <v>42.600000000000136</v>
      </c>
      <c r="S31" s="690"/>
      <c r="T31" s="469"/>
      <c r="U31" s="690"/>
      <c r="V31" s="469"/>
      <c r="W31" s="690"/>
      <c r="X31" s="469"/>
      <c r="Y31" s="690"/>
      <c r="Z31" s="469"/>
      <c r="AA31" s="351"/>
      <c r="AB31" s="325"/>
      <c r="AC31" s="648"/>
      <c r="AD31" s="659">
        <v>1033.2</v>
      </c>
      <c r="AE31" s="348"/>
      <c r="AF31" s="1719"/>
      <c r="AG31" s="659">
        <v>977</v>
      </c>
      <c r="AH31" s="643"/>
      <c r="AI31" s="325"/>
      <c r="AJ31" s="325">
        <f>ROUND(SUM(+AD31-AG31),1)</f>
        <v>56.2</v>
      </c>
      <c r="AK31" s="466"/>
      <c r="AL31" s="766">
        <f t="shared" ref="AL31:AL36" si="6">ROUND(IF(AG31=0,0,AJ31/ABS(AG31)),3)</f>
        <v>5.8000000000000003E-2</v>
      </c>
      <c r="AN31" s="2114"/>
      <c r="AO31" s="2114"/>
      <c r="AP31" s="2114"/>
      <c r="AQ31" s="2114"/>
      <c r="AR31" s="2114"/>
      <c r="AS31" s="2114"/>
    </row>
    <row r="32" spans="1:45" ht="15" customHeight="1">
      <c r="A32" s="46"/>
      <c r="B32" s="534" t="s">
        <v>397</v>
      </c>
      <c r="C32" s="353"/>
      <c r="D32" s="469">
        <v>22.2</v>
      </c>
      <c r="E32" s="1718"/>
      <c r="F32" s="469">
        <v>0.30000000000000071</v>
      </c>
      <c r="G32" s="469"/>
      <c r="H32" s="469">
        <v>16</v>
      </c>
      <c r="I32" s="325"/>
      <c r="J32" s="469">
        <v>0.20000000000000284</v>
      </c>
      <c r="K32" s="690"/>
      <c r="L32" s="469">
        <v>0.19999999999999574</v>
      </c>
      <c r="M32" s="690"/>
      <c r="N32" s="469">
        <v>19.399999999999999</v>
      </c>
      <c r="O32" s="690"/>
      <c r="P32" s="469">
        <v>4.9000000000000057</v>
      </c>
      <c r="Q32" s="690"/>
      <c r="R32" s="469">
        <f t="shared" si="5"/>
        <v>6.7000000000000028</v>
      </c>
      <c r="S32" s="690"/>
      <c r="T32" s="469"/>
      <c r="U32" s="690"/>
      <c r="V32" s="469"/>
      <c r="W32" s="690"/>
      <c r="X32" s="469"/>
      <c r="Y32" s="690"/>
      <c r="Z32" s="469"/>
      <c r="AA32" s="351"/>
      <c r="AB32" s="325"/>
      <c r="AC32" s="648"/>
      <c r="AD32" s="659">
        <v>69.900000000000006</v>
      </c>
      <c r="AE32" s="348"/>
      <c r="AF32" s="1719"/>
      <c r="AG32" s="659">
        <v>52.9</v>
      </c>
      <c r="AH32" s="643"/>
      <c r="AI32" s="325"/>
      <c r="AJ32" s="325">
        <f>ROUND(SUM(+AD32-AG32),1)</f>
        <v>17</v>
      </c>
      <c r="AK32" s="466"/>
      <c r="AL32" s="766">
        <f t="shared" si="6"/>
        <v>0.32100000000000001</v>
      </c>
      <c r="AN32" s="2114"/>
      <c r="AO32" s="2114"/>
      <c r="AP32" s="2114"/>
      <c r="AQ32" s="2114"/>
      <c r="AR32" s="2114"/>
      <c r="AS32" s="2114"/>
    </row>
    <row r="33" spans="1:45" s="1729" customFormat="1" ht="15" customHeight="1">
      <c r="A33" s="1725"/>
      <c r="B33" s="1989" t="s">
        <v>398</v>
      </c>
      <c r="C33" s="474"/>
      <c r="D33" s="1739">
        <v>24.4</v>
      </c>
      <c r="E33" s="1994"/>
      <c r="F33" s="1739">
        <v>-10.399999999999999</v>
      </c>
      <c r="G33" s="1739"/>
      <c r="H33" s="1739">
        <v>66.300000000000011</v>
      </c>
      <c r="I33" s="776"/>
      <c r="J33" s="469">
        <v>0.29999999999998295</v>
      </c>
      <c r="K33" s="1726"/>
      <c r="L33" s="469">
        <v>2.6000000000000085</v>
      </c>
      <c r="M33" s="1726"/>
      <c r="N33" s="469">
        <v>57.3</v>
      </c>
      <c r="O33" s="1726"/>
      <c r="P33" s="469">
        <v>-0.30000000000001137</v>
      </c>
      <c r="Q33" s="1726"/>
      <c r="R33" s="469">
        <f t="shared" si="5"/>
        <v>1.6000000000000227</v>
      </c>
      <c r="S33" s="1726"/>
      <c r="T33" s="1746"/>
      <c r="U33" s="1726"/>
      <c r="V33" s="1746"/>
      <c r="W33" s="1726"/>
      <c r="X33" s="1746"/>
      <c r="Y33" s="1726"/>
      <c r="Z33" s="1746"/>
      <c r="AA33" s="1727"/>
      <c r="AB33" s="776"/>
      <c r="AC33" s="1165"/>
      <c r="AD33" s="1921">
        <v>141.80000000000001</v>
      </c>
      <c r="AE33" s="1973"/>
      <c r="AF33" s="1995"/>
      <c r="AG33" s="1921">
        <v>109.2</v>
      </c>
      <c r="AH33" s="1996"/>
      <c r="AI33" s="1922"/>
      <c r="AJ33" s="1922">
        <f>ROUND(SUM(+AD33-AG33),1)</f>
        <v>32.6</v>
      </c>
      <c r="AK33" s="1989"/>
      <c r="AL33" s="2122">
        <f>ROUND(IF(AG33=0,0,AJ33/ABS(AG33)),3)</f>
        <v>0.29899999999999999</v>
      </c>
      <c r="AN33" s="2115"/>
      <c r="AO33" s="2115"/>
      <c r="AP33" s="2115"/>
      <c r="AQ33" s="2115"/>
      <c r="AR33" s="2115"/>
      <c r="AS33" s="2115"/>
    </row>
    <row r="34" spans="1:45" ht="15" customHeight="1">
      <c r="A34" s="46"/>
      <c r="B34" s="534" t="s">
        <v>399</v>
      </c>
      <c r="C34" s="353"/>
      <c r="D34" s="469">
        <v>0.3</v>
      </c>
      <c r="E34" s="1718"/>
      <c r="F34" s="469">
        <v>0</v>
      </c>
      <c r="G34" s="469"/>
      <c r="H34" s="469">
        <v>-9.9999999999999978E-2</v>
      </c>
      <c r="I34" s="325"/>
      <c r="J34" s="469">
        <v>9.9999999999999978E-2</v>
      </c>
      <c r="K34" s="690"/>
      <c r="L34" s="469">
        <v>0</v>
      </c>
      <c r="M34" s="690"/>
      <c r="N34" s="469">
        <v>-9.9999999999999978E-2</v>
      </c>
      <c r="O34" s="690"/>
      <c r="P34" s="469">
        <v>0.6</v>
      </c>
      <c r="Q34" s="690"/>
      <c r="R34" s="469">
        <f t="shared" si="5"/>
        <v>0</v>
      </c>
      <c r="S34" s="690"/>
      <c r="T34" s="469"/>
      <c r="U34" s="690"/>
      <c r="V34" s="469"/>
      <c r="W34" s="690"/>
      <c r="X34" s="469"/>
      <c r="Y34" s="690"/>
      <c r="Z34" s="469"/>
      <c r="AA34" s="351"/>
      <c r="AB34" s="325"/>
      <c r="AC34" s="648"/>
      <c r="AD34" s="659">
        <v>0.8</v>
      </c>
      <c r="AE34" s="348"/>
      <c r="AF34" s="1719"/>
      <c r="AG34" s="659">
        <v>-0.8</v>
      </c>
      <c r="AH34" s="643"/>
      <c r="AI34" s="325"/>
      <c r="AJ34" s="325">
        <f>ROUND(SUM(+AD34-AG34),1)</f>
        <v>1.6</v>
      </c>
      <c r="AK34" s="466"/>
      <c r="AL34" s="769">
        <f>ROUND(IF(AG34=0,1,AJ34/ABS(AG34)),3)</f>
        <v>2</v>
      </c>
      <c r="AN34" s="2114"/>
      <c r="AO34" s="2114"/>
      <c r="AP34" s="2114"/>
      <c r="AQ34" s="2114"/>
      <c r="AR34" s="2114"/>
      <c r="AS34" s="2114"/>
    </row>
    <row r="35" spans="1:45" ht="15" customHeight="1">
      <c r="A35" s="46"/>
      <c r="B35" s="534" t="s">
        <v>401</v>
      </c>
      <c r="C35" s="353"/>
      <c r="D35" s="469">
        <v>36.1</v>
      </c>
      <c r="E35" s="1718"/>
      <c r="F35" s="469">
        <v>42.9</v>
      </c>
      <c r="G35" s="469"/>
      <c r="H35" s="469">
        <v>41.699999999999996</v>
      </c>
      <c r="I35" s="325"/>
      <c r="J35" s="469">
        <v>42.9</v>
      </c>
      <c r="K35" s="690"/>
      <c r="L35" s="469">
        <v>48.200000000000024</v>
      </c>
      <c r="M35" s="690"/>
      <c r="N35" s="469">
        <v>41.799999999999976</v>
      </c>
      <c r="O35" s="690"/>
      <c r="P35" s="469">
        <v>43.199999999999996</v>
      </c>
      <c r="Q35" s="690"/>
      <c r="R35" s="469">
        <f t="shared" si="5"/>
        <v>41.4</v>
      </c>
      <c r="S35" s="690"/>
      <c r="T35" s="469"/>
      <c r="U35" s="690"/>
      <c r="V35" s="469"/>
      <c r="W35" s="690"/>
      <c r="X35" s="469"/>
      <c r="Y35" s="690"/>
      <c r="Z35" s="469"/>
      <c r="AA35" s="351"/>
      <c r="AB35" s="325"/>
      <c r="AC35" s="648"/>
      <c r="AD35" s="659">
        <v>338.2</v>
      </c>
      <c r="AE35" s="348"/>
      <c r="AF35" s="1719"/>
      <c r="AG35" s="659">
        <v>322.2</v>
      </c>
      <c r="AH35" s="643"/>
      <c r="AI35" s="325"/>
      <c r="AJ35" s="325">
        <f>ROUND(SUM(+AD35-AG35),1)</f>
        <v>16</v>
      </c>
      <c r="AK35" s="466"/>
      <c r="AL35" s="766">
        <f t="shared" si="6"/>
        <v>0.05</v>
      </c>
      <c r="AN35" s="2114"/>
      <c r="AO35" s="2114"/>
      <c r="AP35" s="2114"/>
      <c r="AQ35" s="2114"/>
      <c r="AR35" s="2114"/>
      <c r="AS35" s="2114"/>
    </row>
    <row r="36" spans="1:45" s="391" customFormat="1" ht="15" customHeight="1">
      <c r="A36" s="530"/>
      <c r="B36" s="6" t="s">
        <v>557</v>
      </c>
      <c r="C36" s="6"/>
      <c r="D36" s="842">
        <f>ROUND(SUM(D31:D35),1)</f>
        <v>306.3</v>
      </c>
      <c r="E36" s="16"/>
      <c r="F36" s="842">
        <f>ROUND(SUM(F31:F35),1)</f>
        <v>69.3</v>
      </c>
      <c r="G36" s="16"/>
      <c r="H36" s="842">
        <f>ROUND(SUM(H31:H35),1)</f>
        <v>415</v>
      </c>
      <c r="I36" s="16"/>
      <c r="J36" s="842">
        <f>ROUND(SUM(J31:J35),1)</f>
        <v>93.6</v>
      </c>
      <c r="K36" s="16"/>
      <c r="L36" s="842">
        <f>ROUND(SUM(L31:L35),1)</f>
        <v>73.7</v>
      </c>
      <c r="M36" s="16"/>
      <c r="N36" s="842">
        <f>ROUND(SUM(N31:N35),1)</f>
        <v>423</v>
      </c>
      <c r="O36" s="16"/>
      <c r="P36" s="842">
        <f>ROUND(SUM(P31:P35),1)</f>
        <v>110.7</v>
      </c>
      <c r="Q36" s="16"/>
      <c r="R36" s="842">
        <f>ROUND(SUM(R31:R35),1)</f>
        <v>92.3</v>
      </c>
      <c r="S36" s="16"/>
      <c r="T36" s="842">
        <f>ROUND(SUM(T31:T35),1)</f>
        <v>0</v>
      </c>
      <c r="U36" s="16"/>
      <c r="V36" s="842">
        <f>ROUND(SUM(V31:V35),1)</f>
        <v>0</v>
      </c>
      <c r="W36" s="16"/>
      <c r="X36" s="842">
        <f>ROUND(SUM(X31:X35),1)</f>
        <v>0</v>
      </c>
      <c r="Y36" s="16"/>
      <c r="Z36" s="842">
        <f>ROUND(SUM(Z31:Z35),1)</f>
        <v>0</v>
      </c>
      <c r="AA36" s="16"/>
      <c r="AB36" s="16"/>
      <c r="AC36" s="838"/>
      <c r="AD36" s="842">
        <f>ROUND(SUM(AD31:AD35),1)</f>
        <v>1583.9</v>
      </c>
      <c r="AE36" s="16"/>
      <c r="AF36" s="838"/>
      <c r="AG36" s="842">
        <f>ROUND(SUM(AG31:AG35),1)</f>
        <v>1460.5</v>
      </c>
      <c r="AH36" s="108"/>
      <c r="AI36" s="16"/>
      <c r="AJ36" s="842">
        <f>ROUND(SUM(AJ31:AJ35),1)</f>
        <v>123.4</v>
      </c>
      <c r="AK36" s="72"/>
      <c r="AL36" s="1509">
        <f t="shared" si="6"/>
        <v>8.4000000000000005E-2</v>
      </c>
      <c r="AN36" s="2114"/>
      <c r="AO36" s="2114"/>
      <c r="AP36" s="2114"/>
      <c r="AQ36" s="2114"/>
      <c r="AR36" s="2114"/>
      <c r="AS36" s="2114"/>
    </row>
    <row r="37" spans="1:45" ht="15" customHeight="1">
      <c r="A37" s="46"/>
      <c r="B37" s="6"/>
      <c r="C37" s="353"/>
      <c r="D37" s="325"/>
      <c r="E37" s="325"/>
      <c r="F37" s="325"/>
      <c r="G37" s="325"/>
      <c r="H37" s="325"/>
      <c r="I37" s="325"/>
      <c r="J37" s="325"/>
      <c r="K37" s="325"/>
      <c r="L37" s="325"/>
      <c r="M37" s="325"/>
      <c r="N37" s="325"/>
      <c r="O37" s="325"/>
      <c r="P37" s="325"/>
      <c r="Q37" s="325"/>
      <c r="R37" s="325"/>
      <c r="S37" s="325"/>
      <c r="T37" s="325"/>
      <c r="U37" s="325"/>
      <c r="V37" s="325"/>
      <c r="W37" s="325"/>
      <c r="X37" s="469"/>
      <c r="Y37" s="325"/>
      <c r="Z37" s="325"/>
      <c r="AA37" s="325"/>
      <c r="AB37" s="325"/>
      <c r="AC37" s="648"/>
      <c r="AD37" s="325"/>
      <c r="AE37" s="325"/>
      <c r="AF37" s="648"/>
      <c r="AG37" s="325"/>
      <c r="AH37" s="643"/>
      <c r="AI37" s="325"/>
      <c r="AJ37" s="325"/>
      <c r="AK37" s="466"/>
      <c r="AL37" s="466"/>
      <c r="AN37" s="2114"/>
      <c r="AO37" s="2114"/>
      <c r="AP37" s="2114"/>
      <c r="AQ37" s="2114"/>
      <c r="AR37" s="2114"/>
      <c r="AS37" s="2114"/>
    </row>
    <row r="38" spans="1:45" ht="15" customHeight="1">
      <c r="A38" s="46"/>
      <c r="B38" s="118" t="s">
        <v>468</v>
      </c>
      <c r="C38" s="353"/>
      <c r="D38" s="1540">
        <f>ROUND(SUM(D17+D29+D36),1)</f>
        <v>524.79999999999995</v>
      </c>
      <c r="E38" s="325"/>
      <c r="F38" s="1540">
        <f>ROUND(SUM(F17+F29+F36),1)</f>
        <v>226.2</v>
      </c>
      <c r="G38" s="325"/>
      <c r="H38" s="1540">
        <f>ROUND(SUM(H17+H29+H36),1)</f>
        <v>613.1</v>
      </c>
      <c r="I38" s="325"/>
      <c r="J38" s="1540">
        <f>ROUND(SUM(J17+J29+J36),1)</f>
        <v>253.9</v>
      </c>
      <c r="K38" s="325"/>
      <c r="L38" s="1540">
        <f>ROUND(SUM(L17+L29+L36),1)</f>
        <v>230.9</v>
      </c>
      <c r="M38" s="325"/>
      <c r="N38" s="1540">
        <f>ROUND(SUM(N17+N29+N36),1)</f>
        <v>626.4</v>
      </c>
      <c r="O38" s="325"/>
      <c r="P38" s="1540">
        <f>ROUND(SUM(P17+P29+P36),1)</f>
        <v>284.10000000000002</v>
      </c>
      <c r="Q38" s="325"/>
      <c r="R38" s="1540">
        <f>ROUND(SUM(R17+R29+R36),1)</f>
        <v>257</v>
      </c>
      <c r="S38" s="774"/>
      <c r="T38" s="1540">
        <f>ROUND(SUM(T17+T29+T36),1)</f>
        <v>0</v>
      </c>
      <c r="U38" s="325"/>
      <c r="V38" s="1540">
        <f>ROUND(SUM(V17+V29+V36),1)</f>
        <v>0</v>
      </c>
      <c r="W38" s="325"/>
      <c r="X38" s="1540">
        <f>ROUND(SUM(X17+X29+X36),1)</f>
        <v>0</v>
      </c>
      <c r="Y38" s="325"/>
      <c r="Z38" s="1540">
        <f>ROUND(SUM(Z17+Z29+Z36),1)</f>
        <v>0</v>
      </c>
      <c r="AA38" s="839"/>
      <c r="AB38" s="325"/>
      <c r="AC38" s="647"/>
      <c r="AD38" s="1540">
        <f>ROUND(SUM(AD17+AD29+AD36),1)</f>
        <v>3016.4</v>
      </c>
      <c r="AE38" s="325"/>
      <c r="AF38" s="647"/>
      <c r="AG38" s="1540">
        <f>ROUND(SUM(AG17+AG29+AG36),1)</f>
        <v>2797.2</v>
      </c>
      <c r="AH38" s="1530"/>
      <c r="AI38" s="325"/>
      <c r="AJ38" s="1540">
        <f>ROUND(SUM(AJ17+AJ29+AJ36),1)</f>
        <v>219.2</v>
      </c>
      <c r="AK38" s="325"/>
      <c r="AL38" s="1541">
        <f>ROUND(IF(AG38=0,0,AJ38/ABS(AG38)),3)</f>
        <v>7.8E-2</v>
      </c>
      <c r="AM38" s="404"/>
      <c r="AN38" s="2114"/>
      <c r="AO38" s="2114"/>
      <c r="AP38" s="2114"/>
      <c r="AQ38" s="2114"/>
      <c r="AR38" s="2114"/>
      <c r="AS38" s="2114"/>
    </row>
    <row r="39" spans="1:45" ht="15" customHeight="1">
      <c r="A39" s="46"/>
      <c r="B39" s="353"/>
      <c r="C39" s="353"/>
      <c r="D39" s="348"/>
      <c r="E39" s="325"/>
      <c r="F39" s="348"/>
      <c r="G39" s="325"/>
      <c r="H39" s="325"/>
      <c r="I39" s="325"/>
      <c r="J39" s="348"/>
      <c r="K39" s="325"/>
      <c r="L39" s="348"/>
      <c r="M39" s="325"/>
      <c r="N39" s="348"/>
      <c r="O39" s="325"/>
      <c r="P39" s="348"/>
      <c r="Q39" s="325"/>
      <c r="R39" s="348"/>
      <c r="S39" s="325"/>
      <c r="T39" s="348"/>
      <c r="U39" s="325"/>
      <c r="V39" s="348"/>
      <c r="W39" s="325"/>
      <c r="X39" s="469"/>
      <c r="Y39" s="325"/>
      <c r="Z39" s="348"/>
      <c r="AA39" s="348"/>
      <c r="AB39" s="325"/>
      <c r="AC39" s="647"/>
      <c r="AD39" s="350"/>
      <c r="AE39" s="469"/>
      <c r="AF39" s="648"/>
      <c r="AG39" s="350"/>
      <c r="AH39" s="1530"/>
      <c r="AI39" s="325"/>
      <c r="AJ39" s="325"/>
      <c r="AK39" s="325"/>
      <c r="AL39" s="344"/>
      <c r="AM39" s="404"/>
      <c r="AN39" s="2114"/>
      <c r="AO39" s="2114"/>
      <c r="AP39" s="2114"/>
      <c r="AQ39" s="2114"/>
      <c r="AR39" s="2114"/>
      <c r="AS39" s="2114"/>
    </row>
    <row r="40" spans="1:45" ht="15" customHeight="1">
      <c r="A40" s="46"/>
      <c r="B40" s="2006" t="s">
        <v>412</v>
      </c>
      <c r="C40" s="353"/>
      <c r="D40" s="348"/>
      <c r="E40" s="325"/>
      <c r="F40" s="348"/>
      <c r="G40" s="325"/>
      <c r="H40" s="325"/>
      <c r="I40" s="325"/>
      <c r="J40" s="348"/>
      <c r="K40" s="325"/>
      <c r="L40" s="348"/>
      <c r="M40" s="325"/>
      <c r="N40" s="348"/>
      <c r="O40" s="325"/>
      <c r="P40" s="348"/>
      <c r="Q40" s="325"/>
      <c r="R40" s="348"/>
      <c r="S40" s="325"/>
      <c r="T40" s="348"/>
      <c r="U40" s="325"/>
      <c r="V40" s="348"/>
      <c r="W40" s="325"/>
      <c r="X40" s="469"/>
      <c r="Y40" s="325"/>
      <c r="Z40" s="348"/>
      <c r="AA40" s="348"/>
      <c r="AB40" s="325"/>
      <c r="AC40" s="647"/>
      <c r="AD40" s="325"/>
      <c r="AE40" s="325"/>
      <c r="AF40" s="648"/>
      <c r="AG40" s="325"/>
      <c r="AH40" s="643"/>
      <c r="AI40" s="325"/>
      <c r="AJ40" s="325"/>
      <c r="AK40" s="325"/>
      <c r="AL40" s="344"/>
      <c r="AM40" s="404"/>
      <c r="AN40" s="2114"/>
      <c r="AO40" s="2114"/>
      <c r="AP40" s="2114"/>
      <c r="AQ40" s="2114"/>
      <c r="AR40" s="2114"/>
      <c r="AS40" s="2114"/>
    </row>
    <row r="41" spans="1:45" ht="15" customHeight="1">
      <c r="A41" s="46"/>
      <c r="B41" s="427" t="s">
        <v>413</v>
      </c>
      <c r="C41" s="353"/>
      <c r="D41" s="348"/>
      <c r="E41" s="325"/>
      <c r="F41" s="348"/>
      <c r="G41" s="325"/>
      <c r="H41" s="325"/>
      <c r="I41" s="325"/>
      <c r="J41" s="348"/>
      <c r="K41" s="325"/>
      <c r="L41" s="348"/>
      <c r="M41" s="325"/>
      <c r="N41" s="348"/>
      <c r="O41" s="325"/>
      <c r="P41" s="348"/>
      <c r="Q41" s="325"/>
      <c r="R41" s="348"/>
      <c r="S41" s="325"/>
      <c r="T41" s="348"/>
      <c r="U41" s="325"/>
      <c r="V41" s="348"/>
      <c r="W41" s="325"/>
      <c r="X41" s="469"/>
      <c r="Y41" s="325"/>
      <c r="Z41" s="348"/>
      <c r="AA41" s="348"/>
      <c r="AB41" s="325"/>
      <c r="AC41" s="647"/>
      <c r="AD41" s="325"/>
      <c r="AE41" s="325"/>
      <c r="AF41" s="648"/>
      <c r="AG41" s="325"/>
      <c r="AH41" s="643"/>
      <c r="AI41" s="325"/>
      <c r="AJ41" s="325"/>
      <c r="AK41" s="325"/>
      <c r="AL41" s="344"/>
      <c r="AM41" s="404"/>
      <c r="AN41" s="2114"/>
      <c r="AO41" s="2114"/>
      <c r="AP41" s="2114"/>
      <c r="AQ41" s="2114"/>
      <c r="AR41" s="2114"/>
      <c r="AS41" s="2114"/>
    </row>
    <row r="42" spans="1:45" ht="15" customHeight="1">
      <c r="A42" s="46"/>
      <c r="B42" s="427" t="s">
        <v>1532</v>
      </c>
      <c r="C42" s="353"/>
      <c r="D42" s="469">
        <v>1</v>
      </c>
      <c r="E42" s="325"/>
      <c r="F42" s="469">
        <v>0.89999999999999991</v>
      </c>
      <c r="G42" s="469"/>
      <c r="H42" s="469">
        <v>0.89999999999999991</v>
      </c>
      <c r="I42" s="325"/>
      <c r="J42" s="469">
        <v>0.90000000000000036</v>
      </c>
      <c r="K42" s="690"/>
      <c r="L42" s="469">
        <v>1.2999999999999998</v>
      </c>
      <c r="M42" s="1726"/>
      <c r="N42" s="469">
        <v>1.5999999999999992</v>
      </c>
      <c r="O42" s="690"/>
      <c r="P42" s="469">
        <v>0.89999999999999991</v>
      </c>
      <c r="Q42" s="690"/>
      <c r="R42" s="469">
        <f t="shared" ref="R42:R81" si="7">$AD42-$D42-$F42-$H42-$J42-$L42-$N42-$P42</f>
        <v>1.1999999999999993</v>
      </c>
      <c r="S42" s="690"/>
      <c r="T42" s="469"/>
      <c r="U42" s="690"/>
      <c r="V42" s="469"/>
      <c r="W42" s="690"/>
      <c r="X42" s="469"/>
      <c r="Y42" s="690"/>
      <c r="Z42" s="469"/>
      <c r="AA42" s="351"/>
      <c r="AB42" s="325"/>
      <c r="AC42" s="648"/>
      <c r="AD42" s="659">
        <v>8.6999999999999993</v>
      </c>
      <c r="AE42" s="348"/>
      <c r="AF42" s="1719"/>
      <c r="AG42" s="659">
        <v>8.1</v>
      </c>
      <c r="AH42" s="643"/>
      <c r="AI42" s="325"/>
      <c r="AJ42" s="325">
        <f>ROUND(SUM(+AD42-AG42),1)</f>
        <v>0.6</v>
      </c>
      <c r="AK42" s="325"/>
      <c r="AL42" s="344">
        <f>ROUND(IF(AG42=0,0,AJ42/ABS(AG42)),3)</f>
        <v>7.3999999999999996E-2</v>
      </c>
      <c r="AM42" s="404"/>
      <c r="AN42" s="2114"/>
      <c r="AO42" s="2114"/>
      <c r="AP42" s="2114"/>
      <c r="AQ42" s="2114"/>
      <c r="AR42" s="2114"/>
      <c r="AS42" s="2114"/>
    </row>
    <row r="43" spans="1:45" ht="15" customHeight="1">
      <c r="A43" s="46"/>
      <c r="B43" s="427" t="s">
        <v>416</v>
      </c>
      <c r="C43" s="353"/>
      <c r="D43" s="469" t="s">
        <v>104</v>
      </c>
      <c r="E43" s="325"/>
      <c r="F43" s="469"/>
      <c r="G43" s="469"/>
      <c r="H43" s="469"/>
      <c r="I43" s="325"/>
      <c r="J43" s="469"/>
      <c r="K43" s="325"/>
      <c r="L43" s="469"/>
      <c r="M43" s="1730"/>
      <c r="N43" s="469"/>
      <c r="O43" s="325"/>
      <c r="P43" s="469"/>
      <c r="Q43" s="325"/>
      <c r="R43" s="469"/>
      <c r="S43" s="325"/>
      <c r="T43" s="469"/>
      <c r="U43" s="325"/>
      <c r="V43" s="469"/>
      <c r="W43" s="325"/>
      <c r="X43" s="469"/>
      <c r="Y43" s="325"/>
      <c r="Z43" s="469"/>
      <c r="AA43" s="348"/>
      <c r="AB43" s="325"/>
      <c r="AC43" s="647"/>
      <c r="AD43" s="325" t="s">
        <v>104</v>
      </c>
      <c r="AE43" s="325"/>
      <c r="AF43" s="648"/>
      <c r="AG43" s="325" t="s">
        <v>104</v>
      </c>
      <c r="AH43" s="643"/>
      <c r="AI43" s="325"/>
      <c r="AJ43" s="325"/>
      <c r="AK43" s="325"/>
      <c r="AL43" s="344"/>
      <c r="AM43" s="404"/>
      <c r="AN43" s="2114"/>
      <c r="AO43" s="2114"/>
      <c r="AP43" s="2114"/>
      <c r="AQ43" s="2114"/>
      <c r="AR43" s="2114"/>
      <c r="AS43" s="2114"/>
    </row>
    <row r="44" spans="1:45" ht="15" customHeight="1">
      <c r="A44" s="46"/>
      <c r="B44" s="427" t="s">
        <v>1509</v>
      </c>
      <c r="C44" s="353"/>
      <c r="D44" s="469">
        <v>47.4</v>
      </c>
      <c r="E44" s="325"/>
      <c r="F44" s="469">
        <v>-73.2</v>
      </c>
      <c r="G44" s="469"/>
      <c r="H44" s="469">
        <v>94</v>
      </c>
      <c r="I44" s="325"/>
      <c r="J44" s="469">
        <v>87</v>
      </c>
      <c r="K44" s="690"/>
      <c r="L44" s="469">
        <v>82</v>
      </c>
      <c r="M44" s="1726"/>
      <c r="N44" s="469">
        <v>99.100000000000023</v>
      </c>
      <c r="O44" s="690"/>
      <c r="P44" s="469">
        <v>82.300000000000011</v>
      </c>
      <c r="Q44" s="690"/>
      <c r="R44" s="469">
        <f t="shared" si="7"/>
        <v>-11.400000000000034</v>
      </c>
      <c r="S44" s="690"/>
      <c r="T44" s="469"/>
      <c r="U44" s="690"/>
      <c r="V44" s="469"/>
      <c r="W44" s="690"/>
      <c r="X44" s="469"/>
      <c r="Y44" s="690"/>
      <c r="Z44" s="469"/>
      <c r="AA44" s="351"/>
      <c r="AB44" s="325"/>
      <c r="AC44" s="648"/>
      <c r="AD44" s="659">
        <v>407.2</v>
      </c>
      <c r="AE44" s="348"/>
      <c r="AF44" s="1719"/>
      <c r="AG44" s="659">
        <v>415.6</v>
      </c>
      <c r="AH44" s="643"/>
      <c r="AI44" s="325"/>
      <c r="AJ44" s="325">
        <f>ROUND(SUM(+AD44-AG44),1)</f>
        <v>-8.4</v>
      </c>
      <c r="AK44" s="325"/>
      <c r="AL44" s="344">
        <f>ROUND(IF(AG44=0,0,AJ44/ABS(AG44)),3)</f>
        <v>-0.02</v>
      </c>
      <c r="AM44" s="404"/>
      <c r="AN44" s="2114"/>
      <c r="AO44" s="2114"/>
      <c r="AP44" s="2114"/>
      <c r="AQ44" s="2114"/>
      <c r="AR44" s="2114"/>
      <c r="AS44" s="2114"/>
    </row>
    <row r="45" spans="1:45" ht="15" customHeight="1">
      <c r="A45" s="46"/>
      <c r="B45" s="427" t="s">
        <v>1510</v>
      </c>
      <c r="C45" s="353"/>
      <c r="D45" s="469">
        <v>630.29999999999995</v>
      </c>
      <c r="E45" s="325"/>
      <c r="F45" s="469">
        <v>619.90000000000009</v>
      </c>
      <c r="G45" s="469"/>
      <c r="H45" s="469">
        <v>590.79999999999995</v>
      </c>
      <c r="I45" s="325"/>
      <c r="J45" s="469">
        <v>644.59999999999991</v>
      </c>
      <c r="K45" s="690"/>
      <c r="L45" s="469">
        <v>651.59999999999968</v>
      </c>
      <c r="M45" s="1726"/>
      <c r="N45" s="469">
        <v>593.30000000000018</v>
      </c>
      <c r="O45" s="690"/>
      <c r="P45" s="469">
        <v>670.60000000000059</v>
      </c>
      <c r="Q45" s="690"/>
      <c r="R45" s="469">
        <f t="shared" si="7"/>
        <v>595.69999999999982</v>
      </c>
      <c r="S45" s="690"/>
      <c r="T45" s="469"/>
      <c r="U45" s="690"/>
      <c r="V45" s="469"/>
      <c r="W45" s="690"/>
      <c r="X45" s="469"/>
      <c r="Y45" s="690"/>
      <c r="Z45" s="469"/>
      <c r="AA45" s="351"/>
      <c r="AB45" s="325"/>
      <c r="AC45" s="648"/>
      <c r="AD45" s="659">
        <v>4996.8</v>
      </c>
      <c r="AE45" s="348"/>
      <c r="AF45" s="1719"/>
      <c r="AG45" s="659">
        <v>4380.2999999999993</v>
      </c>
      <c r="AH45" s="643"/>
      <c r="AI45" s="325"/>
      <c r="AJ45" s="325">
        <f>ROUND(SUM(+AD45-AG45),1)</f>
        <v>616.5</v>
      </c>
      <c r="AK45" s="325"/>
      <c r="AL45" s="344">
        <f>ROUND(IF(AG45=0,0,AJ45/ABS(AG45)),3)</f>
        <v>0.14099999999999999</v>
      </c>
      <c r="AM45" s="404"/>
      <c r="AN45" s="2114"/>
      <c r="AO45" s="2114"/>
      <c r="AP45" s="2114"/>
      <c r="AQ45" s="2114"/>
      <c r="AR45" s="2114"/>
      <c r="AS45" s="2114"/>
    </row>
    <row r="46" spans="1:45" ht="15" customHeight="1">
      <c r="A46" s="46"/>
      <c r="B46" s="427" t="s">
        <v>1511</v>
      </c>
      <c r="C46" s="353"/>
      <c r="D46" s="469">
        <v>0.7</v>
      </c>
      <c r="E46" s="325"/>
      <c r="F46" s="469">
        <v>0</v>
      </c>
      <c r="G46" s="469"/>
      <c r="H46" s="469">
        <v>0.7</v>
      </c>
      <c r="I46" s="325"/>
      <c r="J46" s="469">
        <v>0</v>
      </c>
      <c r="K46" s="690"/>
      <c r="L46" s="469">
        <v>0.20000000000000018</v>
      </c>
      <c r="M46" s="1726"/>
      <c r="N46" s="469">
        <v>61.199999999999989</v>
      </c>
      <c r="O46" s="690"/>
      <c r="P46" s="469">
        <v>0.5</v>
      </c>
      <c r="Q46" s="690"/>
      <c r="R46" s="469">
        <f t="shared" si="7"/>
        <v>-31.899999999999988</v>
      </c>
      <c r="S46" s="690"/>
      <c r="T46" s="469"/>
      <c r="U46" s="690"/>
      <c r="V46" s="469"/>
      <c r="W46" s="690"/>
      <c r="X46" s="469"/>
      <c r="Y46" s="690"/>
      <c r="Z46" s="469"/>
      <c r="AA46" s="351"/>
      <c r="AB46" s="325"/>
      <c r="AC46" s="648"/>
      <c r="AD46" s="659">
        <v>31.4</v>
      </c>
      <c r="AE46" s="348"/>
      <c r="AF46" s="1719"/>
      <c r="AG46" s="659">
        <v>64.2</v>
      </c>
      <c r="AH46" s="643"/>
      <c r="AI46" s="325"/>
      <c r="AJ46" s="325">
        <f>ROUND(SUM(+AD46-AG46),1)</f>
        <v>-32.799999999999997</v>
      </c>
      <c r="AK46" s="325"/>
      <c r="AL46" s="769">
        <f>ROUND(IF(AG46=0,0,AJ46/ABS(AG46)),3)</f>
        <v>-0.51100000000000001</v>
      </c>
      <c r="AM46" s="404"/>
      <c r="AN46" s="2114"/>
      <c r="AO46" s="2114"/>
      <c r="AP46" s="2114"/>
      <c r="AQ46" s="2114"/>
      <c r="AR46" s="2114"/>
      <c r="AS46" s="2114"/>
    </row>
    <row r="47" spans="1:45" ht="15" customHeight="1">
      <c r="A47" s="46"/>
      <c r="B47" s="427" t="s">
        <v>1533</v>
      </c>
      <c r="C47" s="353"/>
      <c r="D47" s="469">
        <v>0</v>
      </c>
      <c r="E47" s="325"/>
      <c r="F47" s="469">
        <v>0.1</v>
      </c>
      <c r="G47" s="469"/>
      <c r="H47" s="469">
        <v>0</v>
      </c>
      <c r="I47" s="325"/>
      <c r="J47" s="469">
        <v>0</v>
      </c>
      <c r="K47" s="690"/>
      <c r="L47" s="469">
        <v>0</v>
      </c>
      <c r="M47" s="1726"/>
      <c r="N47" s="469">
        <v>0.1</v>
      </c>
      <c r="O47" s="690"/>
      <c r="P47" s="469">
        <v>0</v>
      </c>
      <c r="Q47" s="690"/>
      <c r="R47" s="469">
        <f t="shared" si="7"/>
        <v>0</v>
      </c>
      <c r="S47" s="690"/>
      <c r="T47" s="469"/>
      <c r="U47" s="690"/>
      <c r="V47" s="469"/>
      <c r="W47" s="690"/>
      <c r="X47" s="469"/>
      <c r="Y47" s="690"/>
      <c r="Z47" s="469"/>
      <c r="AA47" s="351"/>
      <c r="AB47" s="325"/>
      <c r="AC47" s="648"/>
      <c r="AD47" s="659">
        <v>0.2</v>
      </c>
      <c r="AE47" s="348"/>
      <c r="AF47" s="1719"/>
      <c r="AG47" s="659">
        <v>0.2</v>
      </c>
      <c r="AH47" s="643"/>
      <c r="AI47" s="325"/>
      <c r="AJ47" s="325">
        <f>ROUND(SUM(+AD47-AG47),1)</f>
        <v>0</v>
      </c>
      <c r="AK47" s="325"/>
      <c r="AL47" s="344">
        <f>ROUND(IF(AG47=0,1,AJ47/ABS(AG47)),3)</f>
        <v>0</v>
      </c>
      <c r="AM47" s="404"/>
      <c r="AN47" s="2114"/>
      <c r="AO47" s="2114"/>
      <c r="AP47" s="2114"/>
      <c r="AQ47" s="2114"/>
      <c r="AR47" s="2114"/>
      <c r="AS47" s="2114"/>
    </row>
    <row r="48" spans="1:45" ht="15" customHeight="1">
      <c r="A48" s="46"/>
      <c r="B48" s="427" t="s">
        <v>421</v>
      </c>
      <c r="C48" s="353"/>
      <c r="D48" s="469" t="s">
        <v>104</v>
      </c>
      <c r="E48" s="325"/>
      <c r="F48" s="469"/>
      <c r="G48" s="469"/>
      <c r="H48" s="469"/>
      <c r="I48" s="325"/>
      <c r="J48" s="469"/>
      <c r="K48" s="325"/>
      <c r="L48" s="469"/>
      <c r="M48" s="1730"/>
      <c r="N48" s="469"/>
      <c r="O48" s="325"/>
      <c r="P48" s="469"/>
      <c r="Q48" s="325"/>
      <c r="R48" s="469"/>
      <c r="S48" s="325"/>
      <c r="T48" s="469"/>
      <c r="U48" s="325"/>
      <c r="V48" s="469"/>
      <c r="W48" s="325"/>
      <c r="X48" s="469"/>
      <c r="Y48" s="325"/>
      <c r="Z48" s="469"/>
      <c r="AA48" s="348"/>
      <c r="AB48" s="325"/>
      <c r="AC48" s="647"/>
      <c r="AD48" s="15" t="s">
        <v>104</v>
      </c>
      <c r="AE48" s="325"/>
      <c r="AF48" s="648"/>
      <c r="AG48" s="15" t="s">
        <v>104</v>
      </c>
      <c r="AH48" s="643"/>
      <c r="AI48" s="325"/>
      <c r="AJ48" s="325"/>
      <c r="AK48" s="325"/>
      <c r="AL48" s="344"/>
      <c r="AM48" s="404"/>
      <c r="AN48" s="2114"/>
      <c r="AO48" s="2114"/>
      <c r="AP48" s="2114"/>
      <c r="AQ48" s="2114"/>
      <c r="AR48" s="2114"/>
      <c r="AS48" s="2114"/>
    </row>
    <row r="49" spans="1:45" ht="15" customHeight="1">
      <c r="A49" s="46"/>
      <c r="B49" s="427" t="s">
        <v>1534</v>
      </c>
      <c r="C49" s="353"/>
      <c r="D49" s="469">
        <v>0.1</v>
      </c>
      <c r="E49" s="325"/>
      <c r="F49" s="469">
        <v>0.19999999999999998</v>
      </c>
      <c r="G49" s="469"/>
      <c r="H49" s="469">
        <v>1.9999999999999998</v>
      </c>
      <c r="I49" s="325"/>
      <c r="J49" s="469">
        <v>9.9999999999999867E-2</v>
      </c>
      <c r="K49" s="690"/>
      <c r="L49" s="469">
        <v>0.10000000000000009</v>
      </c>
      <c r="M49" s="1726"/>
      <c r="N49" s="469">
        <v>0</v>
      </c>
      <c r="O49" s="690"/>
      <c r="P49" s="469">
        <v>0.10000000000000009</v>
      </c>
      <c r="Q49" s="690"/>
      <c r="R49" s="469">
        <f t="shared" si="7"/>
        <v>0</v>
      </c>
      <c r="S49" s="690"/>
      <c r="T49" s="469"/>
      <c r="U49" s="690"/>
      <c r="V49" s="469"/>
      <c r="W49" s="690"/>
      <c r="X49" s="469"/>
      <c r="Y49" s="690"/>
      <c r="Z49" s="469"/>
      <c r="AA49" s="351"/>
      <c r="AB49" s="325"/>
      <c r="AC49" s="648"/>
      <c r="AD49" s="659">
        <v>2.6</v>
      </c>
      <c r="AE49" s="348"/>
      <c r="AF49" s="1719"/>
      <c r="AG49" s="659">
        <v>2.2999999999999998</v>
      </c>
      <c r="AH49" s="643"/>
      <c r="AI49" s="325"/>
      <c r="AJ49" s="325">
        <f t="shared" ref="AJ49:AJ55" si="8">ROUND(SUM(+AD49-AG49),1)</f>
        <v>0.3</v>
      </c>
      <c r="AK49" s="325"/>
      <c r="AL49" s="327">
        <f>ROUND(IF(AG49=0,1,AJ49/ABS(AG49)),3)</f>
        <v>0.13</v>
      </c>
      <c r="AM49" s="404"/>
      <c r="AN49" s="2114"/>
      <c r="AO49" s="2114"/>
      <c r="AP49" s="2114"/>
      <c r="AQ49" s="2114"/>
      <c r="AR49" s="2114"/>
      <c r="AS49" s="2114"/>
    </row>
    <row r="50" spans="1:45" ht="15" customHeight="1">
      <c r="A50" s="46"/>
      <c r="B50" s="427" t="s">
        <v>1535</v>
      </c>
      <c r="C50" s="353"/>
      <c r="D50" s="469">
        <v>36.4</v>
      </c>
      <c r="E50" s="325"/>
      <c r="F50" s="469">
        <v>31.6</v>
      </c>
      <c r="G50" s="469"/>
      <c r="H50" s="469">
        <v>80.199999999999989</v>
      </c>
      <c r="I50" s="325"/>
      <c r="J50" s="469">
        <v>36.200000000000017</v>
      </c>
      <c r="K50" s="690"/>
      <c r="L50" s="469">
        <v>51.299999999999983</v>
      </c>
      <c r="M50" s="1726"/>
      <c r="N50" s="469">
        <v>82.100000000000051</v>
      </c>
      <c r="O50" s="690"/>
      <c r="P50" s="469">
        <v>53.799999999999983</v>
      </c>
      <c r="Q50" s="690"/>
      <c r="R50" s="469">
        <f t="shared" si="7"/>
        <v>54.699999999999989</v>
      </c>
      <c r="S50" s="690"/>
      <c r="T50" s="469"/>
      <c r="U50" s="690"/>
      <c r="V50" s="469"/>
      <c r="W50" s="690"/>
      <c r="X50" s="469"/>
      <c r="Y50" s="690"/>
      <c r="Z50" s="469"/>
      <c r="AA50" s="351"/>
      <c r="AB50" s="325"/>
      <c r="AC50" s="648"/>
      <c r="AD50" s="659">
        <v>426.3</v>
      </c>
      <c r="AE50" s="348"/>
      <c r="AF50" s="1719"/>
      <c r="AG50" s="659">
        <v>439.9</v>
      </c>
      <c r="AH50" s="643"/>
      <c r="AI50" s="325"/>
      <c r="AJ50" s="325">
        <f t="shared" si="8"/>
        <v>-13.6</v>
      </c>
      <c r="AK50" s="325"/>
      <c r="AL50" s="344">
        <f t="shared" ref="AL50:AL55" si="9">ROUND(IF(AG50=0,0,AJ50/ABS(AG50)),3)</f>
        <v>-3.1E-2</v>
      </c>
      <c r="AM50" s="404"/>
      <c r="AN50" s="2114"/>
      <c r="AO50" s="2114"/>
      <c r="AP50" s="2114"/>
      <c r="AQ50" s="2114"/>
      <c r="AR50" s="2114"/>
      <c r="AS50" s="2114"/>
    </row>
    <row r="51" spans="1:45" ht="15" customHeight="1">
      <c r="A51" s="46"/>
      <c r="B51" s="427" t="s">
        <v>518</v>
      </c>
      <c r="C51" s="353"/>
      <c r="D51" s="469">
        <v>3.8</v>
      </c>
      <c r="E51" s="325"/>
      <c r="F51" s="469">
        <v>4</v>
      </c>
      <c r="G51" s="469"/>
      <c r="H51" s="469">
        <v>4.3000000000000007</v>
      </c>
      <c r="I51" s="325"/>
      <c r="J51" s="469">
        <v>3.5999999999999979</v>
      </c>
      <c r="K51" s="690"/>
      <c r="L51" s="469">
        <v>5.3000000000000007</v>
      </c>
      <c r="M51" s="1726"/>
      <c r="N51" s="469">
        <v>5.1000000000000014</v>
      </c>
      <c r="O51" s="690"/>
      <c r="P51" s="469">
        <v>4.6999999999999993</v>
      </c>
      <c r="Q51" s="690"/>
      <c r="R51" s="469">
        <f t="shared" si="7"/>
        <v>4.0999999999999979</v>
      </c>
      <c r="S51" s="690"/>
      <c r="T51" s="469"/>
      <c r="U51" s="690"/>
      <c r="V51" s="469"/>
      <c r="W51" s="690"/>
      <c r="X51" s="469"/>
      <c r="Y51" s="690"/>
      <c r="Z51" s="469"/>
      <c r="AA51" s="351"/>
      <c r="AB51" s="325"/>
      <c r="AC51" s="648"/>
      <c r="AD51" s="659">
        <v>34.9</v>
      </c>
      <c r="AE51" s="348"/>
      <c r="AF51" s="1719"/>
      <c r="AG51" s="659">
        <v>40</v>
      </c>
      <c r="AH51" s="643"/>
      <c r="AI51" s="325"/>
      <c r="AJ51" s="325">
        <f t="shared" si="8"/>
        <v>-5.0999999999999996</v>
      </c>
      <c r="AK51" s="325"/>
      <c r="AL51" s="344">
        <f t="shared" si="9"/>
        <v>-0.128</v>
      </c>
      <c r="AM51" s="404"/>
      <c r="AN51" s="2114"/>
      <c r="AO51" s="2114"/>
      <c r="AP51" s="2114"/>
      <c r="AQ51" s="2114"/>
      <c r="AR51" s="2114"/>
      <c r="AS51" s="2114"/>
    </row>
    <row r="52" spans="1:45" ht="15" customHeight="1">
      <c r="A52" s="46"/>
      <c r="B52" s="427" t="s">
        <v>519</v>
      </c>
      <c r="C52" s="353"/>
      <c r="D52" s="469">
        <v>0.3</v>
      </c>
      <c r="E52" s="325"/>
      <c r="F52" s="469">
        <v>0.39999999999999997</v>
      </c>
      <c r="G52" s="469"/>
      <c r="H52" s="469">
        <v>0.3</v>
      </c>
      <c r="I52" s="325"/>
      <c r="J52" s="469">
        <v>0.39999999999999997</v>
      </c>
      <c r="K52" s="690"/>
      <c r="L52" s="469">
        <v>1.0000000000000002</v>
      </c>
      <c r="M52" s="1726"/>
      <c r="N52" s="469">
        <v>0.7000000000000004</v>
      </c>
      <c r="O52" s="690"/>
      <c r="P52" s="469">
        <v>0.19999999999999973</v>
      </c>
      <c r="Q52" s="690"/>
      <c r="R52" s="469">
        <f t="shared" si="7"/>
        <v>0.60000000000000009</v>
      </c>
      <c r="S52" s="690"/>
      <c r="T52" s="469"/>
      <c r="U52" s="690"/>
      <c r="V52" s="469"/>
      <c r="W52" s="690"/>
      <c r="X52" s="469"/>
      <c r="Y52" s="690"/>
      <c r="Z52" s="469"/>
      <c r="AA52" s="351"/>
      <c r="AB52" s="325"/>
      <c r="AC52" s="648"/>
      <c r="AD52" s="659">
        <v>3.9</v>
      </c>
      <c r="AE52" s="348"/>
      <c r="AF52" s="1719"/>
      <c r="AG52" s="659">
        <v>3.2</v>
      </c>
      <c r="AH52" s="643"/>
      <c r="AI52" s="325"/>
      <c r="AJ52" s="325">
        <f t="shared" si="8"/>
        <v>0.7</v>
      </c>
      <c r="AK52" s="325"/>
      <c r="AL52" s="344">
        <f>ROUND(IF(AG52=0,1,AJ52/ABS(AG52)),3)</f>
        <v>0.219</v>
      </c>
      <c r="AM52" s="404"/>
      <c r="AN52" s="2114"/>
      <c r="AO52" s="2114"/>
      <c r="AP52" s="2114"/>
      <c r="AQ52" s="2114"/>
      <c r="AR52" s="2114"/>
      <c r="AS52" s="2114"/>
    </row>
    <row r="53" spans="1:45" ht="15" customHeight="1">
      <c r="A53" s="46"/>
      <c r="B53" s="427" t="s">
        <v>1514</v>
      </c>
      <c r="C53" s="353"/>
      <c r="D53" s="469">
        <v>39.700000000000003</v>
      </c>
      <c r="E53" s="325"/>
      <c r="F53" s="469">
        <v>38</v>
      </c>
      <c r="G53" s="469"/>
      <c r="H53" s="469">
        <v>32</v>
      </c>
      <c r="I53" s="325"/>
      <c r="J53" s="469">
        <v>16.599999999999994</v>
      </c>
      <c r="K53" s="690"/>
      <c r="L53" s="469">
        <v>27.500000000000014</v>
      </c>
      <c r="M53" s="1726"/>
      <c r="N53" s="469">
        <v>13.799999999999983</v>
      </c>
      <c r="O53" s="690"/>
      <c r="P53" s="469">
        <v>20.799999999999997</v>
      </c>
      <c r="Q53" s="690"/>
      <c r="R53" s="469">
        <f t="shared" si="7"/>
        <v>27.600000000000023</v>
      </c>
      <c r="S53" s="690"/>
      <c r="T53" s="469"/>
      <c r="U53" s="690"/>
      <c r="V53" s="469"/>
      <c r="W53" s="690"/>
      <c r="X53" s="469"/>
      <c r="Y53" s="690"/>
      <c r="Z53" s="469"/>
      <c r="AA53" s="351"/>
      <c r="AB53" s="325"/>
      <c r="AC53" s="648"/>
      <c r="AD53" s="659">
        <v>216</v>
      </c>
      <c r="AE53" s="348"/>
      <c r="AF53" s="1719"/>
      <c r="AG53" s="659">
        <v>180.7</v>
      </c>
      <c r="AH53" s="643"/>
      <c r="AI53" s="325"/>
      <c r="AJ53" s="325">
        <f t="shared" si="8"/>
        <v>35.299999999999997</v>
      </c>
      <c r="AK53" s="325"/>
      <c r="AL53" s="344">
        <f t="shared" si="9"/>
        <v>0.19500000000000001</v>
      </c>
      <c r="AM53" s="404"/>
      <c r="AN53" s="2114"/>
      <c r="AO53" s="2114"/>
      <c r="AP53" s="2114"/>
      <c r="AQ53" s="2114"/>
      <c r="AR53" s="2114"/>
      <c r="AS53" s="2114"/>
    </row>
    <row r="54" spans="1:45" ht="15" customHeight="1">
      <c r="A54" s="46"/>
      <c r="B54" s="427" t="s">
        <v>1515</v>
      </c>
      <c r="C54" s="353"/>
      <c r="D54" s="469">
        <v>72.8</v>
      </c>
      <c r="E54" s="325"/>
      <c r="F54" s="469">
        <v>38.200000000000003</v>
      </c>
      <c r="G54" s="469"/>
      <c r="H54" s="469">
        <v>57.400000000000006</v>
      </c>
      <c r="I54" s="325"/>
      <c r="J54" s="469">
        <v>68.299999999999969</v>
      </c>
      <c r="K54" s="690"/>
      <c r="L54" s="469">
        <v>137.5</v>
      </c>
      <c r="M54" s="1726"/>
      <c r="N54" s="469">
        <v>158.60000000000002</v>
      </c>
      <c r="O54" s="690"/>
      <c r="P54" s="469">
        <v>81.400000000000091</v>
      </c>
      <c r="Q54" s="690"/>
      <c r="R54" s="469">
        <f t="shared" si="7"/>
        <v>80.899999999999977</v>
      </c>
      <c r="S54" s="690"/>
      <c r="T54" s="469"/>
      <c r="U54" s="690"/>
      <c r="V54" s="469"/>
      <c r="W54" s="690"/>
      <c r="X54" s="469"/>
      <c r="Y54" s="690"/>
      <c r="Z54" s="469"/>
      <c r="AA54" s="351"/>
      <c r="AB54" s="325"/>
      <c r="AC54" s="648"/>
      <c r="AD54" s="659">
        <v>695.1</v>
      </c>
      <c r="AE54" s="348"/>
      <c r="AF54" s="1719"/>
      <c r="AG54" s="659">
        <v>694.6</v>
      </c>
      <c r="AH54" s="643"/>
      <c r="AI54" s="325"/>
      <c r="AJ54" s="325">
        <f t="shared" si="8"/>
        <v>0.5</v>
      </c>
      <c r="AK54" s="325"/>
      <c r="AL54" s="344">
        <f t="shared" si="9"/>
        <v>1E-3</v>
      </c>
      <c r="AM54" s="404"/>
      <c r="AN54" s="2114"/>
      <c r="AO54" s="2114"/>
      <c r="AP54" s="2114"/>
      <c r="AQ54" s="2114"/>
      <c r="AR54" s="2114"/>
      <c r="AS54" s="2114"/>
    </row>
    <row r="55" spans="1:45" ht="15" customHeight="1">
      <c r="A55" s="46"/>
      <c r="B55" s="427" t="s">
        <v>1506</v>
      </c>
      <c r="C55" s="353"/>
      <c r="D55" s="469">
        <v>12.3</v>
      </c>
      <c r="E55" s="325"/>
      <c r="F55" s="469">
        <v>9.8999999999999986</v>
      </c>
      <c r="G55" s="469"/>
      <c r="H55" s="469">
        <v>6.3999999999999986</v>
      </c>
      <c r="I55" s="325"/>
      <c r="J55" s="469">
        <v>9.600000000000005</v>
      </c>
      <c r="K55" s="690"/>
      <c r="L55" s="469">
        <v>12.000000000000004</v>
      </c>
      <c r="M55" s="1726"/>
      <c r="N55" s="469">
        <v>6.5</v>
      </c>
      <c r="O55" s="690"/>
      <c r="P55" s="469">
        <v>5.6999999999999886</v>
      </c>
      <c r="Q55" s="690"/>
      <c r="R55" s="469">
        <f t="shared" si="7"/>
        <v>8.5000000000000107</v>
      </c>
      <c r="S55" s="690"/>
      <c r="T55" s="469"/>
      <c r="U55" s="690"/>
      <c r="V55" s="469"/>
      <c r="W55" s="690"/>
      <c r="X55" s="469"/>
      <c r="Y55" s="690"/>
      <c r="Z55" s="469"/>
      <c r="AA55" s="351"/>
      <c r="AB55" s="325"/>
      <c r="AC55" s="648"/>
      <c r="AD55" s="1921">
        <v>70.900000000000006</v>
      </c>
      <c r="AE55" s="348"/>
      <c r="AF55" s="1719"/>
      <c r="AG55" s="659">
        <v>51.6</v>
      </c>
      <c r="AH55" s="643"/>
      <c r="AI55" s="325"/>
      <c r="AJ55" s="325">
        <f t="shared" si="8"/>
        <v>19.3</v>
      </c>
      <c r="AK55" s="325"/>
      <c r="AL55" s="670">
        <f t="shared" si="9"/>
        <v>0.374</v>
      </c>
      <c r="AM55" s="404"/>
      <c r="AN55" s="2114"/>
      <c r="AO55" s="2114"/>
      <c r="AP55" s="2114"/>
      <c r="AQ55" s="2114"/>
      <c r="AR55" s="2114"/>
      <c r="AS55" s="2114"/>
    </row>
    <row r="56" spans="1:45" ht="15" customHeight="1">
      <c r="A56" s="46"/>
      <c r="B56" s="427" t="s">
        <v>430</v>
      </c>
      <c r="C56" s="353"/>
      <c r="D56" s="469" t="s">
        <v>104</v>
      </c>
      <c r="E56" s="325"/>
      <c r="F56" s="469"/>
      <c r="G56" s="469"/>
      <c r="H56" s="469"/>
      <c r="I56" s="325"/>
      <c r="J56" s="469"/>
      <c r="K56" s="325"/>
      <c r="L56" s="469"/>
      <c r="M56" s="1730"/>
      <c r="N56" s="469"/>
      <c r="O56" s="325"/>
      <c r="P56" s="469"/>
      <c r="Q56" s="325"/>
      <c r="R56" s="469"/>
      <c r="S56" s="325"/>
      <c r="T56" s="469"/>
      <c r="U56" s="325"/>
      <c r="V56" s="469"/>
      <c r="W56" s="325"/>
      <c r="X56" s="469"/>
      <c r="Y56" s="325"/>
      <c r="Z56" s="469"/>
      <c r="AA56" s="348"/>
      <c r="AB56" s="325"/>
      <c r="AC56" s="647"/>
      <c r="AD56" s="325" t="s">
        <v>104</v>
      </c>
      <c r="AE56" s="325"/>
      <c r="AF56" s="648"/>
      <c r="AG56" s="325" t="s">
        <v>104</v>
      </c>
      <c r="AH56" s="643"/>
      <c r="AI56" s="325"/>
      <c r="AJ56" s="325"/>
      <c r="AK56" s="325"/>
      <c r="AL56" s="344"/>
      <c r="AM56" s="404"/>
      <c r="AN56" s="2114"/>
      <c r="AO56" s="2114"/>
      <c r="AP56" s="2114"/>
      <c r="AQ56" s="2114"/>
      <c r="AR56" s="2114"/>
      <c r="AS56" s="2114"/>
    </row>
    <row r="57" spans="1:45" ht="15" customHeight="1">
      <c r="A57" s="46"/>
      <c r="B57" s="427" t="s">
        <v>1536</v>
      </c>
      <c r="C57" s="353"/>
      <c r="D57" s="469">
        <v>41.6</v>
      </c>
      <c r="E57" s="325"/>
      <c r="F57" s="469">
        <v>15</v>
      </c>
      <c r="G57" s="469"/>
      <c r="H57" s="469">
        <v>45.4</v>
      </c>
      <c r="I57" s="325"/>
      <c r="J57" s="469">
        <v>36.79999999999999</v>
      </c>
      <c r="K57" s="690"/>
      <c r="L57" s="469">
        <v>17.000000000000028</v>
      </c>
      <c r="M57" s="1726"/>
      <c r="N57" s="469">
        <v>44.699999999999982</v>
      </c>
      <c r="O57" s="690"/>
      <c r="P57" s="469">
        <v>36.400000000000041</v>
      </c>
      <c r="Q57" s="690"/>
      <c r="R57" s="469">
        <f t="shared" si="7"/>
        <v>20.300000000000011</v>
      </c>
      <c r="S57" s="690"/>
      <c r="T57" s="469"/>
      <c r="U57" s="690"/>
      <c r="V57" s="469"/>
      <c r="W57" s="690"/>
      <c r="X57" s="469"/>
      <c r="Y57" s="690"/>
      <c r="Z57" s="469"/>
      <c r="AA57" s="351"/>
      <c r="AB57" s="325"/>
      <c r="AC57" s="648"/>
      <c r="AD57" s="659">
        <v>257.20000000000005</v>
      </c>
      <c r="AE57" s="348"/>
      <c r="AF57" s="1719"/>
      <c r="AG57" s="659">
        <v>245</v>
      </c>
      <c r="AH57" s="643"/>
      <c r="AI57" s="325"/>
      <c r="AJ57" s="325">
        <f t="shared" ref="AJ57:AJ62" si="10">ROUND(SUM(+AD57-AG57),1)</f>
        <v>12.2</v>
      </c>
      <c r="AK57" s="325"/>
      <c r="AL57" s="670">
        <f>ROUND(IF(AG57=0,1,AJ57/ABS(AG57)),3)</f>
        <v>0.05</v>
      </c>
      <c r="AM57" s="404"/>
      <c r="AN57" s="2114"/>
      <c r="AO57" s="2114"/>
      <c r="AP57" s="2114"/>
      <c r="AQ57" s="2114"/>
      <c r="AR57" s="2114"/>
      <c r="AS57" s="2114"/>
    </row>
    <row r="58" spans="1:45" ht="15" customHeight="1">
      <c r="A58" s="46"/>
      <c r="B58" s="427" t="s">
        <v>1537</v>
      </c>
      <c r="C58" s="353"/>
      <c r="D58" s="469">
        <v>185</v>
      </c>
      <c r="E58" s="325"/>
      <c r="F58" s="469">
        <v>223.7</v>
      </c>
      <c r="G58" s="469"/>
      <c r="H58" s="469">
        <v>184.09999999999997</v>
      </c>
      <c r="I58" s="325"/>
      <c r="J58" s="469">
        <v>213.10000000000002</v>
      </c>
      <c r="K58" s="690"/>
      <c r="L58" s="469">
        <v>255.09999999999997</v>
      </c>
      <c r="M58" s="1726"/>
      <c r="N58" s="469">
        <v>181.59999999999997</v>
      </c>
      <c r="O58" s="690"/>
      <c r="P58" s="469">
        <v>211.30000000000018</v>
      </c>
      <c r="Q58" s="690"/>
      <c r="R58" s="469">
        <f t="shared" si="7"/>
        <v>218.49999999999994</v>
      </c>
      <c r="S58" s="690"/>
      <c r="T58" s="469"/>
      <c r="U58" s="690"/>
      <c r="V58" s="469"/>
      <c r="W58" s="690"/>
      <c r="X58" s="469"/>
      <c r="Y58" s="690"/>
      <c r="Z58" s="469"/>
      <c r="AA58" s="351"/>
      <c r="AB58" s="325"/>
      <c r="AC58" s="648"/>
      <c r="AD58" s="1921">
        <v>1672.4</v>
      </c>
      <c r="AE58" s="348"/>
      <c r="AF58" s="1719"/>
      <c r="AG58" s="659">
        <v>1695.4</v>
      </c>
      <c r="AH58" s="643"/>
      <c r="AI58" s="325"/>
      <c r="AJ58" s="325">
        <f t="shared" si="10"/>
        <v>-23</v>
      </c>
      <c r="AK58" s="325"/>
      <c r="AL58" s="344">
        <f>ROUND(IF(AG58=0,0,AJ58/ABS(AG58)),3)</f>
        <v>-1.4E-2</v>
      </c>
      <c r="AM58" s="404"/>
      <c r="AN58" s="2114"/>
      <c r="AO58" s="2114"/>
      <c r="AP58" s="2114"/>
      <c r="AQ58" s="2114"/>
      <c r="AR58" s="2114"/>
      <c r="AS58" s="2114"/>
    </row>
    <row r="59" spans="1:45" ht="15" customHeight="1">
      <c r="A59" s="46"/>
      <c r="B59" s="427" t="s">
        <v>1538</v>
      </c>
      <c r="C59" s="353"/>
      <c r="D59" s="469">
        <v>54.1</v>
      </c>
      <c r="E59" s="325"/>
      <c r="F59" s="469">
        <v>90.4</v>
      </c>
      <c r="G59" s="469"/>
      <c r="H59" s="469">
        <v>47.5</v>
      </c>
      <c r="I59" s="325"/>
      <c r="J59" s="469">
        <v>53.400000000000006</v>
      </c>
      <c r="K59" s="690"/>
      <c r="L59" s="469">
        <v>59.599999999999994</v>
      </c>
      <c r="M59" s="1726"/>
      <c r="N59" s="469">
        <v>66.899999999999949</v>
      </c>
      <c r="O59" s="690"/>
      <c r="P59" s="469">
        <v>93.9</v>
      </c>
      <c r="Q59" s="690"/>
      <c r="R59" s="469">
        <f t="shared" si="7"/>
        <v>76.000000000000028</v>
      </c>
      <c r="S59" s="690"/>
      <c r="T59" s="469"/>
      <c r="U59" s="690"/>
      <c r="V59" s="469"/>
      <c r="W59" s="690"/>
      <c r="X59" s="469"/>
      <c r="Y59" s="690"/>
      <c r="Z59" s="469"/>
      <c r="AA59" s="351"/>
      <c r="AB59" s="325"/>
      <c r="AC59" s="648"/>
      <c r="AD59" s="659">
        <v>541.79999999999995</v>
      </c>
      <c r="AE59" s="348"/>
      <c r="AF59" s="1719"/>
      <c r="AG59" s="659">
        <v>444.5</v>
      </c>
      <c r="AH59" s="643"/>
      <c r="AI59" s="325"/>
      <c r="AJ59" s="325">
        <f t="shared" si="10"/>
        <v>97.3</v>
      </c>
      <c r="AK59" s="325"/>
      <c r="AL59" s="344">
        <f>ROUND(IF(AG59=0,1,AJ59/ABS(AG59)),3)</f>
        <v>0.219</v>
      </c>
      <c r="AM59" s="404"/>
      <c r="AN59" s="2114"/>
      <c r="AO59" s="2114"/>
      <c r="AP59" s="2114"/>
      <c r="AQ59" s="2114"/>
      <c r="AR59" s="2114"/>
      <c r="AS59" s="2114"/>
    </row>
    <row r="60" spans="1:45" ht="15" customHeight="1">
      <c r="A60" s="46"/>
      <c r="B60" s="427" t="s">
        <v>1539</v>
      </c>
      <c r="C60" s="353"/>
      <c r="D60" s="469">
        <v>76.2</v>
      </c>
      <c r="E60" s="325"/>
      <c r="F60" s="469">
        <v>74.499999999999986</v>
      </c>
      <c r="G60" s="469"/>
      <c r="H60" s="469">
        <v>96.899999999999991</v>
      </c>
      <c r="I60" s="325"/>
      <c r="J60" s="469">
        <v>84.700000000000031</v>
      </c>
      <c r="K60" s="690"/>
      <c r="L60" s="469">
        <v>103.2</v>
      </c>
      <c r="M60" s="1726"/>
      <c r="N60" s="469">
        <v>81.200000000000031</v>
      </c>
      <c r="O60" s="690"/>
      <c r="P60" s="469">
        <v>78.799999999999912</v>
      </c>
      <c r="Q60" s="690"/>
      <c r="R60" s="469">
        <f t="shared" si="7"/>
        <v>100.79999999999994</v>
      </c>
      <c r="S60" s="690"/>
      <c r="T60" s="469"/>
      <c r="U60" s="690"/>
      <c r="V60" s="469"/>
      <c r="W60" s="690"/>
      <c r="X60" s="469"/>
      <c r="Y60" s="690"/>
      <c r="Z60" s="469"/>
      <c r="AA60" s="351"/>
      <c r="AB60" s="325"/>
      <c r="AC60" s="648"/>
      <c r="AD60" s="659">
        <v>696.3</v>
      </c>
      <c r="AE60" s="348"/>
      <c r="AF60" s="1719"/>
      <c r="AG60" s="659">
        <v>663.9</v>
      </c>
      <c r="AH60" s="643"/>
      <c r="AI60" s="325"/>
      <c r="AJ60" s="325">
        <f t="shared" si="10"/>
        <v>32.4</v>
      </c>
      <c r="AK60" s="325"/>
      <c r="AL60" s="769">
        <f>ROUND(IF(AG60=0,1,AJ60/ABS(AG60)),3)</f>
        <v>4.9000000000000002E-2</v>
      </c>
      <c r="AM60" s="404"/>
      <c r="AN60" s="2114"/>
      <c r="AO60" s="2114"/>
      <c r="AP60" s="2114"/>
      <c r="AQ60" s="2114"/>
      <c r="AR60" s="2114"/>
      <c r="AS60" s="2114"/>
    </row>
    <row r="61" spans="1:45" ht="15" customHeight="1">
      <c r="A61" s="46"/>
      <c r="B61" s="427" t="s">
        <v>1540</v>
      </c>
      <c r="C61" s="353"/>
      <c r="D61" s="469">
        <v>52.6</v>
      </c>
      <c r="E61" s="325"/>
      <c r="F61" s="469">
        <v>54.699999999999996</v>
      </c>
      <c r="G61" s="469"/>
      <c r="H61" s="469">
        <v>65.800000000000011</v>
      </c>
      <c r="I61" s="325"/>
      <c r="J61" s="469">
        <v>62.5</v>
      </c>
      <c r="K61" s="690"/>
      <c r="L61" s="469">
        <v>67.000000000000028</v>
      </c>
      <c r="M61" s="1726"/>
      <c r="N61" s="469">
        <v>70.399999999999949</v>
      </c>
      <c r="O61" s="690"/>
      <c r="P61" s="469">
        <v>71.199999999999989</v>
      </c>
      <c r="Q61" s="690"/>
      <c r="R61" s="469">
        <f t="shared" si="7"/>
        <v>93.800000000000011</v>
      </c>
      <c r="S61" s="690"/>
      <c r="T61" s="469"/>
      <c r="U61" s="690"/>
      <c r="V61" s="469"/>
      <c r="W61" s="690"/>
      <c r="X61" s="469"/>
      <c r="Y61" s="690"/>
      <c r="Z61" s="469"/>
      <c r="AA61" s="351"/>
      <c r="AB61" s="325"/>
      <c r="AC61" s="648"/>
      <c r="AD61" s="659">
        <v>538</v>
      </c>
      <c r="AE61" s="348"/>
      <c r="AF61" s="1719"/>
      <c r="AG61" s="659">
        <v>127.5</v>
      </c>
      <c r="AH61" s="643"/>
      <c r="AI61" s="325"/>
      <c r="AJ61" s="325">
        <f t="shared" si="10"/>
        <v>410.5</v>
      </c>
      <c r="AK61" s="325"/>
      <c r="AL61" s="1382">
        <f>ROUND(IF(AG61=0,0,AJ61/ABS(AG61)),3)</f>
        <v>3.22</v>
      </c>
      <c r="AM61" s="404"/>
      <c r="AN61" s="2114"/>
      <c r="AO61" s="2114"/>
      <c r="AP61" s="2114"/>
      <c r="AQ61" s="2114"/>
      <c r="AR61" s="2114"/>
      <c r="AS61" s="2114"/>
    </row>
    <row r="62" spans="1:45" ht="15" customHeight="1">
      <c r="A62" s="46"/>
      <c r="B62" s="427" t="s">
        <v>1517</v>
      </c>
      <c r="C62" s="353"/>
      <c r="D62" s="469">
        <v>6.8</v>
      </c>
      <c r="E62" s="325"/>
      <c r="F62" s="469">
        <v>1.6000000000000005</v>
      </c>
      <c r="G62" s="469"/>
      <c r="H62" s="469">
        <v>7.0000000000000009</v>
      </c>
      <c r="I62" s="325"/>
      <c r="J62" s="469">
        <v>2.9999999999999956</v>
      </c>
      <c r="K62" s="690"/>
      <c r="L62" s="469">
        <v>1.4000000000000021</v>
      </c>
      <c r="M62" s="1726"/>
      <c r="N62" s="469">
        <v>80</v>
      </c>
      <c r="O62" s="690"/>
      <c r="P62" s="469">
        <v>3.1000000000000085</v>
      </c>
      <c r="Q62" s="690"/>
      <c r="R62" s="469">
        <f t="shared" si="7"/>
        <v>0.5</v>
      </c>
      <c r="S62" s="690"/>
      <c r="T62" s="469"/>
      <c r="U62" s="690"/>
      <c r="V62" s="469"/>
      <c r="W62" s="690"/>
      <c r="X62" s="469"/>
      <c r="Y62" s="690"/>
      <c r="Z62" s="469"/>
      <c r="AA62" s="351"/>
      <c r="AB62" s="325"/>
      <c r="AC62" s="648"/>
      <c r="AD62" s="1921">
        <v>103.4</v>
      </c>
      <c r="AE62" s="348"/>
      <c r="AF62" s="1719"/>
      <c r="AG62" s="659">
        <v>103.3</v>
      </c>
      <c r="AH62" s="643"/>
      <c r="AI62" s="325"/>
      <c r="AJ62" s="325">
        <f t="shared" si="10"/>
        <v>0.1</v>
      </c>
      <c r="AK62" s="325"/>
      <c r="AL62" s="344">
        <f>ROUND(IF(AG62=0,0,AJ62/ABS(AG62)),3)</f>
        <v>1E-3</v>
      </c>
      <c r="AM62" s="404"/>
      <c r="AN62" s="2114"/>
      <c r="AO62" s="2114"/>
      <c r="AP62" s="2114"/>
      <c r="AQ62" s="2114"/>
      <c r="AR62" s="2114"/>
      <c r="AS62" s="2114"/>
    </row>
    <row r="63" spans="1:45" ht="15" customHeight="1">
      <c r="A63" s="46"/>
      <c r="B63" s="427" t="s">
        <v>437</v>
      </c>
      <c r="C63" s="353"/>
      <c r="D63" s="469" t="s">
        <v>104</v>
      </c>
      <c r="E63" s="325"/>
      <c r="F63" s="469"/>
      <c r="G63" s="469"/>
      <c r="H63" s="469"/>
      <c r="I63" s="325"/>
      <c r="J63" s="469"/>
      <c r="K63" s="325"/>
      <c r="L63" s="469"/>
      <c r="M63" s="1730"/>
      <c r="N63" s="469"/>
      <c r="O63" s="325"/>
      <c r="P63" s="469"/>
      <c r="Q63" s="325"/>
      <c r="R63" s="469"/>
      <c r="S63" s="325"/>
      <c r="T63" s="469"/>
      <c r="U63" s="325"/>
      <c r="V63" s="635"/>
      <c r="W63" s="325"/>
      <c r="X63" s="469"/>
      <c r="Y63" s="325"/>
      <c r="Z63" s="469"/>
      <c r="AA63" s="348"/>
      <c r="AB63" s="325"/>
      <c r="AC63" s="647"/>
      <c r="AD63" s="325" t="s">
        <v>104</v>
      </c>
      <c r="AE63" s="325"/>
      <c r="AF63" s="648"/>
      <c r="AG63" s="325" t="s">
        <v>104</v>
      </c>
      <c r="AH63" s="643"/>
      <c r="AI63" s="325"/>
      <c r="AJ63" s="325"/>
      <c r="AK63" s="325"/>
      <c r="AL63" s="344"/>
      <c r="AM63" s="404"/>
      <c r="AN63" s="2114"/>
      <c r="AO63" s="2114"/>
      <c r="AP63" s="2114"/>
      <c r="AQ63" s="2114"/>
      <c r="AR63" s="2114"/>
      <c r="AS63" s="2114"/>
    </row>
    <row r="64" spans="1:45" ht="15" customHeight="1">
      <c r="A64" s="46"/>
      <c r="B64" s="427" t="s">
        <v>525</v>
      </c>
      <c r="C64" s="353"/>
      <c r="D64" s="469">
        <v>0</v>
      </c>
      <c r="E64" s="325"/>
      <c r="F64" s="469">
        <v>0</v>
      </c>
      <c r="G64" s="469"/>
      <c r="H64" s="469">
        <v>0</v>
      </c>
      <c r="I64" s="325"/>
      <c r="J64" s="469">
        <v>0</v>
      </c>
      <c r="K64" s="690"/>
      <c r="L64" s="469">
        <v>0</v>
      </c>
      <c r="M64" s="1726"/>
      <c r="N64" s="469">
        <v>0</v>
      </c>
      <c r="O64" s="690"/>
      <c r="P64" s="469">
        <v>0</v>
      </c>
      <c r="Q64" s="690"/>
      <c r="R64" s="469">
        <f t="shared" si="7"/>
        <v>0</v>
      </c>
      <c r="S64" s="690"/>
      <c r="T64" s="469"/>
      <c r="U64" s="690"/>
      <c r="V64" s="469"/>
      <c r="W64" s="690"/>
      <c r="X64" s="469"/>
      <c r="Y64" s="690"/>
      <c r="Z64" s="469"/>
      <c r="AA64" s="351"/>
      <c r="AB64" s="325"/>
      <c r="AC64" s="648"/>
      <c r="AD64" s="659">
        <v>0</v>
      </c>
      <c r="AE64" s="348"/>
      <c r="AF64" s="1719"/>
      <c r="AG64" s="659">
        <v>0</v>
      </c>
      <c r="AH64" s="643"/>
      <c r="AI64" s="325"/>
      <c r="AJ64" s="325">
        <f t="shared" ref="AJ64:AJ68" si="11">ROUND(SUM(+AD64-AG64),1)</f>
        <v>0</v>
      </c>
      <c r="AK64" s="325"/>
      <c r="AL64" s="344">
        <f>ROUND(IF(AG64=0,0,AJ64/ABS(AG64)),3)</f>
        <v>0</v>
      </c>
      <c r="AM64" s="404"/>
      <c r="AN64" s="2114"/>
      <c r="AO64" s="2114"/>
      <c r="AP64" s="2114"/>
      <c r="AQ64" s="2114"/>
      <c r="AR64" s="2114"/>
      <c r="AS64" s="2114"/>
    </row>
    <row r="65" spans="1:45" ht="15" customHeight="1">
      <c r="A65" s="46"/>
      <c r="B65" s="427" t="s">
        <v>1541</v>
      </c>
      <c r="C65" s="353"/>
      <c r="D65" s="469">
        <v>0.4</v>
      </c>
      <c r="E65" s="325"/>
      <c r="F65" s="469">
        <v>0</v>
      </c>
      <c r="G65" s="469"/>
      <c r="H65" s="469">
        <v>0</v>
      </c>
      <c r="I65" s="325"/>
      <c r="J65" s="469">
        <v>0</v>
      </c>
      <c r="K65" s="690"/>
      <c r="L65" s="469">
        <v>0</v>
      </c>
      <c r="M65" s="1726"/>
      <c r="N65" s="469">
        <v>0</v>
      </c>
      <c r="O65" s="690"/>
      <c r="P65" s="469">
        <v>16.700000000000003</v>
      </c>
      <c r="Q65" s="690"/>
      <c r="R65" s="469">
        <f t="shared" si="7"/>
        <v>3.2999999999999972</v>
      </c>
      <c r="S65" s="690"/>
      <c r="T65" s="469"/>
      <c r="U65" s="690"/>
      <c r="V65" s="469"/>
      <c r="W65" s="690"/>
      <c r="X65" s="469"/>
      <c r="Y65" s="690"/>
      <c r="Z65" s="469"/>
      <c r="AA65" s="351"/>
      <c r="AB65" s="325"/>
      <c r="AC65" s="648"/>
      <c r="AD65" s="659">
        <v>20.399999999999999</v>
      </c>
      <c r="AE65" s="348"/>
      <c r="AF65" s="1719"/>
      <c r="AG65" s="659">
        <v>20.399999999999999</v>
      </c>
      <c r="AH65" s="643"/>
      <c r="AI65" s="325"/>
      <c r="AJ65" s="325">
        <f t="shared" si="11"/>
        <v>0</v>
      </c>
      <c r="AK65" s="325"/>
      <c r="AL65" s="344">
        <f>ROUND(IF(AG65=0,1,AJ65/ABS(AG65)),3)</f>
        <v>0</v>
      </c>
      <c r="AM65" s="404"/>
      <c r="AN65" s="2114"/>
      <c r="AO65" s="2114"/>
      <c r="AP65" s="2114"/>
      <c r="AQ65" s="2114"/>
      <c r="AR65" s="2114"/>
      <c r="AS65" s="2114"/>
    </row>
    <row r="66" spans="1:45" ht="15" customHeight="1">
      <c r="A66" s="46"/>
      <c r="B66" s="427" t="s">
        <v>1518</v>
      </c>
      <c r="C66" s="353"/>
      <c r="D66" s="469">
        <v>0.3</v>
      </c>
      <c r="E66" s="325"/>
      <c r="F66" s="469">
        <v>0</v>
      </c>
      <c r="G66" s="469"/>
      <c r="H66" s="469">
        <v>2.4000000000000004</v>
      </c>
      <c r="I66" s="325"/>
      <c r="J66" s="469">
        <v>3.5</v>
      </c>
      <c r="K66" s="690"/>
      <c r="L66" s="469">
        <v>0</v>
      </c>
      <c r="M66" s="1726"/>
      <c r="N66" s="469">
        <v>0</v>
      </c>
      <c r="O66" s="690"/>
      <c r="P66" s="469">
        <v>1</v>
      </c>
      <c r="Q66" s="690"/>
      <c r="R66" s="469">
        <f t="shared" si="7"/>
        <v>0</v>
      </c>
      <c r="S66" s="690"/>
      <c r="T66" s="469"/>
      <c r="U66" s="690"/>
      <c r="V66" s="469"/>
      <c r="W66" s="690"/>
      <c r="X66" s="469"/>
      <c r="Y66" s="690"/>
      <c r="Z66" s="469"/>
      <c r="AA66" s="351"/>
      <c r="AB66" s="325"/>
      <c r="AC66" s="648"/>
      <c r="AD66" s="659">
        <v>7.2</v>
      </c>
      <c r="AE66" s="348"/>
      <c r="AF66" s="1719"/>
      <c r="AG66" s="659">
        <v>7.2</v>
      </c>
      <c r="AH66" s="643"/>
      <c r="AI66" s="325"/>
      <c r="AJ66" s="325">
        <f t="shared" si="11"/>
        <v>0</v>
      </c>
      <c r="AK66" s="325"/>
      <c r="AL66" s="769">
        <f>ROUND(IF(AG66=0,0,AJ66/ABS(AG66)),3)</f>
        <v>0</v>
      </c>
      <c r="AM66" s="404"/>
      <c r="AN66" s="2114"/>
      <c r="AO66" s="2114"/>
      <c r="AP66" s="2114"/>
      <c r="AQ66" s="2114"/>
      <c r="AR66" s="2114"/>
      <c r="AS66" s="2114"/>
    </row>
    <row r="67" spans="1:45" ht="15" customHeight="1">
      <c r="A67" s="46"/>
      <c r="B67" s="427" t="s">
        <v>1542</v>
      </c>
      <c r="C67" s="353"/>
      <c r="D67" s="469">
        <v>4.9000000000000004</v>
      </c>
      <c r="E67" s="325"/>
      <c r="F67" s="469">
        <v>9.9999999999999645E-2</v>
      </c>
      <c r="G67" s="469"/>
      <c r="H67" s="469">
        <v>10.8</v>
      </c>
      <c r="I67" s="325"/>
      <c r="J67" s="469">
        <v>4.6999999999999993</v>
      </c>
      <c r="K67" s="690"/>
      <c r="L67" s="469">
        <v>5.6000000000000014</v>
      </c>
      <c r="M67" s="1726"/>
      <c r="N67" s="469">
        <v>4.5</v>
      </c>
      <c r="O67" s="690"/>
      <c r="P67" s="469">
        <v>12.299999999999997</v>
      </c>
      <c r="Q67" s="690"/>
      <c r="R67" s="469">
        <f t="shared" si="7"/>
        <v>4.5</v>
      </c>
      <c r="S67" s="690"/>
      <c r="T67" s="469"/>
      <c r="U67" s="690"/>
      <c r="V67" s="469"/>
      <c r="W67" s="690"/>
      <c r="X67" s="469"/>
      <c r="Y67" s="690"/>
      <c r="Z67" s="469"/>
      <c r="AA67" s="351"/>
      <c r="AB67" s="325"/>
      <c r="AC67" s="648"/>
      <c r="AD67" s="659">
        <v>47.4</v>
      </c>
      <c r="AE67" s="348"/>
      <c r="AF67" s="1719"/>
      <c r="AG67" s="659">
        <v>38.1</v>
      </c>
      <c r="AH67" s="643"/>
      <c r="AI67" s="325"/>
      <c r="AJ67" s="325">
        <f t="shared" si="11"/>
        <v>9.3000000000000007</v>
      </c>
      <c r="AK67" s="325"/>
      <c r="AL67" s="769">
        <f t="shared" ref="AL67:AL68" si="12">ROUND(IF(AG67=0,0,AJ67/ABS(AG67)),3)</f>
        <v>0.24399999999999999</v>
      </c>
      <c r="AM67" s="404"/>
      <c r="AN67" s="2114"/>
      <c r="AO67" s="2114"/>
      <c r="AP67" s="2114"/>
      <c r="AQ67" s="2114"/>
      <c r="AR67" s="2114"/>
      <c r="AS67" s="2114"/>
    </row>
    <row r="68" spans="1:45" ht="15" customHeight="1">
      <c r="A68" s="46"/>
      <c r="B68" s="427" t="s">
        <v>442</v>
      </c>
      <c r="C68" s="353"/>
      <c r="D68" s="469">
        <v>27.2</v>
      </c>
      <c r="E68" s="325"/>
      <c r="F68" s="469">
        <v>15.900000000000002</v>
      </c>
      <c r="G68" s="469"/>
      <c r="H68" s="469">
        <v>2.1000000000000014</v>
      </c>
      <c r="I68" s="325"/>
      <c r="J68" s="469">
        <v>0.69999999999999574</v>
      </c>
      <c r="K68" s="690"/>
      <c r="L68" s="469">
        <v>10</v>
      </c>
      <c r="M68" s="1726"/>
      <c r="N68" s="469">
        <v>-1.5</v>
      </c>
      <c r="O68" s="690"/>
      <c r="P68" s="469">
        <v>0.70000000000000284</v>
      </c>
      <c r="Q68" s="690"/>
      <c r="R68" s="469">
        <f t="shared" si="7"/>
        <v>94.59999999999998</v>
      </c>
      <c r="S68" s="690"/>
      <c r="T68" s="469"/>
      <c r="U68" s="690"/>
      <c r="V68" s="469"/>
      <c r="W68" s="690"/>
      <c r="X68" s="469"/>
      <c r="Y68" s="690"/>
      <c r="Z68" s="469"/>
      <c r="AA68" s="351"/>
      <c r="AB68" s="325"/>
      <c r="AC68" s="648"/>
      <c r="AD68" s="659">
        <v>149.69999999999999</v>
      </c>
      <c r="AE68" s="348"/>
      <c r="AF68" s="1719"/>
      <c r="AG68" s="659">
        <v>153.19999999999999</v>
      </c>
      <c r="AH68" s="643"/>
      <c r="AI68" s="325"/>
      <c r="AJ68" s="325">
        <f t="shared" si="11"/>
        <v>-3.5</v>
      </c>
      <c r="AK68" s="325"/>
      <c r="AL68" s="769">
        <f t="shared" si="12"/>
        <v>-2.3E-2</v>
      </c>
      <c r="AM68" s="404"/>
      <c r="AN68" s="2114"/>
      <c r="AO68" s="2114"/>
      <c r="AP68" s="2114"/>
      <c r="AQ68" s="2114"/>
      <c r="AR68" s="2114"/>
      <c r="AS68" s="2114"/>
    </row>
    <row r="69" spans="1:45" ht="17.25" customHeight="1">
      <c r="A69" s="46"/>
      <c r="B69" s="427" t="s">
        <v>443</v>
      </c>
      <c r="C69" s="353"/>
      <c r="D69" s="469" t="s">
        <v>104</v>
      </c>
      <c r="E69" s="325"/>
      <c r="F69" s="469"/>
      <c r="G69" s="469"/>
      <c r="H69" s="469"/>
      <c r="I69" s="325"/>
      <c r="J69" s="469"/>
      <c r="K69" s="325"/>
      <c r="L69" s="469"/>
      <c r="M69" s="1730"/>
      <c r="N69" s="469"/>
      <c r="O69" s="325"/>
      <c r="P69" s="469"/>
      <c r="Q69" s="325"/>
      <c r="R69" s="469"/>
      <c r="S69" s="325"/>
      <c r="T69" s="469"/>
      <c r="U69" s="325"/>
      <c r="V69" s="469"/>
      <c r="W69" s="325"/>
      <c r="X69" s="469"/>
      <c r="Y69" s="325"/>
      <c r="Z69" s="469"/>
      <c r="AA69" s="348"/>
      <c r="AB69" s="325"/>
      <c r="AC69" s="647"/>
      <c r="AD69" s="325" t="s">
        <v>104</v>
      </c>
      <c r="AE69" s="325"/>
      <c r="AF69" s="648"/>
      <c r="AG69" s="325" t="s">
        <v>104</v>
      </c>
      <c r="AH69" s="643"/>
      <c r="AI69" s="325"/>
      <c r="AJ69" s="325"/>
      <c r="AK69" s="325"/>
      <c r="AL69" s="344"/>
      <c r="AM69" s="404"/>
      <c r="AN69" s="2114"/>
      <c r="AO69" s="2114"/>
      <c r="AP69" s="2114"/>
      <c r="AQ69" s="2114"/>
      <c r="AR69" s="2114"/>
      <c r="AS69" s="2114"/>
    </row>
    <row r="70" spans="1:45" ht="15" customHeight="1">
      <c r="A70" s="46"/>
      <c r="B70" s="427" t="s">
        <v>1519</v>
      </c>
      <c r="C70" s="353"/>
      <c r="D70" s="469">
        <v>8.1</v>
      </c>
      <c r="E70" s="325"/>
      <c r="F70" s="469">
        <v>26.199999999999996</v>
      </c>
      <c r="G70" s="469"/>
      <c r="H70" s="469">
        <v>8.2000000000000028</v>
      </c>
      <c r="I70" s="325"/>
      <c r="J70" s="469">
        <v>24.5</v>
      </c>
      <c r="K70" s="690"/>
      <c r="L70" s="469">
        <v>9.6000000000000014</v>
      </c>
      <c r="M70" s="1726"/>
      <c r="N70" s="469">
        <v>8.4000000000000057</v>
      </c>
      <c r="O70" s="690"/>
      <c r="P70" s="469">
        <v>25.1</v>
      </c>
      <c r="Q70" s="690"/>
      <c r="R70" s="469">
        <f t="shared" si="7"/>
        <v>8.1999999999999886</v>
      </c>
      <c r="S70" s="690"/>
      <c r="T70" s="469"/>
      <c r="U70" s="690"/>
      <c r="V70" s="469"/>
      <c r="W70" s="690"/>
      <c r="X70" s="469"/>
      <c r="Y70" s="690"/>
      <c r="Z70" s="469"/>
      <c r="AA70" s="351"/>
      <c r="AB70" s="325"/>
      <c r="AC70" s="648"/>
      <c r="AD70" s="659">
        <v>118.3</v>
      </c>
      <c r="AE70" s="348"/>
      <c r="AF70" s="1719"/>
      <c r="AG70" s="659">
        <v>121.6</v>
      </c>
      <c r="AH70" s="643"/>
      <c r="AI70" s="325"/>
      <c r="AJ70" s="325">
        <f t="shared" ref="AJ70:AJ81" si="13">ROUND(SUM(+AD70-AG70),1)</f>
        <v>-3.3</v>
      </c>
      <c r="AK70" s="325"/>
      <c r="AL70" s="769">
        <f>ROUND(IF(AG70=0,0,AJ70/ABS(AG70)),3)</f>
        <v>-2.7E-2</v>
      </c>
      <c r="AM70" s="404" t="s">
        <v>104</v>
      </c>
      <c r="AN70" s="2114"/>
      <c r="AO70" s="2114"/>
      <c r="AP70" s="2114"/>
      <c r="AQ70" s="2114"/>
      <c r="AR70" s="2114"/>
      <c r="AS70" s="2114"/>
    </row>
    <row r="71" spans="1:45" ht="15" customHeight="1">
      <c r="A71" s="46"/>
      <c r="B71" s="427" t="s">
        <v>530</v>
      </c>
      <c r="C71" s="353"/>
      <c r="D71" s="469">
        <v>0</v>
      </c>
      <c r="E71" s="325"/>
      <c r="F71" s="469">
        <v>0.19999999999999574</v>
      </c>
      <c r="G71" s="469"/>
      <c r="H71" s="469">
        <v>0.10000000000000142</v>
      </c>
      <c r="I71" s="325"/>
      <c r="J71" s="469">
        <v>0</v>
      </c>
      <c r="K71" s="690"/>
      <c r="L71" s="469">
        <v>0.3999999999999545</v>
      </c>
      <c r="M71" s="1726"/>
      <c r="N71" s="469">
        <v>0</v>
      </c>
      <c r="O71" s="690"/>
      <c r="P71" s="469">
        <v>0.2000000000000256</v>
      </c>
      <c r="Q71" s="690"/>
      <c r="R71" s="469">
        <f t="shared" si="7"/>
        <v>0.10000000000002274</v>
      </c>
      <c r="S71" s="690"/>
      <c r="T71" s="469"/>
      <c r="U71" s="690"/>
      <c r="V71" s="469"/>
      <c r="W71" s="690"/>
      <c r="X71" s="469"/>
      <c r="Y71" s="690"/>
      <c r="Z71" s="469"/>
      <c r="AA71" s="351"/>
      <c r="AB71" s="325"/>
      <c r="AC71" s="648"/>
      <c r="AD71" s="659">
        <v>1</v>
      </c>
      <c r="AE71" s="348"/>
      <c r="AF71" s="1719"/>
      <c r="AG71" s="659">
        <v>7.3999999999999773</v>
      </c>
      <c r="AH71" s="643"/>
      <c r="AI71" s="325"/>
      <c r="AJ71" s="325">
        <f t="shared" si="13"/>
        <v>-6.4</v>
      </c>
      <c r="AK71" s="325"/>
      <c r="AL71" s="769">
        <f>ROUND(IF(AG71=0,1,AJ71/ABS(AG71)),3)</f>
        <v>-0.86499999999999999</v>
      </c>
      <c r="AM71" s="404"/>
      <c r="AN71" s="2114"/>
      <c r="AO71" s="2114"/>
      <c r="AP71" s="2114"/>
      <c r="AQ71" s="2114"/>
      <c r="AR71" s="2114"/>
      <c r="AS71" s="2114"/>
    </row>
    <row r="72" spans="1:45" ht="15" customHeight="1">
      <c r="A72" s="46"/>
      <c r="B72" s="427" t="s">
        <v>1520</v>
      </c>
      <c r="C72" s="353"/>
      <c r="D72" s="469">
        <v>0</v>
      </c>
      <c r="E72" s="325"/>
      <c r="F72" s="469">
        <v>0</v>
      </c>
      <c r="G72" s="469"/>
      <c r="H72" s="469">
        <v>0</v>
      </c>
      <c r="I72" s="325"/>
      <c r="J72" s="469">
        <v>0</v>
      </c>
      <c r="K72" s="690"/>
      <c r="L72" s="469">
        <v>0</v>
      </c>
      <c r="M72" s="1726"/>
      <c r="N72" s="469">
        <v>0</v>
      </c>
      <c r="O72" s="690"/>
      <c r="P72" s="469">
        <v>0</v>
      </c>
      <c r="Q72" s="690"/>
      <c r="R72" s="469">
        <f t="shared" si="7"/>
        <v>0</v>
      </c>
      <c r="S72" s="690"/>
      <c r="T72" s="469"/>
      <c r="U72" s="690"/>
      <c r="V72" s="469"/>
      <c r="W72" s="690"/>
      <c r="X72" s="469"/>
      <c r="Y72" s="690"/>
      <c r="Z72" s="469"/>
      <c r="AA72" s="351"/>
      <c r="AB72" s="325"/>
      <c r="AC72" s="648"/>
      <c r="AD72" s="659">
        <v>0</v>
      </c>
      <c r="AE72" s="348"/>
      <c r="AF72" s="1719"/>
      <c r="AG72" s="659">
        <v>0</v>
      </c>
      <c r="AH72" s="643"/>
      <c r="AI72" s="325"/>
      <c r="AJ72" s="325">
        <f t="shared" si="13"/>
        <v>0</v>
      </c>
      <c r="AK72" s="325"/>
      <c r="AL72" s="344">
        <f>ROUND(IF(AG72=0,0,AJ72/ABS(AG72)),3)</f>
        <v>0</v>
      </c>
      <c r="AM72" s="404"/>
      <c r="AN72" s="2114"/>
      <c r="AO72" s="2114"/>
      <c r="AP72" s="2114"/>
      <c r="AQ72" s="2114"/>
      <c r="AR72" s="2114"/>
      <c r="AS72" s="2114"/>
    </row>
    <row r="73" spans="1:45" ht="15" customHeight="1">
      <c r="A73" s="46"/>
      <c r="B73" s="427" t="s">
        <v>1521</v>
      </c>
      <c r="C73" s="353"/>
      <c r="D73" s="469">
        <v>0.3</v>
      </c>
      <c r="E73" s="325"/>
      <c r="F73" s="469">
        <v>1.3</v>
      </c>
      <c r="G73" s="469"/>
      <c r="H73" s="469">
        <v>19.7</v>
      </c>
      <c r="I73" s="325"/>
      <c r="J73" s="469">
        <v>0.30000000000000071</v>
      </c>
      <c r="K73" s="690"/>
      <c r="L73" s="469">
        <v>1</v>
      </c>
      <c r="M73" s="1726"/>
      <c r="N73" s="469">
        <v>0.59999999999999787</v>
      </c>
      <c r="O73" s="690"/>
      <c r="P73" s="469">
        <v>0.60000000000000142</v>
      </c>
      <c r="Q73" s="690"/>
      <c r="R73" s="469">
        <f t="shared" si="7"/>
        <v>1.8000000000000007</v>
      </c>
      <c r="S73" s="690"/>
      <c r="T73" s="469"/>
      <c r="U73" s="690"/>
      <c r="V73" s="469"/>
      <c r="W73" s="690"/>
      <c r="X73" s="469"/>
      <c r="Y73" s="690"/>
      <c r="Z73" s="469"/>
      <c r="AA73" s="351"/>
      <c r="AB73" s="325"/>
      <c r="AC73" s="648"/>
      <c r="AD73" s="659">
        <v>25.6</v>
      </c>
      <c r="AE73" s="348"/>
      <c r="AF73" s="1719"/>
      <c r="AG73" s="659">
        <v>4.4000000000000004</v>
      </c>
      <c r="AH73" s="643"/>
      <c r="AI73" s="325"/>
      <c r="AJ73" s="325">
        <f t="shared" si="13"/>
        <v>21.2</v>
      </c>
      <c r="AK73" s="325"/>
      <c r="AL73" s="769">
        <f t="shared" ref="AL73:AL76" si="14">ROUND(IF(AG73=0,0,AJ73/ABS(AG73)),3)</f>
        <v>4.8179999999999996</v>
      </c>
      <c r="AM73" s="404"/>
      <c r="AN73" s="2114"/>
      <c r="AO73" s="2114"/>
      <c r="AP73" s="2114"/>
      <c r="AQ73" s="2114"/>
      <c r="AR73" s="2114"/>
      <c r="AS73" s="2114"/>
    </row>
    <row r="74" spans="1:45" ht="15" customHeight="1">
      <c r="A74" s="46"/>
      <c r="B74" s="427" t="s">
        <v>1522</v>
      </c>
      <c r="C74" s="353"/>
      <c r="D74" s="469">
        <v>0</v>
      </c>
      <c r="E74" s="325"/>
      <c r="F74" s="469">
        <v>0</v>
      </c>
      <c r="G74" s="469"/>
      <c r="H74" s="469">
        <v>0.1</v>
      </c>
      <c r="I74" s="325"/>
      <c r="J74" s="469">
        <v>0</v>
      </c>
      <c r="K74" s="690"/>
      <c r="L74" s="469">
        <v>0</v>
      </c>
      <c r="M74" s="1726"/>
      <c r="N74" s="469">
        <v>0</v>
      </c>
      <c r="O74" s="690"/>
      <c r="P74" s="469">
        <v>0</v>
      </c>
      <c r="Q74" s="690"/>
      <c r="R74" s="469">
        <f t="shared" si="7"/>
        <v>0</v>
      </c>
      <c r="S74" s="690"/>
      <c r="T74" s="469"/>
      <c r="U74" s="690"/>
      <c r="V74" s="469"/>
      <c r="W74" s="690"/>
      <c r="X74" s="469"/>
      <c r="Y74" s="690"/>
      <c r="Z74" s="469"/>
      <c r="AA74" s="351"/>
      <c r="AB74" s="325"/>
      <c r="AC74" s="648"/>
      <c r="AD74" s="659">
        <v>0.1</v>
      </c>
      <c r="AE74" s="348"/>
      <c r="AF74" s="1719"/>
      <c r="AG74" s="659">
        <v>0.9</v>
      </c>
      <c r="AH74" s="643"/>
      <c r="AI74" s="325"/>
      <c r="AJ74" s="325">
        <f t="shared" si="13"/>
        <v>-0.8</v>
      </c>
      <c r="AK74" s="325"/>
      <c r="AL74" s="769">
        <f>ROUND(IF(AG74=0,0,AJ74/ABS(AG74)),3)</f>
        <v>-0.88900000000000001</v>
      </c>
      <c r="AM74" s="404"/>
      <c r="AN74" s="2114"/>
      <c r="AO74" s="2114"/>
      <c r="AP74" s="2114"/>
      <c r="AQ74" s="2114"/>
      <c r="AR74" s="2114"/>
      <c r="AS74" s="2114"/>
    </row>
    <row r="75" spans="1:45" ht="15" customHeight="1">
      <c r="A75" s="46"/>
      <c r="B75" s="427" t="s">
        <v>1523</v>
      </c>
      <c r="C75" s="353"/>
      <c r="D75" s="469">
        <v>239.3</v>
      </c>
      <c r="E75" s="325"/>
      <c r="F75" s="469">
        <v>-285.60000000000002</v>
      </c>
      <c r="G75" s="469"/>
      <c r="H75" s="469">
        <v>752.5</v>
      </c>
      <c r="I75" s="325"/>
      <c r="J75" s="469">
        <v>236.60000000000002</v>
      </c>
      <c r="K75" s="690"/>
      <c r="L75" s="469">
        <v>272.30000000000007</v>
      </c>
      <c r="M75" s="1726"/>
      <c r="N75" s="469">
        <v>220</v>
      </c>
      <c r="O75" s="690"/>
      <c r="P75" s="469">
        <v>246</v>
      </c>
      <c r="Q75" s="690"/>
      <c r="R75" s="469">
        <f t="shared" si="7"/>
        <v>244.69999999999982</v>
      </c>
      <c r="S75" s="690"/>
      <c r="T75" s="469"/>
      <c r="U75" s="690"/>
      <c r="V75" s="469"/>
      <c r="W75" s="690"/>
      <c r="X75" s="469"/>
      <c r="Y75" s="690"/>
      <c r="Z75" s="469"/>
      <c r="AA75" s="351"/>
      <c r="AB75" s="325"/>
      <c r="AC75" s="648"/>
      <c r="AD75" s="659">
        <v>1925.8</v>
      </c>
      <c r="AE75" s="348"/>
      <c r="AF75" s="1719"/>
      <c r="AG75" s="659">
        <v>1657.9</v>
      </c>
      <c r="AH75" s="643"/>
      <c r="AI75" s="325"/>
      <c r="AJ75" s="325">
        <f t="shared" si="13"/>
        <v>267.89999999999998</v>
      </c>
      <c r="AK75" s="325"/>
      <c r="AL75" s="344">
        <f t="shared" si="14"/>
        <v>0.16200000000000001</v>
      </c>
      <c r="AM75" s="404"/>
      <c r="AN75" s="2114"/>
      <c r="AO75" s="2114"/>
      <c r="AP75" s="2114"/>
      <c r="AQ75" s="2114"/>
      <c r="AR75" s="2114"/>
      <c r="AS75" s="2114"/>
    </row>
    <row r="76" spans="1:45" ht="15" customHeight="1">
      <c r="A76" s="46"/>
      <c r="B76" s="427" t="s">
        <v>1543</v>
      </c>
      <c r="C76" s="353"/>
      <c r="D76" s="469">
        <v>3.8</v>
      </c>
      <c r="E76" s="325"/>
      <c r="F76" s="469">
        <v>0.5</v>
      </c>
      <c r="G76" s="469"/>
      <c r="H76" s="469">
        <v>6.8999999999999995</v>
      </c>
      <c r="I76" s="325"/>
      <c r="J76" s="469">
        <v>4.9999999999999991</v>
      </c>
      <c r="K76" s="690"/>
      <c r="L76" s="469">
        <v>3.400000000000003</v>
      </c>
      <c r="M76" s="1726"/>
      <c r="N76" s="469">
        <v>5.599999999999997</v>
      </c>
      <c r="O76" s="690"/>
      <c r="P76" s="469">
        <v>4.0000000000000009</v>
      </c>
      <c r="Q76" s="690"/>
      <c r="R76" s="469">
        <f t="shared" si="7"/>
        <v>0.10000000000000142</v>
      </c>
      <c r="S76" s="690"/>
      <c r="T76" s="469"/>
      <c r="U76" s="690"/>
      <c r="V76" s="469"/>
      <c r="W76" s="690"/>
      <c r="X76" s="469"/>
      <c r="Y76" s="690"/>
      <c r="Z76" s="469"/>
      <c r="AA76" s="351"/>
      <c r="AB76" s="325"/>
      <c r="AC76" s="648"/>
      <c r="AD76" s="659">
        <v>29.3</v>
      </c>
      <c r="AE76" s="348"/>
      <c r="AF76" s="1719"/>
      <c r="AG76" s="659">
        <v>32.4</v>
      </c>
      <c r="AH76" s="643"/>
      <c r="AI76" s="325"/>
      <c r="AJ76" s="325">
        <f t="shared" si="13"/>
        <v>-3.1</v>
      </c>
      <c r="AK76" s="325"/>
      <c r="AL76" s="769">
        <f t="shared" si="14"/>
        <v>-9.6000000000000002E-2</v>
      </c>
      <c r="AM76" s="404"/>
      <c r="AN76" s="2114"/>
      <c r="AO76" s="2114"/>
      <c r="AP76" s="2114"/>
      <c r="AQ76" s="2114"/>
      <c r="AR76" s="2114"/>
      <c r="AS76" s="2114"/>
    </row>
    <row r="77" spans="1:45" ht="15" customHeight="1">
      <c r="A77" s="46"/>
      <c r="B77" s="427" t="s">
        <v>1524</v>
      </c>
      <c r="C77" s="353"/>
      <c r="D77" s="469">
        <v>4.5</v>
      </c>
      <c r="E77" s="325"/>
      <c r="F77" s="469">
        <v>0.70000000000000018</v>
      </c>
      <c r="G77" s="469"/>
      <c r="H77" s="469">
        <v>1.7000000000000002</v>
      </c>
      <c r="I77" s="325"/>
      <c r="J77" s="469">
        <v>14.700000000000003</v>
      </c>
      <c r="K77" s="690"/>
      <c r="L77" s="469">
        <v>34.699999999999989</v>
      </c>
      <c r="M77" s="1726"/>
      <c r="N77" s="469">
        <v>0.30000000000000426</v>
      </c>
      <c r="O77" s="690"/>
      <c r="P77" s="469">
        <v>0.69999999999999574</v>
      </c>
      <c r="Q77" s="690"/>
      <c r="R77" s="469">
        <f t="shared" si="7"/>
        <v>11.400000000000006</v>
      </c>
      <c r="S77" s="690"/>
      <c r="T77" s="469"/>
      <c r="U77" s="690"/>
      <c r="V77" s="469"/>
      <c r="W77" s="690"/>
      <c r="X77" s="469"/>
      <c r="Y77" s="690"/>
      <c r="Z77" s="469"/>
      <c r="AA77" s="351"/>
      <c r="AB77" s="325"/>
      <c r="AC77" s="648"/>
      <c r="AD77" s="659">
        <v>68.7</v>
      </c>
      <c r="AE77" s="348"/>
      <c r="AF77" s="1719"/>
      <c r="AG77" s="659">
        <v>210</v>
      </c>
      <c r="AH77" s="643"/>
      <c r="AI77" s="325"/>
      <c r="AJ77" s="325">
        <f t="shared" si="13"/>
        <v>-141.30000000000001</v>
      </c>
      <c r="AK77" s="325"/>
      <c r="AL77" s="769">
        <f>ROUND(IF(AG77=0,1,AJ77/ABS(AG77)),3)</f>
        <v>-0.67300000000000004</v>
      </c>
      <c r="AM77" s="404"/>
      <c r="AN77" s="2114"/>
      <c r="AO77" s="2114"/>
      <c r="AP77" s="2114"/>
      <c r="AQ77" s="2114"/>
      <c r="AR77" s="2114"/>
      <c r="AS77" s="2114"/>
    </row>
    <row r="78" spans="1:45" ht="15" customHeight="1">
      <c r="A78" s="46"/>
      <c r="B78" s="427" t="s">
        <v>1550</v>
      </c>
      <c r="C78" s="353"/>
      <c r="D78" s="469">
        <v>13.1</v>
      </c>
      <c r="E78" s="325"/>
      <c r="F78" s="469">
        <v>-3.9000000000000004</v>
      </c>
      <c r="G78" s="469"/>
      <c r="H78" s="469">
        <v>1</v>
      </c>
      <c r="I78" s="325"/>
      <c r="J78" s="469">
        <v>11.400000000000002</v>
      </c>
      <c r="K78" s="690"/>
      <c r="L78" s="469">
        <v>1.2999999999999972</v>
      </c>
      <c r="M78" s="1726"/>
      <c r="N78" s="469">
        <v>2.7000000000000028</v>
      </c>
      <c r="O78" s="690"/>
      <c r="P78" s="469">
        <v>1.5999999999999979</v>
      </c>
      <c r="Q78" s="690"/>
      <c r="R78" s="469">
        <f t="shared" si="7"/>
        <v>1.6000000000000014</v>
      </c>
      <c r="S78" s="690"/>
      <c r="T78" s="469"/>
      <c r="U78" s="690"/>
      <c r="V78" s="469"/>
      <c r="W78" s="690"/>
      <c r="X78" s="469"/>
      <c r="Y78" s="690"/>
      <c r="Z78" s="469"/>
      <c r="AA78" s="351"/>
      <c r="AB78" s="325"/>
      <c r="AC78" s="648"/>
      <c r="AD78" s="659">
        <v>28.8</v>
      </c>
      <c r="AE78" s="348"/>
      <c r="AF78" s="1719"/>
      <c r="AG78" s="659">
        <v>10</v>
      </c>
      <c r="AH78" s="643"/>
      <c r="AI78" s="325"/>
      <c r="AJ78" s="325">
        <f t="shared" si="13"/>
        <v>18.8</v>
      </c>
      <c r="AK78" s="325"/>
      <c r="AL78" s="344">
        <f>ROUND(IF(AG78=0,0,AJ78/ABS(AG78)),3)</f>
        <v>1.88</v>
      </c>
      <c r="AM78" s="404"/>
      <c r="AN78" s="2114"/>
      <c r="AO78" s="2114"/>
      <c r="AP78" s="2114"/>
      <c r="AQ78" s="2114"/>
      <c r="AR78" s="2114"/>
      <c r="AS78" s="2114"/>
    </row>
    <row r="79" spans="1:45" ht="15" customHeight="1">
      <c r="A79" s="46"/>
      <c r="B79" s="427" t="s">
        <v>1544</v>
      </c>
      <c r="C79" s="353"/>
      <c r="D79" s="469">
        <v>47</v>
      </c>
      <c r="E79" s="325"/>
      <c r="F79" s="469">
        <v>39</v>
      </c>
      <c r="G79" s="469"/>
      <c r="H79" s="469">
        <v>26.700000000000003</v>
      </c>
      <c r="I79" s="325"/>
      <c r="J79" s="469">
        <v>59.7</v>
      </c>
      <c r="K79" s="690"/>
      <c r="L79" s="469">
        <v>36.699999999999989</v>
      </c>
      <c r="M79" s="1726"/>
      <c r="N79" s="469">
        <v>53.700000000000031</v>
      </c>
      <c r="O79" s="690"/>
      <c r="P79" s="469">
        <v>37.199999999999989</v>
      </c>
      <c r="Q79" s="690"/>
      <c r="R79" s="469">
        <f t="shared" si="7"/>
        <v>31.700000000000003</v>
      </c>
      <c r="S79" s="690"/>
      <c r="T79" s="469"/>
      <c r="U79" s="690"/>
      <c r="V79" s="469"/>
      <c r="W79" s="690"/>
      <c r="X79" s="469"/>
      <c r="Y79" s="690"/>
      <c r="Z79" s="469"/>
      <c r="AA79" s="351"/>
      <c r="AB79" s="325"/>
      <c r="AC79" s="647"/>
      <c r="AD79" s="659">
        <v>331.7</v>
      </c>
      <c r="AE79" s="325"/>
      <c r="AF79" s="648"/>
      <c r="AG79" s="659">
        <v>404</v>
      </c>
      <c r="AH79" s="643"/>
      <c r="AI79" s="325"/>
      <c r="AJ79" s="325">
        <f t="shared" si="13"/>
        <v>-72.3</v>
      </c>
      <c r="AK79" s="325"/>
      <c r="AL79" s="769">
        <f>ROUND(IF(AG79=0,0,AJ79/ABS(AG79)),3)</f>
        <v>-0.17899999999999999</v>
      </c>
      <c r="AM79" s="404"/>
      <c r="AN79" s="2114"/>
      <c r="AO79" s="2114"/>
      <c r="AP79" s="2114"/>
      <c r="AQ79" s="2114"/>
      <c r="AR79" s="2114"/>
      <c r="AS79" s="2114"/>
    </row>
    <row r="80" spans="1:45" ht="15" customHeight="1">
      <c r="A80" s="46"/>
      <c r="B80" s="427" t="s">
        <v>454</v>
      </c>
      <c r="C80" s="353"/>
      <c r="D80" s="469">
        <v>0.6</v>
      </c>
      <c r="E80" s="325"/>
      <c r="F80" s="469">
        <v>2.1</v>
      </c>
      <c r="G80" s="469"/>
      <c r="H80" s="469">
        <v>1.0999999999999996</v>
      </c>
      <c r="I80" s="325"/>
      <c r="J80" s="469">
        <v>1.3000000000000003</v>
      </c>
      <c r="K80" s="690"/>
      <c r="L80" s="469">
        <v>1.6</v>
      </c>
      <c r="M80" s="1726"/>
      <c r="N80" s="469">
        <v>1.2000000000000011</v>
      </c>
      <c r="O80" s="690"/>
      <c r="P80" s="469">
        <v>0.5</v>
      </c>
      <c r="Q80" s="690"/>
      <c r="R80" s="469">
        <f t="shared" si="7"/>
        <v>2.6999999999999993</v>
      </c>
      <c r="S80" s="690"/>
      <c r="T80" s="469"/>
      <c r="U80" s="690"/>
      <c r="V80" s="469"/>
      <c r="W80" s="690"/>
      <c r="X80" s="469"/>
      <c r="Y80" s="690"/>
      <c r="Z80" s="469"/>
      <c r="AA80" s="351"/>
      <c r="AB80" s="325"/>
      <c r="AC80" s="647"/>
      <c r="AD80" s="659">
        <v>11.1</v>
      </c>
      <c r="AE80" s="325"/>
      <c r="AF80" s="648"/>
      <c r="AG80" s="659">
        <v>10.7</v>
      </c>
      <c r="AH80" s="643"/>
      <c r="AI80" s="325"/>
      <c r="AJ80" s="325">
        <f t="shared" si="13"/>
        <v>0.4</v>
      </c>
      <c r="AK80" s="325"/>
      <c r="AL80" s="344">
        <f>ROUND(IF(AG80=0,0,AJ80/ABS(AG80)),3)</f>
        <v>3.6999999999999998E-2</v>
      </c>
      <c r="AM80" s="404"/>
      <c r="AN80" s="2114"/>
      <c r="AO80" s="2114"/>
      <c r="AP80" s="2114"/>
      <c r="AQ80" s="2114"/>
      <c r="AR80" s="2114"/>
      <c r="AS80" s="2114"/>
    </row>
    <row r="81" spans="1:45" ht="15" customHeight="1">
      <c r="A81" s="46"/>
      <c r="B81" s="427" t="s">
        <v>1525</v>
      </c>
      <c r="C81" s="353"/>
      <c r="D81" s="469">
        <v>-25.2</v>
      </c>
      <c r="E81" s="325"/>
      <c r="F81" s="469">
        <v>31.299999999999997</v>
      </c>
      <c r="G81" s="469"/>
      <c r="H81" s="469">
        <v>60.900000000000006</v>
      </c>
      <c r="I81" s="325"/>
      <c r="J81" s="469">
        <v>14.699999999999989</v>
      </c>
      <c r="K81" s="690"/>
      <c r="L81" s="469">
        <v>217.4</v>
      </c>
      <c r="M81" s="1726"/>
      <c r="N81" s="469">
        <v>268.70000000000005</v>
      </c>
      <c r="O81" s="690"/>
      <c r="P81" s="469">
        <v>152.60000000000002</v>
      </c>
      <c r="Q81" s="690"/>
      <c r="R81" s="469">
        <f t="shared" si="7"/>
        <v>38</v>
      </c>
      <c r="S81" s="690"/>
      <c r="T81" s="469"/>
      <c r="U81" s="690"/>
      <c r="V81" s="469"/>
      <c r="W81" s="690"/>
      <c r="X81" s="469"/>
      <c r="Y81" s="690"/>
      <c r="Z81" s="469"/>
      <c r="AA81" s="351"/>
      <c r="AB81" s="325"/>
      <c r="AC81" s="648"/>
      <c r="AD81" s="659">
        <v>758.4</v>
      </c>
      <c r="AE81" s="348"/>
      <c r="AF81" s="1719"/>
      <c r="AG81" s="659">
        <v>771.5</v>
      </c>
      <c r="AH81" s="643"/>
      <c r="AI81" s="325"/>
      <c r="AJ81" s="325">
        <f t="shared" si="13"/>
        <v>-13.1</v>
      </c>
      <c r="AK81" s="325"/>
      <c r="AL81" s="344">
        <f>ROUND(IF(AG81=0,0,AJ81/ABS(AG81)),3)</f>
        <v>-1.7000000000000001E-2</v>
      </c>
      <c r="AM81" s="404"/>
      <c r="AN81" s="2114"/>
      <c r="AO81" s="2114"/>
      <c r="AP81" s="2114"/>
      <c r="AQ81" s="2114"/>
      <c r="AR81" s="2114"/>
      <c r="AS81" s="2114"/>
    </row>
    <row r="82" spans="1:45" ht="15" customHeight="1">
      <c r="A82" s="46"/>
      <c r="B82" s="118" t="s">
        <v>558</v>
      </c>
      <c r="C82" s="353"/>
      <c r="D82" s="842">
        <f>ROUND(SUM(D42:D81),1)</f>
        <v>1585.4</v>
      </c>
      <c r="E82" s="325"/>
      <c r="F82" s="842">
        <f>ROUND(SUM(F42:F81),1)</f>
        <v>957.7</v>
      </c>
      <c r="G82" s="325"/>
      <c r="H82" s="842">
        <f>ROUND(SUM(H42:H81),1)</f>
        <v>2209.9</v>
      </c>
      <c r="I82" s="325"/>
      <c r="J82" s="842">
        <f>ROUND(SUM(J42:J81),1)</f>
        <v>1697.9</v>
      </c>
      <c r="K82" s="325"/>
      <c r="L82" s="842">
        <f>ROUND(SUM(L42:L81),1)</f>
        <v>2067.1</v>
      </c>
      <c r="M82" s="325"/>
      <c r="N82" s="842">
        <f>ROUND(SUM(N42:N81),1)</f>
        <v>2111.1</v>
      </c>
      <c r="O82" s="325"/>
      <c r="P82" s="842">
        <f>ROUND(SUM(P42:P81),1)</f>
        <v>1914.9</v>
      </c>
      <c r="Q82" s="325"/>
      <c r="R82" s="842">
        <f>ROUND(SUM(R42:R81),1)</f>
        <v>1682.6</v>
      </c>
      <c r="S82" s="16"/>
      <c r="T82" s="842">
        <f>ROUND(SUM(T42:T81),1)</f>
        <v>0</v>
      </c>
      <c r="U82" s="325"/>
      <c r="V82" s="842">
        <f>ROUND(SUM(V42:V81),1)</f>
        <v>0</v>
      </c>
      <c r="W82" s="325"/>
      <c r="X82" s="842">
        <f>ROUND(SUM(X42:X81),1)</f>
        <v>0</v>
      </c>
      <c r="Y82" s="325"/>
      <c r="Z82" s="842">
        <f>ROUND(SUM(Z42:Z81),1)</f>
        <v>0</v>
      </c>
      <c r="AA82" s="16"/>
      <c r="AB82" s="325"/>
      <c r="AC82" s="647"/>
      <c r="AD82" s="842">
        <f>ROUND(SUM(AD42:AD81),1)</f>
        <v>14226.6</v>
      </c>
      <c r="AE82" s="325"/>
      <c r="AF82" s="648"/>
      <c r="AG82" s="842">
        <f>ROUND(SUM(AG42:AG81),1)</f>
        <v>13010</v>
      </c>
      <c r="AH82" s="643"/>
      <c r="AI82" s="325"/>
      <c r="AJ82" s="842">
        <f>ROUND(SUM(AJ42:AJ81),1)</f>
        <v>1216.5999999999999</v>
      </c>
      <c r="AK82" s="325"/>
      <c r="AL82" s="1274">
        <f>ROUND(SUM(+AJ82/AG82),3)</f>
        <v>9.4E-2</v>
      </c>
      <c r="AM82" s="404"/>
      <c r="AN82" s="2114"/>
      <c r="AO82" s="2114"/>
      <c r="AP82" s="2114"/>
      <c r="AQ82" s="2114"/>
      <c r="AR82" s="2114"/>
      <c r="AS82" s="2114"/>
    </row>
    <row r="83" spans="1:45" ht="15" customHeight="1">
      <c r="A83" s="46"/>
      <c r="B83" s="118"/>
      <c r="C83" s="353"/>
      <c r="D83" s="16"/>
      <c r="E83" s="325"/>
      <c r="F83" s="16"/>
      <c r="G83" s="325"/>
      <c r="H83" s="16"/>
      <c r="I83" s="325"/>
      <c r="J83" s="16"/>
      <c r="K83" s="325"/>
      <c r="L83" s="16"/>
      <c r="M83" s="325"/>
      <c r="N83" s="16"/>
      <c r="O83" s="325"/>
      <c r="P83" s="16"/>
      <c r="Q83" s="325"/>
      <c r="R83" s="16"/>
      <c r="S83" s="325"/>
      <c r="T83" s="16"/>
      <c r="U83" s="325"/>
      <c r="V83" s="16"/>
      <c r="W83" s="325"/>
      <c r="X83" s="469"/>
      <c r="Y83" s="325"/>
      <c r="Z83" s="16"/>
      <c r="AA83" s="16"/>
      <c r="AB83" s="325"/>
      <c r="AC83" s="647"/>
      <c r="AD83" s="16"/>
      <c r="AE83" s="325"/>
      <c r="AF83" s="648"/>
      <c r="AG83" s="16"/>
      <c r="AH83" s="643"/>
      <c r="AI83" s="325"/>
      <c r="AJ83" s="16"/>
      <c r="AK83" s="325"/>
      <c r="AL83" s="107"/>
      <c r="AM83" s="404"/>
      <c r="AN83" s="2114"/>
      <c r="AO83" s="2114"/>
      <c r="AP83" s="2114"/>
      <c r="AQ83" s="2114"/>
      <c r="AR83" s="2114"/>
      <c r="AS83" s="2114"/>
    </row>
    <row r="84" spans="1:45" ht="15" customHeight="1">
      <c r="A84" s="46"/>
      <c r="B84" s="1531" t="s">
        <v>575</v>
      </c>
      <c r="C84" s="353"/>
      <c r="D84" s="469">
        <v>0</v>
      </c>
      <c r="E84" s="325"/>
      <c r="F84" s="469">
        <v>0</v>
      </c>
      <c r="G84" s="469"/>
      <c r="H84" s="469">
        <v>0.1</v>
      </c>
      <c r="I84" s="325"/>
      <c r="J84" s="469">
        <v>0</v>
      </c>
      <c r="K84" s="690"/>
      <c r="L84" s="469">
        <v>-0.1</v>
      </c>
      <c r="M84" s="690"/>
      <c r="N84" s="469">
        <v>0</v>
      </c>
      <c r="O84" s="690"/>
      <c r="P84" s="469">
        <v>0</v>
      </c>
      <c r="Q84" s="690"/>
      <c r="R84" s="469">
        <f t="shared" ref="R84" si="15">$AD84-$D84-$F84-$H84-$J84-$L84-$N84-$P84</f>
        <v>0.9</v>
      </c>
      <c r="S84" s="690"/>
      <c r="T84" s="469"/>
      <c r="U84" s="690"/>
      <c r="V84" s="469"/>
      <c r="W84" s="690"/>
      <c r="X84" s="1205"/>
      <c r="Y84" s="690"/>
      <c r="Z84" s="469"/>
      <c r="AA84" s="351"/>
      <c r="AB84" s="325"/>
      <c r="AC84" s="648"/>
      <c r="AD84" s="659">
        <v>0.9</v>
      </c>
      <c r="AE84" s="348"/>
      <c r="AF84" s="1719"/>
      <c r="AG84" s="659">
        <v>11.6</v>
      </c>
      <c r="AH84" s="643"/>
      <c r="AI84" s="325"/>
      <c r="AJ84" s="325">
        <f>ROUND(SUM(+AD84-AG84),1)</f>
        <v>-10.7</v>
      </c>
      <c r="AK84" s="325"/>
      <c r="AL84" s="670">
        <f>ROUND(IF(AG84=0,0,AJ84/ABS(AG84)),3)</f>
        <v>-0.92200000000000004</v>
      </c>
      <c r="AM84" s="404"/>
      <c r="AN84" s="2114"/>
      <c r="AO84" s="2114"/>
      <c r="AP84" s="2114"/>
      <c r="AQ84" s="2114"/>
      <c r="AR84" s="2114"/>
      <c r="AS84" s="2114"/>
    </row>
    <row r="85" spans="1:45" ht="15" customHeight="1">
      <c r="A85" s="46"/>
      <c r="B85" s="353"/>
      <c r="C85" s="353"/>
      <c r="D85" s="783"/>
      <c r="E85" s="325"/>
      <c r="F85" s="783"/>
      <c r="G85" s="325"/>
      <c r="H85" s="783"/>
      <c r="I85" s="325"/>
      <c r="J85" s="783"/>
      <c r="K85" s="325"/>
      <c r="L85" s="783"/>
      <c r="M85" s="325"/>
      <c r="N85" s="783"/>
      <c r="O85" s="325"/>
      <c r="P85" s="783"/>
      <c r="Q85" s="325"/>
      <c r="R85" s="783"/>
      <c r="S85" s="325"/>
      <c r="T85" s="783"/>
      <c r="U85" s="325"/>
      <c r="V85" s="783"/>
      <c r="W85" s="325"/>
      <c r="X85" s="469"/>
      <c r="Y85" s="325"/>
      <c r="Z85" s="783"/>
      <c r="AA85" s="325"/>
      <c r="AB85" s="325"/>
      <c r="AC85" s="647"/>
      <c r="AD85" s="783"/>
      <c r="AE85" s="325"/>
      <c r="AF85" s="648"/>
      <c r="AG85" s="783"/>
      <c r="AH85" s="643"/>
      <c r="AI85" s="325"/>
      <c r="AJ85" s="1533"/>
      <c r="AK85" s="466"/>
      <c r="AL85" s="1534"/>
      <c r="AM85" s="404"/>
      <c r="AN85" s="2114"/>
      <c r="AO85" s="2114"/>
      <c r="AP85" s="2114"/>
      <c r="AQ85" s="2114"/>
      <c r="AR85" s="2114"/>
      <c r="AS85" s="2114"/>
    </row>
    <row r="86" spans="1:45" ht="15" customHeight="1">
      <c r="A86" s="46"/>
      <c r="B86" s="6" t="s">
        <v>457</v>
      </c>
      <c r="C86" s="353"/>
      <c r="D86" s="16">
        <f>ROUND(SUM(D38+D82+D84),1)</f>
        <v>2110.1999999999998</v>
      </c>
      <c r="E86" s="16"/>
      <c r="F86" s="16">
        <f>ROUND(SUM(F38+F82+F84),1)</f>
        <v>1183.9000000000001</v>
      </c>
      <c r="G86" s="16"/>
      <c r="H86" s="16">
        <f>ROUND(SUM(H38+H82+H84),1)</f>
        <v>2823.1</v>
      </c>
      <c r="I86" s="16"/>
      <c r="J86" s="16">
        <f>ROUND(SUM(J38+J82+J84),1)</f>
        <v>1951.8</v>
      </c>
      <c r="K86" s="16"/>
      <c r="L86" s="16">
        <f>ROUND(SUM(L38+L82+L84),1)</f>
        <v>2297.9</v>
      </c>
      <c r="M86" s="16"/>
      <c r="N86" s="16">
        <f>ROUND(SUM(N38+N82+N84),1)</f>
        <v>2737.5</v>
      </c>
      <c r="O86" s="16"/>
      <c r="P86" s="16">
        <f>ROUND(SUM(P38+P82+P84),1)</f>
        <v>2199</v>
      </c>
      <c r="Q86" s="16"/>
      <c r="R86" s="16">
        <f>ROUND(SUM(R38+R82+R84),1)</f>
        <v>1940.5</v>
      </c>
      <c r="S86" s="16"/>
      <c r="T86" s="16">
        <f>ROUND(SUM(T38+T82+T84),1)</f>
        <v>0</v>
      </c>
      <c r="U86" s="16"/>
      <c r="V86" s="16">
        <f>ROUND(SUM(V38+V82+V84),1)</f>
        <v>0</v>
      </c>
      <c r="W86" s="16"/>
      <c r="X86" s="434">
        <f>ROUND(SUM(X38+X82+X84),1)</f>
        <v>0</v>
      </c>
      <c r="Y86" s="16"/>
      <c r="Z86" s="16">
        <f>ROUND(SUM(Z38+Z82+Z84),1)</f>
        <v>0</v>
      </c>
      <c r="AA86" s="16"/>
      <c r="AB86" s="16"/>
      <c r="AC86" s="18"/>
      <c r="AD86" s="16">
        <f>ROUND(SUM(AD38+AD82+AD84),1)</f>
        <v>17243.900000000001</v>
      </c>
      <c r="AE86" s="16"/>
      <c r="AF86" s="838"/>
      <c r="AG86" s="16">
        <f>ROUND(SUM(AG38+AG82+AG84),1)</f>
        <v>15818.8</v>
      </c>
      <c r="AH86" s="108"/>
      <c r="AI86" s="16"/>
      <c r="AJ86" s="434">
        <f>ROUND(SUM(AJ38+AJ82+AJ84),1)</f>
        <v>1425.1</v>
      </c>
      <c r="AK86" s="109"/>
      <c r="AL86" s="470">
        <f>ROUND(SUM((AD86-AG86)/ABS(AG86)),3)</f>
        <v>0.09</v>
      </c>
      <c r="AM86" s="404"/>
      <c r="AN86" s="2114"/>
      <c r="AO86" s="2114"/>
      <c r="AP86" s="2114"/>
      <c r="AQ86" s="2114"/>
      <c r="AR86" s="2114"/>
      <c r="AS86" s="2114"/>
    </row>
    <row r="87" spans="1:45" ht="15" customHeight="1">
      <c r="A87" s="46"/>
      <c r="B87" s="353"/>
      <c r="C87" s="353"/>
      <c r="D87" s="783"/>
      <c r="E87" s="325"/>
      <c r="F87" s="783"/>
      <c r="G87" s="325"/>
      <c r="H87" s="783"/>
      <c r="I87" s="325"/>
      <c r="J87" s="783"/>
      <c r="K87" s="325"/>
      <c r="L87" s="783"/>
      <c r="M87" s="325"/>
      <c r="N87" s="783"/>
      <c r="O87" s="325"/>
      <c r="P87" s="783"/>
      <c r="Q87" s="325"/>
      <c r="R87" s="783"/>
      <c r="S87" s="325"/>
      <c r="T87" s="783"/>
      <c r="U87" s="325"/>
      <c r="V87" s="783"/>
      <c r="W87" s="325"/>
      <c r="X87" s="469"/>
      <c r="Y87" s="325"/>
      <c r="Z87" s="783"/>
      <c r="AA87" s="325"/>
      <c r="AB87" s="325"/>
      <c r="AC87" s="647"/>
      <c r="AD87" s="783"/>
      <c r="AE87" s="325"/>
      <c r="AF87" s="648"/>
      <c r="AG87" s="783"/>
      <c r="AH87" s="643"/>
      <c r="AI87" s="325"/>
      <c r="AJ87" s="325"/>
      <c r="AK87" s="466"/>
      <c r="AL87" s="344"/>
      <c r="AM87" s="404"/>
      <c r="AN87" s="2114"/>
      <c r="AO87" s="2114"/>
      <c r="AP87" s="2114"/>
      <c r="AQ87" s="2114"/>
      <c r="AR87" s="2114"/>
      <c r="AS87" s="2114"/>
    </row>
    <row r="88" spans="1:45" ht="15" customHeight="1">
      <c r="A88" s="46"/>
      <c r="B88" s="2006" t="s">
        <v>123</v>
      </c>
      <c r="C88" s="353"/>
      <c r="D88" s="325"/>
      <c r="E88" s="325"/>
      <c r="F88" s="325"/>
      <c r="G88" s="325"/>
      <c r="H88" s="325"/>
      <c r="I88" s="325"/>
      <c r="J88" s="325"/>
      <c r="K88" s="325"/>
      <c r="L88" s="325"/>
      <c r="M88" s="325"/>
      <c r="N88" s="325"/>
      <c r="O88" s="325"/>
      <c r="P88" s="325"/>
      <c r="Q88" s="325"/>
      <c r="R88" s="325"/>
      <c r="S88" s="325"/>
      <c r="T88" s="325"/>
      <c r="U88" s="325"/>
      <c r="V88" s="325"/>
      <c r="W88" s="325"/>
      <c r="X88" s="469"/>
      <c r="Y88" s="325"/>
      <c r="Z88" s="325"/>
      <c r="AA88" s="325"/>
      <c r="AB88" s="325"/>
      <c r="AC88" s="647"/>
      <c r="AD88" s="325"/>
      <c r="AE88" s="325"/>
      <c r="AF88" s="648"/>
      <c r="AG88" s="325"/>
      <c r="AH88" s="643"/>
      <c r="AI88" s="325"/>
      <c r="AJ88" s="325"/>
      <c r="AK88" s="466"/>
      <c r="AL88" s="344"/>
      <c r="AM88" s="404"/>
      <c r="AN88" s="2114"/>
      <c r="AO88" s="2114"/>
      <c r="AP88" s="2114"/>
      <c r="AQ88" s="2114"/>
      <c r="AR88" s="2114"/>
      <c r="AS88" s="2114"/>
    </row>
    <row r="89" spans="1:45" ht="15" customHeight="1">
      <c r="A89" s="46"/>
      <c r="B89" s="353" t="s">
        <v>481</v>
      </c>
      <c r="C89" s="353"/>
      <c r="D89" s="348"/>
      <c r="E89" s="325"/>
      <c r="F89" s="348"/>
      <c r="G89" s="325"/>
      <c r="H89" s="325"/>
      <c r="I89" s="325"/>
      <c r="J89" s="469"/>
      <c r="K89" s="325"/>
      <c r="L89" s="348"/>
      <c r="M89" s="325"/>
      <c r="N89" s="348"/>
      <c r="O89" s="325"/>
      <c r="P89" s="348"/>
      <c r="Q89" s="325"/>
      <c r="R89" s="348"/>
      <c r="S89" s="325"/>
      <c r="T89" s="348"/>
      <c r="U89" s="325"/>
      <c r="V89" s="325"/>
      <c r="W89" s="325"/>
      <c r="X89" s="469"/>
      <c r="Y89" s="325"/>
      <c r="Z89" s="325"/>
      <c r="AA89" s="325"/>
      <c r="AB89" s="325"/>
      <c r="AC89" s="647"/>
      <c r="AD89" s="336"/>
      <c r="AE89" s="325"/>
      <c r="AF89" s="648"/>
      <c r="AG89" s="336"/>
      <c r="AH89" s="643"/>
      <c r="AI89" s="325"/>
      <c r="AJ89" s="325"/>
      <c r="AK89" s="466"/>
      <c r="AL89" s="344"/>
      <c r="AM89" s="404"/>
      <c r="AN89" s="2114"/>
      <c r="AO89" s="2114"/>
      <c r="AP89" s="2114"/>
      <c r="AQ89" s="2114"/>
      <c r="AR89" s="2114"/>
      <c r="AS89" s="2114"/>
    </row>
    <row r="90" spans="1:45" ht="15" customHeight="1">
      <c r="A90" s="46"/>
      <c r="B90" s="488" t="s">
        <v>125</v>
      </c>
      <c r="C90" s="353"/>
      <c r="D90" s="469">
        <v>0.5</v>
      </c>
      <c r="E90" s="325"/>
      <c r="F90" s="469">
        <v>9.9999999999999978E-2</v>
      </c>
      <c r="G90" s="469"/>
      <c r="H90" s="469">
        <v>316.89999999999998</v>
      </c>
      <c r="I90" s="325"/>
      <c r="J90" s="469">
        <v>0.10000000000002274</v>
      </c>
      <c r="K90" s="690"/>
      <c r="L90" s="469">
        <v>0.19999999999998863</v>
      </c>
      <c r="M90" s="690"/>
      <c r="N90" s="469">
        <v>3156.0000000000005</v>
      </c>
      <c r="O90" s="690"/>
      <c r="P90" s="469">
        <v>157.5</v>
      </c>
      <c r="Q90" s="690"/>
      <c r="R90" s="469">
        <f t="shared" ref="R90:R99" si="16">$AD90-$D90-$F90-$H90-$J90-$L90-$N90-$P90</f>
        <v>155</v>
      </c>
      <c r="S90" s="690"/>
      <c r="T90" s="469"/>
      <c r="U90" s="690"/>
      <c r="V90" s="469"/>
      <c r="W90" s="690"/>
      <c r="X90" s="469"/>
      <c r="Y90" s="690"/>
      <c r="Z90" s="469"/>
      <c r="AA90" s="351"/>
      <c r="AB90" s="325"/>
      <c r="AC90" s="648"/>
      <c r="AD90" s="659">
        <v>3786.3</v>
      </c>
      <c r="AE90" s="348"/>
      <c r="AF90" s="1719"/>
      <c r="AG90" s="659">
        <v>3766.2</v>
      </c>
      <c r="AH90" s="643"/>
      <c r="AI90" s="325"/>
      <c r="AJ90" s="325">
        <f>ROUND(SUM(+AD90-AG90),1)</f>
        <v>20.100000000000001</v>
      </c>
      <c r="AK90" s="325"/>
      <c r="AL90" s="670">
        <f>ROUND(IF(AG90=0,1,AJ90/ABS(AG90)),3)</f>
        <v>5.0000000000000001E-3</v>
      </c>
      <c r="AM90" s="404"/>
      <c r="AN90" s="2114"/>
      <c r="AO90" s="2114"/>
      <c r="AP90" s="2114"/>
      <c r="AQ90" s="2114"/>
      <c r="AR90" s="2114"/>
      <c r="AS90" s="2114"/>
    </row>
    <row r="91" spans="1:45" ht="15" customHeight="1">
      <c r="A91" s="46"/>
      <c r="B91" s="488" t="s">
        <v>1527</v>
      </c>
      <c r="C91" s="353"/>
      <c r="D91" s="469">
        <v>0</v>
      </c>
      <c r="E91" s="325"/>
      <c r="F91" s="469">
        <v>0.2</v>
      </c>
      <c r="G91" s="469"/>
      <c r="H91" s="469">
        <v>0</v>
      </c>
      <c r="I91" s="325"/>
      <c r="J91" s="469">
        <v>1.2</v>
      </c>
      <c r="K91" s="690"/>
      <c r="L91" s="469">
        <v>0.19999999999999996</v>
      </c>
      <c r="M91" s="690"/>
      <c r="N91" s="469">
        <v>0.40000000000000013</v>
      </c>
      <c r="O91" s="690"/>
      <c r="P91" s="469">
        <v>0</v>
      </c>
      <c r="Q91" s="690"/>
      <c r="R91" s="469">
        <f t="shared" si="16"/>
        <v>1.7999999999999992</v>
      </c>
      <c r="S91" s="690"/>
      <c r="T91" s="469"/>
      <c r="U91" s="690"/>
      <c r="V91" s="469"/>
      <c r="W91" s="690"/>
      <c r="X91" s="469"/>
      <c r="Y91" s="690"/>
      <c r="Z91" s="469"/>
      <c r="AA91" s="351"/>
      <c r="AB91" s="325"/>
      <c r="AC91" s="648"/>
      <c r="AD91" s="659">
        <v>3.8</v>
      </c>
      <c r="AE91" s="348"/>
      <c r="AF91" s="1719"/>
      <c r="AG91" s="659">
        <v>4.5999999999999996</v>
      </c>
      <c r="AH91" s="643"/>
      <c r="AI91" s="325"/>
      <c r="AJ91" s="325">
        <f>ROUND(SUM(+AD91-AG91),1)</f>
        <v>-0.8</v>
      </c>
      <c r="AK91" s="325"/>
      <c r="AL91" s="344">
        <f>ROUND(IF(AG91=0,0,AJ91/ABS(AG91)),3)</f>
        <v>-0.17399999999999999</v>
      </c>
      <c r="AM91" s="404"/>
      <c r="AN91" s="2114"/>
      <c r="AO91" s="2114"/>
      <c r="AP91" s="2114"/>
      <c r="AQ91" s="2114"/>
      <c r="AR91" s="2114"/>
      <c r="AS91" s="2114"/>
    </row>
    <row r="92" spans="1:45" ht="15" customHeight="1">
      <c r="A92" s="46"/>
      <c r="B92" s="488" t="s">
        <v>1526</v>
      </c>
      <c r="C92" s="353"/>
      <c r="D92" s="469">
        <v>1.5</v>
      </c>
      <c r="E92" s="325"/>
      <c r="F92" s="469">
        <v>43.2</v>
      </c>
      <c r="G92" s="469"/>
      <c r="H92" s="469">
        <v>5</v>
      </c>
      <c r="I92" s="325"/>
      <c r="J92" s="469">
        <v>13.899999999999999</v>
      </c>
      <c r="K92" s="690"/>
      <c r="L92" s="469">
        <v>35.1</v>
      </c>
      <c r="M92" s="690"/>
      <c r="N92" s="469">
        <v>3.7999999999999972</v>
      </c>
      <c r="O92" s="690"/>
      <c r="P92" s="469">
        <v>19</v>
      </c>
      <c r="Q92" s="690"/>
      <c r="R92" s="469">
        <f t="shared" si="16"/>
        <v>19.400000000000013</v>
      </c>
      <c r="S92" s="690"/>
      <c r="T92" s="469"/>
      <c r="U92" s="690"/>
      <c r="V92" s="469"/>
      <c r="W92" s="690"/>
      <c r="X92" s="469"/>
      <c r="Y92" s="690"/>
      <c r="Z92" s="469"/>
      <c r="AA92" s="351"/>
      <c r="AB92" s="325"/>
      <c r="AC92" s="648"/>
      <c r="AD92" s="659">
        <v>140.9</v>
      </c>
      <c r="AE92" s="348"/>
      <c r="AF92" s="1719"/>
      <c r="AG92" s="659">
        <v>283.7</v>
      </c>
      <c r="AH92" s="643"/>
      <c r="AI92" s="325"/>
      <c r="AJ92" s="325">
        <f>ROUND(SUM(+AD92-AG92),1)</f>
        <v>-142.80000000000001</v>
      </c>
      <c r="AK92" s="325"/>
      <c r="AL92" s="769">
        <f>ROUND(IF(AG92=0,0,AJ92/ABS(AG92)),3)</f>
        <v>-0.503</v>
      </c>
      <c r="AM92" s="404"/>
      <c r="AN92" s="2114"/>
      <c r="AO92" s="2114"/>
      <c r="AP92" s="2114"/>
      <c r="AQ92" s="2114"/>
      <c r="AR92" s="2114"/>
      <c r="AS92" s="2114"/>
    </row>
    <row r="93" spans="1:45" ht="15" customHeight="1">
      <c r="A93" s="46"/>
      <c r="B93" s="353" t="s">
        <v>559</v>
      </c>
      <c r="C93" s="353"/>
      <c r="D93" s="469" t="s">
        <v>104</v>
      </c>
      <c r="E93" s="325"/>
      <c r="F93" s="469"/>
      <c r="G93" s="469"/>
      <c r="H93" s="469"/>
      <c r="I93" s="325"/>
      <c r="J93" s="469"/>
      <c r="K93" s="690"/>
      <c r="L93" s="469"/>
      <c r="M93" s="690"/>
      <c r="N93" s="469"/>
      <c r="O93" s="690"/>
      <c r="P93" s="469"/>
      <c r="Q93" s="690"/>
      <c r="R93" s="469"/>
      <c r="S93" s="690"/>
      <c r="T93" s="469"/>
      <c r="U93" s="690"/>
      <c r="V93" s="469"/>
      <c r="W93" s="690"/>
      <c r="X93" s="469"/>
      <c r="Y93" s="690"/>
      <c r="Z93" s="469"/>
      <c r="AA93" s="351"/>
      <c r="AB93" s="325"/>
      <c r="AC93" s="648"/>
      <c r="AD93" s="95" t="s">
        <v>104</v>
      </c>
      <c r="AE93" s="348"/>
      <c r="AF93" s="1719"/>
      <c r="AG93" s="635" t="s">
        <v>104</v>
      </c>
      <c r="AH93" s="643"/>
      <c r="AI93" s="325"/>
      <c r="AJ93" s="325"/>
      <c r="AK93" s="329"/>
      <c r="AL93" s="344"/>
      <c r="AM93" s="404"/>
      <c r="AN93" s="2114"/>
      <c r="AO93" s="2114"/>
      <c r="AP93" s="2114"/>
      <c r="AQ93" s="2114"/>
      <c r="AR93" s="2114"/>
      <c r="AS93" s="2114"/>
    </row>
    <row r="94" spans="1:45" ht="15" customHeight="1">
      <c r="A94" s="46"/>
      <c r="B94" s="1523" t="s">
        <v>129</v>
      </c>
      <c r="C94" s="353"/>
      <c r="D94" s="469">
        <v>422.9</v>
      </c>
      <c r="E94" s="325"/>
      <c r="F94" s="469">
        <v>473</v>
      </c>
      <c r="G94" s="469"/>
      <c r="H94" s="469">
        <v>524.69999999999993</v>
      </c>
      <c r="I94" s="325"/>
      <c r="J94" s="469">
        <v>474.70000000000016</v>
      </c>
      <c r="K94" s="690"/>
      <c r="L94" s="469">
        <v>524.90000000000009</v>
      </c>
      <c r="M94" s="690"/>
      <c r="N94" s="469">
        <v>653.39999999999964</v>
      </c>
      <c r="O94" s="690"/>
      <c r="P94" s="469">
        <v>518.80000000000018</v>
      </c>
      <c r="Q94" s="690"/>
      <c r="R94" s="469">
        <f t="shared" si="16"/>
        <v>566.40000000000009</v>
      </c>
      <c r="S94" s="690"/>
      <c r="T94" s="469"/>
      <c r="U94" s="690"/>
      <c r="V94" s="469"/>
      <c r="W94" s="690"/>
      <c r="X94" s="469"/>
      <c r="Y94" s="690"/>
      <c r="Z94" s="469"/>
      <c r="AA94" s="351"/>
      <c r="AB94" s="325"/>
      <c r="AC94" s="648"/>
      <c r="AD94" s="659">
        <v>4158.8</v>
      </c>
      <c r="AE94" s="348"/>
      <c r="AF94" s="1719"/>
      <c r="AG94" s="659">
        <v>4068.2</v>
      </c>
      <c r="AH94" s="643"/>
      <c r="AI94" s="325"/>
      <c r="AJ94" s="325">
        <f t="shared" ref="AJ94:AJ99" si="17">ROUND(SUM(+AD94-AG94),1)</f>
        <v>90.6</v>
      </c>
      <c r="AK94" s="325"/>
      <c r="AL94" s="769">
        <f t="shared" ref="AL94:AL99" si="18">ROUND(IF(AG94=0,0,AJ94/ABS(AG94)),3)</f>
        <v>2.1999999999999999E-2</v>
      </c>
      <c r="AM94" s="404"/>
      <c r="AN94" s="2114"/>
      <c r="AO94" s="2114"/>
      <c r="AP94" s="2114"/>
      <c r="AQ94" s="2114"/>
      <c r="AR94" s="2114"/>
      <c r="AS94" s="2114"/>
    </row>
    <row r="95" spans="1:45" ht="15" customHeight="1">
      <c r="A95" s="46"/>
      <c r="B95" s="488" t="s">
        <v>130</v>
      </c>
      <c r="C95" s="353"/>
      <c r="D95" s="469">
        <v>60.9</v>
      </c>
      <c r="E95" s="325"/>
      <c r="F95" s="469">
        <v>66</v>
      </c>
      <c r="G95" s="469"/>
      <c r="H95" s="469">
        <v>148.1</v>
      </c>
      <c r="I95" s="325"/>
      <c r="J95" s="469">
        <v>67.099999999999994</v>
      </c>
      <c r="K95" s="690"/>
      <c r="L95" s="469">
        <v>54.000000000000057</v>
      </c>
      <c r="M95" s="690"/>
      <c r="N95" s="469">
        <v>209.39999999999992</v>
      </c>
      <c r="O95" s="690"/>
      <c r="P95" s="469">
        <v>88.100000000000023</v>
      </c>
      <c r="Q95" s="690"/>
      <c r="R95" s="469">
        <f t="shared" si="16"/>
        <v>62.199999999999932</v>
      </c>
      <c r="S95" s="690"/>
      <c r="T95" s="469"/>
      <c r="U95" s="690"/>
      <c r="V95" s="469"/>
      <c r="W95" s="690"/>
      <c r="X95" s="469"/>
      <c r="Y95" s="690"/>
      <c r="Z95" s="469"/>
      <c r="AA95" s="351"/>
      <c r="AB95" s="325"/>
      <c r="AC95" s="648"/>
      <c r="AD95" s="659">
        <v>755.8</v>
      </c>
      <c r="AE95" s="348"/>
      <c r="AF95" s="1719"/>
      <c r="AG95" s="659">
        <v>777.3</v>
      </c>
      <c r="AH95" s="643"/>
      <c r="AI95" s="325"/>
      <c r="AJ95" s="325">
        <f t="shared" si="17"/>
        <v>-21.5</v>
      </c>
      <c r="AK95" s="325"/>
      <c r="AL95" s="344">
        <f t="shared" si="18"/>
        <v>-2.8000000000000001E-2</v>
      </c>
      <c r="AM95" s="404"/>
      <c r="AN95" s="2114"/>
      <c r="AO95" s="2114"/>
      <c r="AP95" s="2114"/>
      <c r="AQ95" s="2114"/>
      <c r="AR95" s="2114"/>
      <c r="AS95" s="2114"/>
    </row>
    <row r="96" spans="1:45" ht="15" customHeight="1">
      <c r="A96" s="46"/>
      <c r="B96" s="488" t="s">
        <v>131</v>
      </c>
      <c r="C96" s="353"/>
      <c r="D96" s="469">
        <v>10.3</v>
      </c>
      <c r="E96" s="325"/>
      <c r="F96" s="469">
        <v>24.8</v>
      </c>
      <c r="G96" s="469"/>
      <c r="H96" s="469">
        <v>23.100000000000005</v>
      </c>
      <c r="I96" s="325"/>
      <c r="J96" s="469">
        <v>20.8</v>
      </c>
      <c r="K96" s="690"/>
      <c r="L96" s="469">
        <v>27.2</v>
      </c>
      <c r="M96" s="690"/>
      <c r="N96" s="469">
        <v>39.499999999999972</v>
      </c>
      <c r="O96" s="690"/>
      <c r="P96" s="469">
        <v>42.100000000000023</v>
      </c>
      <c r="Q96" s="690"/>
      <c r="R96" s="469">
        <f t="shared" si="16"/>
        <v>19.59999999999998</v>
      </c>
      <c r="S96" s="690"/>
      <c r="T96" s="469"/>
      <c r="U96" s="690"/>
      <c r="V96" s="469"/>
      <c r="W96" s="690"/>
      <c r="X96" s="469"/>
      <c r="Y96" s="690"/>
      <c r="Z96" s="469"/>
      <c r="AA96" s="351"/>
      <c r="AB96" s="325"/>
      <c r="AC96" s="648"/>
      <c r="AD96" s="659">
        <v>207.4</v>
      </c>
      <c r="AE96" s="348"/>
      <c r="AF96" s="1719"/>
      <c r="AG96" s="659">
        <v>148.6</v>
      </c>
      <c r="AH96" s="643"/>
      <c r="AI96" s="325"/>
      <c r="AJ96" s="325">
        <f t="shared" si="17"/>
        <v>58.8</v>
      </c>
      <c r="AK96" s="325"/>
      <c r="AL96" s="344">
        <f t="shared" si="18"/>
        <v>0.39600000000000002</v>
      </c>
      <c r="AM96" s="404"/>
      <c r="AN96" s="2114"/>
      <c r="AO96" s="2114"/>
      <c r="AP96" s="2114"/>
      <c r="AQ96" s="2114"/>
      <c r="AR96" s="2114"/>
      <c r="AS96" s="2114"/>
    </row>
    <row r="97" spans="1:45" ht="15" customHeight="1">
      <c r="A97" s="46"/>
      <c r="B97" s="488" t="s">
        <v>132</v>
      </c>
      <c r="C97" s="353"/>
      <c r="D97" s="469">
        <v>0.7</v>
      </c>
      <c r="E97" s="325"/>
      <c r="F97" s="469">
        <v>0.8</v>
      </c>
      <c r="G97" s="469"/>
      <c r="H97" s="469">
        <v>0.5</v>
      </c>
      <c r="I97" s="325"/>
      <c r="J97" s="469">
        <v>0.39999999999999991</v>
      </c>
      <c r="K97" s="690"/>
      <c r="L97" s="469">
        <v>0.30000000000000004</v>
      </c>
      <c r="M97" s="690"/>
      <c r="N97" s="469">
        <v>1.5999999999999999</v>
      </c>
      <c r="O97" s="690"/>
      <c r="P97" s="469">
        <v>-0.29999999999999982</v>
      </c>
      <c r="Q97" s="690"/>
      <c r="R97" s="469">
        <f t="shared" si="16"/>
        <v>0.90000000000000013</v>
      </c>
      <c r="S97" s="690"/>
      <c r="T97" s="469"/>
      <c r="U97" s="690"/>
      <c r="V97" s="469"/>
      <c r="W97" s="690"/>
      <c r="X97" s="469"/>
      <c r="Y97" s="690"/>
      <c r="Z97" s="469"/>
      <c r="AA97" s="351"/>
      <c r="AB97" s="325"/>
      <c r="AC97" s="648"/>
      <c r="AD97" s="659">
        <v>4.9000000000000004</v>
      </c>
      <c r="AE97" s="348"/>
      <c r="AF97" s="1719"/>
      <c r="AG97" s="659">
        <v>3.9</v>
      </c>
      <c r="AH97" s="643"/>
      <c r="AI97" s="325"/>
      <c r="AJ97" s="325">
        <f t="shared" si="17"/>
        <v>1</v>
      </c>
      <c r="AK97" s="325"/>
      <c r="AL97" s="344">
        <f t="shared" si="18"/>
        <v>0.25600000000000001</v>
      </c>
      <c r="AM97" s="404"/>
      <c r="AN97" s="2114"/>
      <c r="AO97" s="2114"/>
      <c r="AP97" s="2114"/>
      <c r="AQ97" s="2114"/>
      <c r="AR97" s="2114"/>
      <c r="AS97" s="2114"/>
    </row>
    <row r="98" spans="1:45" ht="15" customHeight="1">
      <c r="A98" s="46"/>
      <c r="B98" s="488" t="s">
        <v>133</v>
      </c>
      <c r="C98" s="353"/>
      <c r="D98" s="469">
        <v>0.4</v>
      </c>
      <c r="E98" s="325"/>
      <c r="F98" s="469">
        <v>2.8000000000000003</v>
      </c>
      <c r="G98" s="469"/>
      <c r="H98" s="469">
        <v>0.59999999999999964</v>
      </c>
      <c r="I98" s="325"/>
      <c r="J98" s="469">
        <v>10.5</v>
      </c>
      <c r="K98" s="690"/>
      <c r="L98" s="469">
        <v>4.2000000000000011</v>
      </c>
      <c r="M98" s="690"/>
      <c r="N98" s="469">
        <v>5.9</v>
      </c>
      <c r="O98" s="690"/>
      <c r="P98" s="469">
        <v>1.7000000000000028</v>
      </c>
      <c r="Q98" s="690"/>
      <c r="R98" s="469">
        <f t="shared" si="16"/>
        <v>3.3999999999999986</v>
      </c>
      <c r="S98" s="690"/>
      <c r="T98" s="469"/>
      <c r="U98" s="690"/>
      <c r="V98" s="469"/>
      <c r="W98" s="690"/>
      <c r="X98" s="469"/>
      <c r="Y98" s="690"/>
      <c r="Z98" s="469"/>
      <c r="AA98" s="351"/>
      <c r="AB98" s="325"/>
      <c r="AC98" s="648"/>
      <c r="AD98" s="659">
        <v>29.5</v>
      </c>
      <c r="AE98" s="348"/>
      <c r="AF98" s="1719"/>
      <c r="AG98" s="659">
        <v>36</v>
      </c>
      <c r="AH98" s="643"/>
      <c r="AI98" s="325"/>
      <c r="AJ98" s="325">
        <f t="shared" si="17"/>
        <v>-6.5</v>
      </c>
      <c r="AK98" s="325"/>
      <c r="AL98" s="769">
        <f>ROUND(IF(AG98=0,1,AJ98/ABS(AG98)),3)</f>
        <v>-0.18099999999999999</v>
      </c>
      <c r="AM98" s="404"/>
      <c r="AN98" s="2114"/>
      <c r="AO98" s="2114"/>
      <c r="AP98" s="2114"/>
      <c r="AQ98" s="2114"/>
      <c r="AR98" s="2114"/>
      <c r="AS98" s="2114"/>
    </row>
    <row r="99" spans="1:45" ht="15" customHeight="1">
      <c r="A99" s="46"/>
      <c r="B99" s="488" t="s">
        <v>1545</v>
      </c>
      <c r="C99" s="353"/>
      <c r="D99" s="469">
        <v>84.2</v>
      </c>
      <c r="E99" s="325"/>
      <c r="F99" s="469">
        <v>580.19999999999993</v>
      </c>
      <c r="G99" s="469"/>
      <c r="H99" s="469">
        <v>342.80000000000007</v>
      </c>
      <c r="I99" s="325"/>
      <c r="J99" s="469">
        <v>379.29999999999995</v>
      </c>
      <c r="K99" s="690"/>
      <c r="L99" s="469">
        <v>532.0999999999998</v>
      </c>
      <c r="M99" s="690"/>
      <c r="N99" s="469">
        <v>359.90000000000043</v>
      </c>
      <c r="O99" s="690"/>
      <c r="P99" s="469">
        <v>412.5</v>
      </c>
      <c r="Q99" s="690"/>
      <c r="R99" s="469">
        <f t="shared" si="16"/>
        <v>682.19999999999982</v>
      </c>
      <c r="S99" s="690"/>
      <c r="T99" s="469"/>
      <c r="U99" s="690"/>
      <c r="V99" s="469"/>
      <c r="W99" s="690"/>
      <c r="X99" s="469"/>
      <c r="Y99" s="690"/>
      <c r="Z99" s="469"/>
      <c r="AA99" s="351"/>
      <c r="AB99" s="325"/>
      <c r="AC99" s="648"/>
      <c r="AD99" s="659">
        <v>3373.2</v>
      </c>
      <c r="AE99" s="348"/>
      <c r="AF99" s="1719"/>
      <c r="AG99" s="659">
        <v>3152.7</v>
      </c>
      <c r="AH99" s="643"/>
      <c r="AI99" s="325"/>
      <c r="AJ99" s="325">
        <f t="shared" si="17"/>
        <v>220.5</v>
      </c>
      <c r="AK99" s="325"/>
      <c r="AL99" s="344">
        <f t="shared" si="18"/>
        <v>7.0000000000000007E-2</v>
      </c>
      <c r="AM99" s="404"/>
      <c r="AN99" s="2114"/>
      <c r="AO99" s="2114"/>
      <c r="AP99" s="2114"/>
      <c r="AQ99" s="2114"/>
      <c r="AR99" s="2114"/>
      <c r="AS99" s="2114"/>
    </row>
    <row r="100" spans="1:45" ht="15" customHeight="1">
      <c r="A100" s="46"/>
      <c r="B100" s="6" t="s">
        <v>560</v>
      </c>
      <c r="C100" s="353"/>
      <c r="D100" s="784">
        <f>ROUND(SUM(D90:D99),1)</f>
        <v>581.4</v>
      </c>
      <c r="E100" s="16"/>
      <c r="F100" s="784">
        <f>ROUND(SUM(F90:F99),1)</f>
        <v>1191.0999999999999</v>
      </c>
      <c r="G100" s="16"/>
      <c r="H100" s="784">
        <f>ROUND(SUM(H90:H99),1)</f>
        <v>1361.7</v>
      </c>
      <c r="I100" s="16"/>
      <c r="J100" s="784">
        <f>ROUND(SUM(J90:J99),1)</f>
        <v>968</v>
      </c>
      <c r="K100" s="16"/>
      <c r="L100" s="784">
        <f>ROUND(SUM(L90:L99),1)</f>
        <v>1178.2</v>
      </c>
      <c r="M100" s="16"/>
      <c r="N100" s="784">
        <f>ROUND(SUM(N90:N99),1)</f>
        <v>4429.8999999999996</v>
      </c>
      <c r="O100" s="16"/>
      <c r="P100" s="784">
        <f>ROUND(SUM(P90:P99),1)</f>
        <v>1239.4000000000001</v>
      </c>
      <c r="Q100" s="16"/>
      <c r="R100" s="784">
        <f>ROUND(SUM(R90:R99),1)</f>
        <v>1510.9</v>
      </c>
      <c r="S100" s="16"/>
      <c r="T100" s="784">
        <f>ROUND(SUM(T90:T99),1)</f>
        <v>0</v>
      </c>
      <c r="U100" s="16"/>
      <c r="V100" s="784">
        <f>ROUND(SUM(V90:V99),1)</f>
        <v>0</v>
      </c>
      <c r="W100" s="16"/>
      <c r="X100" s="784">
        <f>ROUND(SUM(X90:X99),1)</f>
        <v>0</v>
      </c>
      <c r="Y100" s="16"/>
      <c r="Z100" s="784">
        <f>ROUND(SUM(Z90:Z99),1)</f>
        <v>0</v>
      </c>
      <c r="AA100" s="16"/>
      <c r="AB100" s="16"/>
      <c r="AC100" s="18"/>
      <c r="AD100" s="842">
        <f>ROUND(SUM(AD90:AD99),1)</f>
        <v>12460.6</v>
      </c>
      <c r="AE100" s="16"/>
      <c r="AF100" s="838"/>
      <c r="AG100" s="842">
        <f>ROUND(SUM(AG90:AG99),1)</f>
        <v>12241.2</v>
      </c>
      <c r="AH100" s="108"/>
      <c r="AI100" s="16"/>
      <c r="AJ100" s="842">
        <f>ROUND(SUM(AD100-AG100),1)</f>
        <v>219.4</v>
      </c>
      <c r="AK100" s="51"/>
      <c r="AL100" s="1274">
        <f>ROUND(SUM((AD100-AG100)/ABS(AG100)),3)</f>
        <v>1.7999999999999999E-2</v>
      </c>
      <c r="AM100" s="404"/>
      <c r="AN100" s="2114"/>
      <c r="AO100" s="2114"/>
      <c r="AP100" s="2114"/>
      <c r="AQ100" s="2114"/>
      <c r="AR100" s="2114"/>
      <c r="AS100" s="2114"/>
    </row>
    <row r="101" spans="1:45" ht="15" customHeight="1">
      <c r="A101" s="46"/>
      <c r="B101" s="353" t="s">
        <v>540</v>
      </c>
      <c r="C101" s="353"/>
      <c r="D101" s="325"/>
      <c r="E101" s="325"/>
      <c r="F101" s="325"/>
      <c r="G101" s="325"/>
      <c r="H101" s="325"/>
      <c r="I101" s="325"/>
      <c r="J101" s="325"/>
      <c r="K101" s="325"/>
      <c r="L101" s="325"/>
      <c r="M101" s="325"/>
      <c r="N101" s="325"/>
      <c r="O101" s="325"/>
      <c r="P101" s="325"/>
      <c r="Q101" s="325"/>
      <c r="R101" s="325"/>
      <c r="S101" s="325"/>
      <c r="T101" s="325"/>
      <c r="U101" s="325"/>
      <c r="V101" s="325"/>
      <c r="W101" s="325"/>
      <c r="X101" s="469"/>
      <c r="Y101" s="325"/>
      <c r="Z101" s="325"/>
      <c r="AA101" s="325"/>
      <c r="AB101" s="325"/>
      <c r="AC101" s="647"/>
      <c r="AD101" s="325"/>
      <c r="AE101" s="325"/>
      <c r="AF101" s="648"/>
      <c r="AG101" s="325"/>
      <c r="AH101" s="643"/>
      <c r="AI101" s="325"/>
      <c r="AJ101" s="325"/>
      <c r="AK101" s="466"/>
      <c r="AL101" s="344"/>
      <c r="AM101" s="404"/>
      <c r="AN101" s="2114"/>
      <c r="AO101" s="2114"/>
      <c r="AP101" s="2114"/>
      <c r="AQ101" s="2114"/>
      <c r="AR101" s="2114"/>
      <c r="AS101" s="2114"/>
    </row>
    <row r="102" spans="1:45" ht="15" customHeight="1">
      <c r="A102" s="46"/>
      <c r="B102" s="353" t="s">
        <v>484</v>
      </c>
      <c r="C102" s="353"/>
      <c r="D102" s="469">
        <v>464.6</v>
      </c>
      <c r="E102" s="325"/>
      <c r="F102" s="469">
        <v>441.6</v>
      </c>
      <c r="G102" s="469"/>
      <c r="H102" s="469">
        <v>396.20000000000005</v>
      </c>
      <c r="I102" s="325"/>
      <c r="J102" s="469">
        <v>413.19999999999993</v>
      </c>
      <c r="K102" s="690"/>
      <c r="L102" s="469">
        <v>632.1</v>
      </c>
      <c r="M102" s="690"/>
      <c r="N102" s="469">
        <v>402.80000000000007</v>
      </c>
      <c r="O102" s="690"/>
      <c r="P102" s="469">
        <v>437.5</v>
      </c>
      <c r="Q102" s="690"/>
      <c r="R102" s="469">
        <f t="shared" ref="R102:R105" si="19">$AD102-$D102-$F102-$H102-$J102-$L102-$N102-$P102</f>
        <v>567.50000000000057</v>
      </c>
      <c r="S102" s="690"/>
      <c r="T102" s="469"/>
      <c r="U102" s="690"/>
      <c r="V102" s="469"/>
      <c r="W102" s="690"/>
      <c r="X102" s="469"/>
      <c r="Y102" s="690"/>
      <c r="Z102" s="469"/>
      <c r="AA102" s="351"/>
      <c r="AB102" s="325"/>
      <c r="AC102" s="648"/>
      <c r="AD102" s="659">
        <v>3755.5</v>
      </c>
      <c r="AE102" s="348"/>
      <c r="AF102" s="1719"/>
      <c r="AG102" s="659">
        <v>3483.8</v>
      </c>
      <c r="AH102" s="643"/>
      <c r="AI102" s="325"/>
      <c r="AJ102" s="325">
        <f>ROUND(SUM(+AD102-AG102),1)</f>
        <v>271.7</v>
      </c>
      <c r="AK102" s="325"/>
      <c r="AL102" s="344">
        <f>ROUND(IF(AG102=0,0,AJ102/ABS(AG102)),3)</f>
        <v>7.8E-2</v>
      </c>
      <c r="AM102" s="404"/>
      <c r="AN102" s="2114"/>
      <c r="AO102" s="2114"/>
      <c r="AP102" s="2114"/>
      <c r="AQ102" s="2114"/>
      <c r="AR102" s="2114"/>
      <c r="AS102" s="2114"/>
    </row>
    <row r="103" spans="1:45" ht="15" customHeight="1">
      <c r="A103" s="46"/>
      <c r="B103" s="353" t="s">
        <v>541</v>
      </c>
      <c r="C103" s="353"/>
      <c r="D103" s="469">
        <v>255.4</v>
      </c>
      <c r="E103" s="325"/>
      <c r="F103" s="469">
        <v>276.10000000000002</v>
      </c>
      <c r="G103" s="469"/>
      <c r="H103" s="469">
        <v>278</v>
      </c>
      <c r="I103" s="325"/>
      <c r="J103" s="469">
        <v>260.5</v>
      </c>
      <c r="K103" s="690"/>
      <c r="L103" s="469">
        <v>304.89999999999998</v>
      </c>
      <c r="M103" s="690"/>
      <c r="N103" s="469">
        <v>278.00000000000011</v>
      </c>
      <c r="O103" s="690"/>
      <c r="P103" s="469">
        <v>361.59999999999991</v>
      </c>
      <c r="Q103" s="690"/>
      <c r="R103" s="469">
        <f t="shared" si="19"/>
        <v>305.19999999999982</v>
      </c>
      <c r="S103" s="690"/>
      <c r="T103" s="469"/>
      <c r="U103" s="690"/>
      <c r="V103" s="469"/>
      <c r="W103" s="690"/>
      <c r="X103" s="469"/>
      <c r="Y103" s="690"/>
      <c r="Z103" s="469"/>
      <c r="AA103" s="351"/>
      <c r="AB103" s="325"/>
      <c r="AC103" s="648"/>
      <c r="AD103" s="659">
        <v>2319.6999999999998</v>
      </c>
      <c r="AE103" s="348"/>
      <c r="AF103" s="1719"/>
      <c r="AG103" s="659">
        <v>2076.6999999999998</v>
      </c>
      <c r="AH103" s="643"/>
      <c r="AI103" s="325"/>
      <c r="AJ103" s="325">
        <f>ROUND(SUM(+AD103-AG103),1)</f>
        <v>243</v>
      </c>
      <c r="AK103" s="325"/>
      <c r="AL103" s="344">
        <f>ROUND(IF(AG103=0,0,AJ103/ABS(AG103)),3)</f>
        <v>0.11700000000000001</v>
      </c>
      <c r="AN103" s="2114"/>
      <c r="AO103" s="2114"/>
      <c r="AP103" s="2114"/>
      <c r="AQ103" s="2114"/>
      <c r="AR103" s="2114"/>
      <c r="AS103" s="2114"/>
    </row>
    <row r="104" spans="1:45" ht="15" customHeight="1">
      <c r="A104" s="46"/>
      <c r="B104" s="353" t="s">
        <v>542</v>
      </c>
      <c r="C104" s="353"/>
      <c r="D104" s="469">
        <v>29.9</v>
      </c>
      <c r="E104" s="325"/>
      <c r="F104" s="469">
        <v>112.4</v>
      </c>
      <c r="G104" s="469"/>
      <c r="H104" s="469">
        <v>83.299999999999983</v>
      </c>
      <c r="I104" s="325"/>
      <c r="J104" s="469">
        <v>56.000000000000028</v>
      </c>
      <c r="K104" s="690"/>
      <c r="L104" s="469">
        <v>126.19999999999999</v>
      </c>
      <c r="M104" s="690"/>
      <c r="N104" s="469">
        <v>66.300000000000068</v>
      </c>
      <c r="O104" s="690"/>
      <c r="P104" s="469">
        <v>81.10000000000008</v>
      </c>
      <c r="Q104" s="690"/>
      <c r="R104" s="469">
        <f t="shared" si="19"/>
        <v>105.39999999999998</v>
      </c>
      <c r="S104" s="690"/>
      <c r="T104" s="469"/>
      <c r="U104" s="690"/>
      <c r="V104" s="469"/>
      <c r="W104" s="690"/>
      <c r="X104" s="469"/>
      <c r="Y104" s="690"/>
      <c r="Z104" s="469"/>
      <c r="AA104" s="351"/>
      <c r="AB104" s="325"/>
      <c r="AC104" s="648"/>
      <c r="AD104" s="659">
        <v>660.6</v>
      </c>
      <c r="AE104" s="348"/>
      <c r="AF104" s="1719"/>
      <c r="AG104" s="659">
        <v>667.3</v>
      </c>
      <c r="AH104" s="643"/>
      <c r="AI104" s="325"/>
      <c r="AJ104" s="325">
        <f>ROUND(SUM(+AD104-AG104),1)</f>
        <v>-6.7</v>
      </c>
      <c r="AK104" s="325"/>
      <c r="AL104" s="344">
        <f>ROUND(IF(AG104=0,0,AJ104/ABS(AG104)),3)</f>
        <v>-0.01</v>
      </c>
      <c r="AM104" s="404"/>
      <c r="AN104" s="2114"/>
      <c r="AO104" s="2114"/>
      <c r="AP104" s="2114"/>
      <c r="AQ104" s="2114"/>
      <c r="AR104" s="2114"/>
      <c r="AS104" s="2114"/>
    </row>
    <row r="105" spans="1:45" ht="15" customHeight="1">
      <c r="A105" s="46"/>
      <c r="B105" s="353" t="s">
        <v>545</v>
      </c>
      <c r="C105" s="353"/>
      <c r="D105" s="469">
        <v>0</v>
      </c>
      <c r="E105" s="325"/>
      <c r="F105" s="469">
        <v>0</v>
      </c>
      <c r="G105" s="469"/>
      <c r="H105" s="469">
        <v>0</v>
      </c>
      <c r="I105" s="325"/>
      <c r="J105" s="469">
        <v>0</v>
      </c>
      <c r="K105" s="690"/>
      <c r="L105" s="469">
        <v>0</v>
      </c>
      <c r="M105" s="690"/>
      <c r="N105" s="469">
        <v>0</v>
      </c>
      <c r="O105" s="690"/>
      <c r="P105" s="469">
        <v>0</v>
      </c>
      <c r="Q105" s="690"/>
      <c r="R105" s="469">
        <f t="shared" si="19"/>
        <v>0</v>
      </c>
      <c r="S105" s="690"/>
      <c r="T105" s="469"/>
      <c r="U105" s="690"/>
      <c r="V105" s="469"/>
      <c r="W105" s="690"/>
      <c r="X105" s="1205"/>
      <c r="Y105" s="690"/>
      <c r="Z105" s="469"/>
      <c r="AA105" s="351"/>
      <c r="AB105" s="325"/>
      <c r="AC105" s="648"/>
      <c r="AD105" s="659">
        <v>0</v>
      </c>
      <c r="AE105" s="348"/>
      <c r="AF105" s="1719"/>
      <c r="AG105" s="659">
        <v>0</v>
      </c>
      <c r="AH105" s="643"/>
      <c r="AI105" s="325"/>
      <c r="AJ105" s="325">
        <f>ROUND(SUM(+AD105-AG105),1)</f>
        <v>0</v>
      </c>
      <c r="AK105" s="325"/>
      <c r="AL105" s="327">
        <f>ROUND(IF(AG105=0,0,AJ105/ABS(AG105)),3)</f>
        <v>0</v>
      </c>
      <c r="AM105" s="404"/>
      <c r="AN105" s="2114"/>
      <c r="AO105" s="2114"/>
      <c r="AP105" s="2114"/>
      <c r="AQ105" s="2114"/>
      <c r="AR105" s="2114"/>
      <c r="AS105" s="2114"/>
    </row>
    <row r="106" spans="1:45" ht="15" customHeight="1">
      <c r="A106" s="46"/>
      <c r="B106" s="353"/>
      <c r="C106" s="353"/>
      <c r="D106" s="783"/>
      <c r="E106" s="325"/>
      <c r="F106" s="783"/>
      <c r="G106" s="325"/>
      <c r="H106" s="783"/>
      <c r="I106" s="325"/>
      <c r="J106" s="783"/>
      <c r="K106" s="325"/>
      <c r="L106" s="783"/>
      <c r="M106" s="325"/>
      <c r="N106" s="783"/>
      <c r="O106" s="325"/>
      <c r="P106" s="783"/>
      <c r="Q106" s="325"/>
      <c r="R106" s="783"/>
      <c r="S106" s="325"/>
      <c r="T106" s="783"/>
      <c r="U106" s="325"/>
      <c r="V106" s="783"/>
      <c r="W106" s="325"/>
      <c r="X106" s="469"/>
      <c r="Y106" s="325"/>
      <c r="Z106" s="783"/>
      <c r="AA106" s="325"/>
      <c r="AB106" s="325"/>
      <c r="AC106" s="647"/>
      <c r="AD106" s="783"/>
      <c r="AE106" s="325"/>
      <c r="AF106" s="648"/>
      <c r="AG106" s="783"/>
      <c r="AH106" s="643"/>
      <c r="AI106" s="325"/>
      <c r="AJ106" s="1533"/>
      <c r="AK106" s="466"/>
      <c r="AL106" s="1534"/>
      <c r="AM106" s="404"/>
      <c r="AN106" s="2114"/>
      <c r="AO106" s="2114"/>
      <c r="AP106" s="2114"/>
      <c r="AQ106" s="2114"/>
      <c r="AR106" s="2114"/>
      <c r="AS106" s="2114"/>
    </row>
    <row r="107" spans="1:45" ht="15" customHeight="1">
      <c r="A107" s="46"/>
      <c r="B107" s="6" t="s">
        <v>1546</v>
      </c>
      <c r="C107" s="353"/>
      <c r="D107" s="16">
        <f>ROUND(SUM(D100:D105),1)</f>
        <v>1331.3</v>
      </c>
      <c r="E107" s="16"/>
      <c r="F107" s="16">
        <f>ROUND(SUM(F100:F105),1)</f>
        <v>2021.2</v>
      </c>
      <c r="G107" s="16"/>
      <c r="H107" s="16">
        <f>ROUND(SUM(H100:H105),1)</f>
        <v>2119.1999999999998</v>
      </c>
      <c r="I107" s="16"/>
      <c r="J107" s="16">
        <f>ROUND(SUM(J100:J105),1)</f>
        <v>1697.7</v>
      </c>
      <c r="K107" s="16"/>
      <c r="L107" s="16">
        <f>ROUND(SUM(L100:L105),1)</f>
        <v>2241.4</v>
      </c>
      <c r="M107" s="16"/>
      <c r="N107" s="16">
        <f>ROUND(SUM(N100:N105),1)</f>
        <v>5177</v>
      </c>
      <c r="O107" s="16"/>
      <c r="P107" s="16">
        <f>ROUND(SUM(P100:P105),1)</f>
        <v>2119.6</v>
      </c>
      <c r="Q107" s="16"/>
      <c r="R107" s="16">
        <f>ROUND(SUM(R100:R105),1)</f>
        <v>2489</v>
      </c>
      <c r="S107" s="16"/>
      <c r="T107" s="16">
        <f>ROUND(SUM(T100:T105),1)</f>
        <v>0</v>
      </c>
      <c r="U107" s="16"/>
      <c r="V107" s="16">
        <f>ROUND(SUM(V100:V105),1)</f>
        <v>0</v>
      </c>
      <c r="W107" s="16"/>
      <c r="X107" s="434">
        <f>ROUND(SUM(X100:X105),1)</f>
        <v>0</v>
      </c>
      <c r="Y107" s="16"/>
      <c r="Z107" s="16">
        <f>ROUND(SUM(Z100:Z105),1)</f>
        <v>0</v>
      </c>
      <c r="AA107" s="16"/>
      <c r="AB107" s="16"/>
      <c r="AC107" s="18"/>
      <c r="AD107" s="16">
        <f>ROUND(SUM(AD100:AD105),1)</f>
        <v>19196.400000000001</v>
      </c>
      <c r="AE107" s="16"/>
      <c r="AF107" s="838"/>
      <c r="AG107" s="16">
        <f>ROUND(SUM(AG100:AG105),1)</f>
        <v>18469</v>
      </c>
      <c r="AH107" s="108"/>
      <c r="AI107" s="16"/>
      <c r="AJ107" s="434">
        <f>ROUND(SUM(AD107-AG107),1)</f>
        <v>727.4</v>
      </c>
      <c r="AK107" s="72"/>
      <c r="AL107" s="470">
        <f>ROUND(SUM((AD107-AG107)/ABS(AG107)),3)</f>
        <v>3.9E-2</v>
      </c>
      <c r="AM107" s="404"/>
      <c r="AN107" s="2114"/>
      <c r="AO107" s="2114"/>
      <c r="AP107" s="2114"/>
      <c r="AQ107" s="2114"/>
      <c r="AR107" s="2114"/>
      <c r="AS107" s="2114"/>
    </row>
    <row r="108" spans="1:45" ht="15" customHeight="1">
      <c r="A108" s="46"/>
      <c r="B108" s="353"/>
      <c r="C108" s="353"/>
      <c r="D108" s="783"/>
      <c r="E108" s="325"/>
      <c r="F108" s="783"/>
      <c r="G108" s="325"/>
      <c r="H108" s="783"/>
      <c r="I108" s="325"/>
      <c r="J108" s="783"/>
      <c r="K108" s="325"/>
      <c r="L108" s="783"/>
      <c r="M108" s="325"/>
      <c r="N108" s="783"/>
      <c r="O108" s="325"/>
      <c r="P108" s="783"/>
      <c r="Q108" s="325"/>
      <c r="R108" s="783"/>
      <c r="S108" s="325"/>
      <c r="T108" s="783"/>
      <c r="U108" s="325"/>
      <c r="V108" s="783"/>
      <c r="W108" s="325"/>
      <c r="X108" s="469"/>
      <c r="Y108" s="325"/>
      <c r="Z108" s="783"/>
      <c r="AA108" s="325"/>
      <c r="AB108" s="325"/>
      <c r="AC108" s="647"/>
      <c r="AD108" s="783"/>
      <c r="AE108" s="325"/>
      <c r="AF108" s="648"/>
      <c r="AG108" s="783"/>
      <c r="AH108" s="643"/>
      <c r="AI108" s="325"/>
      <c r="AJ108" s="325"/>
      <c r="AK108" s="466"/>
      <c r="AL108" s="344"/>
      <c r="AM108" s="404"/>
      <c r="AN108" s="2114"/>
      <c r="AO108" s="2114"/>
      <c r="AP108" s="2114"/>
      <c r="AQ108" s="2114"/>
      <c r="AR108" s="2114"/>
      <c r="AS108" s="2114"/>
    </row>
    <row r="109" spans="1:45" ht="15" customHeight="1">
      <c r="A109" s="46"/>
      <c r="B109" s="6" t="s">
        <v>488</v>
      </c>
      <c r="C109" s="353"/>
      <c r="D109" s="325"/>
      <c r="E109" s="325"/>
      <c r="F109" s="325"/>
      <c r="G109" s="325"/>
      <c r="H109" s="325"/>
      <c r="I109" s="325"/>
      <c r="J109" s="325"/>
      <c r="K109" s="325"/>
      <c r="L109" s="325"/>
      <c r="M109" s="325"/>
      <c r="N109" s="325"/>
      <c r="O109" s="325"/>
      <c r="P109" s="325"/>
      <c r="Q109" s="325"/>
      <c r="R109" s="325"/>
      <c r="S109" s="325"/>
      <c r="T109" s="325"/>
      <c r="U109" s="325"/>
      <c r="V109" s="325"/>
      <c r="W109" s="325"/>
      <c r="X109" s="469"/>
      <c r="Y109" s="325"/>
      <c r="Z109" s="325"/>
      <c r="AA109" s="325"/>
      <c r="AB109" s="325"/>
      <c r="AC109" s="647"/>
      <c r="AD109" s="325"/>
      <c r="AE109" s="325"/>
      <c r="AF109" s="648"/>
      <c r="AG109" s="325"/>
      <c r="AH109" s="643"/>
      <c r="AI109" s="325"/>
      <c r="AJ109" s="325"/>
      <c r="AK109" s="466"/>
      <c r="AL109" s="344"/>
      <c r="AM109" s="404"/>
      <c r="AN109" s="2114"/>
      <c r="AO109" s="2114"/>
      <c r="AP109" s="2114"/>
      <c r="AQ109" s="2114"/>
      <c r="AR109" s="2114"/>
      <c r="AS109" s="2114"/>
    </row>
    <row r="110" spans="1:45" ht="15" customHeight="1">
      <c r="A110" s="46"/>
      <c r="B110" s="6" t="s">
        <v>1547</v>
      </c>
      <c r="C110" s="353"/>
      <c r="D110" s="16">
        <f>ROUND(SUM(D86-D107),1)</f>
        <v>778.9</v>
      </c>
      <c r="E110" s="16"/>
      <c r="F110" s="16">
        <f>ROUND(SUM(F86-F107),1)</f>
        <v>-837.3</v>
      </c>
      <c r="G110" s="16"/>
      <c r="H110" s="16">
        <f>ROUND(SUM(H86-H107),1)</f>
        <v>703.9</v>
      </c>
      <c r="I110" s="16"/>
      <c r="J110" s="16">
        <f>ROUND(SUM(J86-J107),1)</f>
        <v>254.1</v>
      </c>
      <c r="K110" s="16"/>
      <c r="L110" s="16">
        <f>ROUND(SUM(L86-L107),1)</f>
        <v>56.5</v>
      </c>
      <c r="M110" s="16"/>
      <c r="N110" s="16">
        <f>ROUND(SUM(N86-N107),1)</f>
        <v>-2439.5</v>
      </c>
      <c r="O110" s="16"/>
      <c r="P110" s="16">
        <f>ROUND(SUM(P86-P107),1)</f>
        <v>79.400000000000006</v>
      </c>
      <c r="Q110" s="16"/>
      <c r="R110" s="16">
        <f>ROUND(SUM(R86-R107),1)</f>
        <v>-548.5</v>
      </c>
      <c r="S110" s="16"/>
      <c r="T110" s="16">
        <f>ROUND(SUM(T86-T107),1)</f>
        <v>0</v>
      </c>
      <c r="U110" s="16"/>
      <c r="V110" s="16">
        <f>ROUND(SUM(V86-V107),1)</f>
        <v>0</v>
      </c>
      <c r="W110" s="16"/>
      <c r="X110" s="434">
        <f>ROUND(SUM(X86-X107),1)</f>
        <v>0</v>
      </c>
      <c r="Y110" s="16"/>
      <c r="Z110" s="16">
        <f>ROUND(SUM(Z86-Z107),1)</f>
        <v>0</v>
      </c>
      <c r="AA110" s="16"/>
      <c r="AB110" s="16"/>
      <c r="AC110" s="18"/>
      <c r="AD110" s="16">
        <f>ROUND(SUM(AD86-AD107),1)</f>
        <v>-1952.5</v>
      </c>
      <c r="AE110" s="16"/>
      <c r="AF110" s="838"/>
      <c r="AG110" s="16">
        <f>ROUND(SUM(AG86-AG107),1)</f>
        <v>-2650.2</v>
      </c>
      <c r="AH110" s="108"/>
      <c r="AI110" s="16"/>
      <c r="AJ110" s="434">
        <f>ROUND(SUM(AD110-AG110),1)</f>
        <v>697.7</v>
      </c>
      <c r="AK110" s="72"/>
      <c r="AL110" s="779">
        <f>ROUND(IF(AG110=0,0,AJ110/ABS(AG110)),3)</f>
        <v>0.26300000000000001</v>
      </c>
      <c r="AM110" s="404"/>
      <c r="AN110" s="2114"/>
      <c r="AO110" s="2114"/>
      <c r="AP110" s="2114"/>
      <c r="AQ110" s="2114"/>
      <c r="AR110" s="2114"/>
      <c r="AS110" s="2114"/>
    </row>
    <row r="111" spans="1:45" ht="15" customHeight="1">
      <c r="A111" s="46"/>
      <c r="B111" s="353"/>
      <c r="C111" s="353"/>
      <c r="D111" s="783"/>
      <c r="E111" s="325"/>
      <c r="F111" s="783"/>
      <c r="G111" s="325"/>
      <c r="H111" s="783"/>
      <c r="I111" s="325"/>
      <c r="J111" s="783"/>
      <c r="K111" s="325"/>
      <c r="L111" s="783"/>
      <c r="M111" s="325"/>
      <c r="N111" s="783"/>
      <c r="O111" s="325"/>
      <c r="P111" s="783"/>
      <c r="Q111" s="325"/>
      <c r="R111" s="783"/>
      <c r="S111" s="325"/>
      <c r="T111" s="783"/>
      <c r="U111" s="325"/>
      <c r="V111" s="783"/>
      <c r="W111" s="325"/>
      <c r="X111" s="469"/>
      <c r="Y111" s="325"/>
      <c r="Z111" s="783"/>
      <c r="AA111" s="325"/>
      <c r="AB111" s="325"/>
      <c r="AC111" s="647"/>
      <c r="AD111" s="783"/>
      <c r="AE111" s="325"/>
      <c r="AF111" s="648"/>
      <c r="AG111" s="783"/>
      <c r="AH111" s="643"/>
      <c r="AI111" s="325"/>
      <c r="AJ111" s="325"/>
      <c r="AK111" s="466"/>
      <c r="AL111" s="344"/>
      <c r="AM111" s="404"/>
      <c r="AN111" s="2114"/>
      <c r="AO111" s="2114"/>
      <c r="AP111" s="2114"/>
      <c r="AQ111" s="2114"/>
      <c r="AR111" s="2114"/>
      <c r="AS111" s="2114"/>
    </row>
    <row r="112" spans="1:45" ht="15" customHeight="1">
      <c r="A112" s="46"/>
      <c r="B112" s="6" t="s">
        <v>147</v>
      </c>
      <c r="C112" s="353"/>
      <c r="D112" s="325"/>
      <c r="E112" s="325"/>
      <c r="F112" s="325"/>
      <c r="G112" s="325"/>
      <c r="H112" s="325"/>
      <c r="I112" s="325"/>
      <c r="J112" s="325"/>
      <c r="K112" s="325"/>
      <c r="L112" s="325"/>
      <c r="M112" s="325"/>
      <c r="N112" s="325"/>
      <c r="O112" s="325"/>
      <c r="P112" s="325"/>
      <c r="Q112" s="325"/>
      <c r="S112" s="325"/>
      <c r="T112" s="325"/>
      <c r="U112" s="325"/>
      <c r="V112" s="325"/>
      <c r="W112" s="325"/>
      <c r="X112" s="469"/>
      <c r="Y112" s="325"/>
      <c r="Z112" s="325"/>
      <c r="AA112" s="325"/>
      <c r="AB112" s="325"/>
      <c r="AC112" s="647"/>
      <c r="AD112" s="325"/>
      <c r="AE112" s="325"/>
      <c r="AF112" s="648"/>
      <c r="AG112" s="325"/>
      <c r="AH112" s="643"/>
      <c r="AI112" s="325"/>
      <c r="AJ112" s="325"/>
      <c r="AK112" s="466"/>
      <c r="AL112" s="344"/>
      <c r="AM112" s="404"/>
      <c r="AN112" s="2114"/>
      <c r="AO112" s="2114"/>
      <c r="AP112" s="2114"/>
      <c r="AQ112" s="2114"/>
      <c r="AR112" s="2114"/>
      <c r="AS112" s="2114"/>
    </row>
    <row r="113" spans="1:49" ht="15" customHeight="1">
      <c r="A113" s="46"/>
      <c r="B113" s="353" t="s">
        <v>561</v>
      </c>
      <c r="C113" s="353"/>
      <c r="D113" s="1739">
        <v>310</v>
      </c>
      <c r="E113" s="325"/>
      <c r="F113" s="469">
        <v>859.09999999999991</v>
      </c>
      <c r="G113" s="469"/>
      <c r="H113" s="469">
        <v>441.20000000000005</v>
      </c>
      <c r="I113" s="325"/>
      <c r="J113" s="469">
        <v>342</v>
      </c>
      <c r="K113" s="690"/>
      <c r="L113" s="469">
        <v>144.20000000000005</v>
      </c>
      <c r="M113" s="690"/>
      <c r="N113" s="469">
        <v>94.5</v>
      </c>
      <c r="O113" s="690"/>
      <c r="P113" s="469">
        <v>111.9</v>
      </c>
      <c r="Q113" s="690"/>
      <c r="R113" s="469">
        <f t="shared" ref="R113:R114" si="20">$AD113-$D113-$F113-$H113-$J113-$L113-$N113-$P113</f>
        <v>324.60000000000002</v>
      </c>
      <c r="S113" s="690"/>
      <c r="T113" s="469"/>
      <c r="U113" s="690"/>
      <c r="V113" s="469"/>
      <c r="W113" s="690"/>
      <c r="X113" s="469"/>
      <c r="Y113" s="690"/>
      <c r="Z113" s="469"/>
      <c r="AA113" s="351"/>
      <c r="AB113" s="325"/>
      <c r="AC113" s="648"/>
      <c r="AD113" s="659">
        <v>2627.5</v>
      </c>
      <c r="AE113" s="348"/>
      <c r="AF113" s="1719"/>
      <c r="AG113" s="659">
        <v>2920.1</v>
      </c>
      <c r="AH113" s="643"/>
      <c r="AI113" s="325"/>
      <c r="AJ113" s="325">
        <f>ROUND(SUM(+AD113-AG113),1)</f>
        <v>-292.60000000000002</v>
      </c>
      <c r="AK113" s="325"/>
      <c r="AL113" s="344">
        <f>ROUND(IF(AG113=0,0,AJ113/ABS(AG113)),3)</f>
        <v>-0.1</v>
      </c>
      <c r="AM113" s="404"/>
      <c r="AN113" s="2114"/>
      <c r="AO113" s="2114"/>
      <c r="AP113" s="2114"/>
      <c r="AQ113" s="2114"/>
      <c r="AR113" s="2114"/>
      <c r="AS113" s="2114"/>
    </row>
    <row r="114" spans="1:49" ht="15" customHeight="1">
      <c r="A114" s="46"/>
      <c r="B114" s="353" t="s">
        <v>548</v>
      </c>
      <c r="C114" s="353"/>
      <c r="D114" s="469">
        <v>-0.7</v>
      </c>
      <c r="E114" s="325"/>
      <c r="F114" s="469">
        <v>-33.799999999999997</v>
      </c>
      <c r="G114" s="469"/>
      <c r="H114" s="469">
        <v>-12.5</v>
      </c>
      <c r="I114" s="325"/>
      <c r="J114" s="469">
        <v>-4</v>
      </c>
      <c r="K114" s="690"/>
      <c r="L114" s="469">
        <v>-33.799999999999997</v>
      </c>
      <c r="M114" s="690"/>
      <c r="N114" s="469">
        <v>-6.4000000000000057</v>
      </c>
      <c r="O114" s="690"/>
      <c r="P114" s="469">
        <v>-10.5</v>
      </c>
      <c r="Q114" s="690"/>
      <c r="R114" s="469">
        <f t="shared" si="20"/>
        <v>-2.5999999999999943</v>
      </c>
      <c r="S114" s="690"/>
      <c r="T114" s="469"/>
      <c r="U114" s="690"/>
      <c r="V114" s="469"/>
      <c r="W114" s="690"/>
      <c r="X114" s="469"/>
      <c r="Y114" s="690"/>
      <c r="Z114" s="469"/>
      <c r="AA114" s="351"/>
      <c r="AB114" s="325"/>
      <c r="AC114" s="648"/>
      <c r="AD114" s="659">
        <v>-104.3</v>
      </c>
      <c r="AE114" s="348"/>
      <c r="AF114" s="1719"/>
      <c r="AG114" s="1436">
        <v>-118.60000000000001</v>
      </c>
      <c r="AH114" s="643"/>
      <c r="AI114" s="325"/>
      <c r="AJ114" s="325">
        <f>ROUND(SUM(+AD114-AG114)*-1,1)</f>
        <v>-14.3</v>
      </c>
      <c r="AK114" s="325"/>
      <c r="AL114" s="670">
        <f>ROUND(IF(AG114=0,0,AJ114/ABS(AG114)),3)</f>
        <v>-0.121</v>
      </c>
      <c r="AM114" s="404"/>
      <c r="AN114" s="2114"/>
      <c r="AO114" s="2114"/>
      <c r="AP114" s="2114"/>
      <c r="AQ114" s="2114"/>
      <c r="AR114" s="2114"/>
      <c r="AS114" s="2114"/>
    </row>
    <row r="115" spans="1:49" ht="15" customHeight="1">
      <c r="A115" s="46"/>
      <c r="B115" s="353"/>
      <c r="C115" s="353"/>
      <c r="D115" s="783"/>
      <c r="E115" s="325"/>
      <c r="F115" s="783"/>
      <c r="G115" s="325"/>
      <c r="H115" s="783"/>
      <c r="I115" s="325"/>
      <c r="J115" s="783"/>
      <c r="K115" s="325"/>
      <c r="L115" s="783"/>
      <c r="M115" s="325"/>
      <c r="N115" s="783"/>
      <c r="O115" s="325"/>
      <c r="P115" s="783"/>
      <c r="Q115" s="325"/>
      <c r="R115" s="783"/>
      <c r="S115" s="325"/>
      <c r="T115" s="783"/>
      <c r="U115" s="325"/>
      <c r="V115" s="783"/>
      <c r="W115" s="325"/>
      <c r="X115" s="783"/>
      <c r="Y115" s="325"/>
      <c r="Z115" s="783"/>
      <c r="AA115" s="325"/>
      <c r="AB115" s="325"/>
      <c r="AC115" s="647"/>
      <c r="AD115" s="783"/>
      <c r="AE115" s="325"/>
      <c r="AF115" s="648"/>
      <c r="AG115" s="325"/>
      <c r="AH115" s="643"/>
      <c r="AI115" s="325"/>
      <c r="AJ115" s="1533"/>
      <c r="AK115" s="466"/>
      <c r="AL115" s="1534"/>
      <c r="AM115" s="404"/>
      <c r="AN115" s="2114"/>
      <c r="AO115" s="2114"/>
      <c r="AP115" s="2114"/>
      <c r="AQ115" s="2114"/>
      <c r="AR115" s="2114"/>
      <c r="AS115" s="2114"/>
    </row>
    <row r="116" spans="1:49" ht="15" customHeight="1">
      <c r="A116" s="46"/>
      <c r="B116" s="6" t="s">
        <v>562</v>
      </c>
      <c r="C116" s="353"/>
      <c r="D116" s="16">
        <f>ROUND(SUM(D113:D115),1)</f>
        <v>309.3</v>
      </c>
      <c r="E116" s="16"/>
      <c r="F116" s="16">
        <f>ROUND(SUM(F113:F115),1)</f>
        <v>825.3</v>
      </c>
      <c r="G116" s="16"/>
      <c r="H116" s="16">
        <f>ROUND(SUM(H113:H115),1)</f>
        <v>428.7</v>
      </c>
      <c r="I116" s="16"/>
      <c r="J116" s="16">
        <f>ROUND(SUM(J113:J115),1)</f>
        <v>338</v>
      </c>
      <c r="K116" s="16"/>
      <c r="L116" s="16">
        <f>ROUND(SUM(L113:L115),1)</f>
        <v>110.4</v>
      </c>
      <c r="M116" s="16"/>
      <c r="N116" s="16">
        <f>ROUND(SUM(N113:N115),1)</f>
        <v>88.1</v>
      </c>
      <c r="O116" s="16"/>
      <c r="P116" s="16">
        <f>ROUND(SUM(P113:P115),1)</f>
        <v>101.4</v>
      </c>
      <c r="Q116" s="16"/>
      <c r="R116" s="16">
        <f>ROUND(SUM(R113:R115),1)</f>
        <v>322</v>
      </c>
      <c r="S116" s="16"/>
      <c r="T116" s="16">
        <f>ROUND(SUM(T113:T115),1)</f>
        <v>0</v>
      </c>
      <c r="U116" s="16"/>
      <c r="V116" s="16">
        <f>ROUND(SUM(V113:V115),1)</f>
        <v>0</v>
      </c>
      <c r="W116" s="16"/>
      <c r="X116" s="16">
        <f>ROUND(SUM(X113:X115),1)</f>
        <v>0</v>
      </c>
      <c r="Y116" s="16"/>
      <c r="Z116" s="16">
        <f>ROUND(SUM(Z113:Z115),1)</f>
        <v>0</v>
      </c>
      <c r="AA116" s="16"/>
      <c r="AB116" s="16"/>
      <c r="AC116" s="18"/>
      <c r="AD116" s="16">
        <f>ROUND(SUM(AD113:AD115),1)</f>
        <v>2523.1999999999998</v>
      </c>
      <c r="AE116" s="16"/>
      <c r="AF116" s="838"/>
      <c r="AG116" s="16">
        <f>ROUND(SUM(AG113:AG115),1)</f>
        <v>2801.5</v>
      </c>
      <c r="AH116" s="108"/>
      <c r="AI116" s="16"/>
      <c r="AJ116" s="434">
        <f>ROUND(SUM(AD116-AG116),1)</f>
        <v>-278.3</v>
      </c>
      <c r="AK116" s="51"/>
      <c r="AL116" s="470">
        <f>ROUND(SUM((AD116-AG116)/ABS(AG116)),3)</f>
        <v>-9.9000000000000005E-2</v>
      </c>
      <c r="AM116" s="636"/>
      <c r="AN116" s="2114"/>
      <c r="AO116" s="2114"/>
      <c r="AP116" s="2114"/>
      <c r="AQ116" s="2114"/>
      <c r="AR116" s="2114"/>
      <c r="AS116" s="2114"/>
    </row>
    <row r="117" spans="1:49" ht="15" customHeight="1">
      <c r="A117" s="46"/>
      <c r="B117" s="353"/>
      <c r="C117" s="353"/>
      <c r="D117" s="783"/>
      <c r="E117" s="325"/>
      <c r="F117" s="783"/>
      <c r="G117" s="325"/>
      <c r="H117" s="783"/>
      <c r="I117" s="325"/>
      <c r="J117" s="783"/>
      <c r="K117" s="325"/>
      <c r="L117" s="783"/>
      <c r="M117" s="325"/>
      <c r="N117" s="783"/>
      <c r="O117" s="325"/>
      <c r="P117" s="783"/>
      <c r="Q117" s="325"/>
      <c r="R117" s="783"/>
      <c r="S117" s="325"/>
      <c r="T117" s="783"/>
      <c r="U117" s="325"/>
      <c r="V117" s="783"/>
      <c r="W117" s="325"/>
      <c r="X117" s="783"/>
      <c r="Y117" s="325"/>
      <c r="Z117" s="783"/>
      <c r="AA117" s="325"/>
      <c r="AB117" s="325"/>
      <c r="AC117" s="647"/>
      <c r="AD117" s="783"/>
      <c r="AE117" s="325"/>
      <c r="AF117" s="648"/>
      <c r="AG117" s="783"/>
      <c r="AH117" s="643"/>
      <c r="AI117" s="325"/>
      <c r="AJ117" s="325"/>
      <c r="AK117" s="466"/>
      <c r="AL117" s="344"/>
      <c r="AM117" s="404"/>
      <c r="AN117" s="2114"/>
      <c r="AO117" s="2114"/>
      <c r="AP117" s="2114"/>
      <c r="AQ117" s="2114"/>
      <c r="AR117" s="2114"/>
      <c r="AS117" s="2114"/>
    </row>
    <row r="118" spans="1:49" ht="15" customHeight="1">
      <c r="A118" s="46"/>
      <c r="B118" s="6" t="s">
        <v>499</v>
      </c>
      <c r="C118" s="353"/>
      <c r="D118" s="325"/>
      <c r="E118" s="325"/>
      <c r="F118" s="325"/>
      <c r="G118" s="325"/>
      <c r="H118" s="325"/>
      <c r="I118" s="325"/>
      <c r="J118" s="325"/>
      <c r="K118" s="325"/>
      <c r="L118" s="325"/>
      <c r="M118" s="325"/>
      <c r="N118" s="325"/>
      <c r="O118" s="325"/>
      <c r="P118" s="325"/>
      <c r="Q118" s="325"/>
      <c r="R118" s="325"/>
      <c r="S118" s="325"/>
      <c r="T118" s="325"/>
      <c r="U118" s="325"/>
      <c r="V118" s="325"/>
      <c r="W118" s="325"/>
      <c r="X118" s="325"/>
      <c r="Y118" s="325"/>
      <c r="Z118" s="325"/>
      <c r="AA118" s="325"/>
      <c r="AB118" s="325"/>
      <c r="AC118" s="647"/>
      <c r="AD118" s="325"/>
      <c r="AE118" s="325"/>
      <c r="AF118" s="648"/>
      <c r="AG118" s="325"/>
      <c r="AH118" s="643"/>
      <c r="AI118" s="325"/>
      <c r="AJ118" s="325"/>
      <c r="AK118" s="466"/>
      <c r="AL118" s="344"/>
      <c r="AM118" s="404"/>
      <c r="AN118" s="2114"/>
      <c r="AO118" s="2114"/>
      <c r="AP118" s="2114"/>
      <c r="AQ118" s="2114"/>
      <c r="AR118" s="2114"/>
      <c r="AS118" s="2114"/>
    </row>
    <row r="119" spans="1:49" ht="15" customHeight="1">
      <c r="A119" s="46"/>
      <c r="B119" s="6" t="s">
        <v>563</v>
      </c>
      <c r="C119" s="353"/>
      <c r="D119" s="325"/>
      <c r="E119" s="325"/>
      <c r="F119" s="325"/>
      <c r="G119" s="325"/>
      <c r="H119" s="325"/>
      <c r="I119" s="325"/>
      <c r="J119" s="325"/>
      <c r="K119" s="325"/>
      <c r="L119" s="325"/>
      <c r="M119" s="325"/>
      <c r="N119" s="325"/>
      <c r="O119" s="325"/>
      <c r="P119" s="325"/>
      <c r="Q119" s="325"/>
      <c r="R119" s="325"/>
      <c r="S119" s="325"/>
      <c r="T119" s="325"/>
      <c r="U119" s="325"/>
      <c r="V119" s="325"/>
      <c r="W119" s="325"/>
      <c r="X119" s="325"/>
      <c r="Y119" s="325"/>
      <c r="Z119" s="325"/>
      <c r="AA119" s="325"/>
      <c r="AB119" s="325"/>
      <c r="AC119" s="647"/>
      <c r="AD119" s="325"/>
      <c r="AE119" s="325"/>
      <c r="AF119" s="648"/>
      <c r="AG119" s="26"/>
      <c r="AH119" s="643"/>
      <c r="AI119" s="325"/>
      <c r="AJ119" s="325"/>
      <c r="AK119" s="466"/>
      <c r="AL119" s="344"/>
      <c r="AM119" s="404"/>
      <c r="AN119" s="2114"/>
      <c r="AO119" s="2114"/>
      <c r="AP119" s="2114"/>
      <c r="AQ119" s="2114"/>
      <c r="AR119" s="2114"/>
      <c r="AS119" s="2114"/>
    </row>
    <row r="120" spans="1:49" ht="15" customHeight="1">
      <c r="A120" s="46"/>
      <c r="B120" s="6" t="s">
        <v>550</v>
      </c>
      <c r="C120" s="353"/>
      <c r="D120" s="434">
        <f>ROUND(SUM(D110+D116),1)</f>
        <v>1088.2</v>
      </c>
      <c r="E120" s="16"/>
      <c r="F120" s="434">
        <f>ROUND(SUM(F110+F116),1)</f>
        <v>-12</v>
      </c>
      <c r="G120" s="16"/>
      <c r="H120" s="434">
        <f>ROUND(SUM(H110+H116),1)</f>
        <v>1132.5999999999999</v>
      </c>
      <c r="I120" s="16"/>
      <c r="J120" s="434">
        <f>ROUND(SUM(J110+J116),1)</f>
        <v>592.1</v>
      </c>
      <c r="K120" s="16"/>
      <c r="L120" s="434">
        <f>ROUND(SUM(L110+L116),1)</f>
        <v>166.9</v>
      </c>
      <c r="M120" s="16"/>
      <c r="N120" s="434">
        <f>ROUND(SUM(N110+N116),1)</f>
        <v>-2351.4</v>
      </c>
      <c r="O120" s="16"/>
      <c r="P120" s="434">
        <f>ROUND(SUM(P110+P116),1)</f>
        <v>180.8</v>
      </c>
      <c r="Q120" s="16"/>
      <c r="R120" s="434">
        <f>ROUND(SUM(R110+R116),1)</f>
        <v>-226.5</v>
      </c>
      <c r="S120" s="16"/>
      <c r="T120" s="434">
        <f>ROUND(SUM(T110+T116),1)</f>
        <v>0</v>
      </c>
      <c r="U120" s="16"/>
      <c r="V120" s="434">
        <f>ROUND(SUM(V110+V116),1)</f>
        <v>0</v>
      </c>
      <c r="W120" s="16"/>
      <c r="X120" s="434">
        <f>ROUND(SUM(X110+X116),1)</f>
        <v>0</v>
      </c>
      <c r="Y120" s="16"/>
      <c r="Z120" s="434">
        <f>ROUND(SUM(Z110+Z116),1)</f>
        <v>0</v>
      </c>
      <c r="AA120" s="16"/>
      <c r="AB120" s="2045"/>
      <c r="AC120" s="16"/>
      <c r="AD120" s="434">
        <f>ROUND(SUM(AD110+AD116),1)</f>
        <v>570.70000000000005</v>
      </c>
      <c r="AE120" s="2048"/>
      <c r="AF120" s="16"/>
      <c r="AG120" s="434">
        <f>ROUND(SUM(AG110+AG116),1)</f>
        <v>151.30000000000001</v>
      </c>
      <c r="AH120" s="643"/>
      <c r="AI120" s="16"/>
      <c r="AJ120" s="434">
        <f>ROUND(SUM(AJ110+AJ116),1)</f>
        <v>419.4</v>
      </c>
      <c r="AK120" s="16"/>
      <c r="AL120" s="779">
        <f>ROUND(IF(AG120=0,0,AJ120/ABS(AG120)),3)</f>
        <v>2.7719999999999998</v>
      </c>
      <c r="AM120" s="404"/>
      <c r="AN120" s="2114"/>
      <c r="AO120" s="2114"/>
      <c r="AP120" s="2114"/>
      <c r="AQ120" s="2114"/>
      <c r="AR120" s="2114"/>
      <c r="AS120" s="2114"/>
    </row>
    <row r="121" spans="1:49" ht="15" customHeight="1">
      <c r="A121" s="46"/>
      <c r="B121" s="6"/>
      <c r="C121" s="353"/>
      <c r="D121" s="329"/>
      <c r="E121" s="329"/>
      <c r="F121" s="329"/>
      <c r="G121" s="329"/>
      <c r="H121" s="329"/>
      <c r="I121" s="329"/>
      <c r="J121" s="329"/>
      <c r="K121" s="329"/>
      <c r="L121" s="329"/>
      <c r="M121" s="329"/>
      <c r="N121" s="329"/>
      <c r="O121" s="329"/>
      <c r="P121" s="329"/>
      <c r="Q121" s="329"/>
      <c r="R121" s="329"/>
      <c r="S121" s="329"/>
      <c r="T121" s="26"/>
      <c r="U121" s="329"/>
      <c r="V121" s="329"/>
      <c r="W121" s="329"/>
      <c r="X121" s="329"/>
      <c r="Y121" s="329"/>
      <c r="Z121" s="329"/>
      <c r="AA121" s="329"/>
      <c r="AB121" s="329"/>
      <c r="AC121" s="1543"/>
      <c r="AD121" s="329"/>
      <c r="AE121" s="329"/>
      <c r="AF121" s="1543"/>
      <c r="AG121" s="329"/>
      <c r="AH121" s="329"/>
      <c r="AI121" s="1527"/>
      <c r="AJ121" s="466"/>
      <c r="AK121" s="466"/>
      <c r="AL121" s="344"/>
      <c r="AM121" s="404"/>
      <c r="AN121" s="2114"/>
      <c r="AO121" s="2114"/>
      <c r="AP121" s="2114"/>
      <c r="AQ121" s="2114"/>
      <c r="AR121" s="2114"/>
      <c r="AS121" s="2114"/>
    </row>
    <row r="122" spans="1:49" ht="17.25" customHeight="1" thickBot="1">
      <c r="A122" s="46"/>
      <c r="B122" s="6" t="s">
        <v>564</v>
      </c>
      <c r="C122" s="353"/>
      <c r="D122" s="102">
        <f>ROUND(SUM(+D120+D13),1)</f>
        <v>10202</v>
      </c>
      <c r="E122" s="329"/>
      <c r="F122" s="102">
        <f>ROUND(SUM(+F120+F13),1)</f>
        <v>10190</v>
      </c>
      <c r="G122" s="329"/>
      <c r="H122" s="102">
        <f>ROUND(SUM(+H120+H13),1)</f>
        <v>11322.6</v>
      </c>
      <c r="I122" s="329"/>
      <c r="J122" s="102">
        <f>ROUND(SUM(+J120+J13),1)</f>
        <v>11914.7</v>
      </c>
      <c r="K122" s="329"/>
      <c r="L122" s="102">
        <f>ROUND(SUM(+L120+L13),1)</f>
        <v>12081.6</v>
      </c>
      <c r="M122" s="329"/>
      <c r="N122" s="102">
        <f>ROUND(SUM(+N120+N13),1)</f>
        <v>9730.2000000000007</v>
      </c>
      <c r="O122" s="329"/>
      <c r="P122" s="102">
        <f>ROUND(SUM(+P120+P13),1)</f>
        <v>9911</v>
      </c>
      <c r="Q122" s="329"/>
      <c r="R122" s="102">
        <f>ROUND(SUM(+R120+R13),1)</f>
        <v>9684.5</v>
      </c>
      <c r="S122" s="329"/>
      <c r="T122" s="102">
        <f>ROUND(SUM(+T120+T13),1)</f>
        <v>0</v>
      </c>
      <c r="U122" s="329"/>
      <c r="V122" s="102">
        <f>ROUND(SUM(+V120+V13),1)</f>
        <v>0</v>
      </c>
      <c r="W122" s="329"/>
      <c r="X122" s="102">
        <f>ROUND(SUM(+X120+X13),1)</f>
        <v>0</v>
      </c>
      <c r="Y122" s="329"/>
      <c r="Z122" s="102">
        <f>ROUND(SUM(+Z120+Z13),1)</f>
        <v>0</v>
      </c>
      <c r="AA122" s="329"/>
      <c r="AB122" s="329"/>
      <c r="AC122" s="1543"/>
      <c r="AD122" s="102">
        <f>ROUND(SUM(+AD120+AD13),1)</f>
        <v>9684.5</v>
      </c>
      <c r="AE122" s="329"/>
      <c r="AF122" s="1543"/>
      <c r="AG122" s="102">
        <f>ROUND(SUM(+AG120+AG13),1)</f>
        <v>7763.8</v>
      </c>
      <c r="AH122" s="329"/>
      <c r="AI122" s="1527"/>
      <c r="AJ122" s="102">
        <f>ROUND(SUM(+AJ120+AJ13),1)</f>
        <v>1920.7</v>
      </c>
      <c r="AK122" s="466"/>
      <c r="AL122" s="110">
        <f>ROUND(IF(AG122=0,0,AJ122/ABS(AG122)),3)</f>
        <v>0.247</v>
      </c>
      <c r="AM122" s="404"/>
      <c r="AN122" s="2114"/>
      <c r="AO122" s="2114"/>
      <c r="AP122" s="2114"/>
      <c r="AQ122" s="2114"/>
      <c r="AR122" s="2114"/>
      <c r="AS122" s="2114"/>
    </row>
    <row r="123" spans="1:49" ht="15" customHeight="1" thickTop="1">
      <c r="A123" s="46"/>
      <c r="B123" s="6"/>
      <c r="C123" s="353"/>
      <c r="D123" s="329"/>
      <c r="E123" s="329"/>
      <c r="F123" s="329"/>
      <c r="G123" s="329"/>
      <c r="H123" s="329"/>
      <c r="I123" s="329"/>
      <c r="J123" s="329"/>
      <c r="K123" s="329"/>
      <c r="L123" s="329"/>
      <c r="M123" s="329"/>
      <c r="N123" s="329"/>
      <c r="O123" s="329"/>
      <c r="P123" s="26"/>
      <c r="Q123" s="329"/>
      <c r="R123" s="329"/>
      <c r="S123" s="329"/>
      <c r="T123" s="329"/>
      <c r="U123" s="329"/>
      <c r="V123" s="329"/>
      <c r="W123" s="329"/>
      <c r="X123" s="329"/>
      <c r="Y123" s="329"/>
      <c r="Z123" s="329"/>
      <c r="AA123" s="329"/>
      <c r="AB123" s="329"/>
      <c r="AC123" s="329"/>
      <c r="AD123" s="329"/>
      <c r="AE123" s="329"/>
      <c r="AF123" s="329"/>
      <c r="AG123" s="329"/>
      <c r="AH123" s="329"/>
      <c r="AI123" s="466"/>
      <c r="AJ123" s="466"/>
      <c r="AK123" s="466"/>
      <c r="AL123" s="344"/>
      <c r="AM123" s="404"/>
      <c r="AN123" s="2114"/>
      <c r="AO123" s="2114"/>
      <c r="AP123" s="2114"/>
      <c r="AQ123" s="2114"/>
      <c r="AR123" s="2114"/>
      <c r="AS123" s="2114"/>
    </row>
    <row r="124" spans="1:49" ht="15" customHeight="1">
      <c r="B124" s="73"/>
      <c r="C124" s="466"/>
      <c r="D124" s="513"/>
      <c r="E124" s="513"/>
      <c r="F124" s="513"/>
      <c r="G124" s="513"/>
      <c r="H124" s="513"/>
      <c r="I124" s="513"/>
      <c r="J124" s="513"/>
      <c r="K124" s="513"/>
      <c r="L124" s="513"/>
      <c r="M124" s="513"/>
      <c r="N124" s="513"/>
      <c r="O124" s="513"/>
      <c r="P124" s="513"/>
      <c r="Q124" s="513"/>
      <c r="R124" s="513"/>
      <c r="S124" s="513"/>
      <c r="T124" s="513"/>
      <c r="U124" s="513"/>
      <c r="V124" s="513"/>
      <c r="W124" s="513"/>
      <c r="X124" s="513"/>
      <c r="Y124" s="513"/>
      <c r="Z124" s="513"/>
      <c r="AA124" s="513"/>
      <c r="AB124" s="513"/>
      <c r="AC124" s="513"/>
      <c r="AD124" s="513"/>
      <c r="AE124" s="513"/>
      <c r="AF124" s="513"/>
      <c r="AG124" s="513" t="s">
        <v>104</v>
      </c>
      <c r="AH124" s="513"/>
      <c r="AI124" s="513"/>
      <c r="AJ124" s="513"/>
      <c r="AK124" s="513"/>
      <c r="AL124" s="344"/>
      <c r="AM124" s="404"/>
      <c r="AN124" s="2114"/>
      <c r="AO124" s="2114"/>
      <c r="AP124" s="2114"/>
      <c r="AQ124" s="2114"/>
      <c r="AR124" s="2114"/>
      <c r="AS124" s="2114"/>
      <c r="AT124" s="113"/>
      <c r="AU124" s="113"/>
      <c r="AV124" s="113"/>
      <c r="AW124" s="113"/>
    </row>
    <row r="125" spans="1:49" ht="15" customHeight="1">
      <c r="B125" s="466"/>
      <c r="AL125" s="404"/>
      <c r="AM125" s="404"/>
    </row>
    <row r="126" spans="1:49" ht="15" customHeight="1">
      <c r="B126" s="466"/>
      <c r="AL126" s="404"/>
      <c r="AM126" s="404"/>
    </row>
    <row r="127" spans="1:49">
      <c r="AL127" s="404"/>
      <c r="AM127" s="404"/>
    </row>
    <row r="128" spans="1:49" ht="15" customHeight="1">
      <c r="AL128" s="404"/>
      <c r="AM128" s="404"/>
    </row>
    <row r="129" spans="4:39" ht="15" customHeight="1">
      <c r="D129" s="466"/>
      <c r="F129" s="466"/>
      <c r="H129" s="466"/>
      <c r="AJ129" s="778"/>
      <c r="AL129" s="404"/>
      <c r="AM129" s="404"/>
    </row>
    <row r="130" spans="4:39" ht="15" customHeight="1">
      <c r="AL130" s="404"/>
      <c r="AM130" s="404"/>
    </row>
    <row r="131" spans="4:39" ht="15" customHeight="1">
      <c r="AL131" s="404"/>
      <c r="AM131" s="404"/>
    </row>
    <row r="132" spans="4:39" ht="15" customHeight="1">
      <c r="AL132" s="404"/>
      <c r="AM132" s="404"/>
    </row>
    <row r="133" spans="4:39" ht="15" customHeight="1">
      <c r="AL133" s="404"/>
      <c r="AM133" s="404"/>
    </row>
    <row r="134" spans="4:39" ht="15" customHeight="1">
      <c r="AL134" s="404"/>
      <c r="AM134" s="404"/>
    </row>
    <row r="135" spans="4:39" ht="15" customHeight="1">
      <c r="AL135" s="404"/>
      <c r="AM135" s="404"/>
    </row>
    <row r="136" spans="4:39" ht="15" customHeight="1">
      <c r="AL136" s="404"/>
      <c r="AM136" s="404"/>
    </row>
    <row r="137" spans="4:39" ht="15" customHeight="1">
      <c r="AL137" s="404"/>
      <c r="AM137" s="404"/>
    </row>
    <row r="138" spans="4:39" ht="15" customHeight="1">
      <c r="AL138" s="404"/>
      <c r="AM138" s="404"/>
    </row>
    <row r="139" spans="4:39" ht="15" customHeight="1">
      <c r="AL139" s="404"/>
      <c r="AM139" s="404"/>
    </row>
    <row r="140" spans="4:39" ht="15" customHeight="1">
      <c r="AL140" s="404"/>
      <c r="AM140" s="404"/>
    </row>
    <row r="141" spans="4:39" ht="15" customHeight="1">
      <c r="AL141" s="404"/>
      <c r="AM141" s="404"/>
    </row>
    <row r="142" spans="4:39" ht="15" customHeight="1">
      <c r="AL142" s="404"/>
      <c r="AM142" s="404"/>
    </row>
    <row r="143" spans="4:39" ht="15" customHeight="1">
      <c r="AL143" s="404"/>
      <c r="AM143" s="404"/>
    </row>
    <row r="144" spans="4:39" ht="15" customHeight="1">
      <c r="AL144" s="404"/>
      <c r="AM144" s="404"/>
    </row>
    <row r="145" spans="38:39" ht="15" customHeight="1">
      <c r="AL145" s="404"/>
      <c r="AM145" s="404"/>
    </row>
    <row r="146" spans="38:39" ht="15" customHeight="1">
      <c r="AL146" s="404"/>
      <c r="AM146" s="404"/>
    </row>
    <row r="147" spans="38:39" ht="15" customHeight="1">
      <c r="AL147" s="404"/>
      <c r="AM147" s="404"/>
    </row>
    <row r="148" spans="38:39" ht="15" customHeight="1">
      <c r="AL148" s="404"/>
      <c r="AM148" s="404"/>
    </row>
    <row r="149" spans="38:39" ht="15" customHeight="1">
      <c r="AL149" s="404"/>
      <c r="AM149" s="404"/>
    </row>
    <row r="150" spans="38:39" ht="15" customHeight="1">
      <c r="AL150" s="404"/>
      <c r="AM150" s="404"/>
    </row>
    <row r="151" spans="38:39" ht="15" customHeight="1">
      <c r="AL151" s="404"/>
      <c r="AM151" s="404"/>
    </row>
    <row r="152" spans="38:39" ht="15" customHeight="1">
      <c r="AL152" s="404"/>
      <c r="AM152" s="404"/>
    </row>
    <row r="153" spans="38:39" ht="15" customHeight="1">
      <c r="AL153" s="404"/>
      <c r="AM153" s="404"/>
    </row>
    <row r="154" spans="38:39" ht="15" customHeight="1">
      <c r="AL154" s="404"/>
      <c r="AM154" s="404"/>
    </row>
    <row r="155" spans="38:39" ht="15" customHeight="1">
      <c r="AL155" s="404"/>
      <c r="AM155" s="404"/>
    </row>
    <row r="156" spans="38:39" ht="11.25" customHeight="1">
      <c r="AL156" s="404"/>
      <c r="AM156" s="404"/>
    </row>
    <row r="157" spans="38:39" ht="15" customHeight="1">
      <c r="AL157" s="404"/>
      <c r="AM157" s="404"/>
    </row>
    <row r="158" spans="38:39" ht="15" customHeight="1">
      <c r="AL158" s="404"/>
      <c r="AM158" s="404"/>
    </row>
    <row r="159" spans="38:39" ht="15" customHeight="1"/>
    <row r="160" spans="38:39"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sheetData>
  <mergeCells count="1">
    <mergeCell ref="AC9:AL9"/>
  </mergeCells>
  <pageMargins left="0.25" right="0.25" top="0.5" bottom="0.25" header="0" footer="0.25"/>
  <pageSetup scale="40" firstPageNumber="24" orientation="landscape" useFirstPageNumber="1" r:id="rId1"/>
  <headerFooter scaleWithDoc="0" alignWithMargins="0">
    <oddFooter>&amp;C&amp;8&amp;P</oddFooter>
  </headerFooter>
  <rowBreaks count="1" manualBreakCount="1">
    <brk id="87" min="1" max="37" man="1"/>
  </rowBreaks>
  <customProperties>
    <customPr name="SheetOptions" r:id="rId2"/>
  </customProperties>
  <ignoredErrors>
    <ignoredError sqref="AL43 AL56 AL48 AL39:AL41 AL20 AL29:AL32 AL35:AL37" unlockedFormula="1"/>
    <ignoredError sqref="AL82" evalError="1"/>
    <ignoredError sqref="AL75:AL77 AL52 AJ73:AM73 AJ75:AK75 AM75 AJ74:AK74 AM74 AJ72:AK72 AM72 AL34 AL25 AL58:AL62 AL64:AL68 AL70:AL71 AL98" formula="1"/>
    <ignoredError sqref="AL69 AL63" formula="1" unlockedFormula="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dimension ref="A1:AY142"/>
  <sheetViews>
    <sheetView showGridLines="0" zoomScale="80" zoomScaleNormal="80" workbookViewId="0"/>
  </sheetViews>
  <sheetFormatPr defaultColWidth="8.84375" defaultRowHeight="12.5"/>
  <cols>
    <col min="1" max="1" width="1.84375" style="95" customWidth="1"/>
    <col min="2" max="2" width="44.84375" style="95" customWidth="1"/>
    <col min="3" max="3" width="1.84375" style="95" customWidth="1"/>
    <col min="4" max="4" width="15.07421875" style="95" bestFit="1" customWidth="1"/>
    <col min="5" max="5" width="1.84375" style="95" customWidth="1"/>
    <col min="6" max="6" width="12" style="95" customWidth="1"/>
    <col min="7" max="7" width="1.84375" style="95" customWidth="1"/>
    <col min="8" max="8" width="12.07421875" style="95" bestFit="1" customWidth="1"/>
    <col min="9" max="9" width="1.84375" style="95" customWidth="1"/>
    <col min="10" max="10" width="12.07421875" style="95" bestFit="1" customWidth="1"/>
    <col min="11" max="11" width="1.84375" style="95" customWidth="1"/>
    <col min="12" max="12" width="11.07421875" style="95" customWidth="1"/>
    <col min="13" max="13" width="1.84375" style="95" customWidth="1"/>
    <col min="14" max="14" width="12.07421875" style="95" customWidth="1"/>
    <col min="15" max="15" width="1.84375" style="95" customWidth="1"/>
    <col min="16" max="16" width="11" style="95" bestFit="1" customWidth="1"/>
    <col min="17" max="17" width="1.84375" style="95" customWidth="1"/>
    <col min="18" max="18" width="11.53515625" style="95" bestFit="1" customWidth="1"/>
    <col min="19" max="19" width="1.84375" style="95" customWidth="1"/>
    <col min="20" max="20" width="11.4609375" style="95" customWidth="1"/>
    <col min="21" max="21" width="1.84375" style="95" customWidth="1"/>
    <col min="22" max="22" width="11.07421875" style="95" customWidth="1"/>
    <col min="23" max="23" width="1.84375" style="95" customWidth="1"/>
    <col min="24" max="24" width="11.07421875" style="95" bestFit="1" customWidth="1"/>
    <col min="25" max="25" width="1.84375" style="95" customWidth="1"/>
    <col min="26" max="26" width="10.84375" style="95" bestFit="1" customWidth="1"/>
    <col min="27" max="27" width="1" style="95" customWidth="1"/>
    <col min="28" max="29" width="1.84375" style="95" customWidth="1"/>
    <col min="30" max="30" width="12.07421875" style="95" customWidth="1"/>
    <col min="31" max="32" width="1.07421875" style="95" customWidth="1"/>
    <col min="33" max="33" width="11.84375" style="95" customWidth="1"/>
    <col min="34" max="34" width="1.4609375" style="95" customWidth="1"/>
    <col min="35" max="35" width="0.84375" style="95" customWidth="1"/>
    <col min="36" max="36" width="13.07421875" style="95" bestFit="1" customWidth="1"/>
    <col min="37" max="37" width="0.84375" style="95" customWidth="1"/>
    <col min="38" max="38" width="13.84375" style="404" bestFit="1" customWidth="1"/>
    <col min="39" max="16384" width="8.84375" style="95"/>
  </cols>
  <sheetData>
    <row r="1" spans="1:41" ht="15.5">
      <c r="B1" s="326" t="s">
        <v>98</v>
      </c>
    </row>
    <row r="2" spans="1:41" ht="15.5">
      <c r="M2" s="6"/>
      <c r="N2" s="6"/>
      <c r="O2" s="103"/>
    </row>
    <row r="3" spans="1:41" ht="18">
      <c r="B3" s="97" t="s">
        <v>99</v>
      </c>
      <c r="M3" s="6"/>
      <c r="N3" s="6"/>
      <c r="O3" s="103"/>
      <c r="AF3" s="29"/>
      <c r="AG3" s="29"/>
      <c r="AH3" s="29"/>
      <c r="AI3" s="29"/>
      <c r="AJ3" s="29"/>
      <c r="AK3" s="29"/>
      <c r="AL3" s="98" t="s">
        <v>503</v>
      </c>
    </row>
    <row r="4" spans="1:41" ht="18">
      <c r="B4" s="97" t="s">
        <v>565</v>
      </c>
      <c r="L4" s="6"/>
      <c r="M4" s="6"/>
      <c r="O4" s="103"/>
    </row>
    <row r="5" spans="1:41" ht="18">
      <c r="B5" s="668" t="s">
        <v>474</v>
      </c>
      <c r="L5" s="103"/>
      <c r="M5" s="103"/>
      <c r="O5" s="103"/>
      <c r="X5" s="111"/>
    </row>
    <row r="6" spans="1:41" ht="20">
      <c r="B6" s="668" t="str">
        <f>'Cashflow Governmental'!A6</f>
        <v>FISCAL YEAR 2023-2024</v>
      </c>
      <c r="L6" s="103"/>
      <c r="M6" s="103"/>
      <c r="O6" s="103"/>
      <c r="AL6" s="405"/>
    </row>
    <row r="7" spans="1:41" ht="18">
      <c r="B7" s="97" t="s">
        <v>554</v>
      </c>
      <c r="AI7" s="46"/>
      <c r="AJ7" s="46"/>
      <c r="AK7" s="46"/>
      <c r="AL7" s="406"/>
    </row>
    <row r="8" spans="1:41" ht="13.5" customHeight="1">
      <c r="B8" s="114"/>
      <c r="AI8" s="46"/>
      <c r="AJ8" s="46"/>
      <c r="AK8" s="46"/>
      <c r="AL8" s="406"/>
    </row>
    <row r="9" spans="1:41" ht="15.5">
      <c r="L9" s="103"/>
      <c r="M9" s="103"/>
      <c r="N9" s="103"/>
      <c r="O9" s="103"/>
      <c r="AC9" s="2228" t="str">
        <f>'Exhibit G'!AC9:AL9</f>
        <v>8 Months Ended November 30</v>
      </c>
      <c r="AD9" s="2228"/>
      <c r="AE9" s="2228"/>
      <c r="AF9" s="2228"/>
      <c r="AG9" s="2228"/>
      <c r="AH9" s="2228"/>
      <c r="AI9" s="2228"/>
      <c r="AJ9" s="2228"/>
      <c r="AK9" s="2228"/>
      <c r="AL9" s="2228"/>
    </row>
    <row r="10" spans="1:41" ht="15.5">
      <c r="B10" s="466"/>
      <c r="C10" s="466"/>
      <c r="D10" s="382" t="str">
        <f>'Cashflow Governmental'!C13</f>
        <v>2023</v>
      </c>
      <c r="E10" s="6"/>
      <c r="F10" s="6"/>
      <c r="G10" s="6"/>
      <c r="H10" s="6"/>
      <c r="I10" s="6"/>
      <c r="J10" s="6"/>
      <c r="K10" s="6"/>
      <c r="L10" s="6"/>
      <c r="M10" s="6"/>
      <c r="N10" s="6"/>
      <c r="O10" s="6"/>
      <c r="P10" s="6"/>
      <c r="Q10" s="6"/>
      <c r="R10" s="6"/>
      <c r="S10" s="6"/>
      <c r="T10" s="6"/>
      <c r="U10" s="6"/>
      <c r="V10" s="382">
        <f>'Cashflow Governmental'!U13</f>
        <v>2024</v>
      </c>
      <c r="W10" s="6"/>
      <c r="X10" s="6"/>
      <c r="Y10" s="6"/>
      <c r="Z10" s="6"/>
      <c r="AA10" s="6"/>
      <c r="AB10" s="6"/>
      <c r="AC10" s="6"/>
      <c r="AD10" s="72"/>
      <c r="AE10" s="72"/>
      <c r="AF10" s="72"/>
      <c r="AG10" s="72"/>
      <c r="AH10" s="72"/>
      <c r="AI10" s="72"/>
      <c r="AJ10" s="390" t="s">
        <v>111</v>
      </c>
      <c r="AK10" s="390"/>
      <c r="AL10" s="407" t="s">
        <v>112</v>
      </c>
      <c r="AM10" s="391"/>
      <c r="AN10" s="391"/>
      <c r="AO10" s="391"/>
    </row>
    <row r="11" spans="1:41" ht="15.5">
      <c r="B11" s="466"/>
      <c r="C11" s="466"/>
      <c r="D11" s="66" t="s">
        <v>358</v>
      </c>
      <c r="E11" s="6"/>
      <c r="F11" s="66" t="s">
        <v>359</v>
      </c>
      <c r="G11" s="6"/>
      <c r="H11" s="66" t="s">
        <v>360</v>
      </c>
      <c r="I11" s="6"/>
      <c r="J11" s="66" t="s">
        <v>361</v>
      </c>
      <c r="K11" s="6"/>
      <c r="L11" s="66" t="s">
        <v>362</v>
      </c>
      <c r="M11" s="6"/>
      <c r="N11" s="66" t="s">
        <v>475</v>
      </c>
      <c r="O11" s="6"/>
      <c r="P11" s="66" t="s">
        <v>476</v>
      </c>
      <c r="Q11" s="6"/>
      <c r="R11" s="66" t="s">
        <v>365</v>
      </c>
      <c r="S11" s="6"/>
      <c r="T11" s="66" t="s">
        <v>366</v>
      </c>
      <c r="U11" s="6"/>
      <c r="V11" s="66" t="s">
        <v>367</v>
      </c>
      <c r="W11" s="6"/>
      <c r="X11" s="66" t="s">
        <v>368</v>
      </c>
      <c r="Y11" s="6"/>
      <c r="Z11" s="66" t="s">
        <v>477</v>
      </c>
      <c r="AA11" s="66"/>
      <c r="AB11" s="6"/>
      <c r="AC11" s="6"/>
      <c r="AD11" s="382">
        <f>'Cashflow Governmental'!AB14</f>
        <v>2023</v>
      </c>
      <c r="AE11" s="382"/>
      <c r="AF11" s="6" t="s">
        <v>104</v>
      </c>
      <c r="AG11" s="382">
        <f>'Cashflow Governmental'!AE14</f>
        <v>2022</v>
      </c>
      <c r="AH11" s="382"/>
      <c r="AI11" s="72"/>
      <c r="AJ11" s="528" t="s">
        <v>113</v>
      </c>
      <c r="AK11" s="390"/>
      <c r="AL11" s="1544" t="s">
        <v>114</v>
      </c>
      <c r="AM11" s="391"/>
      <c r="AN11" s="391"/>
      <c r="AO11" s="391"/>
    </row>
    <row r="12" spans="1:41" ht="6.75" customHeight="1">
      <c r="B12" s="466"/>
      <c r="C12" s="466"/>
      <c r="D12" s="1443"/>
      <c r="E12" s="466"/>
      <c r="F12" s="1443"/>
      <c r="G12" s="466"/>
      <c r="H12" s="1443"/>
      <c r="I12" s="466"/>
      <c r="J12" s="1443"/>
      <c r="K12" s="466"/>
      <c r="L12" s="1443"/>
      <c r="M12" s="466"/>
      <c r="N12" s="1443"/>
      <c r="O12" s="466"/>
      <c r="P12" s="1443"/>
      <c r="Q12" s="466"/>
      <c r="R12" s="1443"/>
      <c r="S12" s="466"/>
      <c r="T12" s="1443"/>
      <c r="U12" s="466"/>
      <c r="V12" s="1443"/>
      <c r="W12" s="466"/>
      <c r="X12" s="1443"/>
      <c r="Y12" s="466"/>
      <c r="Z12" s="1443"/>
      <c r="AA12" s="466"/>
      <c r="AB12" s="466"/>
      <c r="AC12" s="1538"/>
      <c r="AD12" s="1443"/>
      <c r="AE12" s="1443"/>
      <c r="AF12" s="1538"/>
      <c r="AG12" s="1443"/>
      <c r="AH12" s="466"/>
      <c r="AI12" s="1527"/>
      <c r="AJ12" s="466"/>
      <c r="AK12" s="466"/>
      <c r="AL12" s="344"/>
    </row>
    <row r="13" spans="1:41" ht="15.5">
      <c r="B13" s="6" t="s">
        <v>555</v>
      </c>
      <c r="C13" s="466"/>
      <c r="D13" s="117">
        <v>14826.4</v>
      </c>
      <c r="E13" s="466"/>
      <c r="F13" s="26">
        <f>D94</f>
        <v>16113.1</v>
      </c>
      <c r="G13" s="26"/>
      <c r="H13" s="26">
        <f t="shared" ref="H13:R13" si="0">F94</f>
        <v>13545.7</v>
      </c>
      <c r="I13" s="466"/>
      <c r="J13" s="26">
        <f t="shared" si="0"/>
        <v>16830.3</v>
      </c>
      <c r="K13" s="466"/>
      <c r="L13" s="26">
        <f t="shared" si="0"/>
        <v>16933.599999999999</v>
      </c>
      <c r="M13" s="466"/>
      <c r="N13" s="26">
        <f t="shared" si="0"/>
        <v>16071.2</v>
      </c>
      <c r="O13" s="466"/>
      <c r="P13" s="26">
        <f t="shared" si="0"/>
        <v>17279.400000000001</v>
      </c>
      <c r="Q13" s="466"/>
      <c r="R13" s="26">
        <f t="shared" si="0"/>
        <v>16276</v>
      </c>
      <c r="S13" s="26"/>
      <c r="T13" s="26"/>
      <c r="U13" s="26"/>
      <c r="V13" s="26"/>
      <c r="W13" s="26"/>
      <c r="X13" s="26"/>
      <c r="Y13" s="26"/>
      <c r="Z13" s="26"/>
      <c r="AA13" s="466"/>
      <c r="AB13" s="466"/>
      <c r="AC13" s="1538"/>
      <c r="AD13" s="26">
        <f>D13</f>
        <v>14826.4</v>
      </c>
      <c r="AE13" s="466"/>
      <c r="AF13" s="1538"/>
      <c r="AG13" s="26">
        <v>14325.7</v>
      </c>
      <c r="AH13" s="466"/>
      <c r="AI13" s="1527"/>
      <c r="AJ13" s="26">
        <f>+AD13-AG13</f>
        <v>500.69999999999891</v>
      </c>
      <c r="AK13" s="466"/>
      <c r="AL13" s="107">
        <f>AJ13/AG13</f>
        <v>3.4951171670494212E-2</v>
      </c>
    </row>
    <row r="14" spans="1:41" ht="15.5">
      <c r="B14" s="6"/>
      <c r="C14" s="466"/>
      <c r="D14" s="466"/>
      <c r="E14" s="466"/>
      <c r="F14" s="466"/>
      <c r="G14" s="466"/>
      <c r="H14" s="466"/>
      <c r="I14" s="466"/>
      <c r="J14" s="466"/>
      <c r="K14" s="466"/>
      <c r="L14" s="466"/>
      <c r="M14" s="466"/>
      <c r="N14" s="466"/>
      <c r="O14" s="466"/>
      <c r="P14" s="466"/>
      <c r="Q14" s="466"/>
      <c r="R14" s="466"/>
      <c r="S14" s="466"/>
      <c r="T14" s="466"/>
      <c r="U14" s="466"/>
      <c r="V14" s="466"/>
      <c r="W14" s="466"/>
      <c r="X14" s="466"/>
      <c r="Y14" s="466"/>
      <c r="Z14" s="466"/>
      <c r="AA14" s="466"/>
      <c r="AB14" s="2049"/>
      <c r="AC14" s="466"/>
      <c r="AD14" s="466"/>
      <c r="AE14" s="466"/>
      <c r="AF14" s="1538"/>
      <c r="AG14" s="466"/>
      <c r="AH14" s="1529"/>
      <c r="AI14" s="466"/>
      <c r="AJ14" s="466"/>
      <c r="AK14" s="466"/>
      <c r="AL14" s="344"/>
    </row>
    <row r="15" spans="1:41" ht="15" customHeight="1">
      <c r="A15" s="46"/>
      <c r="B15" s="6" t="s">
        <v>115</v>
      </c>
      <c r="C15" s="353"/>
      <c r="D15" s="466"/>
      <c r="E15" s="466"/>
      <c r="F15" s="466"/>
      <c r="G15" s="466"/>
      <c r="H15" s="466"/>
      <c r="I15" s="466"/>
      <c r="J15" s="466"/>
      <c r="K15" s="466"/>
      <c r="L15" s="466"/>
      <c r="M15" s="466"/>
      <c r="N15" s="466"/>
      <c r="O15" s="466"/>
      <c r="P15" s="466"/>
      <c r="Q15" s="466"/>
      <c r="R15" s="466"/>
      <c r="S15" s="466"/>
      <c r="T15" s="466"/>
      <c r="U15" s="466"/>
      <c r="V15" s="466"/>
      <c r="W15" s="466"/>
      <c r="X15" s="466"/>
      <c r="Y15" s="466"/>
      <c r="Z15" s="466"/>
      <c r="AA15" s="466"/>
      <c r="AB15" s="466"/>
      <c r="AC15" s="1528"/>
      <c r="AD15" s="466"/>
      <c r="AE15" s="466"/>
      <c r="AF15" s="1545"/>
      <c r="AG15" s="466"/>
      <c r="AH15" s="2021"/>
      <c r="AI15" s="466"/>
      <c r="AJ15" s="656"/>
      <c r="AK15" s="656"/>
      <c r="AL15" s="663"/>
    </row>
    <row r="16" spans="1:41" ht="7.5" customHeight="1">
      <c r="A16" s="46"/>
      <c r="B16" s="353"/>
      <c r="C16" s="353"/>
      <c r="D16" s="336"/>
      <c r="E16" s="329"/>
      <c r="F16" s="336"/>
      <c r="G16" s="336"/>
      <c r="H16" s="336"/>
      <c r="I16" s="329"/>
      <c r="J16" s="336"/>
      <c r="K16" s="329"/>
      <c r="L16" s="336"/>
      <c r="M16" s="329"/>
      <c r="N16" s="336"/>
      <c r="O16" s="329"/>
      <c r="P16" s="336"/>
      <c r="Q16" s="329"/>
      <c r="R16" s="336"/>
      <c r="S16" s="329"/>
      <c r="T16" s="336"/>
      <c r="U16" s="329"/>
      <c r="V16" s="336"/>
      <c r="W16" s="325"/>
      <c r="X16" s="336"/>
      <c r="Y16" s="325"/>
      <c r="Z16" s="336"/>
      <c r="AA16" s="336"/>
      <c r="AB16" s="329"/>
      <c r="AC16" s="836"/>
      <c r="AD16" s="325"/>
      <c r="AE16" s="1742"/>
      <c r="AF16" s="1546"/>
      <c r="AG16" s="336"/>
      <c r="AH16" s="2021"/>
      <c r="AI16" s="466"/>
      <c r="AJ16" s="325"/>
      <c r="AK16" s="325"/>
      <c r="AL16" s="477"/>
    </row>
    <row r="17" spans="1:41" ht="15" customHeight="1">
      <c r="A17" s="46"/>
      <c r="B17" s="2006" t="s">
        <v>412</v>
      </c>
      <c r="C17" s="353"/>
      <c r="D17" s="348"/>
      <c r="E17" s="329"/>
      <c r="F17" s="336"/>
      <c r="G17" s="336"/>
      <c r="H17" s="336"/>
      <c r="I17" s="329"/>
      <c r="J17" s="336"/>
      <c r="K17" s="329"/>
      <c r="L17" s="329"/>
      <c r="M17" s="329"/>
      <c r="N17" s="329"/>
      <c r="O17" s="329"/>
      <c r="P17" s="329"/>
      <c r="Q17" s="329"/>
      <c r="R17" s="487"/>
      <c r="S17" s="329"/>
      <c r="T17" s="336"/>
      <c r="U17" s="329"/>
      <c r="V17" s="348"/>
      <c r="W17" s="325"/>
      <c r="X17" s="348"/>
      <c r="Y17" s="325"/>
      <c r="Z17" s="348"/>
      <c r="AA17" s="348"/>
      <c r="AB17" s="329"/>
      <c r="AC17" s="836"/>
      <c r="AD17" s="325"/>
      <c r="AE17" s="325"/>
      <c r="AF17" s="648"/>
      <c r="AG17" s="325"/>
      <c r="AH17" s="643"/>
      <c r="AI17" s="325"/>
      <c r="AJ17" s="325"/>
      <c r="AK17" s="325"/>
      <c r="AL17" s="344"/>
    </row>
    <row r="18" spans="1:41" ht="15" customHeight="1">
      <c r="A18" s="46"/>
      <c r="B18" s="427" t="s">
        <v>413</v>
      </c>
      <c r="C18" s="353"/>
      <c r="D18" s="348" t="s">
        <v>104</v>
      </c>
      <c r="E18" s="329"/>
      <c r="F18" s="336"/>
      <c r="G18" s="336"/>
      <c r="H18" s="336"/>
      <c r="I18" s="329"/>
      <c r="J18" s="336"/>
      <c r="K18" s="329"/>
      <c r="L18" s="329"/>
      <c r="M18" s="329"/>
      <c r="N18" s="329"/>
      <c r="O18" s="329"/>
      <c r="P18" s="329"/>
      <c r="Q18" s="329"/>
      <c r="R18" s="487"/>
      <c r="S18" s="329"/>
      <c r="T18" s="336"/>
      <c r="U18" s="329"/>
      <c r="V18" s="348"/>
      <c r="W18" s="325"/>
      <c r="X18" s="348"/>
      <c r="Y18" s="325"/>
      <c r="Z18" s="348"/>
      <c r="AA18" s="348"/>
      <c r="AB18" s="329"/>
      <c r="AC18" s="836"/>
      <c r="AD18" s="325"/>
      <c r="AE18" s="325"/>
      <c r="AF18" s="648"/>
      <c r="AG18" s="325"/>
      <c r="AH18" s="643"/>
      <c r="AI18" s="325"/>
      <c r="AJ18" s="325"/>
      <c r="AK18" s="325"/>
      <c r="AL18" s="344"/>
    </row>
    <row r="19" spans="1:41" ht="15" customHeight="1">
      <c r="A19" s="46"/>
      <c r="B19" s="427" t="s">
        <v>1508</v>
      </c>
      <c r="C19" s="353"/>
      <c r="D19" s="348">
        <v>0</v>
      </c>
      <c r="E19" s="348"/>
      <c r="F19" s="348">
        <v>0</v>
      </c>
      <c r="G19" s="348"/>
      <c r="H19" s="348">
        <v>0</v>
      </c>
      <c r="I19" s="325"/>
      <c r="J19" s="348">
        <v>0</v>
      </c>
      <c r="K19" s="690"/>
      <c r="L19" s="348">
        <v>0</v>
      </c>
      <c r="M19" s="690"/>
      <c r="N19" s="348">
        <v>0</v>
      </c>
      <c r="O19" s="763"/>
      <c r="P19" s="348">
        <v>0</v>
      </c>
      <c r="Q19" s="763"/>
      <c r="R19" s="348">
        <f>$AD19-$D19-$F19-$H19-$J19-$L19-$N19-$P19</f>
        <v>0</v>
      </c>
      <c r="S19" s="348"/>
      <c r="T19" s="348"/>
      <c r="U19" s="348"/>
      <c r="V19" s="348"/>
      <c r="W19" s="763"/>
      <c r="X19" s="348"/>
      <c r="Y19" s="348"/>
      <c r="Z19" s="348"/>
      <c r="AA19" s="493"/>
      <c r="AB19" s="329"/>
      <c r="AC19" s="836"/>
      <c r="AD19" s="659">
        <v>0</v>
      </c>
      <c r="AE19" s="325"/>
      <c r="AF19" s="648"/>
      <c r="AG19" s="659">
        <v>0</v>
      </c>
      <c r="AH19" s="643"/>
      <c r="AI19" s="325"/>
      <c r="AJ19" s="325">
        <f>ROUND(SUM(+AD19-AG19),1)</f>
        <v>0</v>
      </c>
      <c r="AK19" s="325"/>
      <c r="AL19" s="327">
        <f>ROUND(IF(AG19=0,0,AJ19/ABS(AG19)),3)</f>
        <v>0</v>
      </c>
      <c r="AM19" s="2113"/>
      <c r="AN19" s="2113"/>
      <c r="AO19" s="2113"/>
    </row>
    <row r="20" spans="1:41" ht="15" customHeight="1">
      <c r="A20" s="46"/>
      <c r="B20" s="427" t="s">
        <v>416</v>
      </c>
      <c r="C20" s="353"/>
      <c r="D20" s="348" t="s">
        <v>104</v>
      </c>
      <c r="E20" s="329"/>
      <c r="F20" s="348"/>
      <c r="G20" s="348"/>
      <c r="H20" s="348"/>
      <c r="I20" s="329"/>
      <c r="J20" s="348" t="s">
        <v>104</v>
      </c>
      <c r="K20" s="329"/>
      <c r="L20" s="348"/>
      <c r="M20" s="329"/>
      <c r="N20" s="348"/>
      <c r="O20" s="329"/>
      <c r="P20" s="348"/>
      <c r="Q20" s="329"/>
      <c r="R20" s="348"/>
      <c r="S20" s="329"/>
      <c r="T20" s="348"/>
      <c r="U20" s="329"/>
      <c r="V20" s="348"/>
      <c r="W20" s="325"/>
      <c r="X20" s="348"/>
      <c r="Y20" s="325"/>
      <c r="Z20" s="348"/>
      <c r="AA20" s="348"/>
      <c r="AB20" s="329"/>
      <c r="AC20" s="836"/>
      <c r="AD20" s="325" t="s">
        <v>104</v>
      </c>
      <c r="AE20" s="325"/>
      <c r="AF20" s="648"/>
      <c r="AG20" s="325" t="s">
        <v>104</v>
      </c>
      <c r="AH20" s="643"/>
      <c r="AI20" s="325"/>
      <c r="AJ20" s="325"/>
      <c r="AK20" s="325"/>
      <c r="AL20" s="344"/>
      <c r="AM20" s="2113"/>
      <c r="AN20" s="2113"/>
      <c r="AO20" s="2113"/>
    </row>
    <row r="21" spans="1:41" ht="15" customHeight="1">
      <c r="A21" s="46"/>
      <c r="B21" s="427" t="s">
        <v>1509</v>
      </c>
      <c r="C21" s="353"/>
      <c r="D21" s="348">
        <v>5.4</v>
      </c>
      <c r="E21" s="329"/>
      <c r="F21" s="348">
        <v>44.6</v>
      </c>
      <c r="G21" s="348"/>
      <c r="H21" s="348">
        <v>0.10000000000000142</v>
      </c>
      <c r="I21" s="329"/>
      <c r="J21" s="348">
        <v>2.7999999999999972</v>
      </c>
      <c r="K21" s="690"/>
      <c r="L21" s="348">
        <v>11</v>
      </c>
      <c r="M21" s="690"/>
      <c r="N21" s="348">
        <v>0.10000000000000142</v>
      </c>
      <c r="O21" s="690"/>
      <c r="P21" s="348">
        <v>2.0999999999999943</v>
      </c>
      <c r="Q21" s="690"/>
      <c r="R21" s="348">
        <f>$AD21-$D21-$F21-$H21-$J21-$L21-$N21-$P21</f>
        <v>14.300000000000004</v>
      </c>
      <c r="S21" s="690"/>
      <c r="T21" s="348"/>
      <c r="U21" s="690"/>
      <c r="V21" s="348"/>
      <c r="W21" s="690"/>
      <c r="X21" s="348"/>
      <c r="Y21" s="690"/>
      <c r="Z21" s="348"/>
      <c r="AA21" s="351"/>
      <c r="AB21" s="325"/>
      <c r="AC21" s="647"/>
      <c r="AD21" s="659">
        <v>80.400000000000006</v>
      </c>
      <c r="AE21" s="325"/>
      <c r="AF21" s="648"/>
      <c r="AG21" s="659">
        <v>70.5</v>
      </c>
      <c r="AH21" s="643"/>
      <c r="AI21" s="325"/>
      <c r="AJ21" s="325">
        <f>ROUND(SUM(+AD21-AG21),1)</f>
        <v>9.9</v>
      </c>
      <c r="AK21" s="325"/>
      <c r="AL21" s="327">
        <f>ROUND(IF(AG21=0,0,AJ21/ABS(AG21)),3)</f>
        <v>0.14000000000000001</v>
      </c>
      <c r="AM21" s="2113"/>
      <c r="AN21" s="2113"/>
      <c r="AO21" s="2113"/>
    </row>
    <row r="22" spans="1:41" ht="15" customHeight="1">
      <c r="A22" s="46"/>
      <c r="B22" s="427" t="s">
        <v>1510</v>
      </c>
      <c r="C22" s="353"/>
      <c r="D22" s="348">
        <v>0</v>
      </c>
      <c r="E22" s="329"/>
      <c r="F22" s="348">
        <v>0</v>
      </c>
      <c r="G22" s="348"/>
      <c r="H22" s="348">
        <v>0</v>
      </c>
      <c r="I22" s="329"/>
      <c r="J22" s="348">
        <v>0</v>
      </c>
      <c r="K22" s="690"/>
      <c r="L22" s="348">
        <v>0</v>
      </c>
      <c r="M22" s="690"/>
      <c r="N22" s="348">
        <v>0</v>
      </c>
      <c r="O22" s="690"/>
      <c r="P22" s="348">
        <v>0</v>
      </c>
      <c r="Q22" s="690"/>
      <c r="R22" s="348">
        <f t="shared" ref="R22:R51" si="1">$AD22-$D22-$F22-$H22-$J22-$L22-$N22-$P22</f>
        <v>0</v>
      </c>
      <c r="S22" s="690"/>
      <c r="T22" s="348"/>
      <c r="U22" s="690"/>
      <c r="V22" s="348"/>
      <c r="W22" s="690"/>
      <c r="X22" s="348"/>
      <c r="Y22" s="690"/>
      <c r="Z22" s="348"/>
      <c r="AA22" s="351"/>
      <c r="AB22" s="325"/>
      <c r="AC22" s="647"/>
      <c r="AD22" s="659">
        <v>0</v>
      </c>
      <c r="AE22" s="325"/>
      <c r="AF22" s="648"/>
      <c r="AG22" s="659">
        <v>0</v>
      </c>
      <c r="AH22" s="643"/>
      <c r="AI22" s="325"/>
      <c r="AJ22" s="325">
        <f t="shared" ref="AJ22:AJ51" si="2">ROUND(SUM(+AD22-AG22),1)</f>
        <v>0</v>
      </c>
      <c r="AK22" s="325"/>
      <c r="AL22" s="327">
        <f>ROUND(IF(AG22=0,0,AJ22/ABS(AG22)),3)</f>
        <v>0</v>
      </c>
      <c r="AM22" s="2113"/>
      <c r="AN22" s="2113"/>
      <c r="AO22" s="2113"/>
    </row>
    <row r="23" spans="1:41" ht="15" customHeight="1">
      <c r="A23" s="46"/>
      <c r="B23" s="427" t="s">
        <v>1511</v>
      </c>
      <c r="C23" s="353"/>
      <c r="D23" s="348">
        <v>0</v>
      </c>
      <c r="E23" s="329"/>
      <c r="F23" s="348">
        <v>0</v>
      </c>
      <c r="G23" s="348"/>
      <c r="H23" s="348">
        <v>0</v>
      </c>
      <c r="I23" s="329"/>
      <c r="J23" s="348">
        <v>0</v>
      </c>
      <c r="K23" s="690"/>
      <c r="L23" s="348">
        <v>0</v>
      </c>
      <c r="M23" s="690"/>
      <c r="N23" s="348">
        <v>0</v>
      </c>
      <c r="O23" s="690"/>
      <c r="P23" s="348">
        <v>0</v>
      </c>
      <c r="Q23" s="690"/>
      <c r="R23" s="348">
        <f t="shared" si="1"/>
        <v>0</v>
      </c>
      <c r="S23" s="690"/>
      <c r="T23" s="348"/>
      <c r="U23" s="690"/>
      <c r="V23" s="348"/>
      <c r="W23" s="690"/>
      <c r="X23" s="348"/>
      <c r="Y23" s="690"/>
      <c r="Z23" s="348"/>
      <c r="AA23" s="351"/>
      <c r="AB23" s="325"/>
      <c r="AC23" s="647"/>
      <c r="AD23" s="659">
        <v>0</v>
      </c>
      <c r="AE23" s="325"/>
      <c r="AF23" s="648"/>
      <c r="AG23" s="659">
        <v>0</v>
      </c>
      <c r="AH23" s="643"/>
      <c r="AI23" s="325"/>
      <c r="AJ23" s="325">
        <f t="shared" si="2"/>
        <v>0</v>
      </c>
      <c r="AK23" s="325"/>
      <c r="AL23" s="327">
        <f>ROUND(IF(AG23=0,0,AJ23/ABS(AG23)),3)</f>
        <v>0</v>
      </c>
      <c r="AM23" s="2113"/>
      <c r="AN23" s="2113"/>
      <c r="AO23" s="2113"/>
    </row>
    <row r="24" spans="1:41" ht="15" customHeight="1">
      <c r="A24" s="46"/>
      <c r="B24" s="427" t="s">
        <v>515</v>
      </c>
      <c r="C24" s="353"/>
      <c r="D24" s="348">
        <v>0</v>
      </c>
      <c r="E24" s="329"/>
      <c r="F24" s="348">
        <v>0</v>
      </c>
      <c r="G24" s="348"/>
      <c r="H24" s="348">
        <v>0</v>
      </c>
      <c r="I24" s="329"/>
      <c r="J24" s="348">
        <v>0</v>
      </c>
      <c r="K24" s="690"/>
      <c r="L24" s="348">
        <v>0</v>
      </c>
      <c r="M24" s="690"/>
      <c r="N24" s="348">
        <v>0</v>
      </c>
      <c r="O24" s="690"/>
      <c r="P24" s="348">
        <v>0</v>
      </c>
      <c r="Q24" s="690"/>
      <c r="R24" s="348">
        <f t="shared" si="1"/>
        <v>0</v>
      </c>
      <c r="S24" s="690"/>
      <c r="T24" s="348"/>
      <c r="U24" s="690"/>
      <c r="V24" s="348"/>
      <c r="W24" s="690"/>
      <c r="X24" s="348"/>
      <c r="Y24" s="690"/>
      <c r="Z24" s="348"/>
      <c r="AA24" s="351"/>
      <c r="AB24" s="325"/>
      <c r="AC24" s="647"/>
      <c r="AD24" s="659">
        <v>0</v>
      </c>
      <c r="AE24" s="325"/>
      <c r="AF24" s="648"/>
      <c r="AG24" s="659">
        <v>0</v>
      </c>
      <c r="AH24" s="643"/>
      <c r="AI24" s="325"/>
      <c r="AJ24" s="325">
        <f t="shared" si="2"/>
        <v>0</v>
      </c>
      <c r="AK24" s="325"/>
      <c r="AL24" s="327">
        <f>ROUND(IF(AG24=0,0,AJ24/ABS(AG24)),3)</f>
        <v>0</v>
      </c>
      <c r="AM24" s="2113"/>
      <c r="AN24" s="2113"/>
      <c r="AO24" s="2113"/>
    </row>
    <row r="25" spans="1:41" ht="15" customHeight="1">
      <c r="A25" s="46"/>
      <c r="B25" s="427" t="s">
        <v>421</v>
      </c>
      <c r="C25" s="353"/>
      <c r="D25" s="348" t="s">
        <v>104</v>
      </c>
      <c r="E25" s="329"/>
      <c r="F25" s="348"/>
      <c r="G25" s="348"/>
      <c r="H25" s="348"/>
      <c r="I25" s="329"/>
      <c r="J25" s="348"/>
      <c r="K25" s="329"/>
      <c r="L25" s="348"/>
      <c r="M25" s="329"/>
      <c r="N25" s="348"/>
      <c r="O25" s="329"/>
      <c r="P25" s="348"/>
      <c r="Q25" s="329"/>
      <c r="R25" s="348"/>
      <c r="S25" s="329"/>
      <c r="T25" s="348"/>
      <c r="U25" s="329"/>
      <c r="V25" s="348"/>
      <c r="W25" s="325"/>
      <c r="X25" s="348"/>
      <c r="Y25" s="325"/>
      <c r="Z25" s="348"/>
      <c r="AA25" s="348"/>
      <c r="AB25" s="329"/>
      <c r="AC25" s="836"/>
      <c r="AD25" s="325" t="s">
        <v>104</v>
      </c>
      <c r="AE25" s="325"/>
      <c r="AF25" s="648"/>
      <c r="AG25" s="325" t="s">
        <v>104</v>
      </c>
      <c r="AH25" s="643"/>
      <c r="AI25" s="325"/>
      <c r="AJ25" s="325"/>
      <c r="AK25" s="325"/>
      <c r="AL25" s="327"/>
      <c r="AM25" s="2113"/>
      <c r="AN25" s="2113"/>
      <c r="AO25" s="2113"/>
    </row>
    <row r="26" spans="1:41" ht="15" customHeight="1">
      <c r="A26" s="46"/>
      <c r="B26" s="427" t="s">
        <v>1513</v>
      </c>
      <c r="C26" s="353"/>
      <c r="D26" s="348">
        <v>0</v>
      </c>
      <c r="E26" s="329"/>
      <c r="F26" s="348">
        <v>0</v>
      </c>
      <c r="G26" s="348"/>
      <c r="H26" s="348">
        <v>0</v>
      </c>
      <c r="I26" s="329"/>
      <c r="J26" s="348">
        <v>0</v>
      </c>
      <c r="K26" s="690"/>
      <c r="L26" s="348">
        <v>0</v>
      </c>
      <c r="M26" s="690"/>
      <c r="N26" s="348">
        <v>0</v>
      </c>
      <c r="O26" s="690"/>
      <c r="P26" s="348">
        <v>0</v>
      </c>
      <c r="Q26" s="690"/>
      <c r="R26" s="348">
        <f t="shared" si="1"/>
        <v>0</v>
      </c>
      <c r="S26" s="690"/>
      <c r="T26" s="348"/>
      <c r="U26" s="690"/>
      <c r="V26" s="348"/>
      <c r="W26" s="690"/>
      <c r="X26" s="348"/>
      <c r="Y26" s="690"/>
      <c r="Z26" s="348"/>
      <c r="AA26" s="351"/>
      <c r="AB26" s="325"/>
      <c r="AC26" s="647"/>
      <c r="AD26" s="659">
        <v>0</v>
      </c>
      <c r="AE26" s="325"/>
      <c r="AF26" s="648"/>
      <c r="AG26" s="659">
        <v>0</v>
      </c>
      <c r="AH26" s="643"/>
      <c r="AI26" s="325"/>
      <c r="AJ26" s="325">
        <f t="shared" si="2"/>
        <v>0</v>
      </c>
      <c r="AK26" s="325"/>
      <c r="AL26" s="327">
        <f t="shared" ref="AL26:AL31" si="3">ROUND(IF(AG26=0,0,AJ26/ABS(AG26)),3)</f>
        <v>0</v>
      </c>
      <c r="AM26" s="2113"/>
      <c r="AN26" s="2113"/>
      <c r="AO26" s="2113"/>
    </row>
    <row r="27" spans="1:41" ht="15" customHeight="1">
      <c r="A27" s="46"/>
      <c r="B27" s="427" t="s">
        <v>518</v>
      </c>
      <c r="C27" s="353"/>
      <c r="D27" s="348">
        <v>0</v>
      </c>
      <c r="E27" s="329"/>
      <c r="F27" s="348">
        <v>0</v>
      </c>
      <c r="G27" s="348"/>
      <c r="H27" s="348">
        <v>0</v>
      </c>
      <c r="I27" s="329"/>
      <c r="J27" s="348">
        <v>0</v>
      </c>
      <c r="K27" s="690"/>
      <c r="L27" s="348">
        <v>0</v>
      </c>
      <c r="M27" s="690"/>
      <c r="N27" s="348">
        <v>0</v>
      </c>
      <c r="O27" s="690"/>
      <c r="P27" s="348">
        <v>0</v>
      </c>
      <c r="Q27" s="690"/>
      <c r="R27" s="348">
        <f t="shared" si="1"/>
        <v>0</v>
      </c>
      <c r="S27" s="690"/>
      <c r="T27" s="348"/>
      <c r="U27" s="690"/>
      <c r="V27" s="348"/>
      <c r="W27" s="690"/>
      <c r="X27" s="348"/>
      <c r="Y27" s="690"/>
      <c r="Z27" s="348"/>
      <c r="AA27" s="351"/>
      <c r="AB27" s="325"/>
      <c r="AC27" s="647"/>
      <c r="AD27" s="659">
        <v>0</v>
      </c>
      <c r="AE27" s="325"/>
      <c r="AF27" s="648"/>
      <c r="AG27" s="659">
        <v>0</v>
      </c>
      <c r="AH27" s="643"/>
      <c r="AI27" s="325"/>
      <c r="AJ27" s="325">
        <f t="shared" si="2"/>
        <v>0</v>
      </c>
      <c r="AK27" s="325"/>
      <c r="AL27" s="327">
        <f t="shared" si="3"/>
        <v>0</v>
      </c>
      <c r="AM27" s="2113"/>
      <c r="AN27" s="2113"/>
      <c r="AO27" s="2113"/>
    </row>
    <row r="28" spans="1:41" ht="15" customHeight="1">
      <c r="A28" s="46"/>
      <c r="B28" s="427" t="s">
        <v>519</v>
      </c>
      <c r="C28" s="353"/>
      <c r="D28" s="348">
        <v>0</v>
      </c>
      <c r="E28" s="329"/>
      <c r="F28" s="348">
        <v>0</v>
      </c>
      <c r="G28" s="348"/>
      <c r="H28" s="348">
        <v>0</v>
      </c>
      <c r="I28" s="329"/>
      <c r="J28" s="348">
        <v>0</v>
      </c>
      <c r="K28" s="690"/>
      <c r="L28" s="348">
        <v>0</v>
      </c>
      <c r="M28" s="690"/>
      <c r="N28" s="348">
        <v>0</v>
      </c>
      <c r="O28" s="690"/>
      <c r="P28" s="348">
        <v>0</v>
      </c>
      <c r="Q28" s="690"/>
      <c r="R28" s="348">
        <f t="shared" si="1"/>
        <v>0</v>
      </c>
      <c r="S28" s="690"/>
      <c r="T28" s="348"/>
      <c r="U28" s="690"/>
      <c r="V28" s="348"/>
      <c r="W28" s="690"/>
      <c r="X28" s="348"/>
      <c r="Y28" s="690"/>
      <c r="Z28" s="348"/>
      <c r="AA28" s="351"/>
      <c r="AB28" s="325"/>
      <c r="AC28" s="647"/>
      <c r="AD28" s="659">
        <v>0</v>
      </c>
      <c r="AE28" s="325"/>
      <c r="AF28" s="648"/>
      <c r="AG28" s="659">
        <v>0</v>
      </c>
      <c r="AH28" s="643"/>
      <c r="AI28" s="325"/>
      <c r="AJ28" s="325">
        <f t="shared" si="2"/>
        <v>0</v>
      </c>
      <c r="AK28" s="325"/>
      <c r="AL28" s="327">
        <f t="shared" si="3"/>
        <v>0</v>
      </c>
      <c r="AM28" s="2113"/>
      <c r="AN28" s="2113"/>
      <c r="AO28" s="2113"/>
    </row>
    <row r="29" spans="1:41" ht="15" customHeight="1">
      <c r="A29" s="46"/>
      <c r="B29" s="427" t="s">
        <v>1514</v>
      </c>
      <c r="C29" s="353"/>
      <c r="D29" s="348">
        <v>0</v>
      </c>
      <c r="E29" s="329"/>
      <c r="F29" s="348">
        <v>0</v>
      </c>
      <c r="G29" s="348"/>
      <c r="H29" s="348">
        <v>0</v>
      </c>
      <c r="I29" s="329"/>
      <c r="J29" s="348">
        <v>0</v>
      </c>
      <c r="K29" s="690"/>
      <c r="L29" s="348">
        <v>0</v>
      </c>
      <c r="M29" s="690"/>
      <c r="N29" s="348">
        <v>0</v>
      </c>
      <c r="O29" s="690"/>
      <c r="P29" s="348">
        <v>0</v>
      </c>
      <c r="Q29" s="690"/>
      <c r="R29" s="348">
        <f t="shared" si="1"/>
        <v>0</v>
      </c>
      <c r="S29" s="690"/>
      <c r="T29" s="348"/>
      <c r="U29" s="690"/>
      <c r="V29" s="348"/>
      <c r="W29" s="690"/>
      <c r="X29" s="348"/>
      <c r="Y29" s="690"/>
      <c r="Z29" s="348"/>
      <c r="AA29" s="351"/>
      <c r="AB29" s="325"/>
      <c r="AC29" s="647"/>
      <c r="AD29" s="659">
        <v>0</v>
      </c>
      <c r="AE29" s="325"/>
      <c r="AF29" s="648"/>
      <c r="AG29" s="659">
        <v>0</v>
      </c>
      <c r="AH29" s="643"/>
      <c r="AI29" s="325"/>
      <c r="AJ29" s="325">
        <f t="shared" si="2"/>
        <v>0</v>
      </c>
      <c r="AK29" s="325"/>
      <c r="AL29" s="327">
        <f t="shared" si="3"/>
        <v>0</v>
      </c>
      <c r="AM29" s="2113"/>
      <c r="AN29" s="2113"/>
      <c r="AO29" s="2113"/>
    </row>
    <row r="30" spans="1:41" ht="15" customHeight="1">
      <c r="A30" s="46"/>
      <c r="B30" s="427" t="s">
        <v>1515</v>
      </c>
      <c r="C30" s="353"/>
      <c r="D30" s="348">
        <v>0</v>
      </c>
      <c r="E30" s="329"/>
      <c r="F30" s="348">
        <v>0</v>
      </c>
      <c r="G30" s="348"/>
      <c r="H30" s="348">
        <v>0</v>
      </c>
      <c r="I30" s="329"/>
      <c r="J30" s="348">
        <v>0</v>
      </c>
      <c r="K30" s="690"/>
      <c r="L30" s="348">
        <v>0</v>
      </c>
      <c r="M30" s="690"/>
      <c r="N30" s="348">
        <v>0</v>
      </c>
      <c r="O30" s="690"/>
      <c r="P30" s="348">
        <v>0</v>
      </c>
      <c r="Q30" s="690"/>
      <c r="R30" s="348">
        <f t="shared" si="1"/>
        <v>0</v>
      </c>
      <c r="S30" s="690"/>
      <c r="T30" s="348"/>
      <c r="U30" s="690"/>
      <c r="V30" s="348"/>
      <c r="W30" s="690"/>
      <c r="X30" s="348"/>
      <c r="Y30" s="690"/>
      <c r="Z30" s="348"/>
      <c r="AA30" s="351"/>
      <c r="AB30" s="325"/>
      <c r="AC30" s="647"/>
      <c r="AD30" s="659">
        <v>0</v>
      </c>
      <c r="AE30" s="325"/>
      <c r="AF30" s="648"/>
      <c r="AG30" s="659">
        <v>0</v>
      </c>
      <c r="AH30" s="643"/>
      <c r="AI30" s="325"/>
      <c r="AJ30" s="325">
        <f t="shared" si="2"/>
        <v>0</v>
      </c>
      <c r="AK30" s="325"/>
      <c r="AL30" s="327">
        <f t="shared" si="3"/>
        <v>0</v>
      </c>
      <c r="AM30" s="2113"/>
      <c r="AN30" s="2113"/>
      <c r="AO30" s="2113"/>
    </row>
    <row r="31" spans="1:41" ht="15" customHeight="1">
      <c r="A31" s="46"/>
      <c r="B31" s="427" t="s">
        <v>1516</v>
      </c>
      <c r="C31" s="353"/>
      <c r="D31" s="348">
        <v>0.7</v>
      </c>
      <c r="E31" s="329"/>
      <c r="F31" s="348">
        <v>0.5</v>
      </c>
      <c r="G31" s="348"/>
      <c r="H31" s="348">
        <v>0.5</v>
      </c>
      <c r="I31" s="329"/>
      <c r="J31" s="348">
        <v>0.50000000000000022</v>
      </c>
      <c r="K31" s="690"/>
      <c r="L31" s="348">
        <v>0.49999999999999978</v>
      </c>
      <c r="M31" s="690"/>
      <c r="N31" s="348">
        <v>0.70000000000000018</v>
      </c>
      <c r="O31" s="690"/>
      <c r="P31" s="348">
        <v>0.59999999999999964</v>
      </c>
      <c r="Q31" s="690"/>
      <c r="R31" s="348">
        <f t="shared" si="1"/>
        <v>0.40000000000000058</v>
      </c>
      <c r="S31" s="690"/>
      <c r="T31" s="348"/>
      <c r="U31" s="690"/>
      <c r="V31" s="348"/>
      <c r="W31" s="690"/>
      <c r="X31" s="348"/>
      <c r="Y31" s="690"/>
      <c r="Z31" s="348"/>
      <c r="AA31" s="351"/>
      <c r="AB31" s="325"/>
      <c r="AC31" s="647"/>
      <c r="AD31" s="659">
        <v>4.4000000000000004</v>
      </c>
      <c r="AE31" s="325"/>
      <c r="AF31" s="648"/>
      <c r="AG31" s="659">
        <v>4.7</v>
      </c>
      <c r="AH31" s="643"/>
      <c r="AI31" s="325"/>
      <c r="AJ31" s="325">
        <f>ROUND(SUM(+AD31-AG31),1)</f>
        <v>-0.3</v>
      </c>
      <c r="AK31" s="325"/>
      <c r="AL31" s="327">
        <f t="shared" si="3"/>
        <v>-6.4000000000000001E-2</v>
      </c>
      <c r="AM31" s="2113"/>
      <c r="AN31" s="2113"/>
      <c r="AO31" s="2113"/>
    </row>
    <row r="32" spans="1:41" ht="15" customHeight="1">
      <c r="A32" s="46"/>
      <c r="B32" s="427" t="s">
        <v>1540</v>
      </c>
      <c r="C32" s="353"/>
      <c r="D32" s="348">
        <v>72.400000000000006</v>
      </c>
      <c r="E32" s="329"/>
      <c r="F32" s="348">
        <v>69.099999999999994</v>
      </c>
      <c r="G32" s="348"/>
      <c r="H32" s="348">
        <v>70.699999999999989</v>
      </c>
      <c r="I32" s="329"/>
      <c r="J32" s="348">
        <v>71.300000000000011</v>
      </c>
      <c r="K32" s="690"/>
      <c r="L32" s="348">
        <v>80.600000000000051</v>
      </c>
      <c r="M32" s="690"/>
      <c r="N32" s="348">
        <v>77.999999999999972</v>
      </c>
      <c r="O32" s="690"/>
      <c r="P32" s="348">
        <v>76.5</v>
      </c>
      <c r="Q32" s="690"/>
      <c r="R32" s="348">
        <f t="shared" si="1"/>
        <v>82.399999999999977</v>
      </c>
      <c r="S32" s="690"/>
      <c r="T32" s="348"/>
      <c r="U32" s="690"/>
      <c r="V32" s="348"/>
      <c r="W32" s="690"/>
      <c r="X32" s="348"/>
      <c r="Y32" s="690"/>
      <c r="Z32" s="348"/>
      <c r="AA32" s="351"/>
      <c r="AB32" s="325"/>
      <c r="AC32" s="647"/>
      <c r="AD32" s="659">
        <v>601</v>
      </c>
      <c r="AE32" s="325"/>
      <c r="AF32" s="648"/>
      <c r="AG32" s="659">
        <v>156.9</v>
      </c>
      <c r="AH32" s="643"/>
      <c r="AI32" s="325"/>
      <c r="AJ32" s="325">
        <f t="shared" si="2"/>
        <v>444.1</v>
      </c>
      <c r="AK32" s="325"/>
      <c r="AL32" s="1289">
        <f>ROUND(IF(AG32=0,1,AJ32/ABS(AG32)),3)</f>
        <v>2.83</v>
      </c>
      <c r="AM32" s="2113"/>
      <c r="AN32" s="2113"/>
      <c r="AO32" s="2113"/>
    </row>
    <row r="33" spans="1:41" ht="15" customHeight="1">
      <c r="A33" s="46"/>
      <c r="B33" s="427" t="s">
        <v>1517</v>
      </c>
      <c r="C33" s="353"/>
      <c r="D33" s="348">
        <v>0</v>
      </c>
      <c r="E33" s="329"/>
      <c r="F33" s="348">
        <v>0</v>
      </c>
      <c r="G33" s="348"/>
      <c r="H33" s="348">
        <v>0</v>
      </c>
      <c r="I33" s="329"/>
      <c r="J33" s="348">
        <v>0</v>
      </c>
      <c r="K33" s="690"/>
      <c r="L33" s="348">
        <v>0</v>
      </c>
      <c r="M33" s="690"/>
      <c r="N33" s="348">
        <v>0</v>
      </c>
      <c r="O33" s="690"/>
      <c r="P33" s="348">
        <v>0</v>
      </c>
      <c r="Q33" s="690"/>
      <c r="R33" s="348">
        <f t="shared" si="1"/>
        <v>0</v>
      </c>
      <c r="S33" s="690"/>
      <c r="T33" s="348"/>
      <c r="U33" s="690"/>
      <c r="V33" s="348"/>
      <c r="W33" s="690"/>
      <c r="X33" s="348"/>
      <c r="Y33" s="690"/>
      <c r="Z33" s="348"/>
      <c r="AA33" s="351"/>
      <c r="AB33" s="325"/>
      <c r="AC33" s="647"/>
      <c r="AD33" s="659">
        <v>0</v>
      </c>
      <c r="AE33" s="325"/>
      <c r="AF33" s="648"/>
      <c r="AG33" s="659">
        <v>0</v>
      </c>
      <c r="AH33" s="643"/>
      <c r="AI33" s="325"/>
      <c r="AJ33" s="325">
        <f>ROUND(SUM(+AD33-AG33),1)</f>
        <v>0</v>
      </c>
      <c r="AK33" s="325"/>
      <c r="AL33" s="327">
        <f>ROUND(IF(AG33=0,0,AJ33/ABS(AG33)),3)</f>
        <v>0</v>
      </c>
      <c r="AM33" s="2113"/>
      <c r="AN33" s="2113"/>
      <c r="AO33" s="2113"/>
    </row>
    <row r="34" spans="1:41" ht="15" customHeight="1">
      <c r="A34" s="46"/>
      <c r="B34" s="427" t="s">
        <v>437</v>
      </c>
      <c r="C34" s="353"/>
      <c r="D34" s="348" t="s">
        <v>104</v>
      </c>
      <c r="E34" s="329"/>
      <c r="F34" s="348"/>
      <c r="G34" s="348"/>
      <c r="H34" s="348"/>
      <c r="I34" s="329"/>
      <c r="J34" s="348"/>
      <c r="K34" s="329"/>
      <c r="L34" s="348"/>
      <c r="M34" s="329"/>
      <c r="N34" s="348"/>
      <c r="O34" s="329"/>
      <c r="P34" s="348"/>
      <c r="Q34" s="329"/>
      <c r="R34" s="348"/>
      <c r="S34" s="329"/>
      <c r="T34" s="348"/>
      <c r="U34" s="329"/>
      <c r="V34" s="348"/>
      <c r="W34" s="325"/>
      <c r="X34" s="348"/>
      <c r="Y34" s="325"/>
      <c r="Z34" s="348"/>
      <c r="AA34" s="348"/>
      <c r="AB34" s="329"/>
      <c r="AC34" s="836"/>
      <c r="AD34" s="325" t="s">
        <v>104</v>
      </c>
      <c r="AE34" s="325"/>
      <c r="AF34" s="648"/>
      <c r="AG34" s="325" t="s">
        <v>104</v>
      </c>
      <c r="AH34" s="643"/>
      <c r="AI34" s="325"/>
      <c r="AJ34" s="325"/>
      <c r="AK34" s="325"/>
      <c r="AL34" s="344"/>
      <c r="AM34" s="2113"/>
      <c r="AN34" s="2113"/>
      <c r="AO34" s="2113"/>
    </row>
    <row r="35" spans="1:41" ht="15" customHeight="1">
      <c r="A35" s="46"/>
      <c r="B35" s="427" t="s">
        <v>1548</v>
      </c>
      <c r="C35" s="353"/>
      <c r="D35" s="348">
        <v>0</v>
      </c>
      <c r="E35" s="329"/>
      <c r="F35" s="348">
        <v>0</v>
      </c>
      <c r="G35" s="348"/>
      <c r="H35" s="348">
        <v>0</v>
      </c>
      <c r="I35" s="329"/>
      <c r="J35" s="348">
        <v>0</v>
      </c>
      <c r="K35" s="690"/>
      <c r="L35" s="348">
        <v>0</v>
      </c>
      <c r="M35" s="690"/>
      <c r="N35" s="348">
        <v>0</v>
      </c>
      <c r="O35" s="690"/>
      <c r="P35" s="348">
        <v>0</v>
      </c>
      <c r="Q35" s="690"/>
      <c r="R35" s="348">
        <f t="shared" si="1"/>
        <v>0</v>
      </c>
      <c r="S35" s="690"/>
      <c r="T35" s="348"/>
      <c r="U35" s="690"/>
      <c r="V35" s="348"/>
      <c r="W35" s="690"/>
      <c r="X35" s="348"/>
      <c r="Y35" s="690"/>
      <c r="Z35" s="348"/>
      <c r="AA35" s="351"/>
      <c r="AB35" s="325"/>
      <c r="AC35" s="647"/>
      <c r="AD35" s="659">
        <v>0</v>
      </c>
      <c r="AE35" s="325"/>
      <c r="AF35" s="648"/>
      <c r="AG35" s="659">
        <v>0</v>
      </c>
      <c r="AH35" s="643"/>
      <c r="AI35" s="325"/>
      <c r="AJ35" s="325">
        <f t="shared" si="2"/>
        <v>0</v>
      </c>
      <c r="AK35" s="325"/>
      <c r="AL35" s="327">
        <f t="shared" ref="AL35:AL39" si="4">ROUND(IF(AG35=0,0,AJ35/ABS(AG35)),3)</f>
        <v>0</v>
      </c>
      <c r="AM35" s="2113"/>
      <c r="AN35" s="2113"/>
      <c r="AO35" s="2113"/>
    </row>
    <row r="36" spans="1:41" ht="15" customHeight="1">
      <c r="A36" s="46"/>
      <c r="B36" s="427" t="s">
        <v>1541</v>
      </c>
      <c r="C36" s="353"/>
      <c r="D36" s="348">
        <v>0</v>
      </c>
      <c r="E36" s="329"/>
      <c r="F36" s="348">
        <v>0</v>
      </c>
      <c r="G36" s="348"/>
      <c r="H36" s="348">
        <v>0</v>
      </c>
      <c r="I36" s="329"/>
      <c r="J36" s="348">
        <v>0</v>
      </c>
      <c r="K36" s="690"/>
      <c r="L36" s="348">
        <v>0</v>
      </c>
      <c r="M36" s="690"/>
      <c r="N36" s="348">
        <v>0</v>
      </c>
      <c r="O36" s="690"/>
      <c r="P36" s="348">
        <v>0</v>
      </c>
      <c r="Q36" s="690"/>
      <c r="R36" s="348">
        <f t="shared" si="1"/>
        <v>0</v>
      </c>
      <c r="S36" s="690"/>
      <c r="T36" s="348"/>
      <c r="U36" s="690"/>
      <c r="V36" s="348"/>
      <c r="W36" s="690"/>
      <c r="X36" s="348"/>
      <c r="Y36" s="690"/>
      <c r="Z36" s="348"/>
      <c r="AA36" s="351"/>
      <c r="AB36" s="325"/>
      <c r="AC36" s="647"/>
      <c r="AD36" s="659">
        <v>0</v>
      </c>
      <c r="AE36" s="325"/>
      <c r="AF36" s="648"/>
      <c r="AG36" s="659">
        <v>0</v>
      </c>
      <c r="AH36" s="643"/>
      <c r="AI36" s="325"/>
      <c r="AJ36" s="325">
        <f t="shared" si="2"/>
        <v>0</v>
      </c>
      <c r="AK36" s="325"/>
      <c r="AL36" s="327">
        <f t="shared" si="4"/>
        <v>0</v>
      </c>
      <c r="AM36" s="2113"/>
      <c r="AN36" s="2113"/>
      <c r="AO36" s="2113"/>
    </row>
    <row r="37" spans="1:41" ht="15" customHeight="1">
      <c r="A37" s="46"/>
      <c r="B37" s="427" t="s">
        <v>1518</v>
      </c>
      <c r="C37" s="353"/>
      <c r="D37" s="348">
        <v>0</v>
      </c>
      <c r="E37" s="329"/>
      <c r="F37" s="348">
        <v>0</v>
      </c>
      <c r="G37" s="348"/>
      <c r="H37" s="348">
        <v>0</v>
      </c>
      <c r="I37" s="329"/>
      <c r="J37" s="348">
        <v>0</v>
      </c>
      <c r="K37" s="690"/>
      <c r="L37" s="348">
        <v>0</v>
      </c>
      <c r="M37" s="690"/>
      <c r="N37" s="348">
        <v>0</v>
      </c>
      <c r="O37" s="690"/>
      <c r="P37" s="348">
        <v>0</v>
      </c>
      <c r="Q37" s="690"/>
      <c r="R37" s="348">
        <f t="shared" si="1"/>
        <v>0</v>
      </c>
      <c r="S37" s="690"/>
      <c r="T37" s="348"/>
      <c r="U37" s="690"/>
      <c r="V37" s="348"/>
      <c r="W37" s="690"/>
      <c r="X37" s="348"/>
      <c r="Y37" s="690"/>
      <c r="Z37" s="348"/>
      <c r="AA37" s="351"/>
      <c r="AB37" s="325"/>
      <c r="AC37" s="647"/>
      <c r="AD37" s="659">
        <v>0</v>
      </c>
      <c r="AE37" s="325"/>
      <c r="AF37" s="648"/>
      <c r="AG37" s="659">
        <v>0</v>
      </c>
      <c r="AH37" s="643"/>
      <c r="AI37" s="325"/>
      <c r="AJ37" s="325">
        <f t="shared" si="2"/>
        <v>0</v>
      </c>
      <c r="AK37" s="325"/>
      <c r="AL37" s="327">
        <f t="shared" si="4"/>
        <v>0</v>
      </c>
      <c r="AM37" s="2113"/>
      <c r="AN37" s="2113"/>
      <c r="AO37" s="2113"/>
    </row>
    <row r="38" spans="1:41" ht="15" customHeight="1">
      <c r="A38" s="46"/>
      <c r="B38" s="427" t="s">
        <v>528</v>
      </c>
      <c r="C38" s="353"/>
      <c r="D38" s="348">
        <v>0</v>
      </c>
      <c r="E38" s="329"/>
      <c r="F38" s="348">
        <v>0</v>
      </c>
      <c r="G38" s="348"/>
      <c r="H38" s="348">
        <v>0</v>
      </c>
      <c r="I38" s="329"/>
      <c r="J38" s="348">
        <v>0</v>
      </c>
      <c r="K38" s="690"/>
      <c r="L38" s="348">
        <v>0</v>
      </c>
      <c r="M38" s="690"/>
      <c r="N38" s="348">
        <v>0</v>
      </c>
      <c r="O38" s="690"/>
      <c r="P38" s="348">
        <v>0</v>
      </c>
      <c r="Q38" s="690"/>
      <c r="R38" s="348">
        <f t="shared" si="1"/>
        <v>0</v>
      </c>
      <c r="S38" s="690"/>
      <c r="T38" s="348"/>
      <c r="U38" s="690"/>
      <c r="V38" s="348"/>
      <c r="W38" s="690"/>
      <c r="X38" s="348"/>
      <c r="Y38" s="690"/>
      <c r="Z38" s="348"/>
      <c r="AA38" s="351"/>
      <c r="AB38" s="325"/>
      <c r="AC38" s="647"/>
      <c r="AD38" s="659">
        <v>0</v>
      </c>
      <c r="AE38" s="325"/>
      <c r="AF38" s="648"/>
      <c r="AG38" s="659">
        <v>0</v>
      </c>
      <c r="AH38" s="643"/>
      <c r="AI38" s="325"/>
      <c r="AJ38" s="325">
        <f t="shared" si="2"/>
        <v>0</v>
      </c>
      <c r="AK38" s="325"/>
      <c r="AL38" s="327">
        <f t="shared" si="4"/>
        <v>0</v>
      </c>
      <c r="AM38" s="2113"/>
      <c r="AN38" s="2113"/>
      <c r="AO38" s="2113"/>
    </row>
    <row r="39" spans="1:41" ht="15" customHeight="1">
      <c r="A39" s="46"/>
      <c r="B39" s="427" t="s">
        <v>442</v>
      </c>
      <c r="C39" s="353"/>
      <c r="D39" s="348">
        <v>0</v>
      </c>
      <c r="E39" s="329"/>
      <c r="F39" s="348">
        <v>0</v>
      </c>
      <c r="G39" s="348"/>
      <c r="H39" s="348">
        <v>0</v>
      </c>
      <c r="I39" s="329"/>
      <c r="J39" s="348">
        <v>0</v>
      </c>
      <c r="K39" s="690"/>
      <c r="L39" s="348">
        <v>0</v>
      </c>
      <c r="M39" s="690"/>
      <c r="N39" s="348">
        <v>0</v>
      </c>
      <c r="O39" s="690"/>
      <c r="P39" s="348">
        <v>0</v>
      </c>
      <c r="Q39" s="690"/>
      <c r="R39" s="348">
        <f t="shared" si="1"/>
        <v>0</v>
      </c>
      <c r="S39" s="690"/>
      <c r="T39" s="348"/>
      <c r="U39" s="690"/>
      <c r="V39" s="348"/>
      <c r="W39" s="690"/>
      <c r="X39" s="348"/>
      <c r="Y39" s="690"/>
      <c r="Z39" s="348"/>
      <c r="AA39" s="351"/>
      <c r="AB39" s="325"/>
      <c r="AC39" s="647"/>
      <c r="AD39" s="659">
        <v>0</v>
      </c>
      <c r="AE39" s="325"/>
      <c r="AF39" s="648"/>
      <c r="AG39" s="659">
        <v>0</v>
      </c>
      <c r="AH39" s="643"/>
      <c r="AI39" s="325"/>
      <c r="AJ39" s="325">
        <f t="shared" si="2"/>
        <v>0</v>
      </c>
      <c r="AK39" s="325"/>
      <c r="AL39" s="327">
        <f t="shared" si="4"/>
        <v>0</v>
      </c>
      <c r="AM39" s="2113"/>
      <c r="AN39" s="2113"/>
      <c r="AO39" s="2113"/>
    </row>
    <row r="40" spans="1:41" ht="15" customHeight="1">
      <c r="A40" s="46"/>
      <c r="B40" s="427" t="s">
        <v>443</v>
      </c>
      <c r="C40" s="353"/>
      <c r="D40" s="348" t="s">
        <v>104</v>
      </c>
      <c r="E40" s="329"/>
      <c r="F40" s="348"/>
      <c r="G40" s="348"/>
      <c r="H40" s="348"/>
      <c r="I40" s="329"/>
      <c r="J40" s="348"/>
      <c r="K40" s="329"/>
      <c r="L40" s="348"/>
      <c r="M40" s="329"/>
      <c r="N40" s="348"/>
      <c r="O40" s="329"/>
      <c r="P40" s="348"/>
      <c r="Q40" s="329"/>
      <c r="R40" s="348"/>
      <c r="S40" s="329"/>
      <c r="T40" s="348"/>
      <c r="U40" s="329"/>
      <c r="V40" s="348"/>
      <c r="W40" s="325"/>
      <c r="X40" s="348"/>
      <c r="Y40" s="325"/>
      <c r="Z40" s="348"/>
      <c r="AA40" s="348"/>
      <c r="AB40" s="329"/>
      <c r="AC40" s="836"/>
      <c r="AD40" s="325" t="s">
        <v>104</v>
      </c>
      <c r="AE40" s="325"/>
      <c r="AF40" s="648"/>
      <c r="AG40" s="325" t="s">
        <v>104</v>
      </c>
      <c r="AH40" s="643"/>
      <c r="AI40" s="325"/>
      <c r="AJ40" s="325"/>
      <c r="AK40" s="325"/>
      <c r="AL40" s="344"/>
      <c r="AM40" s="2113"/>
      <c r="AN40" s="2113"/>
      <c r="AO40" s="2113"/>
    </row>
    <row r="41" spans="1:41" ht="15" customHeight="1">
      <c r="A41" s="46"/>
      <c r="B41" s="427" t="s">
        <v>1519</v>
      </c>
      <c r="C41" s="353"/>
      <c r="D41" s="348">
        <v>0</v>
      </c>
      <c r="E41" s="329"/>
      <c r="F41" s="348">
        <v>0</v>
      </c>
      <c r="G41" s="348"/>
      <c r="H41" s="348">
        <v>0</v>
      </c>
      <c r="I41" s="329"/>
      <c r="J41" s="348">
        <v>0</v>
      </c>
      <c r="K41" s="690"/>
      <c r="L41" s="348">
        <v>0</v>
      </c>
      <c r="M41" s="690"/>
      <c r="N41" s="348">
        <v>0</v>
      </c>
      <c r="O41" s="690"/>
      <c r="P41" s="348">
        <v>0</v>
      </c>
      <c r="Q41" s="690"/>
      <c r="R41" s="348">
        <f t="shared" si="1"/>
        <v>0</v>
      </c>
      <c r="S41" s="690"/>
      <c r="T41" s="348"/>
      <c r="U41" s="690"/>
      <c r="V41" s="348"/>
      <c r="W41" s="690"/>
      <c r="X41" s="348"/>
      <c r="Y41" s="690"/>
      <c r="Z41" s="348"/>
      <c r="AA41" s="351"/>
      <c r="AB41" s="325"/>
      <c r="AC41" s="647"/>
      <c r="AD41" s="659">
        <v>0</v>
      </c>
      <c r="AE41" s="325"/>
      <c r="AF41" s="648"/>
      <c r="AG41" s="659">
        <v>0</v>
      </c>
      <c r="AH41" s="643"/>
      <c r="AI41" s="325"/>
      <c r="AJ41" s="325">
        <f t="shared" si="2"/>
        <v>0</v>
      </c>
      <c r="AK41" s="325"/>
      <c r="AL41" s="327">
        <f>ROUND(IF(AG41=0,0,AJ41/ABS(AG41)),3)</f>
        <v>0</v>
      </c>
      <c r="AM41" s="2113"/>
      <c r="AN41" s="2113"/>
      <c r="AO41" s="2113"/>
    </row>
    <row r="42" spans="1:41" ht="15" customHeight="1">
      <c r="A42" s="46"/>
      <c r="B42" s="427" t="s">
        <v>530</v>
      </c>
      <c r="C42" s="353"/>
      <c r="D42" s="348">
        <v>0</v>
      </c>
      <c r="E42" s="329"/>
      <c r="F42" s="348">
        <v>0</v>
      </c>
      <c r="G42" s="348"/>
      <c r="H42" s="348">
        <v>0</v>
      </c>
      <c r="I42" s="329"/>
      <c r="J42" s="348">
        <v>0</v>
      </c>
      <c r="K42" s="690"/>
      <c r="L42" s="348">
        <v>0</v>
      </c>
      <c r="M42" s="690"/>
      <c r="N42" s="348">
        <v>0</v>
      </c>
      <c r="O42" s="690"/>
      <c r="P42" s="348">
        <v>0</v>
      </c>
      <c r="Q42" s="690"/>
      <c r="R42" s="348">
        <f t="shared" si="1"/>
        <v>0</v>
      </c>
      <c r="S42" s="690"/>
      <c r="T42" s="348"/>
      <c r="U42" s="690"/>
      <c r="V42" s="348"/>
      <c r="W42" s="690"/>
      <c r="X42" s="348"/>
      <c r="Y42" s="690"/>
      <c r="Z42" s="348"/>
      <c r="AA42" s="351"/>
      <c r="AB42" s="325"/>
      <c r="AC42" s="647"/>
      <c r="AD42" s="659">
        <v>0</v>
      </c>
      <c r="AE42" s="325"/>
      <c r="AF42" s="648"/>
      <c r="AG42" s="659">
        <v>0</v>
      </c>
      <c r="AH42" s="643"/>
      <c r="AI42" s="325"/>
      <c r="AJ42" s="325">
        <f t="shared" si="2"/>
        <v>0</v>
      </c>
      <c r="AK42" s="325"/>
      <c r="AL42" s="327">
        <f t="shared" ref="AL42:AL48" si="5">ROUND(IF(AG42=0,0,AJ42/ABS(AG42)),3)</f>
        <v>0</v>
      </c>
      <c r="AM42" s="2113"/>
      <c r="AN42" s="2113"/>
      <c r="AO42" s="2113"/>
    </row>
    <row r="43" spans="1:41" ht="15" customHeight="1">
      <c r="A43" s="46"/>
      <c r="B43" s="427" t="s">
        <v>1521</v>
      </c>
      <c r="C43" s="353"/>
      <c r="D43" s="348">
        <v>0.4</v>
      </c>
      <c r="E43" s="329"/>
      <c r="F43" s="348">
        <v>0</v>
      </c>
      <c r="G43" s="348"/>
      <c r="H43" s="348">
        <v>0.29999999999999993</v>
      </c>
      <c r="I43" s="329"/>
      <c r="J43" s="348">
        <v>0</v>
      </c>
      <c r="K43" s="690"/>
      <c r="L43" s="348">
        <v>0.7</v>
      </c>
      <c r="M43" s="690"/>
      <c r="N43" s="348">
        <v>0</v>
      </c>
      <c r="O43" s="690"/>
      <c r="P43" s="348">
        <v>0</v>
      </c>
      <c r="Q43" s="690"/>
      <c r="R43" s="348">
        <f t="shared" si="1"/>
        <v>0.1000000000000002</v>
      </c>
      <c r="S43" s="690"/>
      <c r="T43" s="348"/>
      <c r="U43" s="690"/>
      <c r="V43" s="348"/>
      <c r="W43" s="690"/>
      <c r="X43" s="348"/>
      <c r="Y43" s="690"/>
      <c r="Z43" s="348"/>
      <c r="AA43" s="351"/>
      <c r="AB43" s="325"/>
      <c r="AC43" s="647"/>
      <c r="AD43" s="659">
        <v>1.5</v>
      </c>
      <c r="AE43" s="325"/>
      <c r="AF43" s="648"/>
      <c r="AG43" s="659">
        <v>0.2</v>
      </c>
      <c r="AH43" s="643"/>
      <c r="AI43" s="325"/>
      <c r="AJ43" s="325">
        <f t="shared" si="2"/>
        <v>1.3</v>
      </c>
      <c r="AK43" s="325"/>
      <c r="AL43" s="327">
        <f>ROUND(IF(AG43=0,1,AJ43/ABS(AG43)),3)</f>
        <v>6.5</v>
      </c>
      <c r="AM43" s="2113"/>
      <c r="AN43" s="2113"/>
      <c r="AO43" s="2113"/>
    </row>
    <row r="44" spans="1:41" ht="15" customHeight="1">
      <c r="A44" s="46"/>
      <c r="B44" s="427" t="s">
        <v>1522</v>
      </c>
      <c r="C44" s="353"/>
      <c r="D44" s="348">
        <v>0</v>
      </c>
      <c r="E44" s="329"/>
      <c r="F44" s="348">
        <v>0</v>
      </c>
      <c r="G44" s="348"/>
      <c r="H44" s="348">
        <v>0</v>
      </c>
      <c r="I44" s="329"/>
      <c r="J44" s="348">
        <v>0</v>
      </c>
      <c r="K44" s="690"/>
      <c r="L44" s="348">
        <v>0</v>
      </c>
      <c r="M44" s="690"/>
      <c r="N44" s="348">
        <v>0</v>
      </c>
      <c r="O44" s="690"/>
      <c r="P44" s="348">
        <v>0</v>
      </c>
      <c r="Q44" s="690"/>
      <c r="R44" s="348">
        <f t="shared" si="1"/>
        <v>0</v>
      </c>
      <c r="S44" s="690"/>
      <c r="T44" s="348"/>
      <c r="U44" s="690"/>
      <c r="V44" s="348"/>
      <c r="W44" s="690"/>
      <c r="X44" s="348"/>
      <c r="Y44" s="690"/>
      <c r="Z44" s="348"/>
      <c r="AA44" s="351"/>
      <c r="AB44" s="325"/>
      <c r="AC44" s="647"/>
      <c r="AD44" s="659">
        <v>0</v>
      </c>
      <c r="AE44" s="325"/>
      <c r="AF44" s="648"/>
      <c r="AG44" s="659">
        <v>0</v>
      </c>
      <c r="AH44" s="643"/>
      <c r="AI44" s="325"/>
      <c r="AJ44" s="325">
        <f t="shared" si="2"/>
        <v>0</v>
      </c>
      <c r="AK44" s="325"/>
      <c r="AL44" s="327">
        <f t="shared" si="5"/>
        <v>0</v>
      </c>
      <c r="AM44" s="2113"/>
      <c r="AN44" s="2113"/>
      <c r="AO44" s="2113"/>
    </row>
    <row r="45" spans="1:41" ht="15" customHeight="1">
      <c r="A45" s="46"/>
      <c r="B45" s="427" t="s">
        <v>533</v>
      </c>
      <c r="C45" s="353"/>
      <c r="D45" s="348">
        <v>0</v>
      </c>
      <c r="E45" s="329"/>
      <c r="F45" s="348">
        <v>0</v>
      </c>
      <c r="G45" s="348"/>
      <c r="H45" s="348">
        <v>0</v>
      </c>
      <c r="I45" s="329"/>
      <c r="J45" s="348">
        <v>0</v>
      </c>
      <c r="K45" s="690"/>
      <c r="L45" s="348">
        <v>0</v>
      </c>
      <c r="M45" s="690"/>
      <c r="N45" s="348">
        <v>0</v>
      </c>
      <c r="O45" s="690"/>
      <c r="P45" s="348">
        <v>0</v>
      </c>
      <c r="Q45" s="690"/>
      <c r="R45" s="348">
        <f t="shared" si="1"/>
        <v>0</v>
      </c>
      <c r="S45" s="690"/>
      <c r="T45" s="348"/>
      <c r="U45" s="690"/>
      <c r="V45" s="348"/>
      <c r="W45" s="690"/>
      <c r="X45" s="348"/>
      <c r="Y45" s="690"/>
      <c r="Z45" s="348"/>
      <c r="AA45" s="351"/>
      <c r="AB45" s="325"/>
      <c r="AC45" s="647"/>
      <c r="AD45" s="659">
        <v>0</v>
      </c>
      <c r="AE45" s="325"/>
      <c r="AF45" s="648"/>
      <c r="AG45" s="659">
        <v>0</v>
      </c>
      <c r="AH45" s="643"/>
      <c r="AI45" s="325"/>
      <c r="AJ45" s="325">
        <f t="shared" si="2"/>
        <v>0</v>
      </c>
      <c r="AK45" s="325"/>
      <c r="AL45" s="327">
        <f t="shared" si="5"/>
        <v>0</v>
      </c>
      <c r="AM45" s="2113"/>
      <c r="AN45" s="2113"/>
      <c r="AO45" s="2113"/>
    </row>
    <row r="46" spans="1:41" ht="15" customHeight="1">
      <c r="A46" s="46"/>
      <c r="B46" s="427" t="s">
        <v>1543</v>
      </c>
      <c r="C46" s="353"/>
      <c r="D46" s="348">
        <v>7.1</v>
      </c>
      <c r="E46" s="329"/>
      <c r="F46" s="348">
        <v>9.1</v>
      </c>
      <c r="G46" s="348"/>
      <c r="H46" s="348">
        <v>8.5000000000000018</v>
      </c>
      <c r="I46" s="329"/>
      <c r="J46" s="348">
        <v>8.9999999999999982</v>
      </c>
      <c r="K46" s="690"/>
      <c r="L46" s="348">
        <v>8.6999999999999975</v>
      </c>
      <c r="M46" s="690"/>
      <c r="N46" s="348">
        <v>8.6</v>
      </c>
      <c r="O46" s="690"/>
      <c r="P46" s="348">
        <v>8.6000000000000032</v>
      </c>
      <c r="Q46" s="690"/>
      <c r="R46" s="348">
        <f t="shared" si="1"/>
        <v>8.4999999999999911</v>
      </c>
      <c r="S46" s="690"/>
      <c r="T46" s="348"/>
      <c r="U46" s="690"/>
      <c r="V46" s="348"/>
      <c r="W46" s="690"/>
      <c r="X46" s="348"/>
      <c r="Y46" s="690"/>
      <c r="Z46" s="348"/>
      <c r="AA46" s="351"/>
      <c r="AB46" s="325"/>
      <c r="AC46" s="647"/>
      <c r="AD46" s="659">
        <v>68.099999999999994</v>
      </c>
      <c r="AE46" s="325"/>
      <c r="AF46" s="648"/>
      <c r="AG46" s="659">
        <v>60.3</v>
      </c>
      <c r="AH46" s="643"/>
      <c r="AI46" s="325"/>
      <c r="AJ46" s="325">
        <f t="shared" si="2"/>
        <v>7.8</v>
      </c>
      <c r="AK46" s="325"/>
      <c r="AL46" s="327">
        <f t="shared" si="5"/>
        <v>0.129</v>
      </c>
      <c r="AM46" s="2113"/>
      <c r="AN46" s="2113"/>
      <c r="AO46" s="2113"/>
    </row>
    <row r="47" spans="1:41" ht="15" customHeight="1">
      <c r="A47" s="46"/>
      <c r="B47" s="427" t="s">
        <v>1524</v>
      </c>
      <c r="C47" s="353"/>
      <c r="D47" s="348">
        <v>0</v>
      </c>
      <c r="E47" s="329"/>
      <c r="F47" s="348">
        <v>0</v>
      </c>
      <c r="G47" s="348"/>
      <c r="H47" s="348">
        <v>0</v>
      </c>
      <c r="I47" s="329"/>
      <c r="J47" s="348">
        <v>0</v>
      </c>
      <c r="K47" s="690"/>
      <c r="L47" s="348">
        <v>0</v>
      </c>
      <c r="M47" s="690"/>
      <c r="N47" s="348">
        <v>0</v>
      </c>
      <c r="O47" s="690"/>
      <c r="P47" s="348">
        <v>0</v>
      </c>
      <c r="Q47" s="690"/>
      <c r="R47" s="348">
        <f t="shared" si="1"/>
        <v>0</v>
      </c>
      <c r="S47" s="690"/>
      <c r="T47" s="348"/>
      <c r="U47" s="690"/>
      <c r="V47" s="348"/>
      <c r="W47" s="690"/>
      <c r="X47" s="348"/>
      <c r="Y47" s="690"/>
      <c r="Z47" s="348"/>
      <c r="AA47" s="351"/>
      <c r="AB47" s="325"/>
      <c r="AC47" s="647"/>
      <c r="AD47" s="659">
        <v>0</v>
      </c>
      <c r="AE47" s="325"/>
      <c r="AF47" s="648"/>
      <c r="AG47" s="659">
        <v>0</v>
      </c>
      <c r="AH47" s="643"/>
      <c r="AI47" s="325"/>
      <c r="AJ47" s="325">
        <f t="shared" si="2"/>
        <v>0</v>
      </c>
      <c r="AK47" s="325"/>
      <c r="AL47" s="327">
        <f t="shared" si="5"/>
        <v>0</v>
      </c>
      <c r="AM47" s="2113"/>
      <c r="AN47" s="2113"/>
      <c r="AO47" s="2113"/>
    </row>
    <row r="48" spans="1:41" ht="15" customHeight="1">
      <c r="A48" s="46"/>
      <c r="B48" s="427" t="s">
        <v>1551</v>
      </c>
      <c r="C48" s="353"/>
      <c r="D48" s="348">
        <v>0</v>
      </c>
      <c r="E48" s="329"/>
      <c r="F48" s="348">
        <v>0</v>
      </c>
      <c r="G48" s="348"/>
      <c r="H48" s="348">
        <v>0</v>
      </c>
      <c r="I48" s="329"/>
      <c r="J48" s="348">
        <v>0</v>
      </c>
      <c r="K48" s="690"/>
      <c r="L48" s="348">
        <v>0</v>
      </c>
      <c r="M48" s="690"/>
      <c r="N48" s="348">
        <v>0</v>
      </c>
      <c r="O48" s="690"/>
      <c r="P48" s="348">
        <v>0</v>
      </c>
      <c r="Q48" s="690"/>
      <c r="R48" s="348">
        <f t="shared" si="1"/>
        <v>0</v>
      </c>
      <c r="S48" s="690"/>
      <c r="T48" s="348"/>
      <c r="U48" s="690"/>
      <c r="V48" s="348"/>
      <c r="W48" s="690"/>
      <c r="X48" s="348"/>
      <c r="Y48" s="690"/>
      <c r="Z48" s="348"/>
      <c r="AA48" s="351"/>
      <c r="AB48" s="325"/>
      <c r="AC48" s="647"/>
      <c r="AD48" s="659">
        <v>0</v>
      </c>
      <c r="AE48" s="325"/>
      <c r="AF48" s="648"/>
      <c r="AG48" s="659">
        <v>0</v>
      </c>
      <c r="AH48" s="643"/>
      <c r="AI48" s="325"/>
      <c r="AJ48" s="325">
        <f t="shared" si="2"/>
        <v>0</v>
      </c>
      <c r="AK48" s="325"/>
      <c r="AL48" s="327">
        <f t="shared" si="5"/>
        <v>0</v>
      </c>
      <c r="AM48" s="2113"/>
      <c r="AN48" s="2113"/>
      <c r="AO48" s="2113"/>
    </row>
    <row r="49" spans="1:41" ht="15" customHeight="1">
      <c r="A49" s="46"/>
      <c r="B49" s="427" t="s">
        <v>536</v>
      </c>
      <c r="C49" s="353"/>
      <c r="D49" s="348">
        <v>0.3</v>
      </c>
      <c r="E49" s="329"/>
      <c r="F49" s="348">
        <v>0</v>
      </c>
      <c r="G49" s="348"/>
      <c r="H49" s="348">
        <v>0.3</v>
      </c>
      <c r="I49" s="329"/>
      <c r="J49" s="348">
        <v>9.9999999999999978E-2</v>
      </c>
      <c r="K49" s="690"/>
      <c r="L49" s="348">
        <v>0.49999999999999989</v>
      </c>
      <c r="M49" s="690"/>
      <c r="N49" s="348">
        <v>0.10000000000000009</v>
      </c>
      <c r="O49" s="690"/>
      <c r="P49" s="348">
        <v>0</v>
      </c>
      <c r="Q49" s="690"/>
      <c r="R49" s="348">
        <f>ROUND($AD49-$D49-$F49-$H49-$J49-$L49-$N49-$P49,1)</f>
        <v>0</v>
      </c>
      <c r="S49" s="690"/>
      <c r="T49" s="348"/>
      <c r="U49" s="690"/>
      <c r="V49" s="348"/>
      <c r="W49" s="690"/>
      <c r="X49" s="348"/>
      <c r="Y49" s="690"/>
      <c r="Z49" s="348"/>
      <c r="AA49" s="351"/>
      <c r="AB49" s="325"/>
      <c r="AC49" s="647"/>
      <c r="AD49" s="659">
        <v>1.2999999999999998</v>
      </c>
      <c r="AE49" s="325"/>
      <c r="AF49" s="648"/>
      <c r="AG49" s="659">
        <v>1.1000000000000001</v>
      </c>
      <c r="AH49" s="643"/>
      <c r="AI49" s="325"/>
      <c r="AJ49" s="325">
        <f t="shared" si="2"/>
        <v>0.2</v>
      </c>
      <c r="AK49" s="325"/>
      <c r="AL49" s="327">
        <f>ROUND(IF(AG49=0,1,AJ49/ABS(AG49)),3)</f>
        <v>0.182</v>
      </c>
      <c r="AM49" s="2113"/>
      <c r="AN49" s="2113"/>
      <c r="AO49" s="2113"/>
    </row>
    <row r="50" spans="1:41" ht="15" customHeight="1">
      <c r="A50" s="46"/>
      <c r="B50" s="427" t="s">
        <v>454</v>
      </c>
      <c r="C50" s="353"/>
      <c r="D50" s="348">
        <v>0</v>
      </c>
      <c r="E50" s="329"/>
      <c r="F50" s="348">
        <v>0</v>
      </c>
      <c r="G50" s="348"/>
      <c r="H50" s="348">
        <v>0</v>
      </c>
      <c r="I50" s="329"/>
      <c r="J50" s="348">
        <v>0</v>
      </c>
      <c r="K50" s="690"/>
      <c r="L50" s="348">
        <v>0</v>
      </c>
      <c r="M50" s="690"/>
      <c r="N50" s="348">
        <v>0</v>
      </c>
      <c r="O50" s="690"/>
      <c r="P50" s="348">
        <v>0</v>
      </c>
      <c r="Q50" s="690"/>
      <c r="R50" s="348">
        <f t="shared" si="1"/>
        <v>0</v>
      </c>
      <c r="S50" s="690"/>
      <c r="T50" s="348"/>
      <c r="U50" s="690"/>
      <c r="V50" s="348"/>
      <c r="W50" s="690"/>
      <c r="X50" s="348"/>
      <c r="Y50" s="690"/>
      <c r="Z50" s="348"/>
      <c r="AA50" s="351"/>
      <c r="AB50" s="325"/>
      <c r="AC50" s="647"/>
      <c r="AD50" s="659">
        <v>0</v>
      </c>
      <c r="AE50" s="325"/>
      <c r="AF50" s="648"/>
      <c r="AG50" s="659">
        <v>0</v>
      </c>
      <c r="AH50" s="643"/>
      <c r="AI50" s="325"/>
      <c r="AJ50" s="325">
        <f t="shared" si="2"/>
        <v>0</v>
      </c>
      <c r="AK50" s="325"/>
      <c r="AL50" s="327">
        <f>ROUND(IF(AG50=0,0,AJ50/ABS(AG50)),3)</f>
        <v>0</v>
      </c>
      <c r="AM50" s="2113"/>
      <c r="AN50" s="2113"/>
      <c r="AO50" s="2113"/>
    </row>
    <row r="51" spans="1:41" ht="15" customHeight="1">
      <c r="A51" s="46"/>
      <c r="B51" s="427" t="s">
        <v>455</v>
      </c>
      <c r="C51" s="353"/>
      <c r="D51" s="348">
        <v>0</v>
      </c>
      <c r="E51" s="329"/>
      <c r="F51" s="348">
        <v>0</v>
      </c>
      <c r="G51" s="348"/>
      <c r="H51" s="348">
        <v>0</v>
      </c>
      <c r="I51" s="329"/>
      <c r="J51" s="348">
        <v>0</v>
      </c>
      <c r="K51" s="690"/>
      <c r="L51" s="348">
        <v>0</v>
      </c>
      <c r="M51" s="690"/>
      <c r="N51" s="348">
        <v>0</v>
      </c>
      <c r="O51" s="690"/>
      <c r="P51" s="348">
        <v>0</v>
      </c>
      <c r="Q51" s="690"/>
      <c r="R51" s="348">
        <f t="shared" si="1"/>
        <v>0</v>
      </c>
      <c r="S51" s="690"/>
      <c r="T51" s="348"/>
      <c r="U51" s="690"/>
      <c r="V51" s="348"/>
      <c r="W51" s="690"/>
      <c r="X51" s="348"/>
      <c r="Y51" s="690"/>
      <c r="Z51" s="348"/>
      <c r="AA51" s="351"/>
      <c r="AB51" s="325"/>
      <c r="AC51" s="647"/>
      <c r="AD51" s="659">
        <v>0</v>
      </c>
      <c r="AE51" s="325"/>
      <c r="AF51" s="648"/>
      <c r="AG51" s="659">
        <v>0</v>
      </c>
      <c r="AH51" s="643"/>
      <c r="AI51" s="325"/>
      <c r="AJ51" s="325">
        <f t="shared" si="2"/>
        <v>0</v>
      </c>
      <c r="AK51" s="325"/>
      <c r="AL51" s="327">
        <f>ROUND(IF(AG51=0,0,AJ51/ABS(AG51)),3)</f>
        <v>0</v>
      </c>
      <c r="AM51" s="2113"/>
      <c r="AN51" s="2113"/>
      <c r="AO51" s="2113"/>
    </row>
    <row r="52" spans="1:41" ht="15" customHeight="1">
      <c r="A52" s="46"/>
      <c r="B52" s="118" t="s">
        <v>558</v>
      </c>
      <c r="C52" s="353"/>
      <c r="D52" s="532">
        <f>ROUND(SUM(D19:D51),1)</f>
        <v>86.3</v>
      </c>
      <c r="E52" s="329"/>
      <c r="F52" s="532">
        <f>ROUND(SUM(F19:F51),1)</f>
        <v>123.3</v>
      </c>
      <c r="G52" s="329"/>
      <c r="H52" s="532">
        <f>ROUND(SUM(H19:H51),1)</f>
        <v>80.400000000000006</v>
      </c>
      <c r="I52" s="329"/>
      <c r="J52" s="532">
        <f>ROUND(SUM(J19:J51),1)</f>
        <v>83.7</v>
      </c>
      <c r="K52" s="329"/>
      <c r="L52" s="532">
        <f>ROUND(SUM(L19:L51),1)</f>
        <v>102</v>
      </c>
      <c r="M52" s="329"/>
      <c r="N52" s="532">
        <f>ROUND(SUM(N19:N51),1)</f>
        <v>87.5</v>
      </c>
      <c r="O52" s="329"/>
      <c r="P52" s="532">
        <f>ROUND(SUM(P19:P51),1)</f>
        <v>87.8</v>
      </c>
      <c r="Q52" s="329"/>
      <c r="R52" s="532">
        <f>ROUND(SUM(R19:R51),1)</f>
        <v>105.7</v>
      </c>
      <c r="S52" s="23"/>
      <c r="T52" s="532">
        <f>ROUND(SUM(T19:T51),1)</f>
        <v>0</v>
      </c>
      <c r="U52" s="329"/>
      <c r="V52" s="532">
        <f>ROUND(SUM(V19:V51),1)</f>
        <v>0</v>
      </c>
      <c r="W52" s="325"/>
      <c r="X52" s="532">
        <f>ROUND(SUM(X19:X51),1)</f>
        <v>0</v>
      </c>
      <c r="Y52" s="325"/>
      <c r="Z52" s="532">
        <f>ROUND(SUM(Z19:Z51),1)</f>
        <v>0</v>
      </c>
      <c r="AA52" s="23"/>
      <c r="AB52" s="329"/>
      <c r="AC52" s="836"/>
      <c r="AD52" s="532">
        <f>ROUND(SUM(AD19:AD51),1)</f>
        <v>756.7</v>
      </c>
      <c r="AE52" s="325"/>
      <c r="AF52" s="648"/>
      <c r="AG52" s="532">
        <f>ROUND(SUM(AG19:AG51),1)</f>
        <v>293.7</v>
      </c>
      <c r="AH52" s="643"/>
      <c r="AI52" s="325"/>
      <c r="AJ52" s="532">
        <f>ROUND(SUM(AJ19:AJ51),1)</f>
        <v>463</v>
      </c>
      <c r="AK52" s="325"/>
      <c r="AL52" s="1547">
        <f>ROUND(SUM((AD52-AG52)/ABS(AG52)),3)</f>
        <v>1.5760000000000001</v>
      </c>
      <c r="AM52" s="2113"/>
      <c r="AN52" s="2113"/>
      <c r="AO52" s="2113"/>
    </row>
    <row r="53" spans="1:41" ht="15" customHeight="1">
      <c r="A53" s="46"/>
      <c r="B53" s="427"/>
      <c r="C53" s="353"/>
      <c r="D53" s="348"/>
      <c r="E53" s="329"/>
      <c r="F53" s="336"/>
      <c r="G53" s="329"/>
      <c r="H53" s="325"/>
      <c r="I53" s="329"/>
      <c r="J53" s="325"/>
      <c r="K53" s="329"/>
      <c r="L53" s="325"/>
      <c r="M53" s="329"/>
      <c r="N53" s="325"/>
      <c r="O53" s="329"/>
      <c r="P53" s="73"/>
      <c r="Q53" s="329"/>
      <c r="R53" s="487"/>
      <c r="S53" s="329"/>
      <c r="T53" s="336"/>
      <c r="U53" s="329"/>
      <c r="V53" s="348"/>
      <c r="W53" s="325"/>
      <c r="X53" s="348"/>
      <c r="Y53" s="325"/>
      <c r="Z53" s="348"/>
      <c r="AA53" s="348"/>
      <c r="AB53" s="329"/>
      <c r="AC53" s="836"/>
      <c r="AD53" s="325"/>
      <c r="AE53" s="325"/>
      <c r="AF53" s="648"/>
      <c r="AG53" s="325"/>
      <c r="AH53" s="643"/>
      <c r="AI53" s="325"/>
      <c r="AJ53" s="325"/>
      <c r="AK53" s="325"/>
      <c r="AL53" s="344"/>
      <c r="AM53" s="2113"/>
      <c r="AN53" s="2113"/>
      <c r="AO53" s="2113"/>
    </row>
    <row r="54" spans="1:41" ht="15" customHeight="1">
      <c r="A54" s="46"/>
      <c r="B54" s="1531" t="s">
        <v>538</v>
      </c>
      <c r="C54" s="353"/>
      <c r="D54" s="348">
        <v>8716.1</v>
      </c>
      <c r="E54" s="329"/>
      <c r="F54" s="348">
        <v>7415.7999999999993</v>
      </c>
      <c r="G54" s="348"/>
      <c r="H54" s="348">
        <v>11399.2</v>
      </c>
      <c r="I54" s="329"/>
      <c r="J54" s="348">
        <v>7065.6000000000058</v>
      </c>
      <c r="K54" s="690"/>
      <c r="L54" s="348">
        <v>7073.4999999999927</v>
      </c>
      <c r="M54" s="690"/>
      <c r="N54" s="348">
        <v>5991.9000000000015</v>
      </c>
      <c r="O54" s="690"/>
      <c r="P54" s="348">
        <v>6602.700000000008</v>
      </c>
      <c r="Q54" s="690"/>
      <c r="R54" s="348">
        <f t="shared" ref="R54" si="6">$AD54-$D54-$F54-$H54-$J54-$L54-$N54-$P54</f>
        <v>7757.0999999999949</v>
      </c>
      <c r="S54" s="690"/>
      <c r="T54" s="348"/>
      <c r="U54" s="690"/>
      <c r="V54" s="348"/>
      <c r="W54" s="690"/>
      <c r="X54" s="348"/>
      <c r="Y54" s="690"/>
      <c r="Z54" s="348"/>
      <c r="AA54" s="351"/>
      <c r="AB54" s="325"/>
      <c r="AC54" s="647"/>
      <c r="AD54" s="659">
        <v>62021.9</v>
      </c>
      <c r="AE54" s="325"/>
      <c r="AF54" s="648"/>
      <c r="AG54" s="659">
        <v>52301</v>
      </c>
      <c r="AH54" s="643"/>
      <c r="AI54" s="325"/>
      <c r="AJ54" s="325">
        <f>ROUND(SUM(+AD54-AG54),1)</f>
        <v>9720.9</v>
      </c>
      <c r="AK54" s="325"/>
      <c r="AL54" s="662">
        <f>ROUND(SUM((AD54-AG54)/ABS(AG54)),3)</f>
        <v>0.186</v>
      </c>
      <c r="AM54" s="2113"/>
      <c r="AN54" s="2113"/>
      <c r="AO54" s="2113"/>
    </row>
    <row r="55" spans="1:41" ht="15" customHeight="1">
      <c r="A55" s="46"/>
      <c r="B55" s="353"/>
      <c r="C55" s="353"/>
      <c r="D55" s="1525"/>
      <c r="E55" s="329"/>
      <c r="F55" s="1525"/>
      <c r="G55" s="329"/>
      <c r="H55" s="1525"/>
      <c r="I55" s="329"/>
      <c r="J55" s="1525"/>
      <c r="K55" s="329"/>
      <c r="L55" s="1525"/>
      <c r="M55" s="329"/>
      <c r="N55" s="1525"/>
      <c r="O55" s="329"/>
      <c r="P55" s="1525"/>
      <c r="Q55" s="329"/>
      <c r="R55" s="1525"/>
      <c r="S55" s="329"/>
      <c r="T55" s="783"/>
      <c r="U55" s="329"/>
      <c r="V55" s="783"/>
      <c r="W55" s="325"/>
      <c r="X55" s="783"/>
      <c r="Y55" s="325"/>
      <c r="Z55" s="783"/>
      <c r="AA55" s="325"/>
      <c r="AB55" s="329"/>
      <c r="AC55" s="836"/>
      <c r="AD55" s="783"/>
      <c r="AE55" s="325"/>
      <c r="AF55" s="648"/>
      <c r="AG55" s="783"/>
      <c r="AH55" s="643"/>
      <c r="AI55" s="325"/>
      <c r="AJ55" s="1548"/>
      <c r="AK55" s="656"/>
      <c r="AL55" s="663"/>
      <c r="AM55" s="2113"/>
      <c r="AN55" s="2113"/>
      <c r="AO55" s="2113"/>
    </row>
    <row r="56" spans="1:41" ht="15" customHeight="1">
      <c r="A56" s="46"/>
      <c r="B56" s="6" t="s">
        <v>457</v>
      </c>
      <c r="C56" s="353"/>
      <c r="D56" s="16">
        <f>ROUND(SUM(+D52+D54),2)</f>
        <v>8802.4</v>
      </c>
      <c r="E56" s="51"/>
      <c r="F56" s="16">
        <f>ROUND(SUM(+F52+F54),2)</f>
        <v>7539.1</v>
      </c>
      <c r="G56" s="51"/>
      <c r="H56" s="16">
        <f>ROUND(SUM(+H52+H54),2)</f>
        <v>11479.6</v>
      </c>
      <c r="I56" s="51"/>
      <c r="J56" s="16">
        <f>ROUND(SUM(+J52+J54),2)</f>
        <v>7149.3</v>
      </c>
      <c r="K56" s="51"/>
      <c r="L56" s="16">
        <f>ROUND(SUM(+L52+L54),2)</f>
        <v>7175.5</v>
      </c>
      <c r="M56" s="51"/>
      <c r="N56" s="16">
        <f>ROUND(SUM(+N52+N54),2)</f>
        <v>6079.4</v>
      </c>
      <c r="O56" s="51"/>
      <c r="P56" s="16">
        <f>ROUND(SUM(+P52+P54),2)</f>
        <v>6690.5</v>
      </c>
      <c r="Q56" s="51"/>
      <c r="R56" s="16">
        <f>ROUND(SUM(+R52+R54),2)</f>
        <v>7862.8</v>
      </c>
      <c r="S56" s="16"/>
      <c r="T56" s="16">
        <f>ROUND(SUM(+T52+T54),2)</f>
        <v>0</v>
      </c>
      <c r="U56" s="51"/>
      <c r="V56" s="16">
        <f>ROUND(SUM(+V52+V54),2)</f>
        <v>0</v>
      </c>
      <c r="W56" s="16"/>
      <c r="X56" s="16">
        <f>ROUND(SUM(+X52+X54),2)</f>
        <v>0</v>
      </c>
      <c r="Y56" s="16"/>
      <c r="Z56" s="16">
        <f>ROUND(SUM(+Z52+Z54),2)</f>
        <v>0</v>
      </c>
      <c r="AA56" s="16"/>
      <c r="AB56" s="51"/>
      <c r="AC56" s="837"/>
      <c r="AD56" s="16">
        <f>ROUND(SUM(+AD52+AD54),2)</f>
        <v>62778.6</v>
      </c>
      <c r="AE56" s="16"/>
      <c r="AF56" s="838"/>
      <c r="AG56" s="16">
        <f>ROUND(SUM(+AG52+AG54),2)</f>
        <v>52594.7</v>
      </c>
      <c r="AH56" s="108"/>
      <c r="AI56" s="16"/>
      <c r="AJ56" s="434">
        <f>ROUND(SUM(+AJ52+AJ54),1)</f>
        <v>10183.9</v>
      </c>
      <c r="AK56" s="109"/>
      <c r="AL56" s="664">
        <f>ROUND(SUM((AD56-AG56)/ABS(AG56)),3)</f>
        <v>0.19400000000000001</v>
      </c>
      <c r="AM56" s="2113"/>
      <c r="AN56" s="2113"/>
      <c r="AO56" s="2113"/>
    </row>
    <row r="57" spans="1:41" ht="15" customHeight="1">
      <c r="A57" s="46"/>
      <c r="B57" s="353"/>
      <c r="C57" s="353"/>
      <c r="D57" s="1525"/>
      <c r="E57" s="329"/>
      <c r="F57" s="783"/>
      <c r="G57" s="329"/>
      <c r="H57" s="783"/>
      <c r="I57" s="329"/>
      <c r="J57" s="783"/>
      <c r="K57" s="329"/>
      <c r="L57" s="783"/>
      <c r="M57" s="329"/>
      <c r="N57" s="783"/>
      <c r="O57" s="329"/>
      <c r="P57" s="783"/>
      <c r="Q57" s="329"/>
      <c r="R57" s="783"/>
      <c r="S57" s="329"/>
      <c r="T57" s="783"/>
      <c r="U57" s="329"/>
      <c r="V57" s="783"/>
      <c r="W57" s="325"/>
      <c r="X57" s="783"/>
      <c r="Y57" s="325"/>
      <c r="Z57" s="783"/>
      <c r="AA57" s="325"/>
      <c r="AB57" s="329"/>
      <c r="AC57" s="836"/>
      <c r="AD57" s="1525"/>
      <c r="AE57" s="329"/>
      <c r="AF57" s="1546"/>
      <c r="AG57" s="1525"/>
      <c r="AH57" s="2022"/>
      <c r="AI57" s="466"/>
      <c r="AJ57" s="656"/>
      <c r="AK57" s="656"/>
      <c r="AL57" s="663"/>
      <c r="AM57" s="2113"/>
      <c r="AN57" s="2113"/>
      <c r="AO57" s="2113"/>
    </row>
    <row r="58" spans="1:41" ht="15" customHeight="1">
      <c r="A58" s="46"/>
      <c r="B58" s="2006" t="s">
        <v>123</v>
      </c>
      <c r="C58" s="353"/>
      <c r="D58" s="329"/>
      <c r="E58" s="329"/>
      <c r="F58" s="325"/>
      <c r="G58" s="329"/>
      <c r="H58" s="325"/>
      <c r="I58" s="329"/>
      <c r="J58" s="325"/>
      <c r="K58" s="329"/>
      <c r="L58" s="325"/>
      <c r="M58" s="329"/>
      <c r="N58" s="325"/>
      <c r="O58" s="329"/>
      <c r="P58" s="325"/>
      <c r="Q58" s="329"/>
      <c r="R58" s="325"/>
      <c r="S58" s="329"/>
      <c r="T58" s="325"/>
      <c r="U58" s="329"/>
      <c r="V58" s="325"/>
      <c r="W58" s="325"/>
      <c r="X58" s="325"/>
      <c r="Y58" s="325"/>
      <c r="Z58" s="325"/>
      <c r="AA58" s="325"/>
      <c r="AB58" s="329"/>
      <c r="AC58" s="836"/>
      <c r="AD58" s="329"/>
      <c r="AE58" s="329"/>
      <c r="AF58" s="1546"/>
      <c r="AG58" s="329"/>
      <c r="AH58" s="2022"/>
      <c r="AI58" s="466"/>
      <c r="AJ58" s="656"/>
      <c r="AK58" s="656"/>
      <c r="AL58" s="663"/>
      <c r="AM58" s="2113"/>
      <c r="AN58" s="2113"/>
      <c r="AO58" s="2113"/>
    </row>
    <row r="59" spans="1:41" ht="15" customHeight="1">
      <c r="A59" s="46"/>
      <c r="B59" s="353" t="s">
        <v>481</v>
      </c>
      <c r="C59" s="353"/>
      <c r="D59" s="348"/>
      <c r="E59" s="329"/>
      <c r="F59" s="348"/>
      <c r="G59" s="329"/>
      <c r="H59" s="348"/>
      <c r="I59" s="329"/>
      <c r="J59" s="348"/>
      <c r="K59" s="329"/>
      <c r="L59" s="348"/>
      <c r="M59" s="329"/>
      <c r="N59" s="348"/>
      <c r="O59" s="329"/>
      <c r="P59" s="2125"/>
      <c r="Q59" s="329"/>
      <c r="R59" s="348"/>
      <c r="S59" s="329"/>
      <c r="T59" s="348"/>
      <c r="U59" s="329"/>
      <c r="V59" s="325"/>
      <c r="W59" s="325"/>
      <c r="X59" s="325"/>
      <c r="Y59" s="325"/>
      <c r="Z59" s="325"/>
      <c r="AA59" s="325"/>
      <c r="AB59" s="329"/>
      <c r="AC59" s="836"/>
      <c r="AD59" s="329"/>
      <c r="AE59" s="329"/>
      <c r="AF59" s="1546"/>
      <c r="AG59" s="329"/>
      <c r="AH59" s="2022"/>
      <c r="AI59" s="466"/>
      <c r="AJ59" s="487"/>
      <c r="AK59" s="656"/>
      <c r="AL59" s="663"/>
      <c r="AM59" s="2113"/>
      <c r="AN59" s="2113"/>
      <c r="AO59" s="2113"/>
    </row>
    <row r="60" spans="1:41" s="1729" customFormat="1" ht="15" customHeight="1">
      <c r="A60" s="1725"/>
      <c r="B60" s="2019" t="s">
        <v>125</v>
      </c>
      <c r="C60" s="1985"/>
      <c r="D60" s="1973">
        <v>690.7</v>
      </c>
      <c r="E60" s="2020"/>
      <c r="F60" s="1973">
        <v>455.89999999999986</v>
      </c>
      <c r="G60" s="1973"/>
      <c r="H60" s="1973">
        <v>857.90000000000009</v>
      </c>
      <c r="I60" s="1745"/>
      <c r="J60" s="348">
        <v>534.69999999999982</v>
      </c>
      <c r="K60" s="1726"/>
      <c r="L60" s="348">
        <v>471.39999999999986</v>
      </c>
      <c r="M60" s="1726"/>
      <c r="N60" s="348">
        <v>360.90000000000077</v>
      </c>
      <c r="O60" s="1735"/>
      <c r="P60" s="348">
        <v>428.5</v>
      </c>
      <c r="Q60" s="1726"/>
      <c r="R60" s="348">
        <f t="shared" ref="R60:R69" si="7">$AD60-$D60-$F60-$H60-$J60-$L60-$N60-$P60</f>
        <v>1469.3</v>
      </c>
      <c r="S60" s="1726"/>
      <c r="T60" s="1735"/>
      <c r="U60" s="1726"/>
      <c r="V60" s="1735"/>
      <c r="W60" s="1726"/>
      <c r="X60" s="1735"/>
      <c r="Y60" s="1726"/>
      <c r="Z60" s="1735"/>
      <c r="AA60" s="1727"/>
      <c r="AB60" s="776"/>
      <c r="AC60" s="1734"/>
      <c r="AD60" s="659">
        <v>5269.3</v>
      </c>
      <c r="AE60" s="776"/>
      <c r="AF60" s="1165"/>
      <c r="AG60" s="1921">
        <v>3683</v>
      </c>
      <c r="AH60" s="1996"/>
      <c r="AI60" s="1922"/>
      <c r="AJ60" s="1922">
        <f>ROUND(SUM(+AD60-AG60),1)</f>
        <v>1586.3</v>
      </c>
      <c r="AK60" s="1922"/>
      <c r="AL60" s="1918">
        <f>ROUND(IF(AG60=0,0,AJ60/ABS(AG60)),3)</f>
        <v>0.43099999999999999</v>
      </c>
      <c r="AM60" s="2113"/>
      <c r="AN60" s="2113"/>
      <c r="AO60" s="2113"/>
    </row>
    <row r="61" spans="1:41" ht="15" customHeight="1">
      <c r="A61" s="46"/>
      <c r="B61" s="488" t="s">
        <v>126</v>
      </c>
      <c r="C61" s="353"/>
      <c r="D61" s="348">
        <v>0</v>
      </c>
      <c r="E61" s="329"/>
      <c r="F61" s="348">
        <v>0</v>
      </c>
      <c r="G61" s="348"/>
      <c r="H61" s="348">
        <v>0</v>
      </c>
      <c r="I61" s="329"/>
      <c r="J61" s="348">
        <v>0.1</v>
      </c>
      <c r="K61" s="690"/>
      <c r="L61" s="348">
        <v>0</v>
      </c>
      <c r="M61" s="690"/>
      <c r="N61" s="348">
        <v>0</v>
      </c>
      <c r="O61" s="690"/>
      <c r="P61" s="348">
        <v>0</v>
      </c>
      <c r="Q61" s="690"/>
      <c r="R61" s="348">
        <f t="shared" si="7"/>
        <v>0.1</v>
      </c>
      <c r="S61" s="690"/>
      <c r="T61" s="348"/>
      <c r="U61" s="690"/>
      <c r="V61" s="348"/>
      <c r="W61" s="690"/>
      <c r="X61" s="348"/>
      <c r="Y61" s="690"/>
      <c r="Z61" s="348"/>
      <c r="AA61" s="351"/>
      <c r="AB61" s="325"/>
      <c r="AC61" s="647"/>
      <c r="AD61" s="659">
        <v>0.2</v>
      </c>
      <c r="AE61" s="325"/>
      <c r="AF61" s="648"/>
      <c r="AG61" s="659">
        <v>0.7</v>
      </c>
      <c r="AH61" s="643"/>
      <c r="AI61" s="325"/>
      <c r="AJ61" s="325">
        <f>ROUND(SUM(+AD61-AG61),1)</f>
        <v>-0.5</v>
      </c>
      <c r="AK61" s="325"/>
      <c r="AL61" s="769">
        <f>ROUND(IF(AG61=0,0,AJ61/ABS(AG61)),3)</f>
        <v>-0.71399999999999997</v>
      </c>
      <c r="AM61" s="2113"/>
      <c r="AN61" s="2113"/>
      <c r="AO61" s="2113"/>
    </row>
    <row r="62" spans="1:41" ht="15" customHeight="1">
      <c r="A62" s="46"/>
      <c r="B62" s="488" t="s">
        <v>127</v>
      </c>
      <c r="C62" s="353"/>
      <c r="D62" s="348">
        <v>1.7</v>
      </c>
      <c r="E62" s="329"/>
      <c r="F62" s="348">
        <v>3.2</v>
      </c>
      <c r="G62" s="348"/>
      <c r="H62" s="348">
        <v>0.39999999999999947</v>
      </c>
      <c r="I62" s="329"/>
      <c r="J62" s="348">
        <v>10.900000000000002</v>
      </c>
      <c r="K62" s="690"/>
      <c r="L62" s="348">
        <v>2.9000000000000021</v>
      </c>
      <c r="M62" s="690"/>
      <c r="N62" s="348">
        <v>2.8999999999999986</v>
      </c>
      <c r="O62" s="690"/>
      <c r="P62" s="348">
        <v>0.19999999999999929</v>
      </c>
      <c r="Q62" s="690"/>
      <c r="R62" s="348">
        <f t="shared" si="7"/>
        <v>10.199999999999999</v>
      </c>
      <c r="S62" s="690"/>
      <c r="T62" s="348"/>
      <c r="U62" s="690"/>
      <c r="V62" s="348"/>
      <c r="W62" s="690"/>
      <c r="X62" s="348"/>
      <c r="Y62" s="690"/>
      <c r="Z62" s="348"/>
      <c r="AA62" s="351"/>
      <c r="AB62" s="325"/>
      <c r="AC62" s="647"/>
      <c r="AD62" s="659">
        <v>32.4</v>
      </c>
      <c r="AE62" s="325"/>
      <c r="AF62" s="648"/>
      <c r="AG62" s="659">
        <v>462.4</v>
      </c>
      <c r="AH62" s="643"/>
      <c r="AI62" s="325"/>
      <c r="AJ62" s="325">
        <f>ROUND(SUM(+AD62-AG62),1)</f>
        <v>-430</v>
      </c>
      <c r="AK62" s="325"/>
      <c r="AL62" s="327">
        <f>ROUND(IF(AG62=0,0,AJ62/ABS(AG62)),3)</f>
        <v>-0.93</v>
      </c>
      <c r="AM62" s="2113"/>
      <c r="AN62" s="2113"/>
      <c r="AO62" s="2113"/>
    </row>
    <row r="63" spans="1:41" ht="15" customHeight="1">
      <c r="A63" s="46"/>
      <c r="B63" s="488" t="s">
        <v>128</v>
      </c>
      <c r="C63" s="353"/>
      <c r="D63" s="348" t="s">
        <v>104</v>
      </c>
      <c r="E63" s="329"/>
      <c r="F63" s="348"/>
      <c r="G63" s="348"/>
      <c r="H63" s="348"/>
      <c r="I63" s="329"/>
      <c r="J63" s="348"/>
      <c r="K63" s="690"/>
      <c r="L63" s="348"/>
      <c r="M63" s="690"/>
      <c r="N63" s="348"/>
      <c r="O63" s="690"/>
      <c r="P63" s="348"/>
      <c r="Q63" s="690"/>
      <c r="R63" s="348"/>
      <c r="S63" s="690"/>
      <c r="T63" s="348"/>
      <c r="U63" s="690"/>
      <c r="V63" s="348"/>
      <c r="W63" s="690"/>
      <c r="X63" s="348"/>
      <c r="Y63" s="690"/>
      <c r="Z63" s="348"/>
      <c r="AA63" s="351"/>
      <c r="AB63" s="325"/>
      <c r="AC63" s="647"/>
      <c r="AD63" s="659"/>
      <c r="AE63" s="325"/>
      <c r="AF63" s="648"/>
      <c r="AG63" s="659"/>
      <c r="AH63" s="643"/>
      <c r="AI63" s="325"/>
      <c r="AJ63" s="348"/>
      <c r="AK63" s="487"/>
      <c r="AL63" s="663"/>
      <c r="AM63" s="2113"/>
      <c r="AN63" s="2113"/>
      <c r="AO63" s="2113"/>
    </row>
    <row r="64" spans="1:41" ht="15" customHeight="1">
      <c r="A64" s="46"/>
      <c r="B64" s="1523" t="s">
        <v>129</v>
      </c>
      <c r="C64" s="353"/>
      <c r="D64" s="348">
        <v>4166.8</v>
      </c>
      <c r="E64" s="329"/>
      <c r="F64" s="348">
        <v>7475.5999999999995</v>
      </c>
      <c r="G64" s="348"/>
      <c r="H64" s="348">
        <v>4208.7</v>
      </c>
      <c r="I64" s="329"/>
      <c r="J64" s="348">
        <v>4696.0000000000009</v>
      </c>
      <c r="K64" s="690"/>
      <c r="L64" s="348">
        <v>5467.7</v>
      </c>
      <c r="M64" s="690"/>
      <c r="N64" s="348">
        <v>1770.7000000000007</v>
      </c>
      <c r="O64" s="690"/>
      <c r="P64" s="348">
        <v>4180.4000000000024</v>
      </c>
      <c r="Q64" s="690"/>
      <c r="R64" s="348">
        <f t="shared" si="7"/>
        <v>5221.8999999999969</v>
      </c>
      <c r="S64" s="690"/>
      <c r="T64" s="348"/>
      <c r="U64" s="690"/>
      <c r="V64" s="348"/>
      <c r="W64" s="690"/>
      <c r="X64" s="348"/>
      <c r="Y64" s="690"/>
      <c r="Z64" s="348"/>
      <c r="AA64" s="351"/>
      <c r="AB64" s="325"/>
      <c r="AC64" s="647"/>
      <c r="AD64" s="659">
        <v>37187.800000000003</v>
      </c>
      <c r="AE64" s="325"/>
      <c r="AF64" s="648"/>
      <c r="AG64" s="659">
        <v>34114.6</v>
      </c>
      <c r="AH64" s="643"/>
      <c r="AI64" s="325"/>
      <c r="AJ64" s="325">
        <f t="shared" ref="AJ64:AJ69" si="8">ROUND(SUM(+AD64-AG64),1)</f>
        <v>3073.2</v>
      </c>
      <c r="AK64" s="325"/>
      <c r="AL64" s="327">
        <f t="shared" ref="AL64:AL69" si="9">ROUND(IF(AG64=0,0,AJ64/ABS(AG64)),3)</f>
        <v>0.09</v>
      </c>
      <c r="AM64" s="2113"/>
      <c r="AN64" s="2113"/>
      <c r="AO64" s="2113"/>
    </row>
    <row r="65" spans="1:41" ht="15" customHeight="1">
      <c r="A65" s="46"/>
      <c r="B65" s="488" t="s">
        <v>130</v>
      </c>
      <c r="C65" s="353"/>
      <c r="D65" s="348">
        <v>773.3</v>
      </c>
      <c r="E65" s="329"/>
      <c r="F65" s="348">
        <v>809.3</v>
      </c>
      <c r="G65" s="348"/>
      <c r="H65" s="348">
        <v>940.59999999999991</v>
      </c>
      <c r="I65" s="329"/>
      <c r="J65" s="348">
        <v>988.7000000000005</v>
      </c>
      <c r="K65" s="690"/>
      <c r="L65" s="348">
        <v>1016.799999999999</v>
      </c>
      <c r="M65" s="690"/>
      <c r="N65" s="348">
        <v>1357.5000000000002</v>
      </c>
      <c r="O65" s="690"/>
      <c r="P65" s="348">
        <v>1055.8999999999994</v>
      </c>
      <c r="Q65" s="690"/>
      <c r="R65" s="348">
        <f t="shared" si="7"/>
        <v>1130.2999999999995</v>
      </c>
      <c r="S65" s="690"/>
      <c r="T65" s="348"/>
      <c r="U65" s="690"/>
      <c r="V65" s="348"/>
      <c r="W65" s="690"/>
      <c r="X65" s="348"/>
      <c r="Y65" s="690"/>
      <c r="Z65" s="348"/>
      <c r="AA65" s="351"/>
      <c r="AB65" s="325"/>
      <c r="AC65" s="647"/>
      <c r="AD65" s="659">
        <v>8072.4</v>
      </c>
      <c r="AE65" s="325"/>
      <c r="AF65" s="648"/>
      <c r="AG65" s="659">
        <v>5422.6</v>
      </c>
      <c r="AH65" s="643"/>
      <c r="AI65" s="325"/>
      <c r="AJ65" s="325">
        <f t="shared" si="8"/>
        <v>2649.8</v>
      </c>
      <c r="AK65" s="325"/>
      <c r="AL65" s="327">
        <f t="shared" si="9"/>
        <v>0.48899999999999999</v>
      </c>
      <c r="AM65" s="2113"/>
      <c r="AN65" s="2113"/>
      <c r="AO65" s="2113"/>
    </row>
    <row r="66" spans="1:41" ht="15" customHeight="1">
      <c r="A66" s="46"/>
      <c r="B66" s="488" t="s">
        <v>131</v>
      </c>
      <c r="C66" s="353"/>
      <c r="D66" s="348">
        <v>1068.2</v>
      </c>
      <c r="E66" s="329"/>
      <c r="F66" s="348">
        <v>171.59999999999991</v>
      </c>
      <c r="G66" s="348"/>
      <c r="H66" s="348">
        <v>826.2</v>
      </c>
      <c r="I66" s="329"/>
      <c r="J66" s="348">
        <v>349.90000000000009</v>
      </c>
      <c r="K66" s="690"/>
      <c r="L66" s="348">
        <v>247.40000000000009</v>
      </c>
      <c r="M66" s="690"/>
      <c r="N66" s="348">
        <v>149.5</v>
      </c>
      <c r="O66" s="690"/>
      <c r="P66" s="348">
        <v>823.7999999999995</v>
      </c>
      <c r="Q66" s="690"/>
      <c r="R66" s="348">
        <f t="shared" si="7"/>
        <v>129.90000000000055</v>
      </c>
      <c r="S66" s="690"/>
      <c r="T66" s="348"/>
      <c r="U66" s="690"/>
      <c r="V66" s="348"/>
      <c r="W66" s="690"/>
      <c r="X66" s="348"/>
      <c r="Y66" s="690"/>
      <c r="Z66" s="348"/>
      <c r="AA66" s="351"/>
      <c r="AB66" s="325"/>
      <c r="AC66" s="647"/>
      <c r="AD66" s="659">
        <v>3766.5</v>
      </c>
      <c r="AE66" s="325"/>
      <c r="AF66" s="648"/>
      <c r="AG66" s="659">
        <v>1018.6</v>
      </c>
      <c r="AH66" s="643"/>
      <c r="AI66" s="325"/>
      <c r="AJ66" s="325">
        <f t="shared" si="8"/>
        <v>2747.9</v>
      </c>
      <c r="AK66" s="325"/>
      <c r="AL66" s="1289">
        <f t="shared" si="9"/>
        <v>2.698</v>
      </c>
      <c r="AM66" s="2113"/>
      <c r="AN66" s="2113"/>
      <c r="AO66" s="2113"/>
    </row>
    <row r="67" spans="1:41" ht="15" customHeight="1">
      <c r="A67" s="46"/>
      <c r="B67" s="488" t="s">
        <v>132</v>
      </c>
      <c r="C67" s="353"/>
      <c r="D67" s="348">
        <v>611.79999999999995</v>
      </c>
      <c r="E67" s="329"/>
      <c r="F67" s="348">
        <v>409.80000000000007</v>
      </c>
      <c r="G67" s="348"/>
      <c r="H67" s="348">
        <v>287.80000000000007</v>
      </c>
      <c r="I67" s="329"/>
      <c r="J67" s="348">
        <v>269.59999999999991</v>
      </c>
      <c r="K67" s="690"/>
      <c r="L67" s="348">
        <v>389.40000000000009</v>
      </c>
      <c r="M67" s="690"/>
      <c r="N67" s="348">
        <v>610.19999999999982</v>
      </c>
      <c r="O67" s="690"/>
      <c r="P67" s="348">
        <v>795.59999999999945</v>
      </c>
      <c r="Q67" s="690"/>
      <c r="R67" s="348">
        <f t="shared" si="7"/>
        <v>576.30000000000018</v>
      </c>
      <c r="S67" s="690"/>
      <c r="T67" s="348"/>
      <c r="U67" s="690"/>
      <c r="V67" s="348"/>
      <c r="W67" s="690"/>
      <c r="X67" s="348"/>
      <c r="Y67" s="690"/>
      <c r="Z67" s="348"/>
      <c r="AA67" s="351"/>
      <c r="AB67" s="325"/>
      <c r="AC67" s="647"/>
      <c r="AD67" s="659">
        <v>3950.5</v>
      </c>
      <c r="AE67" s="325"/>
      <c r="AF67" s="648"/>
      <c r="AG67" s="659">
        <v>4098.7</v>
      </c>
      <c r="AH67" s="643"/>
      <c r="AI67" s="325"/>
      <c r="AJ67" s="325">
        <f t="shared" si="8"/>
        <v>-148.19999999999999</v>
      </c>
      <c r="AK67" s="325"/>
      <c r="AL67" s="327">
        <f t="shared" si="9"/>
        <v>-3.5999999999999997E-2</v>
      </c>
      <c r="AM67" s="2113"/>
      <c r="AN67" s="2113"/>
      <c r="AO67" s="2113"/>
    </row>
    <row r="68" spans="1:41" ht="15" customHeight="1">
      <c r="A68" s="46"/>
      <c r="B68" s="488" t="s">
        <v>133</v>
      </c>
      <c r="C68" s="353"/>
      <c r="D68" s="348">
        <v>0.1</v>
      </c>
      <c r="E68" s="329"/>
      <c r="F68" s="348">
        <v>151.5</v>
      </c>
      <c r="G68" s="348"/>
      <c r="H68" s="348">
        <v>2</v>
      </c>
      <c r="I68" s="329"/>
      <c r="J68" s="348">
        <v>0.59999999999999432</v>
      </c>
      <c r="K68" s="690"/>
      <c r="L68" s="348">
        <v>1.8000000000000114</v>
      </c>
      <c r="M68" s="690"/>
      <c r="N68" s="348">
        <v>9.9999999999994316E-2</v>
      </c>
      <c r="O68" s="690"/>
      <c r="P68" s="348">
        <v>9.9999999999994316E-2</v>
      </c>
      <c r="Q68" s="690"/>
      <c r="R68" s="348">
        <f t="shared" si="7"/>
        <v>0.20000000000001705</v>
      </c>
      <c r="S68" s="690"/>
      <c r="T68" s="348"/>
      <c r="U68" s="690"/>
      <c r="V68" s="348"/>
      <c r="W68" s="690"/>
      <c r="X68" s="348"/>
      <c r="Y68" s="690"/>
      <c r="Z68" s="348"/>
      <c r="AA68" s="351"/>
      <c r="AB68" s="325"/>
      <c r="AC68" s="647"/>
      <c r="AD68" s="313">
        <v>156.4</v>
      </c>
      <c r="AE68" s="325"/>
      <c r="AF68" s="648"/>
      <c r="AG68" s="659">
        <v>4.5</v>
      </c>
      <c r="AH68" s="643"/>
      <c r="AI68" s="325"/>
      <c r="AJ68" s="325">
        <f t="shared" si="8"/>
        <v>151.9</v>
      </c>
      <c r="AK68" s="325"/>
      <c r="AL68" s="1289">
        <f>ROUND(IF(AG68=0,1,AJ68/ABS(AG68)),3)</f>
        <v>33.756</v>
      </c>
      <c r="AM68" s="2113"/>
      <c r="AN68" s="2113"/>
      <c r="AO68" s="2113"/>
    </row>
    <row r="69" spans="1:41" ht="15" customHeight="1">
      <c r="A69" s="46"/>
      <c r="B69" s="488" t="s">
        <v>134</v>
      </c>
      <c r="C69" s="353"/>
      <c r="D69" s="348">
        <v>4.3</v>
      </c>
      <c r="E69" s="329"/>
      <c r="F69" s="348">
        <v>4.1000000000000005</v>
      </c>
      <c r="G69" s="348"/>
      <c r="H69" s="348">
        <v>7.2</v>
      </c>
      <c r="I69" s="329"/>
      <c r="J69" s="348">
        <v>1.599999999999997</v>
      </c>
      <c r="K69" s="690"/>
      <c r="L69" s="348">
        <v>4.1000000000000014</v>
      </c>
      <c r="M69" s="690"/>
      <c r="N69" s="348">
        <v>4.8000000000000007</v>
      </c>
      <c r="O69" s="690"/>
      <c r="P69" s="348">
        <v>4.2999999999999972</v>
      </c>
      <c r="Q69" s="690"/>
      <c r="R69" s="348">
        <f t="shared" si="7"/>
        <v>3.5</v>
      </c>
      <c r="S69" s="690"/>
      <c r="T69" s="348"/>
      <c r="U69" s="690"/>
      <c r="V69" s="348"/>
      <c r="W69" s="690"/>
      <c r="X69" s="348"/>
      <c r="Y69" s="690"/>
      <c r="Z69" s="348"/>
      <c r="AA69" s="351"/>
      <c r="AB69" s="325"/>
      <c r="AC69" s="647"/>
      <c r="AD69" s="659">
        <v>33.9</v>
      </c>
      <c r="AE69" s="325"/>
      <c r="AF69" s="648"/>
      <c r="AG69" s="659">
        <v>33.9</v>
      </c>
      <c r="AH69" s="643"/>
      <c r="AI69" s="325"/>
      <c r="AJ69" s="325">
        <f t="shared" si="8"/>
        <v>0</v>
      </c>
      <c r="AK69" s="325"/>
      <c r="AL69" s="661">
        <f t="shared" si="9"/>
        <v>0</v>
      </c>
      <c r="AM69" s="2113"/>
      <c r="AN69" s="2113"/>
      <c r="AO69" s="2113"/>
    </row>
    <row r="70" spans="1:41" ht="15" customHeight="1">
      <c r="A70" s="46"/>
      <c r="B70" s="6" t="s">
        <v>566</v>
      </c>
      <c r="C70" s="353"/>
      <c r="D70" s="784">
        <f>ROUND(SUM(D60:D69),2)</f>
        <v>7316.9</v>
      </c>
      <c r="E70" s="51"/>
      <c r="F70" s="784">
        <f>ROUND(SUM(F60:F69),2)</f>
        <v>9481</v>
      </c>
      <c r="G70" s="51"/>
      <c r="H70" s="784">
        <f>ROUND(SUM(H60:H69),2)</f>
        <v>7130.8</v>
      </c>
      <c r="I70" s="51"/>
      <c r="J70" s="784">
        <f>ROUND(SUM(J60:J69),2)</f>
        <v>6852.1</v>
      </c>
      <c r="K70" s="51"/>
      <c r="L70" s="784">
        <f>ROUND(SUM(L60:L69),2)</f>
        <v>7601.5</v>
      </c>
      <c r="M70" s="51"/>
      <c r="N70" s="784">
        <f>ROUND(SUM(N60:N69),2)</f>
        <v>4256.6000000000004</v>
      </c>
      <c r="O70" s="51"/>
      <c r="P70" s="784">
        <f>ROUND(SUM(P60:P69),2)</f>
        <v>7288.8</v>
      </c>
      <c r="Q70" s="51"/>
      <c r="R70" s="784">
        <f>ROUND(SUM(R60:R69),2)</f>
        <v>8541.7000000000007</v>
      </c>
      <c r="S70" s="16"/>
      <c r="T70" s="784">
        <f>ROUND(SUM(T60:T69),2)</f>
        <v>0</v>
      </c>
      <c r="U70" s="51"/>
      <c r="V70" s="784">
        <f>ROUND(SUM(V60:V69),2)</f>
        <v>0</v>
      </c>
      <c r="W70" s="16"/>
      <c r="X70" s="784">
        <f>ROUND(SUM(X60:X69),2)</f>
        <v>0</v>
      </c>
      <c r="Y70" s="16"/>
      <c r="Z70" s="784">
        <f>ROUND(SUM(Z60:Z69),2)</f>
        <v>0</v>
      </c>
      <c r="AA70" s="16"/>
      <c r="AB70" s="51"/>
      <c r="AC70" s="837"/>
      <c r="AD70" s="842">
        <f>ROUND(SUM(AD60:AD69),2)</f>
        <v>58469.4</v>
      </c>
      <c r="AE70" s="16"/>
      <c r="AF70" s="838"/>
      <c r="AG70" s="842">
        <f>ROUND(SUM(AG60:AG69),2)</f>
        <v>48839</v>
      </c>
      <c r="AH70" s="108"/>
      <c r="AI70" s="16"/>
      <c r="AJ70" s="1357">
        <f>ROUND(SUM(AD70-AG70),1)</f>
        <v>9630.4</v>
      </c>
      <c r="AK70" s="109"/>
      <c r="AL70" s="1547">
        <f>ROUND(SUM((AD70-AG70)/ABS(AG70)),3)</f>
        <v>0.19700000000000001</v>
      </c>
      <c r="AM70" s="2113"/>
      <c r="AN70" s="2113"/>
      <c r="AO70" s="2113"/>
    </row>
    <row r="71" spans="1:41" ht="15" customHeight="1">
      <c r="A71" s="46"/>
      <c r="B71" s="353" t="s">
        <v>483</v>
      </c>
      <c r="C71" s="353"/>
      <c r="D71" s="329"/>
      <c r="E71" s="329"/>
      <c r="F71" s="325"/>
      <c r="G71" s="329"/>
      <c r="H71" s="325"/>
      <c r="I71" s="329"/>
      <c r="J71" s="325"/>
      <c r="K71" s="329"/>
      <c r="L71" s="325"/>
      <c r="M71" s="329"/>
      <c r="N71" s="325"/>
      <c r="O71" s="329"/>
      <c r="P71" s="325"/>
      <c r="Q71" s="329"/>
      <c r="R71" s="325"/>
      <c r="S71" s="329"/>
      <c r="T71" s="325"/>
      <c r="U71" s="329"/>
      <c r="V71" s="325"/>
      <c r="W71" s="325"/>
      <c r="X71" s="325"/>
      <c r="Y71" s="325"/>
      <c r="Z71" s="325"/>
      <c r="AA71" s="325"/>
      <c r="AB71" s="329"/>
      <c r="AC71" s="836"/>
      <c r="AD71" s="329"/>
      <c r="AE71" s="329"/>
      <c r="AF71" s="1546"/>
      <c r="AG71" s="329"/>
      <c r="AH71" s="2022"/>
      <c r="AI71" s="466"/>
      <c r="AJ71" s="656"/>
      <c r="AK71" s="656"/>
      <c r="AL71" s="663"/>
      <c r="AM71" s="2113"/>
      <c r="AN71" s="2113"/>
      <c r="AO71" s="2113"/>
    </row>
    <row r="72" spans="1:41" ht="15" customHeight="1">
      <c r="A72" s="46"/>
      <c r="B72" s="353" t="s">
        <v>484</v>
      </c>
      <c r="C72" s="353"/>
      <c r="D72" s="348">
        <v>62.8</v>
      </c>
      <c r="E72" s="329"/>
      <c r="F72" s="348">
        <v>53.7</v>
      </c>
      <c r="G72" s="329"/>
      <c r="H72" s="348">
        <v>55.400000000000006</v>
      </c>
      <c r="I72" s="329"/>
      <c r="J72" s="348">
        <v>51.899999999999991</v>
      </c>
      <c r="K72" s="690"/>
      <c r="L72" s="348">
        <v>91.09999999999998</v>
      </c>
      <c r="M72" s="690"/>
      <c r="N72" s="348">
        <v>56.40000000000002</v>
      </c>
      <c r="O72" s="690"/>
      <c r="P72" s="348">
        <v>61.899999999999977</v>
      </c>
      <c r="Q72" s="690"/>
      <c r="R72" s="348">
        <f t="shared" ref="R72:R77" si="10">$AD72-$D72-$F72-$H72-$J72-$L72-$N72-$P72</f>
        <v>79.300000000000068</v>
      </c>
      <c r="S72" s="690"/>
      <c r="T72" s="348"/>
      <c r="U72" s="690"/>
      <c r="V72" s="348"/>
      <c r="W72" s="690"/>
      <c r="X72" s="348"/>
      <c r="Y72" s="690"/>
      <c r="Z72" s="348"/>
      <c r="AA72" s="351"/>
      <c r="AB72" s="325"/>
      <c r="AC72" s="647"/>
      <c r="AD72" s="659">
        <v>512.5</v>
      </c>
      <c r="AE72" s="325"/>
      <c r="AF72" s="648"/>
      <c r="AG72" s="659">
        <v>464.7</v>
      </c>
      <c r="AH72" s="643"/>
      <c r="AI72" s="325"/>
      <c r="AJ72" s="325">
        <f>ROUND(SUM(+AD72-AG72),1)</f>
        <v>47.8</v>
      </c>
      <c r="AK72" s="325"/>
      <c r="AL72" s="327">
        <f>ROUND(IF(AG72=0,0,AJ72/ABS(AG72)),3)</f>
        <v>0.10299999999999999</v>
      </c>
      <c r="AM72" s="2113"/>
      <c r="AN72" s="2113"/>
      <c r="AO72" s="2113"/>
    </row>
    <row r="73" spans="1:41" ht="15" customHeight="1">
      <c r="A73" s="46"/>
      <c r="B73" s="353" t="s">
        <v>567</v>
      </c>
      <c r="C73" s="353"/>
      <c r="D73" s="348">
        <v>37</v>
      </c>
      <c r="E73" s="329"/>
      <c r="F73" s="348">
        <v>128.69999999999999</v>
      </c>
      <c r="G73" s="329"/>
      <c r="H73" s="348">
        <v>796.59999999999991</v>
      </c>
      <c r="I73" s="329"/>
      <c r="J73" s="348">
        <v>65.100000000000136</v>
      </c>
      <c r="K73" s="690"/>
      <c r="L73" s="348">
        <v>151.89999999999986</v>
      </c>
      <c r="M73" s="690"/>
      <c r="N73" s="348">
        <v>415</v>
      </c>
      <c r="O73" s="690"/>
      <c r="P73" s="348">
        <v>134.29999999999995</v>
      </c>
      <c r="Q73" s="690"/>
      <c r="R73" s="348">
        <f t="shared" si="10"/>
        <v>138.10000000000014</v>
      </c>
      <c r="S73" s="690"/>
      <c r="T73" s="348"/>
      <c r="U73" s="690"/>
      <c r="V73" s="348"/>
      <c r="W73" s="690"/>
      <c r="X73" s="348"/>
      <c r="Y73" s="690"/>
      <c r="Z73" s="348"/>
      <c r="AA73" s="351"/>
      <c r="AB73" s="325"/>
      <c r="AC73" s="647"/>
      <c r="AD73" s="659">
        <v>1866.7</v>
      </c>
      <c r="AE73" s="325"/>
      <c r="AF73" s="648"/>
      <c r="AG73" s="659">
        <v>1024.4000000000001</v>
      </c>
      <c r="AH73" s="643"/>
      <c r="AI73" s="325"/>
      <c r="AJ73" s="325">
        <f>ROUND(SUM(+AD73-AG73),1)</f>
        <v>842.3</v>
      </c>
      <c r="AK73" s="325"/>
      <c r="AL73" s="327">
        <f>ROUND(IF(AG73=0,0,AJ73/ABS(AG73)),3)</f>
        <v>0.82199999999999995</v>
      </c>
      <c r="AM73" s="2113"/>
      <c r="AN73" s="2113"/>
      <c r="AO73" s="2113"/>
    </row>
    <row r="74" spans="1:41" ht="15" customHeight="1">
      <c r="A74" s="46"/>
      <c r="B74" s="353" t="s">
        <v>486</v>
      </c>
      <c r="C74" s="353"/>
      <c r="D74" s="348">
        <v>0</v>
      </c>
      <c r="E74" s="329"/>
      <c r="F74" s="348">
        <v>57.8</v>
      </c>
      <c r="G74" s="329"/>
      <c r="H74" s="348">
        <v>47.400000000000006</v>
      </c>
      <c r="I74" s="329"/>
      <c r="J74" s="348">
        <v>28.499999999999986</v>
      </c>
      <c r="K74" s="690"/>
      <c r="L74" s="348">
        <v>34.400000000000006</v>
      </c>
      <c r="M74" s="690"/>
      <c r="N74" s="348">
        <v>31.300000000000026</v>
      </c>
      <c r="O74" s="690"/>
      <c r="P74" s="348">
        <v>26.599999999999966</v>
      </c>
      <c r="Q74" s="690"/>
      <c r="R74" s="348">
        <f t="shared" si="10"/>
        <v>59.500000000000014</v>
      </c>
      <c r="S74" s="690"/>
      <c r="T74" s="348"/>
      <c r="U74" s="690"/>
      <c r="V74" s="348"/>
      <c r="W74" s="690"/>
      <c r="X74" s="348"/>
      <c r="Y74" s="690"/>
      <c r="Z74" s="348"/>
      <c r="AA74" s="351"/>
      <c r="AB74" s="325"/>
      <c r="AC74" s="647"/>
      <c r="AD74" s="659">
        <v>285.5</v>
      </c>
      <c r="AE74" s="325"/>
      <c r="AF74" s="648"/>
      <c r="AG74" s="659">
        <v>267.8</v>
      </c>
      <c r="AH74" s="643"/>
      <c r="AI74" s="325"/>
      <c r="AJ74" s="325">
        <f>ROUND(SUM(+AD74-AG74),1)</f>
        <v>17.7</v>
      </c>
      <c r="AK74" s="325"/>
      <c r="AL74" s="327">
        <f>ROUND(IF(AG74=0,0,AJ74/ABS(AG74)),3)</f>
        <v>6.6000000000000003E-2</v>
      </c>
      <c r="AM74" s="2113"/>
      <c r="AN74" s="2113"/>
      <c r="AO74" s="2113"/>
    </row>
    <row r="75" spans="1:41" ht="15" customHeight="1">
      <c r="A75" s="46"/>
      <c r="B75" s="79" t="s">
        <v>543</v>
      </c>
      <c r="C75" s="353"/>
      <c r="D75" s="348" t="s">
        <v>104</v>
      </c>
      <c r="E75" s="329"/>
      <c r="F75" s="348"/>
      <c r="G75" s="329"/>
      <c r="H75" s="348"/>
      <c r="I75" s="329"/>
      <c r="J75" s="348"/>
      <c r="K75" s="690"/>
      <c r="L75" s="348"/>
      <c r="M75" s="690"/>
      <c r="N75" s="348"/>
      <c r="O75" s="690"/>
      <c r="P75" s="348"/>
      <c r="Q75" s="690"/>
      <c r="R75" s="348"/>
      <c r="S75" s="690"/>
      <c r="T75" s="348"/>
      <c r="U75" s="690"/>
      <c r="V75" s="348"/>
      <c r="W75" s="690"/>
      <c r="X75" s="348"/>
      <c r="Y75" s="690"/>
      <c r="Z75" s="348"/>
      <c r="AA75" s="351"/>
      <c r="AB75" s="325"/>
      <c r="AC75" s="647"/>
      <c r="AD75" s="659" t="s">
        <v>104</v>
      </c>
      <c r="AE75" s="325"/>
      <c r="AF75" s="648"/>
      <c r="AG75" s="659" t="s">
        <v>104</v>
      </c>
      <c r="AH75" s="643"/>
      <c r="AI75" s="325"/>
      <c r="AJ75" s="325"/>
      <c r="AK75" s="325"/>
      <c r="AL75" s="327"/>
      <c r="AM75" s="2113"/>
      <c r="AN75" s="2113"/>
      <c r="AO75" s="2113"/>
    </row>
    <row r="76" spans="1:41" ht="15" customHeight="1">
      <c r="A76" s="46"/>
      <c r="B76" s="79" t="s">
        <v>544</v>
      </c>
      <c r="C76" s="353"/>
      <c r="D76" s="348">
        <v>0</v>
      </c>
      <c r="E76" s="329"/>
      <c r="F76" s="348">
        <v>0</v>
      </c>
      <c r="G76" s="329"/>
      <c r="H76" s="348">
        <v>0</v>
      </c>
      <c r="I76" s="329"/>
      <c r="J76" s="348">
        <v>0</v>
      </c>
      <c r="K76" s="690"/>
      <c r="L76" s="348">
        <v>0</v>
      </c>
      <c r="M76" s="690"/>
      <c r="N76" s="348">
        <v>0</v>
      </c>
      <c r="O76" s="690"/>
      <c r="P76" s="348">
        <v>0</v>
      </c>
      <c r="Q76" s="690"/>
      <c r="R76" s="348">
        <f t="shared" si="10"/>
        <v>0</v>
      </c>
      <c r="S76" s="690"/>
      <c r="T76" s="348"/>
      <c r="U76" s="690"/>
      <c r="V76" s="348"/>
      <c r="W76" s="690"/>
      <c r="X76" s="348"/>
      <c r="Y76" s="690"/>
      <c r="Z76" s="348"/>
      <c r="AA76" s="351"/>
      <c r="AB76" s="325"/>
      <c r="AC76" s="647"/>
      <c r="AD76" s="659">
        <v>0</v>
      </c>
      <c r="AE76" s="325"/>
      <c r="AF76" s="648"/>
      <c r="AG76" s="659">
        <v>0</v>
      </c>
      <c r="AH76" s="643"/>
      <c r="AI76" s="325"/>
      <c r="AJ76" s="325">
        <f>ROUND(SUM(+AD76-AG76),1)</f>
        <v>0</v>
      </c>
      <c r="AK76" s="325"/>
      <c r="AL76" s="327">
        <f>ROUND(IF(AG76=0,0,AJ76/ABS(AG76)),3)</f>
        <v>0</v>
      </c>
      <c r="AM76" s="2113"/>
      <c r="AN76" s="2113"/>
      <c r="AO76" s="2113"/>
    </row>
    <row r="77" spans="1:41" ht="15" customHeight="1">
      <c r="A77" s="46"/>
      <c r="B77" s="353" t="s">
        <v>568</v>
      </c>
      <c r="C77" s="353"/>
      <c r="D77" s="348">
        <v>0</v>
      </c>
      <c r="E77" s="329"/>
      <c r="F77" s="348">
        <v>0</v>
      </c>
      <c r="G77" s="329"/>
      <c r="H77" s="348">
        <v>0</v>
      </c>
      <c r="I77" s="329"/>
      <c r="J77" s="348">
        <v>0</v>
      </c>
      <c r="K77" s="690"/>
      <c r="L77" s="348">
        <v>0</v>
      </c>
      <c r="M77" s="690"/>
      <c r="N77" s="348">
        <v>0</v>
      </c>
      <c r="O77" s="690"/>
      <c r="P77" s="348">
        <v>0</v>
      </c>
      <c r="Q77" s="690"/>
      <c r="R77" s="348">
        <f t="shared" si="10"/>
        <v>0</v>
      </c>
      <c r="S77" s="690"/>
      <c r="T77" s="348"/>
      <c r="U77" s="690"/>
      <c r="V77" s="348"/>
      <c r="W77" s="690"/>
      <c r="X77" s="348"/>
      <c r="Y77" s="690"/>
      <c r="Z77" s="348"/>
      <c r="AA77" s="351"/>
      <c r="AB77" s="325"/>
      <c r="AC77" s="647"/>
      <c r="AD77" s="659">
        <v>0</v>
      </c>
      <c r="AE77" s="325"/>
      <c r="AF77" s="648"/>
      <c r="AG77" s="659">
        <v>0</v>
      </c>
      <c r="AH77" s="643"/>
      <c r="AI77" s="325"/>
      <c r="AJ77" s="325">
        <f>ROUND(SUM(+AD77-AG77),1)</f>
        <v>0</v>
      </c>
      <c r="AK77" s="325"/>
      <c r="AL77" s="661">
        <f>ROUND(IF(AG77=0,0,AJ77/ABS(AG77)),3)</f>
        <v>0</v>
      </c>
      <c r="AM77" s="2113"/>
      <c r="AN77" s="2113"/>
      <c r="AO77" s="2113"/>
    </row>
    <row r="78" spans="1:41" ht="15" customHeight="1">
      <c r="A78" s="46"/>
      <c r="B78" s="353"/>
      <c r="C78" s="353"/>
      <c r="D78" s="1525"/>
      <c r="E78" s="329"/>
      <c r="F78" s="783"/>
      <c r="G78" s="329"/>
      <c r="H78" s="783"/>
      <c r="I78" s="329"/>
      <c r="J78" s="783"/>
      <c r="K78" s="329"/>
      <c r="L78" s="783"/>
      <c r="M78" s="329"/>
      <c r="N78" s="783"/>
      <c r="O78" s="329"/>
      <c r="P78" s="783"/>
      <c r="Q78" s="329"/>
      <c r="R78" s="783"/>
      <c r="S78" s="329"/>
      <c r="T78" s="783"/>
      <c r="U78" s="329"/>
      <c r="V78" s="783"/>
      <c r="W78" s="325"/>
      <c r="X78" s="783"/>
      <c r="Y78" s="325"/>
      <c r="Z78" s="783"/>
      <c r="AA78" s="325"/>
      <c r="AB78" s="329"/>
      <c r="AC78" s="836"/>
      <c r="AD78" s="783"/>
      <c r="AE78" s="325"/>
      <c r="AF78" s="648"/>
      <c r="AG78" s="783"/>
      <c r="AH78" s="643"/>
      <c r="AI78" s="325"/>
      <c r="AJ78" s="783"/>
      <c r="AK78" s="656"/>
      <c r="AL78" s="344"/>
      <c r="AM78" s="2113"/>
      <c r="AN78" s="2113"/>
      <c r="AO78" s="2113"/>
    </row>
    <row r="79" spans="1:41" ht="15" customHeight="1">
      <c r="A79" s="46"/>
      <c r="B79" s="6" t="s">
        <v>487</v>
      </c>
      <c r="C79" s="353"/>
      <c r="D79" s="16">
        <f>ROUND(SUM(D70:D77),1)</f>
        <v>7416.7</v>
      </c>
      <c r="E79" s="51"/>
      <c r="F79" s="16">
        <f>ROUND(SUM(F70:F77),1)</f>
        <v>9721.2000000000007</v>
      </c>
      <c r="G79" s="51"/>
      <c r="H79" s="16">
        <f>ROUND(SUM(H70:H77),1)</f>
        <v>8030.2</v>
      </c>
      <c r="I79" s="51"/>
      <c r="J79" s="16">
        <f>ROUND(SUM(J70:J77),1)</f>
        <v>6997.6</v>
      </c>
      <c r="K79" s="51"/>
      <c r="L79" s="16">
        <f>ROUND(SUM(L70:L77),1)</f>
        <v>7878.9</v>
      </c>
      <c r="M79" s="51"/>
      <c r="N79" s="16">
        <f>ROUND(SUM(N70:N77),1)</f>
        <v>4759.3</v>
      </c>
      <c r="O79" s="51"/>
      <c r="P79" s="16">
        <f>ROUND(SUM(P70:P77),1)</f>
        <v>7511.6</v>
      </c>
      <c r="Q79" s="51"/>
      <c r="R79" s="16">
        <f>ROUND(SUM(R70:R77),1)</f>
        <v>8818.6</v>
      </c>
      <c r="S79" s="16"/>
      <c r="T79" s="16">
        <f>ROUND(SUM(T70:T77),1)</f>
        <v>0</v>
      </c>
      <c r="U79" s="51"/>
      <c r="V79" s="16">
        <f>ROUND(SUM(V70:V77),1)</f>
        <v>0</v>
      </c>
      <c r="W79" s="16"/>
      <c r="X79" s="16">
        <f>ROUND(SUM(X70:X77),1)</f>
        <v>0</v>
      </c>
      <c r="Y79" s="16"/>
      <c r="Z79" s="16">
        <f>ROUND(SUM(Z70:Z77),1)</f>
        <v>0</v>
      </c>
      <c r="AA79" s="16"/>
      <c r="AB79" s="51"/>
      <c r="AC79" s="837"/>
      <c r="AD79" s="16">
        <f>ROUND(SUM(AD70:AD77),1)</f>
        <v>61134.1</v>
      </c>
      <c r="AE79" s="16"/>
      <c r="AF79" s="838"/>
      <c r="AG79" s="16">
        <f>ROUND(SUM(AG70:AG77),1)</f>
        <v>50595.9</v>
      </c>
      <c r="AH79" s="108"/>
      <c r="AI79" s="16"/>
      <c r="AJ79" s="1427">
        <f>ROUND(SUM(AD79-AG79),1)</f>
        <v>10538.2</v>
      </c>
      <c r="AK79" s="882"/>
      <c r="AL79" s="664">
        <f>ROUND(SUM((AD79-AG79)/ABS(AG79)),3)</f>
        <v>0.20799999999999999</v>
      </c>
      <c r="AM79" s="2113"/>
      <c r="AN79" s="2113"/>
      <c r="AO79" s="2113"/>
    </row>
    <row r="80" spans="1:41" ht="15" customHeight="1">
      <c r="A80" s="46"/>
      <c r="B80" s="353"/>
      <c r="C80" s="353"/>
      <c r="D80" s="1525"/>
      <c r="E80" s="329"/>
      <c r="F80" s="783"/>
      <c r="G80" s="329"/>
      <c r="H80" s="783"/>
      <c r="I80" s="329"/>
      <c r="J80" s="783"/>
      <c r="K80" s="329"/>
      <c r="L80" s="783"/>
      <c r="M80" s="329"/>
      <c r="N80" s="783"/>
      <c r="O80" s="329"/>
      <c r="P80" s="783"/>
      <c r="Q80" s="329"/>
      <c r="R80" s="783"/>
      <c r="S80" s="329"/>
      <c r="T80" s="783"/>
      <c r="U80" s="329"/>
      <c r="V80" s="783"/>
      <c r="W80" s="325"/>
      <c r="X80" s="783"/>
      <c r="Y80" s="325"/>
      <c r="Z80" s="783"/>
      <c r="AA80" s="325"/>
      <c r="AB80" s="329"/>
      <c r="AC80" s="836"/>
      <c r="AD80" s="783"/>
      <c r="AE80" s="325"/>
      <c r="AF80" s="648"/>
      <c r="AG80" s="783"/>
      <c r="AH80" s="643"/>
      <c r="AI80" s="535"/>
      <c r="AJ80" s="348"/>
      <c r="AK80" s="656"/>
      <c r="AL80" s="663"/>
      <c r="AM80" s="2113"/>
      <c r="AN80" s="2113"/>
      <c r="AO80" s="2113"/>
    </row>
    <row r="81" spans="1:51" ht="15" customHeight="1">
      <c r="A81" s="46"/>
      <c r="B81" s="6" t="s">
        <v>488</v>
      </c>
      <c r="C81" s="353"/>
      <c r="D81" s="329"/>
      <c r="E81" s="329"/>
      <c r="F81" s="325"/>
      <c r="G81" s="329"/>
      <c r="H81" s="325"/>
      <c r="I81" s="329"/>
      <c r="J81" s="325"/>
      <c r="K81" s="329"/>
      <c r="L81" s="325"/>
      <c r="M81" s="329"/>
      <c r="N81" s="325"/>
      <c r="O81" s="329"/>
      <c r="P81" s="325"/>
      <c r="Q81" s="329"/>
      <c r="R81" s="325"/>
      <c r="S81" s="329"/>
      <c r="T81" s="325"/>
      <c r="U81" s="329"/>
      <c r="V81" s="325"/>
      <c r="W81" s="325"/>
      <c r="X81" s="325"/>
      <c r="Y81" s="325"/>
      <c r="Z81" s="325"/>
      <c r="AA81" s="325"/>
      <c r="AB81" s="329"/>
      <c r="AC81" s="836"/>
      <c r="AD81" s="325"/>
      <c r="AE81" s="2045"/>
      <c r="AF81" s="1743"/>
      <c r="AG81" s="325"/>
      <c r="AH81" s="643"/>
      <c r="AI81" s="535"/>
      <c r="AJ81" s="348"/>
      <c r="AK81" s="656"/>
      <c r="AL81" s="663"/>
      <c r="AM81" s="2113"/>
      <c r="AN81" s="2113"/>
      <c r="AO81" s="2113"/>
    </row>
    <row r="82" spans="1:51" ht="15" customHeight="1">
      <c r="A82" s="46"/>
      <c r="B82" s="6" t="s">
        <v>146</v>
      </c>
      <c r="C82" s="353"/>
      <c r="D82" s="16">
        <f>ROUND(SUM(D56-D79),1)</f>
        <v>1385.7</v>
      </c>
      <c r="E82" s="51"/>
      <c r="F82" s="16">
        <f>ROUND(SUM(F56-F79),1)</f>
        <v>-2182.1</v>
      </c>
      <c r="G82" s="51"/>
      <c r="H82" s="16">
        <f>ROUND(SUM(H56-H79),1)</f>
        <v>3449.4</v>
      </c>
      <c r="I82" s="51"/>
      <c r="J82" s="16">
        <f>ROUND(SUM(J56-J79),1)</f>
        <v>151.69999999999999</v>
      </c>
      <c r="K82" s="51"/>
      <c r="L82" s="16">
        <f>ROUND(SUM(L56-L79),1)</f>
        <v>-703.4</v>
      </c>
      <c r="M82" s="51"/>
      <c r="N82" s="16">
        <f>ROUND(SUM(N56-N79),1)</f>
        <v>1320.1</v>
      </c>
      <c r="O82" s="51"/>
      <c r="P82" s="16">
        <f>ROUND(SUM(P56-P79),1)</f>
        <v>-821.1</v>
      </c>
      <c r="Q82" s="51"/>
      <c r="R82" s="16">
        <f>ROUND(SUM(R56-R79),1)</f>
        <v>-955.8</v>
      </c>
      <c r="S82" s="16"/>
      <c r="T82" s="16">
        <f>ROUND(SUM(T56-T79),1)</f>
        <v>0</v>
      </c>
      <c r="U82" s="51"/>
      <c r="V82" s="16">
        <f>ROUND(SUM(V56-V79),1)</f>
        <v>0</v>
      </c>
      <c r="W82" s="16"/>
      <c r="X82" s="16">
        <f>ROUND(SUM(X56-X79),1)</f>
        <v>0</v>
      </c>
      <c r="Y82" s="16"/>
      <c r="Z82" s="16">
        <f>ROUND(SUM(Z56-Z79),1)</f>
        <v>0</v>
      </c>
      <c r="AA82" s="16"/>
      <c r="AB82" s="51"/>
      <c r="AC82" s="837"/>
      <c r="AD82" s="16">
        <f>ROUND(SUM(AD56-AD79),1)</f>
        <v>1644.5</v>
      </c>
      <c r="AE82" s="16"/>
      <c r="AF82" s="838"/>
      <c r="AG82" s="16">
        <f>ROUND(SUM(AG56-AG79),1)</f>
        <v>1998.8</v>
      </c>
      <c r="AH82" s="108"/>
      <c r="AI82" s="16"/>
      <c r="AJ82" s="1427">
        <f>ROUND(SUM(AD82-AG82),1)</f>
        <v>-354.3</v>
      </c>
      <c r="AK82" s="882"/>
      <c r="AL82" s="1549">
        <f>ROUND(SUM((AD82-AG82)/ABS(AG82)),3)</f>
        <v>-0.17699999999999999</v>
      </c>
      <c r="AM82" s="2113"/>
      <c r="AN82" s="2113"/>
      <c r="AO82" s="2113"/>
    </row>
    <row r="83" spans="1:51" ht="15" customHeight="1">
      <c r="A83" s="46"/>
      <c r="B83" s="353"/>
      <c r="C83" s="353"/>
      <c r="D83" s="1525"/>
      <c r="E83" s="329"/>
      <c r="F83" s="783"/>
      <c r="G83" s="329"/>
      <c r="H83" s="783"/>
      <c r="I83" s="329"/>
      <c r="J83" s="783"/>
      <c r="K83" s="329"/>
      <c r="L83" s="783"/>
      <c r="M83" s="329"/>
      <c r="N83" s="783"/>
      <c r="O83" s="329"/>
      <c r="P83" s="783"/>
      <c r="Q83" s="329"/>
      <c r="R83" s="783"/>
      <c r="S83" s="329"/>
      <c r="T83" s="783"/>
      <c r="U83" s="329"/>
      <c r="V83" s="783"/>
      <c r="W83" s="325"/>
      <c r="X83" s="783"/>
      <c r="Y83" s="325"/>
      <c r="Z83" s="783"/>
      <c r="AA83" s="325"/>
      <c r="AB83" s="329"/>
      <c r="AC83" s="836"/>
      <c r="AD83" s="783"/>
      <c r="AE83" s="325"/>
      <c r="AF83" s="648"/>
      <c r="AG83" s="783"/>
      <c r="AH83" s="643"/>
      <c r="AI83" s="325"/>
      <c r="AJ83" s="348"/>
      <c r="AK83" s="656"/>
      <c r="AL83" s="663"/>
      <c r="AM83" s="2113"/>
      <c r="AN83" s="2113"/>
      <c r="AO83" s="2113"/>
    </row>
    <row r="84" spans="1:51" ht="15" customHeight="1">
      <c r="A84" s="46"/>
      <c r="B84" s="6" t="s">
        <v>147</v>
      </c>
      <c r="C84" s="353"/>
      <c r="D84" s="329"/>
      <c r="E84" s="329"/>
      <c r="F84" s="325"/>
      <c r="G84" s="329"/>
      <c r="H84" s="325"/>
      <c r="I84" s="329"/>
      <c r="J84" s="325"/>
      <c r="K84" s="329"/>
      <c r="L84" s="325"/>
      <c r="M84" s="329"/>
      <c r="N84" s="325"/>
      <c r="O84" s="329"/>
      <c r="P84" s="325"/>
      <c r="Q84" s="329"/>
      <c r="R84" s="325"/>
      <c r="S84" s="329"/>
      <c r="T84" s="325"/>
      <c r="U84" s="329"/>
      <c r="V84" s="325"/>
      <c r="W84" s="325"/>
      <c r="X84" s="325"/>
      <c r="Y84" s="325"/>
      <c r="Z84" s="325"/>
      <c r="AA84" s="325"/>
      <c r="AB84" s="329"/>
      <c r="AC84" s="836"/>
      <c r="AD84" s="325"/>
      <c r="AE84" s="325"/>
      <c r="AF84" s="648"/>
      <c r="AG84" s="325"/>
      <c r="AH84" s="643"/>
      <c r="AI84" s="325"/>
      <c r="AJ84" s="348"/>
      <c r="AK84" s="656"/>
      <c r="AL84" s="663"/>
      <c r="AM84" s="2113"/>
      <c r="AN84" s="2113"/>
      <c r="AO84" s="2113"/>
    </row>
    <row r="85" spans="1:51" ht="15" customHeight="1">
      <c r="A85" s="46"/>
      <c r="B85" s="353" t="s">
        <v>569</v>
      </c>
      <c r="C85" s="353"/>
      <c r="D85" s="348">
        <v>0</v>
      </c>
      <c r="E85" s="329"/>
      <c r="F85" s="348">
        <v>0</v>
      </c>
      <c r="G85" s="329"/>
      <c r="H85" s="348">
        <v>0</v>
      </c>
      <c r="I85" s="329"/>
      <c r="J85" s="348">
        <v>0</v>
      </c>
      <c r="K85" s="690"/>
      <c r="L85" s="348">
        <v>0</v>
      </c>
      <c r="M85" s="690"/>
      <c r="N85" s="348">
        <v>0</v>
      </c>
      <c r="O85" s="690"/>
      <c r="P85" s="348">
        <v>0</v>
      </c>
      <c r="Q85" s="690"/>
      <c r="R85" s="348">
        <f t="shared" ref="R85:R86" si="11">$AD85-$D85-$F85-$H85-$J85-$L85-$N85-$P85</f>
        <v>0</v>
      </c>
      <c r="S85" s="690"/>
      <c r="T85" s="348"/>
      <c r="U85" s="690"/>
      <c r="V85" s="348"/>
      <c r="W85" s="690"/>
      <c r="X85" s="348"/>
      <c r="Y85" s="690"/>
      <c r="Z85" s="348"/>
      <c r="AA85" s="351"/>
      <c r="AB85" s="325"/>
      <c r="AC85" s="647"/>
      <c r="AD85" s="659">
        <v>0</v>
      </c>
      <c r="AE85" s="325"/>
      <c r="AF85" s="648"/>
      <c r="AG85" s="659">
        <v>0</v>
      </c>
      <c r="AH85" s="643"/>
      <c r="AI85" s="325"/>
      <c r="AJ85" s="351">
        <f>ROUND(SUM(+AD85-AG85),1)</f>
        <v>0</v>
      </c>
      <c r="AK85" s="325"/>
      <c r="AL85" s="327">
        <f>-ROUND(IF(AG85=0,0,AJ85/ABS(AG85)),3)</f>
        <v>0</v>
      </c>
      <c r="AM85" s="2113"/>
      <c r="AN85" s="2113"/>
      <c r="AO85" s="2113"/>
    </row>
    <row r="86" spans="1:51" ht="15" customHeight="1">
      <c r="A86" s="46"/>
      <c r="B86" s="353" t="s">
        <v>570</v>
      </c>
      <c r="C86" s="353"/>
      <c r="D86" s="348">
        <v>-99</v>
      </c>
      <c r="E86" s="329"/>
      <c r="F86" s="348">
        <v>-385.3</v>
      </c>
      <c r="G86" s="329"/>
      <c r="H86" s="348">
        <v>-164.8</v>
      </c>
      <c r="I86" s="329"/>
      <c r="J86" s="348">
        <v>-48.399999999999977</v>
      </c>
      <c r="K86" s="690"/>
      <c r="L86" s="348">
        <v>-159</v>
      </c>
      <c r="M86" s="690"/>
      <c r="N86" s="348">
        <v>-111.89999999999998</v>
      </c>
      <c r="O86" s="690"/>
      <c r="P86" s="348">
        <v>-182.30000000000013</v>
      </c>
      <c r="Q86" s="690"/>
      <c r="R86" s="348">
        <f t="shared" si="11"/>
        <v>-438.8</v>
      </c>
      <c r="S86" s="690"/>
      <c r="T86" s="348"/>
      <c r="U86" s="690"/>
      <c r="V86" s="348"/>
      <c r="W86" s="690"/>
      <c r="X86" s="348"/>
      <c r="Y86" s="690"/>
      <c r="Z86" s="348"/>
      <c r="AA86" s="351"/>
      <c r="AB86" s="325"/>
      <c r="AC86" s="647"/>
      <c r="AD86" s="659">
        <v>-1589.5</v>
      </c>
      <c r="AE86" s="325"/>
      <c r="AF86" s="648"/>
      <c r="AG86" s="1436">
        <v>-1366.6</v>
      </c>
      <c r="AH86" s="643"/>
      <c r="AI86" s="325"/>
      <c r="AJ86" s="325">
        <f>ROUND(SUM(+AD86-AG86)*-1,1)</f>
        <v>222.9</v>
      </c>
      <c r="AK86" s="325"/>
      <c r="AL86" s="327">
        <f>ROUND(IF(AG86=0,0,AJ86/ABS(AG86)),3)</f>
        <v>0.16300000000000001</v>
      </c>
      <c r="AM86" s="2113"/>
      <c r="AN86" s="2113"/>
      <c r="AO86" s="2113"/>
    </row>
    <row r="87" spans="1:51" ht="15" customHeight="1">
      <c r="A87" s="46"/>
      <c r="B87" s="353"/>
      <c r="C87" s="353"/>
      <c r="D87" s="1525"/>
      <c r="E87" s="329"/>
      <c r="F87" s="783"/>
      <c r="G87" s="329"/>
      <c r="H87" s="783"/>
      <c r="I87" s="329"/>
      <c r="J87" s="783"/>
      <c r="K87" s="329"/>
      <c r="L87" s="783"/>
      <c r="M87" s="329"/>
      <c r="N87" s="783"/>
      <c r="O87" s="329"/>
      <c r="P87" s="783"/>
      <c r="Q87" s="329"/>
      <c r="R87" s="783"/>
      <c r="S87" s="329"/>
      <c r="T87" s="783"/>
      <c r="U87" s="329"/>
      <c r="V87" s="783"/>
      <c r="W87" s="325"/>
      <c r="X87" s="783"/>
      <c r="Y87" s="325"/>
      <c r="Z87" s="783"/>
      <c r="AA87" s="325"/>
      <c r="AB87" s="329"/>
      <c r="AC87" s="836"/>
      <c r="AD87" s="783"/>
      <c r="AE87" s="325"/>
      <c r="AF87" s="648"/>
      <c r="AG87" s="325"/>
      <c r="AH87" s="643"/>
      <c r="AI87" s="325"/>
      <c r="AJ87" s="1548"/>
      <c r="AK87" s="656"/>
      <c r="AL87" s="1550"/>
      <c r="AM87" s="2113"/>
      <c r="AN87" s="2113"/>
      <c r="AO87" s="2113"/>
    </row>
    <row r="88" spans="1:51" ht="15" customHeight="1">
      <c r="A88" s="46"/>
      <c r="B88" s="6" t="s">
        <v>549</v>
      </c>
      <c r="C88" s="353"/>
      <c r="D88" s="16">
        <f>ROUND(SUM(D85:D87),1)</f>
        <v>-99</v>
      </c>
      <c r="E88" s="51"/>
      <c r="F88" s="16">
        <f>ROUND(SUM(F85:F87),1)</f>
        <v>-385.3</v>
      </c>
      <c r="G88" s="51"/>
      <c r="H88" s="16">
        <f>ROUND(SUM(H85:H87),1)</f>
        <v>-164.8</v>
      </c>
      <c r="I88" s="51"/>
      <c r="J88" s="16">
        <f>ROUND(SUM(J85:J87),1)</f>
        <v>-48.4</v>
      </c>
      <c r="K88" s="51"/>
      <c r="L88" s="16">
        <f>ROUND(SUM(L85:L87),1)</f>
        <v>-159</v>
      </c>
      <c r="M88" s="51"/>
      <c r="N88" s="16">
        <f>ROUND(SUM(N85:N87),1)</f>
        <v>-111.9</v>
      </c>
      <c r="O88" s="51"/>
      <c r="P88" s="16">
        <f>ROUND(SUM(P85:P87),1)</f>
        <v>-182.3</v>
      </c>
      <c r="Q88" s="51"/>
      <c r="R88" s="16">
        <f>ROUND(SUM(R85:R87),1)</f>
        <v>-438.8</v>
      </c>
      <c r="S88" s="16"/>
      <c r="T88" s="16">
        <f>ROUND(SUM(T85:T87),1)</f>
        <v>0</v>
      </c>
      <c r="U88" s="51"/>
      <c r="V88" s="16">
        <f>ROUND(SUM(V85:V87),1)</f>
        <v>0</v>
      </c>
      <c r="W88" s="16"/>
      <c r="X88" s="16">
        <f>ROUND(SUM(X85:X87),1)</f>
        <v>0</v>
      </c>
      <c r="Y88" s="16"/>
      <c r="Z88" s="16">
        <f>ROUND(SUM(Z85:Z87),1)</f>
        <v>0</v>
      </c>
      <c r="AA88" s="16"/>
      <c r="AB88" s="51"/>
      <c r="AC88" s="837"/>
      <c r="AD88" s="16">
        <f>ROUND(SUM(AD85:AD87),1)</f>
        <v>-1589.5</v>
      </c>
      <c r="AE88" s="16"/>
      <c r="AF88" s="838"/>
      <c r="AG88" s="16">
        <f>ROUND(SUM(AG85:AG86),1)</f>
        <v>-1366.6</v>
      </c>
      <c r="AH88" s="108"/>
      <c r="AI88" s="16"/>
      <c r="AJ88" s="1427">
        <f>-ROUND(SUM(AD88-AG88),1)</f>
        <v>222.9</v>
      </c>
      <c r="AK88" s="109"/>
      <c r="AL88" s="664">
        <f>ROUND(SUM((AD88-AG88)/(AG88)),3)</f>
        <v>0.16300000000000001</v>
      </c>
      <c r="AM88" s="2113"/>
      <c r="AN88" s="2113"/>
      <c r="AO88" s="2113"/>
    </row>
    <row r="89" spans="1:51" ht="15" customHeight="1">
      <c r="A89" s="46"/>
      <c r="B89" s="353"/>
      <c r="C89" s="353"/>
      <c r="D89" s="1525"/>
      <c r="E89" s="329"/>
      <c r="F89" s="1525"/>
      <c r="G89" s="329"/>
      <c r="H89" s="1525"/>
      <c r="I89" s="329"/>
      <c r="J89" s="1525"/>
      <c r="K89" s="329"/>
      <c r="L89" s="1525"/>
      <c r="M89" s="329"/>
      <c r="N89" s="1525"/>
      <c r="O89" s="329"/>
      <c r="P89" s="1525"/>
      <c r="Q89" s="329"/>
      <c r="R89" s="1525"/>
      <c r="S89" s="329"/>
      <c r="T89" s="1525"/>
      <c r="U89" s="329"/>
      <c r="V89" s="783"/>
      <c r="W89" s="325"/>
      <c r="X89" s="783"/>
      <c r="Y89" s="325"/>
      <c r="Z89" s="783"/>
      <c r="AA89" s="325"/>
      <c r="AB89" s="329"/>
      <c r="AC89" s="836"/>
      <c r="AD89" s="783"/>
      <c r="AE89" s="325"/>
      <c r="AF89" s="648"/>
      <c r="AG89" s="783"/>
      <c r="AH89" s="643"/>
      <c r="AI89" s="325"/>
      <c r="AJ89" s="348"/>
      <c r="AK89" s="656"/>
      <c r="AL89" s="663"/>
      <c r="AM89" s="2113"/>
      <c r="AN89" s="2113"/>
      <c r="AO89" s="2113"/>
    </row>
    <row r="90" spans="1:51" ht="15" customHeight="1">
      <c r="A90" s="46"/>
      <c r="B90" s="6" t="s">
        <v>499</v>
      </c>
      <c r="C90" s="353"/>
      <c r="D90" s="329"/>
      <c r="E90" s="329"/>
      <c r="F90" s="329"/>
      <c r="G90" s="329"/>
      <c r="H90" s="329"/>
      <c r="I90" s="329"/>
      <c r="J90" s="329"/>
      <c r="K90" s="329"/>
      <c r="L90" s="329"/>
      <c r="M90" s="329"/>
      <c r="N90" s="329"/>
      <c r="O90" s="329"/>
      <c r="P90" s="329"/>
      <c r="Q90" s="329"/>
      <c r="R90" s="329"/>
      <c r="S90" s="329"/>
      <c r="T90" s="329"/>
      <c r="U90" s="329"/>
      <c r="V90" s="329"/>
      <c r="W90" s="329"/>
      <c r="X90" s="329"/>
      <c r="Y90" s="329"/>
      <c r="Z90" s="329"/>
      <c r="AA90" s="329"/>
      <c r="AB90" s="329"/>
      <c r="AC90" s="836"/>
      <c r="AD90" s="329"/>
      <c r="AE90" s="329"/>
      <c r="AF90" s="1546"/>
      <c r="AG90" s="329"/>
      <c r="AH90" s="2022"/>
      <c r="AI90" s="466"/>
      <c r="AJ90" s="656"/>
      <c r="AK90" s="656"/>
      <c r="AL90" s="663"/>
      <c r="AM90" s="2113"/>
      <c r="AN90" s="2113"/>
      <c r="AO90" s="2113"/>
    </row>
    <row r="91" spans="1:51" ht="15" customHeight="1">
      <c r="A91" s="46"/>
      <c r="B91" s="6" t="s">
        <v>500</v>
      </c>
      <c r="C91" s="353"/>
      <c r="D91" s="329"/>
      <c r="E91" s="329"/>
      <c r="F91" s="329"/>
      <c r="G91" s="329"/>
      <c r="H91" s="329"/>
      <c r="I91" s="329"/>
      <c r="J91" s="329"/>
      <c r="K91" s="329"/>
      <c r="L91" s="329"/>
      <c r="M91" s="329"/>
      <c r="N91" s="329"/>
      <c r="O91" s="329"/>
      <c r="P91" s="329"/>
      <c r="Q91" s="329"/>
      <c r="R91" s="329"/>
      <c r="S91" s="329"/>
      <c r="T91" s="329"/>
      <c r="U91" s="329"/>
      <c r="V91" s="329"/>
      <c r="W91" s="329"/>
      <c r="X91" s="329"/>
      <c r="Y91" s="329"/>
      <c r="Z91" s="329"/>
      <c r="AA91" s="329"/>
      <c r="AB91" s="329"/>
      <c r="AC91" s="836"/>
      <c r="AD91" s="329"/>
      <c r="AE91" s="329"/>
      <c r="AF91" s="1546"/>
      <c r="AG91" s="26"/>
      <c r="AH91" s="2022"/>
      <c r="AI91" s="466"/>
      <c r="AJ91" s="656"/>
      <c r="AK91" s="656"/>
      <c r="AL91" s="663"/>
      <c r="AM91" s="2113"/>
      <c r="AN91" s="2113"/>
      <c r="AO91" s="2113"/>
    </row>
    <row r="92" spans="1:51" ht="15" customHeight="1">
      <c r="A92" s="46"/>
      <c r="B92" s="6" t="s">
        <v>550</v>
      </c>
      <c r="C92" s="353"/>
      <c r="D92" s="434">
        <f>ROUND(SUM(D82+D88),1)</f>
        <v>1286.7</v>
      </c>
      <c r="E92" s="329"/>
      <c r="F92" s="434">
        <f>ROUND(SUM(F82+F88),1)</f>
        <v>-2567.4</v>
      </c>
      <c r="G92" s="329"/>
      <c r="H92" s="434">
        <f>ROUND(SUM(H82+H88),1)</f>
        <v>3284.6</v>
      </c>
      <c r="I92" s="325"/>
      <c r="J92" s="434">
        <f>ROUND(SUM(J82+J88),1)</f>
        <v>103.3</v>
      </c>
      <c r="K92" s="325"/>
      <c r="L92" s="434">
        <f>ROUND(SUM(L82+L88),1)</f>
        <v>-862.4</v>
      </c>
      <c r="M92" s="325"/>
      <c r="N92" s="434">
        <f>ROUND(SUM(N82+N88),1)</f>
        <v>1208.2</v>
      </c>
      <c r="O92" s="325"/>
      <c r="P92" s="434">
        <f>ROUND(SUM(P82+P88),1)</f>
        <v>-1003.4</v>
      </c>
      <c r="Q92" s="325"/>
      <c r="R92" s="434">
        <f>ROUND(SUM(R82+R88),1)</f>
        <v>-1394.6</v>
      </c>
      <c r="S92" s="325"/>
      <c r="T92" s="434">
        <f>ROUND(SUM(T82+T88),1)</f>
        <v>0</v>
      </c>
      <c r="U92" s="325"/>
      <c r="V92" s="434">
        <f>ROUND(SUM(V82+V88),1)</f>
        <v>0</v>
      </c>
      <c r="W92" s="325"/>
      <c r="X92" s="434">
        <f>ROUND(SUM(X82+X88),1)</f>
        <v>0</v>
      </c>
      <c r="Y92" s="325"/>
      <c r="Z92" s="434">
        <f>ROUND(SUM(Z82+Z88),1)</f>
        <v>0</v>
      </c>
      <c r="AA92" s="325"/>
      <c r="AB92" s="2045"/>
      <c r="AC92" s="325"/>
      <c r="AD92" s="434">
        <f>ROUND(SUM(AD82+AD88),1)</f>
        <v>55</v>
      </c>
      <c r="AE92" s="1744"/>
      <c r="AF92" s="325"/>
      <c r="AG92" s="434">
        <f>ROUND(SUM(AG82+AG88),1)</f>
        <v>632.20000000000005</v>
      </c>
      <c r="AH92" s="2022"/>
      <c r="AI92" s="325"/>
      <c r="AJ92" s="434">
        <f>ROUND(SUM(AJ82-AJ88),1)</f>
        <v>-577.20000000000005</v>
      </c>
      <c r="AK92" s="348"/>
      <c r="AL92" s="779">
        <f>ROUND(SUM((AD92-AG92)/ABS(AG92)),3)</f>
        <v>-0.91300000000000003</v>
      </c>
      <c r="AM92" s="2113"/>
      <c r="AN92" s="2113"/>
      <c r="AO92" s="2113"/>
    </row>
    <row r="93" spans="1:51" ht="15" customHeight="1">
      <c r="A93" s="46"/>
      <c r="B93" s="353"/>
      <c r="C93" s="353"/>
      <c r="D93" s="466"/>
      <c r="E93" s="466"/>
      <c r="F93" s="466"/>
      <c r="G93" s="466"/>
      <c r="H93" s="466"/>
      <c r="I93" s="466"/>
      <c r="J93" s="466"/>
      <c r="K93" s="466"/>
      <c r="L93" s="466"/>
      <c r="M93" s="466"/>
      <c r="N93" s="466"/>
      <c r="O93" s="466"/>
      <c r="P93" s="466"/>
      <c r="Q93" s="466"/>
      <c r="R93" s="466"/>
      <c r="S93" s="466"/>
      <c r="T93" s="26"/>
      <c r="U93" s="466"/>
      <c r="V93" s="466"/>
      <c r="W93" s="466"/>
      <c r="X93" s="466"/>
      <c r="Y93" s="466"/>
      <c r="Z93" s="466"/>
      <c r="AA93" s="466"/>
      <c r="AB93" s="466"/>
      <c r="AC93" s="1546"/>
      <c r="AD93" s="466"/>
      <c r="AE93" s="466"/>
      <c r="AF93" s="1546"/>
      <c r="AG93" s="466"/>
      <c r="AH93" s="466"/>
      <c r="AI93" s="1527"/>
      <c r="AJ93" s="656"/>
      <c r="AK93" s="656"/>
      <c r="AL93" s="663" t="s">
        <v>104</v>
      </c>
      <c r="AM93" s="2113"/>
      <c r="AN93" s="2113"/>
      <c r="AO93" s="2113"/>
    </row>
    <row r="94" spans="1:51" ht="20.25" customHeight="1" thickBot="1">
      <c r="A94" s="46"/>
      <c r="B94" s="6" t="s">
        <v>564</v>
      </c>
      <c r="C94" s="353"/>
      <c r="D94" s="102">
        <f>ROUND(SUM(+D13+D92),1)</f>
        <v>16113.1</v>
      </c>
      <c r="E94" s="466"/>
      <c r="F94" s="102">
        <f>ROUND(SUM(+F13+F92),1)</f>
        <v>13545.7</v>
      </c>
      <c r="G94" s="466"/>
      <c r="H94" s="102">
        <f>ROUND(SUM(+H13+H92),1)</f>
        <v>16830.3</v>
      </c>
      <c r="I94" s="466"/>
      <c r="J94" s="102">
        <f>ROUND(SUM(+J13+J92),1)</f>
        <v>16933.599999999999</v>
      </c>
      <c r="K94" s="466"/>
      <c r="L94" s="102">
        <f>ROUND(SUM(+L13+L92),1)</f>
        <v>16071.2</v>
      </c>
      <c r="M94" s="466"/>
      <c r="N94" s="102">
        <f>ROUND(SUM(+N13+N92),1)</f>
        <v>17279.400000000001</v>
      </c>
      <c r="O94" s="466"/>
      <c r="P94" s="102">
        <f>ROUND(SUM(+P13+P92),1)</f>
        <v>16276</v>
      </c>
      <c r="Q94" s="466"/>
      <c r="R94" s="102">
        <f>ROUND(SUM(+R13+R92),1)</f>
        <v>14881.4</v>
      </c>
      <c r="S94" s="466"/>
      <c r="T94" s="102">
        <f>ROUND(SUM(+T13+T92),1)</f>
        <v>0</v>
      </c>
      <c r="U94" s="466"/>
      <c r="V94" s="102">
        <f>ROUND(SUM(+V13+V92),1)</f>
        <v>0</v>
      </c>
      <c r="W94" s="466"/>
      <c r="X94" s="102">
        <f>ROUND(SUM(+X13+X92),1)</f>
        <v>0</v>
      </c>
      <c r="Y94" s="466"/>
      <c r="Z94" s="102">
        <f>ROUND(SUM(+Z13+Z92),1)</f>
        <v>0</v>
      </c>
      <c r="AA94" s="466"/>
      <c r="AB94" s="466"/>
      <c r="AC94" s="1546"/>
      <c r="AD94" s="102">
        <f>ROUND(SUM(+AD13+AD92),1)</f>
        <v>14881.4</v>
      </c>
      <c r="AE94" s="466"/>
      <c r="AF94" s="1546"/>
      <c r="AG94" s="102">
        <f>ROUND(SUM(+AG13+AG92),1)</f>
        <v>14957.9</v>
      </c>
      <c r="AH94" s="466"/>
      <c r="AI94" s="1527"/>
      <c r="AJ94" s="102">
        <f>ROUND(SUM(+AJ13+AJ92),1)</f>
        <v>-76.5</v>
      </c>
      <c r="AK94" s="656"/>
      <c r="AL94" s="1551">
        <f>ROUND(+AJ94/ABS(AG94),3)</f>
        <v>-5.0000000000000001E-3</v>
      </c>
      <c r="AM94" s="2113"/>
      <c r="AN94" s="2113"/>
      <c r="AO94" s="2113"/>
    </row>
    <row r="95" spans="1:51" ht="15" customHeight="1" thickTop="1">
      <c r="B95" s="466"/>
      <c r="C95" s="466"/>
      <c r="D95" s="513"/>
      <c r="E95" s="513"/>
      <c r="F95" s="513"/>
      <c r="G95" s="513"/>
      <c r="H95" s="513"/>
      <c r="I95" s="513"/>
      <c r="J95" s="513"/>
      <c r="K95" s="513"/>
      <c r="L95" s="513"/>
      <c r="M95" s="513"/>
      <c r="N95" s="513"/>
      <c r="O95" s="513"/>
      <c r="P95" s="513"/>
      <c r="Q95" s="513"/>
      <c r="R95" s="513"/>
      <c r="S95" s="513"/>
      <c r="T95" s="513"/>
      <c r="U95" s="513"/>
      <c r="V95" s="513"/>
      <c r="W95" s="513"/>
      <c r="X95" s="513"/>
      <c r="Y95" s="513"/>
      <c r="Z95" s="513"/>
      <c r="AA95" s="513"/>
      <c r="AB95" s="513"/>
      <c r="AC95" s="513"/>
      <c r="AD95" s="513"/>
      <c r="AE95" s="513"/>
      <c r="AF95" s="513"/>
      <c r="AG95" s="513"/>
      <c r="AH95" s="513"/>
      <c r="AI95" s="513"/>
      <c r="AJ95" s="513"/>
      <c r="AK95" s="513"/>
      <c r="AL95" s="344"/>
      <c r="AM95" s="2113"/>
      <c r="AN95" s="2113"/>
      <c r="AO95" s="2113"/>
      <c r="AP95" s="113"/>
      <c r="AQ95" s="113"/>
      <c r="AR95" s="113"/>
      <c r="AS95" s="113"/>
      <c r="AT95" s="113"/>
      <c r="AU95" s="113"/>
      <c r="AV95" s="113"/>
      <c r="AW95" s="113"/>
      <c r="AX95" s="113"/>
      <c r="AY95" s="113"/>
    </row>
    <row r="96" spans="1:51" ht="15" customHeight="1">
      <c r="B96" s="466"/>
      <c r="C96" s="466"/>
      <c r="D96" s="466"/>
      <c r="E96" s="466"/>
      <c r="F96" s="466"/>
      <c r="G96" s="466"/>
      <c r="H96" s="466"/>
      <c r="I96" s="466"/>
      <c r="J96" s="466"/>
      <c r="K96" s="466"/>
      <c r="L96" s="466"/>
      <c r="M96" s="466"/>
      <c r="N96" s="466"/>
      <c r="O96" s="466"/>
      <c r="P96" s="466"/>
      <c r="Q96" s="466"/>
      <c r="R96" s="466"/>
      <c r="S96" s="466"/>
      <c r="T96" s="466"/>
      <c r="U96" s="466"/>
      <c r="V96" s="466"/>
      <c r="W96" s="466"/>
      <c r="X96" s="466"/>
      <c r="Y96" s="466"/>
      <c r="Z96" s="466"/>
      <c r="AA96" s="466"/>
      <c r="AB96" s="466"/>
      <c r="AC96" s="466"/>
      <c r="AD96" s="466"/>
      <c r="AE96" s="466"/>
      <c r="AF96" s="466"/>
      <c r="AG96" s="466"/>
      <c r="AH96" s="466"/>
      <c r="AI96" s="466"/>
      <c r="AJ96" s="466"/>
      <c r="AK96" s="466"/>
      <c r="AL96" s="344"/>
      <c r="AM96" s="2113"/>
      <c r="AN96" s="2113"/>
      <c r="AO96" s="2113"/>
    </row>
    <row r="97" spans="2:41" ht="15" customHeight="1">
      <c r="B97" s="466"/>
      <c r="AM97" s="2113"/>
      <c r="AN97" s="2113"/>
      <c r="AO97" s="2113"/>
    </row>
    <row r="98" spans="2:41" ht="15" customHeight="1">
      <c r="B98" s="466"/>
    </row>
    <row r="99" spans="2:41" ht="15" customHeight="1"/>
    <row r="100" spans="2:41" ht="15" customHeight="1"/>
    <row r="101" spans="2:41" ht="15" customHeight="1"/>
    <row r="102" spans="2:41" ht="15" customHeight="1"/>
    <row r="103" spans="2:41" ht="15" customHeight="1"/>
    <row r="104" spans="2:41" ht="15" customHeight="1"/>
    <row r="105" spans="2:41" ht="15" customHeight="1"/>
    <row r="106" spans="2:41" ht="15" customHeight="1"/>
    <row r="107" spans="2:41" ht="15" customHeight="1"/>
    <row r="108" spans="2:41" ht="15" customHeight="1"/>
    <row r="109" spans="2:41" ht="15" customHeight="1"/>
    <row r="110" spans="2:41" ht="15" customHeight="1"/>
    <row r="111" spans="2:41" ht="15" customHeight="1"/>
    <row r="112" spans="2:41"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sheetData>
  <mergeCells count="1">
    <mergeCell ref="AC9:AL9"/>
  </mergeCells>
  <pageMargins left="0.25" right="0.25" top="0.5" bottom="0.25" header="0" footer="0.25"/>
  <pageSetup scale="41" firstPageNumber="26" fitToHeight="2" orientation="landscape" useFirstPageNumber="1" r:id="rId1"/>
  <headerFooter scaleWithDoc="0" alignWithMargins="0">
    <oddFooter>&amp;C&amp;8&amp;P</oddFooter>
  </headerFooter>
  <rowBreaks count="1" manualBreakCount="1">
    <brk id="57" min="1" max="37" man="1"/>
  </rowBreaks>
  <customProperties>
    <customPr name="SheetOptions" r:id="rId2"/>
  </customProperties>
  <ignoredErrors>
    <ignoredError sqref="AL16:AL18 AL20" unlockedFormula="1"/>
    <ignoredError sqref="AL32:AL33 AL35:AL39 AL41:AL52 AL54 AL58:AL121 AL56" formula="1"/>
    <ignoredError sqref="AL55 AL57 AL53 AL40 AL34" formula="1" unlockedFormula="1"/>
  </ignoredError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dimension ref="A1:AL261"/>
  <sheetViews>
    <sheetView showGridLines="0" zoomScale="90" zoomScaleNormal="90" workbookViewId="0"/>
  </sheetViews>
  <sheetFormatPr defaultRowHeight="12.5"/>
  <cols>
    <col min="1" max="1" width="40.4609375" style="115" customWidth="1"/>
    <col min="2" max="2" width="10.4609375" style="115" customWidth="1"/>
    <col min="3" max="3" width="1.07421875" style="115" customWidth="1"/>
    <col min="4" max="4" width="10" style="115" customWidth="1"/>
    <col min="5" max="5" width="1.07421875" style="115" customWidth="1"/>
    <col min="6" max="6" width="9.84375" style="973" bestFit="1" customWidth="1"/>
    <col min="7" max="7" width="1.07421875" style="115" customWidth="1"/>
    <col min="8" max="8" width="10" style="115" customWidth="1"/>
    <col min="9" max="9" width="1.07421875" style="115" customWidth="1"/>
    <col min="10" max="10" width="10" style="115" bestFit="1" customWidth="1"/>
    <col min="11" max="11" width="1.07421875" style="115" customWidth="1"/>
    <col min="12" max="12" width="11.07421875" style="115" customWidth="1"/>
    <col min="13" max="13" width="1.07421875" style="115" customWidth="1"/>
    <col min="14" max="14" width="10.84375" style="115" customWidth="1"/>
    <col min="15" max="15" width="1.84375" style="115" customWidth="1"/>
    <col min="16" max="16" width="11" style="115" customWidth="1"/>
    <col min="17" max="17" width="1.07421875" style="115" customWidth="1"/>
    <col min="18" max="18" width="10.84375" style="115" customWidth="1"/>
    <col min="19" max="19" width="1.07421875" style="115" customWidth="1"/>
    <col min="20" max="20" width="10" style="115" customWidth="1"/>
    <col min="21" max="21" width="1.07421875" style="115" customWidth="1"/>
    <col min="22" max="22" width="12.84375" style="115" customWidth="1"/>
    <col min="23" max="23" width="1.07421875" style="115" customWidth="1"/>
    <col min="24" max="24" width="11.07421875" style="115" bestFit="1" customWidth="1"/>
    <col min="25" max="25" width="1.07421875" style="115" customWidth="1"/>
    <col min="26" max="26" width="0.84375" style="115" customWidth="1"/>
    <col min="27" max="27" width="10.53515625" style="115" customWidth="1"/>
    <col min="28" max="28" width="2.07421875" style="115" customWidth="1"/>
    <col min="29" max="29" width="0.84375" style="115" customWidth="1"/>
    <col min="30" max="30" width="11" style="115" bestFit="1" customWidth="1"/>
    <col min="31" max="32" width="0.84375" style="115" customWidth="1"/>
    <col min="33" max="33" width="10.84375" style="115" bestFit="1" customWidth="1"/>
    <col min="34" max="34" width="1.07421875" style="115" customWidth="1"/>
    <col min="35" max="35" width="11" style="115" customWidth="1"/>
    <col min="36" max="36" width="14.53515625" style="974" customWidth="1"/>
    <col min="37" max="252" width="8.84375" style="115"/>
    <col min="253" max="253" width="38.4609375" style="115" customWidth="1"/>
    <col min="254" max="254" width="8.53515625" style="115" customWidth="1"/>
    <col min="255" max="255" width="1.07421875" style="115" customWidth="1"/>
    <col min="256" max="256" width="8.84375" style="115" customWidth="1"/>
    <col min="257" max="257" width="1.07421875" style="115" customWidth="1"/>
    <col min="258" max="258" width="9.07421875" style="115" customWidth="1"/>
    <col min="259" max="259" width="1.07421875" style="115" customWidth="1"/>
    <col min="260" max="260" width="10" style="115" customWidth="1"/>
    <col min="261" max="261" width="1.07421875" style="115" customWidth="1"/>
    <col min="262" max="262" width="9.07421875" style="115" customWidth="1"/>
    <col min="263" max="263" width="1.07421875" style="115" customWidth="1"/>
    <col min="264" max="264" width="11.07421875" style="115" customWidth="1"/>
    <col min="265" max="265" width="1.07421875" style="115" customWidth="1"/>
    <col min="266" max="266" width="9.07421875" style="115" customWidth="1"/>
    <col min="267" max="267" width="1.84375" style="115" customWidth="1"/>
    <col min="268" max="268" width="11" style="115" customWidth="1"/>
    <col min="269" max="269" width="1.07421875" style="115" customWidth="1"/>
    <col min="270" max="270" width="10.84375" style="115" customWidth="1"/>
    <col min="271" max="271" width="1.07421875" style="115" customWidth="1"/>
    <col min="272" max="272" width="10" style="115" customWidth="1"/>
    <col min="273" max="273" width="1.07421875" style="115" customWidth="1"/>
    <col min="274" max="274" width="9.07421875" style="115" customWidth="1"/>
    <col min="275" max="275" width="1.07421875" style="115" customWidth="1"/>
    <col min="276" max="276" width="7.84375" style="115" customWidth="1"/>
    <col min="277" max="277" width="1.07421875" style="115" customWidth="1"/>
    <col min="278" max="278" width="0.84375" style="115" customWidth="1"/>
    <col min="279" max="279" width="9.07421875" style="115" customWidth="1"/>
    <col min="280" max="280" width="1.07421875" style="115" customWidth="1"/>
    <col min="281" max="281" width="0.84375" style="115" customWidth="1"/>
    <col min="282" max="282" width="9.53515625" style="115" bestFit="1" customWidth="1"/>
    <col min="283" max="284" width="0.84375" style="115" customWidth="1"/>
    <col min="285" max="285" width="9.84375" style="115" customWidth="1"/>
    <col min="286" max="286" width="1.07421875" style="115" customWidth="1"/>
    <col min="287" max="287" width="8.53515625" style="115" customWidth="1"/>
    <col min="288" max="288" width="14.53515625" style="115" customWidth="1"/>
    <col min="289" max="289" width="10" style="115" customWidth="1"/>
    <col min="290" max="290" width="7.84375" style="115" bestFit="1" customWidth="1"/>
    <col min="291" max="291" width="9.84375" style="115" customWidth="1"/>
    <col min="292" max="508" width="8.84375" style="115"/>
    <col min="509" max="509" width="38.4609375" style="115" customWidth="1"/>
    <col min="510" max="510" width="8.53515625" style="115" customWidth="1"/>
    <col min="511" max="511" width="1.07421875" style="115" customWidth="1"/>
    <col min="512" max="512" width="8.84375" style="115" customWidth="1"/>
    <col min="513" max="513" width="1.07421875" style="115" customWidth="1"/>
    <col min="514" max="514" width="9.07421875" style="115" customWidth="1"/>
    <col min="515" max="515" width="1.07421875" style="115" customWidth="1"/>
    <col min="516" max="516" width="10" style="115" customWidth="1"/>
    <col min="517" max="517" width="1.07421875" style="115" customWidth="1"/>
    <col min="518" max="518" width="9.07421875" style="115" customWidth="1"/>
    <col min="519" max="519" width="1.07421875" style="115" customWidth="1"/>
    <col min="520" max="520" width="11.07421875" style="115" customWidth="1"/>
    <col min="521" max="521" width="1.07421875" style="115" customWidth="1"/>
    <col min="522" max="522" width="9.07421875" style="115" customWidth="1"/>
    <col min="523" max="523" width="1.84375" style="115" customWidth="1"/>
    <col min="524" max="524" width="11" style="115" customWidth="1"/>
    <col min="525" max="525" width="1.07421875" style="115" customWidth="1"/>
    <col min="526" max="526" width="10.84375" style="115" customWidth="1"/>
    <col min="527" max="527" width="1.07421875" style="115" customWidth="1"/>
    <col min="528" max="528" width="10" style="115" customWidth="1"/>
    <col min="529" max="529" width="1.07421875" style="115" customWidth="1"/>
    <col min="530" max="530" width="9.07421875" style="115" customWidth="1"/>
    <col min="531" max="531" width="1.07421875" style="115" customWidth="1"/>
    <col min="532" max="532" width="7.84375" style="115" customWidth="1"/>
    <col min="533" max="533" width="1.07421875" style="115" customWidth="1"/>
    <col min="534" max="534" width="0.84375" style="115" customWidth="1"/>
    <col min="535" max="535" width="9.07421875" style="115" customWidth="1"/>
    <col min="536" max="536" width="1.07421875" style="115" customWidth="1"/>
    <col min="537" max="537" width="0.84375" style="115" customWidth="1"/>
    <col min="538" max="538" width="9.53515625" style="115" bestFit="1" customWidth="1"/>
    <col min="539" max="540" width="0.84375" style="115" customWidth="1"/>
    <col min="541" max="541" width="9.84375" style="115" customWidth="1"/>
    <col min="542" max="542" width="1.07421875" style="115" customWidth="1"/>
    <col min="543" max="543" width="8.53515625" style="115" customWidth="1"/>
    <col min="544" max="544" width="14.53515625" style="115" customWidth="1"/>
    <col min="545" max="545" width="10" style="115" customWidth="1"/>
    <col min="546" max="546" width="7.84375" style="115" bestFit="1" customWidth="1"/>
    <col min="547" max="547" width="9.84375" style="115" customWidth="1"/>
    <col min="548" max="764" width="8.84375" style="115"/>
    <col min="765" max="765" width="38.4609375" style="115" customWidth="1"/>
    <col min="766" max="766" width="8.53515625" style="115" customWidth="1"/>
    <col min="767" max="767" width="1.07421875" style="115" customWidth="1"/>
    <col min="768" max="768" width="8.84375" style="115" customWidth="1"/>
    <col min="769" max="769" width="1.07421875" style="115" customWidth="1"/>
    <col min="770" max="770" width="9.07421875" style="115" customWidth="1"/>
    <col min="771" max="771" width="1.07421875" style="115" customWidth="1"/>
    <col min="772" max="772" width="10" style="115" customWidth="1"/>
    <col min="773" max="773" width="1.07421875" style="115" customWidth="1"/>
    <col min="774" max="774" width="9.07421875" style="115" customWidth="1"/>
    <col min="775" max="775" width="1.07421875" style="115" customWidth="1"/>
    <col min="776" max="776" width="11.07421875" style="115" customWidth="1"/>
    <col min="777" max="777" width="1.07421875" style="115" customWidth="1"/>
    <col min="778" max="778" width="9.07421875" style="115" customWidth="1"/>
    <col min="779" max="779" width="1.84375" style="115" customWidth="1"/>
    <col min="780" max="780" width="11" style="115" customWidth="1"/>
    <col min="781" max="781" width="1.07421875" style="115" customWidth="1"/>
    <col min="782" max="782" width="10.84375" style="115" customWidth="1"/>
    <col min="783" max="783" width="1.07421875" style="115" customWidth="1"/>
    <col min="784" max="784" width="10" style="115" customWidth="1"/>
    <col min="785" max="785" width="1.07421875" style="115" customWidth="1"/>
    <col min="786" max="786" width="9.07421875" style="115" customWidth="1"/>
    <col min="787" max="787" width="1.07421875" style="115" customWidth="1"/>
    <col min="788" max="788" width="7.84375" style="115" customWidth="1"/>
    <col min="789" max="789" width="1.07421875" style="115" customWidth="1"/>
    <col min="790" max="790" width="0.84375" style="115" customWidth="1"/>
    <col min="791" max="791" width="9.07421875" style="115" customWidth="1"/>
    <col min="792" max="792" width="1.07421875" style="115" customWidth="1"/>
    <col min="793" max="793" width="0.84375" style="115" customWidth="1"/>
    <col min="794" max="794" width="9.53515625" style="115" bestFit="1" customWidth="1"/>
    <col min="795" max="796" width="0.84375" style="115" customWidth="1"/>
    <col min="797" max="797" width="9.84375" style="115" customWidth="1"/>
    <col min="798" max="798" width="1.07421875" style="115" customWidth="1"/>
    <col min="799" max="799" width="8.53515625" style="115" customWidth="1"/>
    <col min="800" max="800" width="14.53515625" style="115" customWidth="1"/>
    <col min="801" max="801" width="10" style="115" customWidth="1"/>
    <col min="802" max="802" width="7.84375" style="115" bestFit="1" customWidth="1"/>
    <col min="803" max="803" width="9.84375" style="115" customWidth="1"/>
    <col min="804" max="1020" width="8.84375" style="115"/>
    <col min="1021" max="1021" width="38.4609375" style="115" customWidth="1"/>
    <col min="1022" max="1022" width="8.53515625" style="115" customWidth="1"/>
    <col min="1023" max="1023" width="1.07421875" style="115" customWidth="1"/>
    <col min="1024" max="1024" width="8.84375" style="115" customWidth="1"/>
    <col min="1025" max="1025" width="1.07421875" style="115" customWidth="1"/>
    <col min="1026" max="1026" width="9.07421875" style="115" customWidth="1"/>
    <col min="1027" max="1027" width="1.07421875" style="115" customWidth="1"/>
    <col min="1028" max="1028" width="10" style="115" customWidth="1"/>
    <col min="1029" max="1029" width="1.07421875" style="115" customWidth="1"/>
    <col min="1030" max="1030" width="9.07421875" style="115" customWidth="1"/>
    <col min="1031" max="1031" width="1.07421875" style="115" customWidth="1"/>
    <col min="1032" max="1032" width="11.07421875" style="115" customWidth="1"/>
    <col min="1033" max="1033" width="1.07421875" style="115" customWidth="1"/>
    <col min="1034" max="1034" width="9.07421875" style="115" customWidth="1"/>
    <col min="1035" max="1035" width="1.84375" style="115" customWidth="1"/>
    <col min="1036" max="1036" width="11" style="115" customWidth="1"/>
    <col min="1037" max="1037" width="1.07421875" style="115" customWidth="1"/>
    <col min="1038" max="1038" width="10.84375" style="115" customWidth="1"/>
    <col min="1039" max="1039" width="1.07421875" style="115" customWidth="1"/>
    <col min="1040" max="1040" width="10" style="115" customWidth="1"/>
    <col min="1041" max="1041" width="1.07421875" style="115" customWidth="1"/>
    <col min="1042" max="1042" width="9.07421875" style="115" customWidth="1"/>
    <col min="1043" max="1043" width="1.07421875" style="115" customWidth="1"/>
    <col min="1044" max="1044" width="7.84375" style="115" customWidth="1"/>
    <col min="1045" max="1045" width="1.07421875" style="115" customWidth="1"/>
    <col min="1046" max="1046" width="0.84375" style="115" customWidth="1"/>
    <col min="1047" max="1047" width="9.07421875" style="115" customWidth="1"/>
    <col min="1048" max="1048" width="1.07421875" style="115" customWidth="1"/>
    <col min="1049" max="1049" width="0.84375" style="115" customWidth="1"/>
    <col min="1050" max="1050" width="9.53515625" style="115" bestFit="1" customWidth="1"/>
    <col min="1051" max="1052" width="0.84375" style="115" customWidth="1"/>
    <col min="1053" max="1053" width="9.84375" style="115" customWidth="1"/>
    <col min="1054" max="1054" width="1.07421875" style="115" customWidth="1"/>
    <col min="1055" max="1055" width="8.53515625" style="115" customWidth="1"/>
    <col min="1056" max="1056" width="14.53515625" style="115" customWidth="1"/>
    <col min="1057" max="1057" width="10" style="115" customWidth="1"/>
    <col min="1058" max="1058" width="7.84375" style="115" bestFit="1" customWidth="1"/>
    <col min="1059" max="1059" width="9.84375" style="115" customWidth="1"/>
    <col min="1060" max="1276" width="8.84375" style="115"/>
    <col min="1277" max="1277" width="38.4609375" style="115" customWidth="1"/>
    <col min="1278" max="1278" width="8.53515625" style="115" customWidth="1"/>
    <col min="1279" max="1279" width="1.07421875" style="115" customWidth="1"/>
    <col min="1280" max="1280" width="8.84375" style="115" customWidth="1"/>
    <col min="1281" max="1281" width="1.07421875" style="115" customWidth="1"/>
    <col min="1282" max="1282" width="9.07421875" style="115" customWidth="1"/>
    <col min="1283" max="1283" width="1.07421875" style="115" customWidth="1"/>
    <col min="1284" max="1284" width="10" style="115" customWidth="1"/>
    <col min="1285" max="1285" width="1.07421875" style="115" customWidth="1"/>
    <col min="1286" max="1286" width="9.07421875" style="115" customWidth="1"/>
    <col min="1287" max="1287" width="1.07421875" style="115" customWidth="1"/>
    <col min="1288" max="1288" width="11.07421875" style="115" customWidth="1"/>
    <col min="1289" max="1289" width="1.07421875" style="115" customWidth="1"/>
    <col min="1290" max="1290" width="9.07421875" style="115" customWidth="1"/>
    <col min="1291" max="1291" width="1.84375" style="115" customWidth="1"/>
    <col min="1292" max="1292" width="11" style="115" customWidth="1"/>
    <col min="1293" max="1293" width="1.07421875" style="115" customWidth="1"/>
    <col min="1294" max="1294" width="10.84375" style="115" customWidth="1"/>
    <col min="1295" max="1295" width="1.07421875" style="115" customWidth="1"/>
    <col min="1296" max="1296" width="10" style="115" customWidth="1"/>
    <col min="1297" max="1297" width="1.07421875" style="115" customWidth="1"/>
    <col min="1298" max="1298" width="9.07421875" style="115" customWidth="1"/>
    <col min="1299" max="1299" width="1.07421875" style="115" customWidth="1"/>
    <col min="1300" max="1300" width="7.84375" style="115" customWidth="1"/>
    <col min="1301" max="1301" width="1.07421875" style="115" customWidth="1"/>
    <col min="1302" max="1302" width="0.84375" style="115" customWidth="1"/>
    <col min="1303" max="1303" width="9.07421875" style="115" customWidth="1"/>
    <col min="1304" max="1304" width="1.07421875" style="115" customWidth="1"/>
    <col min="1305" max="1305" width="0.84375" style="115" customWidth="1"/>
    <col min="1306" max="1306" width="9.53515625" style="115" bestFit="1" customWidth="1"/>
    <col min="1307" max="1308" width="0.84375" style="115" customWidth="1"/>
    <col min="1309" max="1309" width="9.84375" style="115" customWidth="1"/>
    <col min="1310" max="1310" width="1.07421875" style="115" customWidth="1"/>
    <col min="1311" max="1311" width="8.53515625" style="115" customWidth="1"/>
    <col min="1312" max="1312" width="14.53515625" style="115" customWidth="1"/>
    <col min="1313" max="1313" width="10" style="115" customWidth="1"/>
    <col min="1314" max="1314" width="7.84375" style="115" bestFit="1" customWidth="1"/>
    <col min="1315" max="1315" width="9.84375" style="115" customWidth="1"/>
    <col min="1316" max="1532" width="8.84375" style="115"/>
    <col min="1533" max="1533" width="38.4609375" style="115" customWidth="1"/>
    <col min="1534" max="1534" width="8.53515625" style="115" customWidth="1"/>
    <col min="1535" max="1535" width="1.07421875" style="115" customWidth="1"/>
    <col min="1536" max="1536" width="8.84375" style="115" customWidth="1"/>
    <col min="1537" max="1537" width="1.07421875" style="115" customWidth="1"/>
    <col min="1538" max="1538" width="9.07421875" style="115" customWidth="1"/>
    <col min="1539" max="1539" width="1.07421875" style="115" customWidth="1"/>
    <col min="1540" max="1540" width="10" style="115" customWidth="1"/>
    <col min="1541" max="1541" width="1.07421875" style="115" customWidth="1"/>
    <col min="1542" max="1542" width="9.07421875" style="115" customWidth="1"/>
    <col min="1543" max="1543" width="1.07421875" style="115" customWidth="1"/>
    <col min="1544" max="1544" width="11.07421875" style="115" customWidth="1"/>
    <col min="1545" max="1545" width="1.07421875" style="115" customWidth="1"/>
    <col min="1546" max="1546" width="9.07421875" style="115" customWidth="1"/>
    <col min="1547" max="1547" width="1.84375" style="115" customWidth="1"/>
    <col min="1548" max="1548" width="11" style="115" customWidth="1"/>
    <col min="1549" max="1549" width="1.07421875" style="115" customWidth="1"/>
    <col min="1550" max="1550" width="10.84375" style="115" customWidth="1"/>
    <col min="1551" max="1551" width="1.07421875" style="115" customWidth="1"/>
    <col min="1552" max="1552" width="10" style="115" customWidth="1"/>
    <col min="1553" max="1553" width="1.07421875" style="115" customWidth="1"/>
    <col min="1554" max="1554" width="9.07421875" style="115" customWidth="1"/>
    <col min="1555" max="1555" width="1.07421875" style="115" customWidth="1"/>
    <col min="1556" max="1556" width="7.84375" style="115" customWidth="1"/>
    <col min="1557" max="1557" width="1.07421875" style="115" customWidth="1"/>
    <col min="1558" max="1558" width="0.84375" style="115" customWidth="1"/>
    <col min="1559" max="1559" width="9.07421875" style="115" customWidth="1"/>
    <col min="1560" max="1560" width="1.07421875" style="115" customWidth="1"/>
    <col min="1561" max="1561" width="0.84375" style="115" customWidth="1"/>
    <col min="1562" max="1562" width="9.53515625" style="115" bestFit="1" customWidth="1"/>
    <col min="1563" max="1564" width="0.84375" style="115" customWidth="1"/>
    <col min="1565" max="1565" width="9.84375" style="115" customWidth="1"/>
    <col min="1566" max="1566" width="1.07421875" style="115" customWidth="1"/>
    <col min="1567" max="1567" width="8.53515625" style="115" customWidth="1"/>
    <col min="1568" max="1568" width="14.53515625" style="115" customWidth="1"/>
    <col min="1569" max="1569" width="10" style="115" customWidth="1"/>
    <col min="1570" max="1570" width="7.84375" style="115" bestFit="1" customWidth="1"/>
    <col min="1571" max="1571" width="9.84375" style="115" customWidth="1"/>
    <col min="1572" max="1788" width="8.84375" style="115"/>
    <col min="1789" max="1789" width="38.4609375" style="115" customWidth="1"/>
    <col min="1790" max="1790" width="8.53515625" style="115" customWidth="1"/>
    <col min="1791" max="1791" width="1.07421875" style="115" customWidth="1"/>
    <col min="1792" max="1792" width="8.84375" style="115" customWidth="1"/>
    <col min="1793" max="1793" width="1.07421875" style="115" customWidth="1"/>
    <col min="1794" max="1794" width="9.07421875" style="115" customWidth="1"/>
    <col min="1795" max="1795" width="1.07421875" style="115" customWidth="1"/>
    <col min="1796" max="1796" width="10" style="115" customWidth="1"/>
    <col min="1797" max="1797" width="1.07421875" style="115" customWidth="1"/>
    <col min="1798" max="1798" width="9.07421875" style="115" customWidth="1"/>
    <col min="1799" max="1799" width="1.07421875" style="115" customWidth="1"/>
    <col min="1800" max="1800" width="11.07421875" style="115" customWidth="1"/>
    <col min="1801" max="1801" width="1.07421875" style="115" customWidth="1"/>
    <col min="1802" max="1802" width="9.07421875" style="115" customWidth="1"/>
    <col min="1803" max="1803" width="1.84375" style="115" customWidth="1"/>
    <col min="1804" max="1804" width="11" style="115" customWidth="1"/>
    <col min="1805" max="1805" width="1.07421875" style="115" customWidth="1"/>
    <col min="1806" max="1806" width="10.84375" style="115" customWidth="1"/>
    <col min="1807" max="1807" width="1.07421875" style="115" customWidth="1"/>
    <col min="1808" max="1808" width="10" style="115" customWidth="1"/>
    <col min="1809" max="1809" width="1.07421875" style="115" customWidth="1"/>
    <col min="1810" max="1810" width="9.07421875" style="115" customWidth="1"/>
    <col min="1811" max="1811" width="1.07421875" style="115" customWidth="1"/>
    <col min="1812" max="1812" width="7.84375" style="115" customWidth="1"/>
    <col min="1813" max="1813" width="1.07421875" style="115" customWidth="1"/>
    <col min="1814" max="1814" width="0.84375" style="115" customWidth="1"/>
    <col min="1815" max="1815" width="9.07421875" style="115" customWidth="1"/>
    <col min="1816" max="1816" width="1.07421875" style="115" customWidth="1"/>
    <col min="1817" max="1817" width="0.84375" style="115" customWidth="1"/>
    <col min="1818" max="1818" width="9.53515625" style="115" bestFit="1" customWidth="1"/>
    <col min="1819" max="1820" width="0.84375" style="115" customWidth="1"/>
    <col min="1821" max="1821" width="9.84375" style="115" customWidth="1"/>
    <col min="1822" max="1822" width="1.07421875" style="115" customWidth="1"/>
    <col min="1823" max="1823" width="8.53515625" style="115" customWidth="1"/>
    <col min="1824" max="1824" width="14.53515625" style="115" customWidth="1"/>
    <col min="1825" max="1825" width="10" style="115" customWidth="1"/>
    <col min="1826" max="1826" width="7.84375" style="115" bestFit="1" customWidth="1"/>
    <col min="1827" max="1827" width="9.84375" style="115" customWidth="1"/>
    <col min="1828" max="2044" width="8.84375" style="115"/>
    <col min="2045" max="2045" width="38.4609375" style="115" customWidth="1"/>
    <col min="2046" max="2046" width="8.53515625" style="115" customWidth="1"/>
    <col min="2047" max="2047" width="1.07421875" style="115" customWidth="1"/>
    <col min="2048" max="2048" width="8.84375" style="115" customWidth="1"/>
    <col min="2049" max="2049" width="1.07421875" style="115" customWidth="1"/>
    <col min="2050" max="2050" width="9.07421875" style="115" customWidth="1"/>
    <col min="2051" max="2051" width="1.07421875" style="115" customWidth="1"/>
    <col min="2052" max="2052" width="10" style="115" customWidth="1"/>
    <col min="2053" max="2053" width="1.07421875" style="115" customWidth="1"/>
    <col min="2054" max="2054" width="9.07421875" style="115" customWidth="1"/>
    <col min="2055" max="2055" width="1.07421875" style="115" customWidth="1"/>
    <col min="2056" max="2056" width="11.07421875" style="115" customWidth="1"/>
    <col min="2057" max="2057" width="1.07421875" style="115" customWidth="1"/>
    <col min="2058" max="2058" width="9.07421875" style="115" customWidth="1"/>
    <col min="2059" max="2059" width="1.84375" style="115" customWidth="1"/>
    <col min="2060" max="2060" width="11" style="115" customWidth="1"/>
    <col min="2061" max="2061" width="1.07421875" style="115" customWidth="1"/>
    <col min="2062" max="2062" width="10.84375" style="115" customWidth="1"/>
    <col min="2063" max="2063" width="1.07421875" style="115" customWidth="1"/>
    <col min="2064" max="2064" width="10" style="115" customWidth="1"/>
    <col min="2065" max="2065" width="1.07421875" style="115" customWidth="1"/>
    <col min="2066" max="2066" width="9.07421875" style="115" customWidth="1"/>
    <col min="2067" max="2067" width="1.07421875" style="115" customWidth="1"/>
    <col min="2068" max="2068" width="7.84375" style="115" customWidth="1"/>
    <col min="2069" max="2069" width="1.07421875" style="115" customWidth="1"/>
    <col min="2070" max="2070" width="0.84375" style="115" customWidth="1"/>
    <col min="2071" max="2071" width="9.07421875" style="115" customWidth="1"/>
    <col min="2072" max="2072" width="1.07421875" style="115" customWidth="1"/>
    <col min="2073" max="2073" width="0.84375" style="115" customWidth="1"/>
    <col min="2074" max="2074" width="9.53515625" style="115" bestFit="1" customWidth="1"/>
    <col min="2075" max="2076" width="0.84375" style="115" customWidth="1"/>
    <col min="2077" max="2077" width="9.84375" style="115" customWidth="1"/>
    <col min="2078" max="2078" width="1.07421875" style="115" customWidth="1"/>
    <col min="2079" max="2079" width="8.53515625" style="115" customWidth="1"/>
    <col min="2080" max="2080" width="14.53515625" style="115" customWidth="1"/>
    <col min="2081" max="2081" width="10" style="115" customWidth="1"/>
    <col min="2082" max="2082" width="7.84375" style="115" bestFit="1" customWidth="1"/>
    <col min="2083" max="2083" width="9.84375" style="115" customWidth="1"/>
    <col min="2084" max="2300" width="8.84375" style="115"/>
    <col min="2301" max="2301" width="38.4609375" style="115" customWidth="1"/>
    <col min="2302" max="2302" width="8.53515625" style="115" customWidth="1"/>
    <col min="2303" max="2303" width="1.07421875" style="115" customWidth="1"/>
    <col min="2304" max="2304" width="8.84375" style="115" customWidth="1"/>
    <col min="2305" max="2305" width="1.07421875" style="115" customWidth="1"/>
    <col min="2306" max="2306" width="9.07421875" style="115" customWidth="1"/>
    <col min="2307" max="2307" width="1.07421875" style="115" customWidth="1"/>
    <col min="2308" max="2308" width="10" style="115" customWidth="1"/>
    <col min="2309" max="2309" width="1.07421875" style="115" customWidth="1"/>
    <col min="2310" max="2310" width="9.07421875" style="115" customWidth="1"/>
    <col min="2311" max="2311" width="1.07421875" style="115" customWidth="1"/>
    <col min="2312" max="2312" width="11.07421875" style="115" customWidth="1"/>
    <col min="2313" max="2313" width="1.07421875" style="115" customWidth="1"/>
    <col min="2314" max="2314" width="9.07421875" style="115" customWidth="1"/>
    <col min="2315" max="2315" width="1.84375" style="115" customWidth="1"/>
    <col min="2316" max="2316" width="11" style="115" customWidth="1"/>
    <col min="2317" max="2317" width="1.07421875" style="115" customWidth="1"/>
    <col min="2318" max="2318" width="10.84375" style="115" customWidth="1"/>
    <col min="2319" max="2319" width="1.07421875" style="115" customWidth="1"/>
    <col min="2320" max="2320" width="10" style="115" customWidth="1"/>
    <col min="2321" max="2321" width="1.07421875" style="115" customWidth="1"/>
    <col min="2322" max="2322" width="9.07421875" style="115" customWidth="1"/>
    <col min="2323" max="2323" width="1.07421875" style="115" customWidth="1"/>
    <col min="2324" max="2324" width="7.84375" style="115" customWidth="1"/>
    <col min="2325" max="2325" width="1.07421875" style="115" customWidth="1"/>
    <col min="2326" max="2326" width="0.84375" style="115" customWidth="1"/>
    <col min="2327" max="2327" width="9.07421875" style="115" customWidth="1"/>
    <col min="2328" max="2328" width="1.07421875" style="115" customWidth="1"/>
    <col min="2329" max="2329" width="0.84375" style="115" customWidth="1"/>
    <col min="2330" max="2330" width="9.53515625" style="115" bestFit="1" customWidth="1"/>
    <col min="2331" max="2332" width="0.84375" style="115" customWidth="1"/>
    <col min="2333" max="2333" width="9.84375" style="115" customWidth="1"/>
    <col min="2334" max="2334" width="1.07421875" style="115" customWidth="1"/>
    <col min="2335" max="2335" width="8.53515625" style="115" customWidth="1"/>
    <col min="2336" max="2336" width="14.53515625" style="115" customWidth="1"/>
    <col min="2337" max="2337" width="10" style="115" customWidth="1"/>
    <col min="2338" max="2338" width="7.84375" style="115" bestFit="1" customWidth="1"/>
    <col min="2339" max="2339" width="9.84375" style="115" customWidth="1"/>
    <col min="2340" max="2556" width="8.84375" style="115"/>
    <col min="2557" max="2557" width="38.4609375" style="115" customWidth="1"/>
    <col min="2558" max="2558" width="8.53515625" style="115" customWidth="1"/>
    <col min="2559" max="2559" width="1.07421875" style="115" customWidth="1"/>
    <col min="2560" max="2560" width="8.84375" style="115" customWidth="1"/>
    <col min="2561" max="2561" width="1.07421875" style="115" customWidth="1"/>
    <col min="2562" max="2562" width="9.07421875" style="115" customWidth="1"/>
    <col min="2563" max="2563" width="1.07421875" style="115" customWidth="1"/>
    <col min="2564" max="2564" width="10" style="115" customWidth="1"/>
    <col min="2565" max="2565" width="1.07421875" style="115" customWidth="1"/>
    <col min="2566" max="2566" width="9.07421875" style="115" customWidth="1"/>
    <col min="2567" max="2567" width="1.07421875" style="115" customWidth="1"/>
    <col min="2568" max="2568" width="11.07421875" style="115" customWidth="1"/>
    <col min="2569" max="2569" width="1.07421875" style="115" customWidth="1"/>
    <col min="2570" max="2570" width="9.07421875" style="115" customWidth="1"/>
    <col min="2571" max="2571" width="1.84375" style="115" customWidth="1"/>
    <col min="2572" max="2572" width="11" style="115" customWidth="1"/>
    <col min="2573" max="2573" width="1.07421875" style="115" customWidth="1"/>
    <col min="2574" max="2574" width="10.84375" style="115" customWidth="1"/>
    <col min="2575" max="2575" width="1.07421875" style="115" customWidth="1"/>
    <col min="2576" max="2576" width="10" style="115" customWidth="1"/>
    <col min="2577" max="2577" width="1.07421875" style="115" customWidth="1"/>
    <col min="2578" max="2578" width="9.07421875" style="115" customWidth="1"/>
    <col min="2579" max="2579" width="1.07421875" style="115" customWidth="1"/>
    <col min="2580" max="2580" width="7.84375" style="115" customWidth="1"/>
    <col min="2581" max="2581" width="1.07421875" style="115" customWidth="1"/>
    <col min="2582" max="2582" width="0.84375" style="115" customWidth="1"/>
    <col min="2583" max="2583" width="9.07421875" style="115" customWidth="1"/>
    <col min="2584" max="2584" width="1.07421875" style="115" customWidth="1"/>
    <col min="2585" max="2585" width="0.84375" style="115" customWidth="1"/>
    <col min="2586" max="2586" width="9.53515625" style="115" bestFit="1" customWidth="1"/>
    <col min="2587" max="2588" width="0.84375" style="115" customWidth="1"/>
    <col min="2589" max="2589" width="9.84375" style="115" customWidth="1"/>
    <col min="2590" max="2590" width="1.07421875" style="115" customWidth="1"/>
    <col min="2591" max="2591" width="8.53515625" style="115" customWidth="1"/>
    <col min="2592" max="2592" width="14.53515625" style="115" customWidth="1"/>
    <col min="2593" max="2593" width="10" style="115" customWidth="1"/>
    <col min="2594" max="2594" width="7.84375" style="115" bestFit="1" customWidth="1"/>
    <col min="2595" max="2595" width="9.84375" style="115" customWidth="1"/>
    <col min="2596" max="2812" width="8.84375" style="115"/>
    <col min="2813" max="2813" width="38.4609375" style="115" customWidth="1"/>
    <col min="2814" max="2814" width="8.53515625" style="115" customWidth="1"/>
    <col min="2815" max="2815" width="1.07421875" style="115" customWidth="1"/>
    <col min="2816" max="2816" width="8.84375" style="115" customWidth="1"/>
    <col min="2817" max="2817" width="1.07421875" style="115" customWidth="1"/>
    <col min="2818" max="2818" width="9.07421875" style="115" customWidth="1"/>
    <col min="2819" max="2819" width="1.07421875" style="115" customWidth="1"/>
    <col min="2820" max="2820" width="10" style="115" customWidth="1"/>
    <col min="2821" max="2821" width="1.07421875" style="115" customWidth="1"/>
    <col min="2822" max="2822" width="9.07421875" style="115" customWidth="1"/>
    <col min="2823" max="2823" width="1.07421875" style="115" customWidth="1"/>
    <col min="2824" max="2824" width="11.07421875" style="115" customWidth="1"/>
    <col min="2825" max="2825" width="1.07421875" style="115" customWidth="1"/>
    <col min="2826" max="2826" width="9.07421875" style="115" customWidth="1"/>
    <col min="2827" max="2827" width="1.84375" style="115" customWidth="1"/>
    <col min="2828" max="2828" width="11" style="115" customWidth="1"/>
    <col min="2829" max="2829" width="1.07421875" style="115" customWidth="1"/>
    <col min="2830" max="2830" width="10.84375" style="115" customWidth="1"/>
    <col min="2831" max="2831" width="1.07421875" style="115" customWidth="1"/>
    <col min="2832" max="2832" width="10" style="115" customWidth="1"/>
    <col min="2833" max="2833" width="1.07421875" style="115" customWidth="1"/>
    <col min="2834" max="2834" width="9.07421875" style="115" customWidth="1"/>
    <col min="2835" max="2835" width="1.07421875" style="115" customWidth="1"/>
    <col min="2836" max="2836" width="7.84375" style="115" customWidth="1"/>
    <col min="2837" max="2837" width="1.07421875" style="115" customWidth="1"/>
    <col min="2838" max="2838" width="0.84375" style="115" customWidth="1"/>
    <col min="2839" max="2839" width="9.07421875" style="115" customWidth="1"/>
    <col min="2840" max="2840" width="1.07421875" style="115" customWidth="1"/>
    <col min="2841" max="2841" width="0.84375" style="115" customWidth="1"/>
    <col min="2842" max="2842" width="9.53515625" style="115" bestFit="1" customWidth="1"/>
    <col min="2843" max="2844" width="0.84375" style="115" customWidth="1"/>
    <col min="2845" max="2845" width="9.84375" style="115" customWidth="1"/>
    <col min="2846" max="2846" width="1.07421875" style="115" customWidth="1"/>
    <col min="2847" max="2847" width="8.53515625" style="115" customWidth="1"/>
    <col min="2848" max="2848" width="14.53515625" style="115" customWidth="1"/>
    <col min="2849" max="2849" width="10" style="115" customWidth="1"/>
    <col min="2850" max="2850" width="7.84375" style="115" bestFit="1" customWidth="1"/>
    <col min="2851" max="2851" width="9.84375" style="115" customWidth="1"/>
    <col min="2852" max="3068" width="8.84375" style="115"/>
    <col min="3069" max="3069" width="38.4609375" style="115" customWidth="1"/>
    <col min="3070" max="3070" width="8.53515625" style="115" customWidth="1"/>
    <col min="3071" max="3071" width="1.07421875" style="115" customWidth="1"/>
    <col min="3072" max="3072" width="8.84375" style="115" customWidth="1"/>
    <col min="3073" max="3073" width="1.07421875" style="115" customWidth="1"/>
    <col min="3074" max="3074" width="9.07421875" style="115" customWidth="1"/>
    <col min="3075" max="3075" width="1.07421875" style="115" customWidth="1"/>
    <col min="3076" max="3076" width="10" style="115" customWidth="1"/>
    <col min="3077" max="3077" width="1.07421875" style="115" customWidth="1"/>
    <col min="3078" max="3078" width="9.07421875" style="115" customWidth="1"/>
    <col min="3079" max="3079" width="1.07421875" style="115" customWidth="1"/>
    <col min="3080" max="3080" width="11.07421875" style="115" customWidth="1"/>
    <col min="3081" max="3081" width="1.07421875" style="115" customWidth="1"/>
    <col min="3082" max="3082" width="9.07421875" style="115" customWidth="1"/>
    <col min="3083" max="3083" width="1.84375" style="115" customWidth="1"/>
    <col min="3084" max="3084" width="11" style="115" customWidth="1"/>
    <col min="3085" max="3085" width="1.07421875" style="115" customWidth="1"/>
    <col min="3086" max="3086" width="10.84375" style="115" customWidth="1"/>
    <col min="3087" max="3087" width="1.07421875" style="115" customWidth="1"/>
    <col min="3088" max="3088" width="10" style="115" customWidth="1"/>
    <col min="3089" max="3089" width="1.07421875" style="115" customWidth="1"/>
    <col min="3090" max="3090" width="9.07421875" style="115" customWidth="1"/>
    <col min="3091" max="3091" width="1.07421875" style="115" customWidth="1"/>
    <col min="3092" max="3092" width="7.84375" style="115" customWidth="1"/>
    <col min="3093" max="3093" width="1.07421875" style="115" customWidth="1"/>
    <col min="3094" max="3094" width="0.84375" style="115" customWidth="1"/>
    <col min="3095" max="3095" width="9.07421875" style="115" customWidth="1"/>
    <col min="3096" max="3096" width="1.07421875" style="115" customWidth="1"/>
    <col min="3097" max="3097" width="0.84375" style="115" customWidth="1"/>
    <col min="3098" max="3098" width="9.53515625" style="115" bestFit="1" customWidth="1"/>
    <col min="3099" max="3100" width="0.84375" style="115" customWidth="1"/>
    <col min="3101" max="3101" width="9.84375" style="115" customWidth="1"/>
    <col min="3102" max="3102" width="1.07421875" style="115" customWidth="1"/>
    <col min="3103" max="3103" width="8.53515625" style="115" customWidth="1"/>
    <col min="3104" max="3104" width="14.53515625" style="115" customWidth="1"/>
    <col min="3105" max="3105" width="10" style="115" customWidth="1"/>
    <col min="3106" max="3106" width="7.84375" style="115" bestFit="1" customWidth="1"/>
    <col min="3107" max="3107" width="9.84375" style="115" customWidth="1"/>
    <col min="3108" max="3324" width="8.84375" style="115"/>
    <col min="3325" max="3325" width="38.4609375" style="115" customWidth="1"/>
    <col min="3326" max="3326" width="8.53515625" style="115" customWidth="1"/>
    <col min="3327" max="3327" width="1.07421875" style="115" customWidth="1"/>
    <col min="3328" max="3328" width="8.84375" style="115" customWidth="1"/>
    <col min="3329" max="3329" width="1.07421875" style="115" customWidth="1"/>
    <col min="3330" max="3330" width="9.07421875" style="115" customWidth="1"/>
    <col min="3331" max="3331" width="1.07421875" style="115" customWidth="1"/>
    <col min="3332" max="3332" width="10" style="115" customWidth="1"/>
    <col min="3333" max="3333" width="1.07421875" style="115" customWidth="1"/>
    <col min="3334" max="3334" width="9.07421875" style="115" customWidth="1"/>
    <col min="3335" max="3335" width="1.07421875" style="115" customWidth="1"/>
    <col min="3336" max="3336" width="11.07421875" style="115" customWidth="1"/>
    <col min="3337" max="3337" width="1.07421875" style="115" customWidth="1"/>
    <col min="3338" max="3338" width="9.07421875" style="115" customWidth="1"/>
    <col min="3339" max="3339" width="1.84375" style="115" customWidth="1"/>
    <col min="3340" max="3340" width="11" style="115" customWidth="1"/>
    <col min="3341" max="3341" width="1.07421875" style="115" customWidth="1"/>
    <col min="3342" max="3342" width="10.84375" style="115" customWidth="1"/>
    <col min="3343" max="3343" width="1.07421875" style="115" customWidth="1"/>
    <col min="3344" max="3344" width="10" style="115" customWidth="1"/>
    <col min="3345" max="3345" width="1.07421875" style="115" customWidth="1"/>
    <col min="3346" max="3346" width="9.07421875" style="115" customWidth="1"/>
    <col min="3347" max="3347" width="1.07421875" style="115" customWidth="1"/>
    <col min="3348" max="3348" width="7.84375" style="115" customWidth="1"/>
    <col min="3349" max="3349" width="1.07421875" style="115" customWidth="1"/>
    <col min="3350" max="3350" width="0.84375" style="115" customWidth="1"/>
    <col min="3351" max="3351" width="9.07421875" style="115" customWidth="1"/>
    <col min="3352" max="3352" width="1.07421875" style="115" customWidth="1"/>
    <col min="3353" max="3353" width="0.84375" style="115" customWidth="1"/>
    <col min="3354" max="3354" width="9.53515625" style="115" bestFit="1" customWidth="1"/>
    <col min="3355" max="3356" width="0.84375" style="115" customWidth="1"/>
    <col min="3357" max="3357" width="9.84375" style="115" customWidth="1"/>
    <col min="3358" max="3358" width="1.07421875" style="115" customWidth="1"/>
    <col min="3359" max="3359" width="8.53515625" style="115" customWidth="1"/>
    <col min="3360" max="3360" width="14.53515625" style="115" customWidth="1"/>
    <col min="3361" max="3361" width="10" style="115" customWidth="1"/>
    <col min="3362" max="3362" width="7.84375" style="115" bestFit="1" customWidth="1"/>
    <col min="3363" max="3363" width="9.84375" style="115" customWidth="1"/>
    <col min="3364" max="3580" width="8.84375" style="115"/>
    <col min="3581" max="3581" width="38.4609375" style="115" customWidth="1"/>
    <col min="3582" max="3582" width="8.53515625" style="115" customWidth="1"/>
    <col min="3583" max="3583" width="1.07421875" style="115" customWidth="1"/>
    <col min="3584" max="3584" width="8.84375" style="115" customWidth="1"/>
    <col min="3585" max="3585" width="1.07421875" style="115" customWidth="1"/>
    <col min="3586" max="3586" width="9.07421875" style="115" customWidth="1"/>
    <col min="3587" max="3587" width="1.07421875" style="115" customWidth="1"/>
    <col min="3588" max="3588" width="10" style="115" customWidth="1"/>
    <col min="3589" max="3589" width="1.07421875" style="115" customWidth="1"/>
    <col min="3590" max="3590" width="9.07421875" style="115" customWidth="1"/>
    <col min="3591" max="3591" width="1.07421875" style="115" customWidth="1"/>
    <col min="3592" max="3592" width="11.07421875" style="115" customWidth="1"/>
    <col min="3593" max="3593" width="1.07421875" style="115" customWidth="1"/>
    <col min="3594" max="3594" width="9.07421875" style="115" customWidth="1"/>
    <col min="3595" max="3595" width="1.84375" style="115" customWidth="1"/>
    <col min="3596" max="3596" width="11" style="115" customWidth="1"/>
    <col min="3597" max="3597" width="1.07421875" style="115" customWidth="1"/>
    <col min="3598" max="3598" width="10.84375" style="115" customWidth="1"/>
    <col min="3599" max="3599" width="1.07421875" style="115" customWidth="1"/>
    <col min="3600" max="3600" width="10" style="115" customWidth="1"/>
    <col min="3601" max="3601" width="1.07421875" style="115" customWidth="1"/>
    <col min="3602" max="3602" width="9.07421875" style="115" customWidth="1"/>
    <col min="3603" max="3603" width="1.07421875" style="115" customWidth="1"/>
    <col min="3604" max="3604" width="7.84375" style="115" customWidth="1"/>
    <col min="3605" max="3605" width="1.07421875" style="115" customWidth="1"/>
    <col min="3606" max="3606" width="0.84375" style="115" customWidth="1"/>
    <col min="3607" max="3607" width="9.07421875" style="115" customWidth="1"/>
    <col min="3608" max="3608" width="1.07421875" style="115" customWidth="1"/>
    <col min="3609" max="3609" width="0.84375" style="115" customWidth="1"/>
    <col min="3610" max="3610" width="9.53515625" style="115" bestFit="1" customWidth="1"/>
    <col min="3611" max="3612" width="0.84375" style="115" customWidth="1"/>
    <col min="3613" max="3613" width="9.84375" style="115" customWidth="1"/>
    <col min="3614" max="3614" width="1.07421875" style="115" customWidth="1"/>
    <col min="3615" max="3615" width="8.53515625" style="115" customWidth="1"/>
    <col min="3616" max="3616" width="14.53515625" style="115" customWidth="1"/>
    <col min="3617" max="3617" width="10" style="115" customWidth="1"/>
    <col min="3618" max="3618" width="7.84375" style="115" bestFit="1" customWidth="1"/>
    <col min="3619" max="3619" width="9.84375" style="115" customWidth="1"/>
    <col min="3620" max="3836" width="8.84375" style="115"/>
    <col min="3837" max="3837" width="38.4609375" style="115" customWidth="1"/>
    <col min="3838" max="3838" width="8.53515625" style="115" customWidth="1"/>
    <col min="3839" max="3839" width="1.07421875" style="115" customWidth="1"/>
    <col min="3840" max="3840" width="8.84375" style="115" customWidth="1"/>
    <col min="3841" max="3841" width="1.07421875" style="115" customWidth="1"/>
    <col min="3842" max="3842" width="9.07421875" style="115" customWidth="1"/>
    <col min="3843" max="3843" width="1.07421875" style="115" customWidth="1"/>
    <col min="3844" max="3844" width="10" style="115" customWidth="1"/>
    <col min="3845" max="3845" width="1.07421875" style="115" customWidth="1"/>
    <col min="3846" max="3846" width="9.07421875" style="115" customWidth="1"/>
    <col min="3847" max="3847" width="1.07421875" style="115" customWidth="1"/>
    <col min="3848" max="3848" width="11.07421875" style="115" customWidth="1"/>
    <col min="3849" max="3849" width="1.07421875" style="115" customWidth="1"/>
    <col min="3850" max="3850" width="9.07421875" style="115" customWidth="1"/>
    <col min="3851" max="3851" width="1.84375" style="115" customWidth="1"/>
    <col min="3852" max="3852" width="11" style="115" customWidth="1"/>
    <col min="3853" max="3853" width="1.07421875" style="115" customWidth="1"/>
    <col min="3854" max="3854" width="10.84375" style="115" customWidth="1"/>
    <col min="3855" max="3855" width="1.07421875" style="115" customWidth="1"/>
    <col min="3856" max="3856" width="10" style="115" customWidth="1"/>
    <col min="3857" max="3857" width="1.07421875" style="115" customWidth="1"/>
    <col min="3858" max="3858" width="9.07421875" style="115" customWidth="1"/>
    <col min="3859" max="3859" width="1.07421875" style="115" customWidth="1"/>
    <col min="3860" max="3860" width="7.84375" style="115" customWidth="1"/>
    <col min="3861" max="3861" width="1.07421875" style="115" customWidth="1"/>
    <col min="3862" max="3862" width="0.84375" style="115" customWidth="1"/>
    <col min="3863" max="3863" width="9.07421875" style="115" customWidth="1"/>
    <col min="3864" max="3864" width="1.07421875" style="115" customWidth="1"/>
    <col min="3865" max="3865" width="0.84375" style="115" customWidth="1"/>
    <col min="3866" max="3866" width="9.53515625" style="115" bestFit="1" customWidth="1"/>
    <col min="3867" max="3868" width="0.84375" style="115" customWidth="1"/>
    <col min="3869" max="3869" width="9.84375" style="115" customWidth="1"/>
    <col min="3870" max="3870" width="1.07421875" style="115" customWidth="1"/>
    <col min="3871" max="3871" width="8.53515625" style="115" customWidth="1"/>
    <col min="3872" max="3872" width="14.53515625" style="115" customWidth="1"/>
    <col min="3873" max="3873" width="10" style="115" customWidth="1"/>
    <col min="3874" max="3874" width="7.84375" style="115" bestFit="1" customWidth="1"/>
    <col min="3875" max="3875" width="9.84375" style="115" customWidth="1"/>
    <col min="3876" max="4092" width="8.84375" style="115"/>
    <col min="4093" max="4093" width="38.4609375" style="115" customWidth="1"/>
    <col min="4094" max="4094" width="8.53515625" style="115" customWidth="1"/>
    <col min="4095" max="4095" width="1.07421875" style="115" customWidth="1"/>
    <col min="4096" max="4096" width="8.84375" style="115" customWidth="1"/>
    <col min="4097" max="4097" width="1.07421875" style="115" customWidth="1"/>
    <col min="4098" max="4098" width="9.07421875" style="115" customWidth="1"/>
    <col min="4099" max="4099" width="1.07421875" style="115" customWidth="1"/>
    <col min="4100" max="4100" width="10" style="115" customWidth="1"/>
    <col min="4101" max="4101" width="1.07421875" style="115" customWidth="1"/>
    <col min="4102" max="4102" width="9.07421875" style="115" customWidth="1"/>
    <col min="4103" max="4103" width="1.07421875" style="115" customWidth="1"/>
    <col min="4104" max="4104" width="11.07421875" style="115" customWidth="1"/>
    <col min="4105" max="4105" width="1.07421875" style="115" customWidth="1"/>
    <col min="4106" max="4106" width="9.07421875" style="115" customWidth="1"/>
    <col min="4107" max="4107" width="1.84375" style="115" customWidth="1"/>
    <col min="4108" max="4108" width="11" style="115" customWidth="1"/>
    <col min="4109" max="4109" width="1.07421875" style="115" customWidth="1"/>
    <col min="4110" max="4110" width="10.84375" style="115" customWidth="1"/>
    <col min="4111" max="4111" width="1.07421875" style="115" customWidth="1"/>
    <col min="4112" max="4112" width="10" style="115" customWidth="1"/>
    <col min="4113" max="4113" width="1.07421875" style="115" customWidth="1"/>
    <col min="4114" max="4114" width="9.07421875" style="115" customWidth="1"/>
    <col min="4115" max="4115" width="1.07421875" style="115" customWidth="1"/>
    <col min="4116" max="4116" width="7.84375" style="115" customWidth="1"/>
    <col min="4117" max="4117" width="1.07421875" style="115" customWidth="1"/>
    <col min="4118" max="4118" width="0.84375" style="115" customWidth="1"/>
    <col min="4119" max="4119" width="9.07421875" style="115" customWidth="1"/>
    <col min="4120" max="4120" width="1.07421875" style="115" customWidth="1"/>
    <col min="4121" max="4121" width="0.84375" style="115" customWidth="1"/>
    <col min="4122" max="4122" width="9.53515625" style="115" bestFit="1" customWidth="1"/>
    <col min="4123" max="4124" width="0.84375" style="115" customWidth="1"/>
    <col min="4125" max="4125" width="9.84375" style="115" customWidth="1"/>
    <col min="4126" max="4126" width="1.07421875" style="115" customWidth="1"/>
    <col min="4127" max="4127" width="8.53515625" style="115" customWidth="1"/>
    <col min="4128" max="4128" width="14.53515625" style="115" customWidth="1"/>
    <col min="4129" max="4129" width="10" style="115" customWidth="1"/>
    <col min="4130" max="4130" width="7.84375" style="115" bestFit="1" customWidth="1"/>
    <col min="4131" max="4131" width="9.84375" style="115" customWidth="1"/>
    <col min="4132" max="4348" width="8.84375" style="115"/>
    <col min="4349" max="4349" width="38.4609375" style="115" customWidth="1"/>
    <col min="4350" max="4350" width="8.53515625" style="115" customWidth="1"/>
    <col min="4351" max="4351" width="1.07421875" style="115" customWidth="1"/>
    <col min="4352" max="4352" width="8.84375" style="115" customWidth="1"/>
    <col min="4353" max="4353" width="1.07421875" style="115" customWidth="1"/>
    <col min="4354" max="4354" width="9.07421875" style="115" customWidth="1"/>
    <col min="4355" max="4355" width="1.07421875" style="115" customWidth="1"/>
    <col min="4356" max="4356" width="10" style="115" customWidth="1"/>
    <col min="4357" max="4357" width="1.07421875" style="115" customWidth="1"/>
    <col min="4358" max="4358" width="9.07421875" style="115" customWidth="1"/>
    <col min="4359" max="4359" width="1.07421875" style="115" customWidth="1"/>
    <col min="4360" max="4360" width="11.07421875" style="115" customWidth="1"/>
    <col min="4361" max="4361" width="1.07421875" style="115" customWidth="1"/>
    <col min="4362" max="4362" width="9.07421875" style="115" customWidth="1"/>
    <col min="4363" max="4363" width="1.84375" style="115" customWidth="1"/>
    <col min="4364" max="4364" width="11" style="115" customWidth="1"/>
    <col min="4365" max="4365" width="1.07421875" style="115" customWidth="1"/>
    <col min="4366" max="4366" width="10.84375" style="115" customWidth="1"/>
    <col min="4367" max="4367" width="1.07421875" style="115" customWidth="1"/>
    <col min="4368" max="4368" width="10" style="115" customWidth="1"/>
    <col min="4369" max="4369" width="1.07421875" style="115" customWidth="1"/>
    <col min="4370" max="4370" width="9.07421875" style="115" customWidth="1"/>
    <col min="4371" max="4371" width="1.07421875" style="115" customWidth="1"/>
    <col min="4372" max="4372" width="7.84375" style="115" customWidth="1"/>
    <col min="4373" max="4373" width="1.07421875" style="115" customWidth="1"/>
    <col min="4374" max="4374" width="0.84375" style="115" customWidth="1"/>
    <col min="4375" max="4375" width="9.07421875" style="115" customWidth="1"/>
    <col min="4376" max="4376" width="1.07421875" style="115" customWidth="1"/>
    <col min="4377" max="4377" width="0.84375" style="115" customWidth="1"/>
    <col min="4378" max="4378" width="9.53515625" style="115" bestFit="1" customWidth="1"/>
    <col min="4379" max="4380" width="0.84375" style="115" customWidth="1"/>
    <col min="4381" max="4381" width="9.84375" style="115" customWidth="1"/>
    <col min="4382" max="4382" width="1.07421875" style="115" customWidth="1"/>
    <col min="4383" max="4383" width="8.53515625" style="115" customWidth="1"/>
    <col min="4384" max="4384" width="14.53515625" style="115" customWidth="1"/>
    <col min="4385" max="4385" width="10" style="115" customWidth="1"/>
    <col min="4386" max="4386" width="7.84375" style="115" bestFit="1" customWidth="1"/>
    <col min="4387" max="4387" width="9.84375" style="115" customWidth="1"/>
    <col min="4388" max="4604" width="8.84375" style="115"/>
    <col min="4605" max="4605" width="38.4609375" style="115" customWidth="1"/>
    <col min="4606" max="4606" width="8.53515625" style="115" customWidth="1"/>
    <col min="4607" max="4607" width="1.07421875" style="115" customWidth="1"/>
    <col min="4608" max="4608" width="8.84375" style="115" customWidth="1"/>
    <col min="4609" max="4609" width="1.07421875" style="115" customWidth="1"/>
    <col min="4610" max="4610" width="9.07421875" style="115" customWidth="1"/>
    <col min="4611" max="4611" width="1.07421875" style="115" customWidth="1"/>
    <col min="4612" max="4612" width="10" style="115" customWidth="1"/>
    <col min="4613" max="4613" width="1.07421875" style="115" customWidth="1"/>
    <col min="4614" max="4614" width="9.07421875" style="115" customWidth="1"/>
    <col min="4615" max="4615" width="1.07421875" style="115" customWidth="1"/>
    <col min="4616" max="4616" width="11.07421875" style="115" customWidth="1"/>
    <col min="4617" max="4617" width="1.07421875" style="115" customWidth="1"/>
    <col min="4618" max="4618" width="9.07421875" style="115" customWidth="1"/>
    <col min="4619" max="4619" width="1.84375" style="115" customWidth="1"/>
    <col min="4620" max="4620" width="11" style="115" customWidth="1"/>
    <col min="4621" max="4621" width="1.07421875" style="115" customWidth="1"/>
    <col min="4622" max="4622" width="10.84375" style="115" customWidth="1"/>
    <col min="4623" max="4623" width="1.07421875" style="115" customWidth="1"/>
    <col min="4624" max="4624" width="10" style="115" customWidth="1"/>
    <col min="4625" max="4625" width="1.07421875" style="115" customWidth="1"/>
    <col min="4626" max="4626" width="9.07421875" style="115" customWidth="1"/>
    <col min="4627" max="4627" width="1.07421875" style="115" customWidth="1"/>
    <col min="4628" max="4628" width="7.84375" style="115" customWidth="1"/>
    <col min="4629" max="4629" width="1.07421875" style="115" customWidth="1"/>
    <col min="4630" max="4630" width="0.84375" style="115" customWidth="1"/>
    <col min="4631" max="4631" width="9.07421875" style="115" customWidth="1"/>
    <col min="4632" max="4632" width="1.07421875" style="115" customWidth="1"/>
    <col min="4633" max="4633" width="0.84375" style="115" customWidth="1"/>
    <col min="4634" max="4634" width="9.53515625" style="115" bestFit="1" customWidth="1"/>
    <col min="4635" max="4636" width="0.84375" style="115" customWidth="1"/>
    <col min="4637" max="4637" width="9.84375" style="115" customWidth="1"/>
    <col min="4638" max="4638" width="1.07421875" style="115" customWidth="1"/>
    <col min="4639" max="4639" width="8.53515625" style="115" customWidth="1"/>
    <col min="4640" max="4640" width="14.53515625" style="115" customWidth="1"/>
    <col min="4641" max="4641" width="10" style="115" customWidth="1"/>
    <col min="4642" max="4642" width="7.84375" style="115" bestFit="1" customWidth="1"/>
    <col min="4643" max="4643" width="9.84375" style="115" customWidth="1"/>
    <col min="4644" max="4860" width="8.84375" style="115"/>
    <col min="4861" max="4861" width="38.4609375" style="115" customWidth="1"/>
    <col min="4862" max="4862" width="8.53515625" style="115" customWidth="1"/>
    <col min="4863" max="4863" width="1.07421875" style="115" customWidth="1"/>
    <col min="4864" max="4864" width="8.84375" style="115" customWidth="1"/>
    <col min="4865" max="4865" width="1.07421875" style="115" customWidth="1"/>
    <col min="4866" max="4866" width="9.07421875" style="115" customWidth="1"/>
    <col min="4867" max="4867" width="1.07421875" style="115" customWidth="1"/>
    <col min="4868" max="4868" width="10" style="115" customWidth="1"/>
    <col min="4869" max="4869" width="1.07421875" style="115" customWidth="1"/>
    <col min="4870" max="4870" width="9.07421875" style="115" customWidth="1"/>
    <col min="4871" max="4871" width="1.07421875" style="115" customWidth="1"/>
    <col min="4872" max="4872" width="11.07421875" style="115" customWidth="1"/>
    <col min="4873" max="4873" width="1.07421875" style="115" customWidth="1"/>
    <col min="4874" max="4874" width="9.07421875" style="115" customWidth="1"/>
    <col min="4875" max="4875" width="1.84375" style="115" customWidth="1"/>
    <col min="4876" max="4876" width="11" style="115" customWidth="1"/>
    <col min="4877" max="4877" width="1.07421875" style="115" customWidth="1"/>
    <col min="4878" max="4878" width="10.84375" style="115" customWidth="1"/>
    <col min="4879" max="4879" width="1.07421875" style="115" customWidth="1"/>
    <col min="4880" max="4880" width="10" style="115" customWidth="1"/>
    <col min="4881" max="4881" width="1.07421875" style="115" customWidth="1"/>
    <col min="4882" max="4882" width="9.07421875" style="115" customWidth="1"/>
    <col min="4883" max="4883" width="1.07421875" style="115" customWidth="1"/>
    <col min="4884" max="4884" width="7.84375" style="115" customWidth="1"/>
    <col min="4885" max="4885" width="1.07421875" style="115" customWidth="1"/>
    <col min="4886" max="4886" width="0.84375" style="115" customWidth="1"/>
    <col min="4887" max="4887" width="9.07421875" style="115" customWidth="1"/>
    <col min="4888" max="4888" width="1.07421875" style="115" customWidth="1"/>
    <col min="4889" max="4889" width="0.84375" style="115" customWidth="1"/>
    <col min="4890" max="4890" width="9.53515625" style="115" bestFit="1" customWidth="1"/>
    <col min="4891" max="4892" width="0.84375" style="115" customWidth="1"/>
    <col min="4893" max="4893" width="9.84375" style="115" customWidth="1"/>
    <col min="4894" max="4894" width="1.07421875" style="115" customWidth="1"/>
    <col min="4895" max="4895" width="8.53515625" style="115" customWidth="1"/>
    <col min="4896" max="4896" width="14.53515625" style="115" customWidth="1"/>
    <col min="4897" max="4897" width="10" style="115" customWidth="1"/>
    <col min="4898" max="4898" width="7.84375" style="115" bestFit="1" customWidth="1"/>
    <col min="4899" max="4899" width="9.84375" style="115" customWidth="1"/>
    <col min="4900" max="5116" width="8.84375" style="115"/>
    <col min="5117" max="5117" width="38.4609375" style="115" customWidth="1"/>
    <col min="5118" max="5118" width="8.53515625" style="115" customWidth="1"/>
    <col min="5119" max="5119" width="1.07421875" style="115" customWidth="1"/>
    <col min="5120" max="5120" width="8.84375" style="115" customWidth="1"/>
    <col min="5121" max="5121" width="1.07421875" style="115" customWidth="1"/>
    <col min="5122" max="5122" width="9.07421875" style="115" customWidth="1"/>
    <col min="5123" max="5123" width="1.07421875" style="115" customWidth="1"/>
    <col min="5124" max="5124" width="10" style="115" customWidth="1"/>
    <col min="5125" max="5125" width="1.07421875" style="115" customWidth="1"/>
    <col min="5126" max="5126" width="9.07421875" style="115" customWidth="1"/>
    <col min="5127" max="5127" width="1.07421875" style="115" customWidth="1"/>
    <col min="5128" max="5128" width="11.07421875" style="115" customWidth="1"/>
    <col min="5129" max="5129" width="1.07421875" style="115" customWidth="1"/>
    <col min="5130" max="5130" width="9.07421875" style="115" customWidth="1"/>
    <col min="5131" max="5131" width="1.84375" style="115" customWidth="1"/>
    <col min="5132" max="5132" width="11" style="115" customWidth="1"/>
    <col min="5133" max="5133" width="1.07421875" style="115" customWidth="1"/>
    <col min="5134" max="5134" width="10.84375" style="115" customWidth="1"/>
    <col min="5135" max="5135" width="1.07421875" style="115" customWidth="1"/>
    <col min="5136" max="5136" width="10" style="115" customWidth="1"/>
    <col min="5137" max="5137" width="1.07421875" style="115" customWidth="1"/>
    <col min="5138" max="5138" width="9.07421875" style="115" customWidth="1"/>
    <col min="5139" max="5139" width="1.07421875" style="115" customWidth="1"/>
    <col min="5140" max="5140" width="7.84375" style="115" customWidth="1"/>
    <col min="5141" max="5141" width="1.07421875" style="115" customWidth="1"/>
    <col min="5142" max="5142" width="0.84375" style="115" customWidth="1"/>
    <col min="5143" max="5143" width="9.07421875" style="115" customWidth="1"/>
    <col min="5144" max="5144" width="1.07421875" style="115" customWidth="1"/>
    <col min="5145" max="5145" width="0.84375" style="115" customWidth="1"/>
    <col min="5146" max="5146" width="9.53515625" style="115" bestFit="1" customWidth="1"/>
    <col min="5147" max="5148" width="0.84375" style="115" customWidth="1"/>
    <col min="5149" max="5149" width="9.84375" style="115" customWidth="1"/>
    <col min="5150" max="5150" width="1.07421875" style="115" customWidth="1"/>
    <col min="5151" max="5151" width="8.53515625" style="115" customWidth="1"/>
    <col min="5152" max="5152" width="14.53515625" style="115" customWidth="1"/>
    <col min="5153" max="5153" width="10" style="115" customWidth="1"/>
    <col min="5154" max="5154" width="7.84375" style="115" bestFit="1" customWidth="1"/>
    <col min="5155" max="5155" width="9.84375" style="115" customWidth="1"/>
    <col min="5156" max="5372" width="8.84375" style="115"/>
    <col min="5373" max="5373" width="38.4609375" style="115" customWidth="1"/>
    <col min="5374" max="5374" width="8.53515625" style="115" customWidth="1"/>
    <col min="5375" max="5375" width="1.07421875" style="115" customWidth="1"/>
    <col min="5376" max="5376" width="8.84375" style="115" customWidth="1"/>
    <col min="5377" max="5377" width="1.07421875" style="115" customWidth="1"/>
    <col min="5378" max="5378" width="9.07421875" style="115" customWidth="1"/>
    <col min="5379" max="5379" width="1.07421875" style="115" customWidth="1"/>
    <col min="5380" max="5380" width="10" style="115" customWidth="1"/>
    <col min="5381" max="5381" width="1.07421875" style="115" customWidth="1"/>
    <col min="5382" max="5382" width="9.07421875" style="115" customWidth="1"/>
    <col min="5383" max="5383" width="1.07421875" style="115" customWidth="1"/>
    <col min="5384" max="5384" width="11.07421875" style="115" customWidth="1"/>
    <col min="5385" max="5385" width="1.07421875" style="115" customWidth="1"/>
    <col min="5386" max="5386" width="9.07421875" style="115" customWidth="1"/>
    <col min="5387" max="5387" width="1.84375" style="115" customWidth="1"/>
    <col min="5388" max="5388" width="11" style="115" customWidth="1"/>
    <col min="5389" max="5389" width="1.07421875" style="115" customWidth="1"/>
    <col min="5390" max="5390" width="10.84375" style="115" customWidth="1"/>
    <col min="5391" max="5391" width="1.07421875" style="115" customWidth="1"/>
    <col min="5392" max="5392" width="10" style="115" customWidth="1"/>
    <col min="5393" max="5393" width="1.07421875" style="115" customWidth="1"/>
    <col min="5394" max="5394" width="9.07421875" style="115" customWidth="1"/>
    <col min="5395" max="5395" width="1.07421875" style="115" customWidth="1"/>
    <col min="5396" max="5396" width="7.84375" style="115" customWidth="1"/>
    <col min="5397" max="5397" width="1.07421875" style="115" customWidth="1"/>
    <col min="5398" max="5398" width="0.84375" style="115" customWidth="1"/>
    <col min="5399" max="5399" width="9.07421875" style="115" customWidth="1"/>
    <col min="5400" max="5400" width="1.07421875" style="115" customWidth="1"/>
    <col min="5401" max="5401" width="0.84375" style="115" customWidth="1"/>
    <col min="5402" max="5402" width="9.53515625" style="115" bestFit="1" customWidth="1"/>
    <col min="5403" max="5404" width="0.84375" style="115" customWidth="1"/>
    <col min="5405" max="5405" width="9.84375" style="115" customWidth="1"/>
    <col min="5406" max="5406" width="1.07421875" style="115" customWidth="1"/>
    <col min="5407" max="5407" width="8.53515625" style="115" customWidth="1"/>
    <col min="5408" max="5408" width="14.53515625" style="115" customWidth="1"/>
    <col min="5409" max="5409" width="10" style="115" customWidth="1"/>
    <col min="5410" max="5410" width="7.84375" style="115" bestFit="1" customWidth="1"/>
    <col min="5411" max="5411" width="9.84375" style="115" customWidth="1"/>
    <col min="5412" max="5628" width="8.84375" style="115"/>
    <col min="5629" max="5629" width="38.4609375" style="115" customWidth="1"/>
    <col min="5630" max="5630" width="8.53515625" style="115" customWidth="1"/>
    <col min="5631" max="5631" width="1.07421875" style="115" customWidth="1"/>
    <col min="5632" max="5632" width="8.84375" style="115" customWidth="1"/>
    <col min="5633" max="5633" width="1.07421875" style="115" customWidth="1"/>
    <col min="5634" max="5634" width="9.07421875" style="115" customWidth="1"/>
    <col min="5635" max="5635" width="1.07421875" style="115" customWidth="1"/>
    <col min="5636" max="5636" width="10" style="115" customWidth="1"/>
    <col min="5637" max="5637" width="1.07421875" style="115" customWidth="1"/>
    <col min="5638" max="5638" width="9.07421875" style="115" customWidth="1"/>
    <col min="5639" max="5639" width="1.07421875" style="115" customWidth="1"/>
    <col min="5640" max="5640" width="11.07421875" style="115" customWidth="1"/>
    <col min="5641" max="5641" width="1.07421875" style="115" customWidth="1"/>
    <col min="5642" max="5642" width="9.07421875" style="115" customWidth="1"/>
    <col min="5643" max="5643" width="1.84375" style="115" customWidth="1"/>
    <col min="5644" max="5644" width="11" style="115" customWidth="1"/>
    <col min="5645" max="5645" width="1.07421875" style="115" customWidth="1"/>
    <col min="5646" max="5646" width="10.84375" style="115" customWidth="1"/>
    <col min="5647" max="5647" width="1.07421875" style="115" customWidth="1"/>
    <col min="5648" max="5648" width="10" style="115" customWidth="1"/>
    <col min="5649" max="5649" width="1.07421875" style="115" customWidth="1"/>
    <col min="5650" max="5650" width="9.07421875" style="115" customWidth="1"/>
    <col min="5651" max="5651" width="1.07421875" style="115" customWidth="1"/>
    <col min="5652" max="5652" width="7.84375" style="115" customWidth="1"/>
    <col min="5653" max="5653" width="1.07421875" style="115" customWidth="1"/>
    <col min="5654" max="5654" width="0.84375" style="115" customWidth="1"/>
    <col min="5655" max="5655" width="9.07421875" style="115" customWidth="1"/>
    <col min="5656" max="5656" width="1.07421875" style="115" customWidth="1"/>
    <col min="5657" max="5657" width="0.84375" style="115" customWidth="1"/>
    <col min="5658" max="5658" width="9.53515625" style="115" bestFit="1" customWidth="1"/>
    <col min="5659" max="5660" width="0.84375" style="115" customWidth="1"/>
    <col min="5661" max="5661" width="9.84375" style="115" customWidth="1"/>
    <col min="5662" max="5662" width="1.07421875" style="115" customWidth="1"/>
    <col min="5663" max="5663" width="8.53515625" style="115" customWidth="1"/>
    <col min="5664" max="5664" width="14.53515625" style="115" customWidth="1"/>
    <col min="5665" max="5665" width="10" style="115" customWidth="1"/>
    <col min="5666" max="5666" width="7.84375" style="115" bestFit="1" customWidth="1"/>
    <col min="5667" max="5667" width="9.84375" style="115" customWidth="1"/>
    <col min="5668" max="5884" width="8.84375" style="115"/>
    <col min="5885" max="5885" width="38.4609375" style="115" customWidth="1"/>
    <col min="5886" max="5886" width="8.53515625" style="115" customWidth="1"/>
    <col min="5887" max="5887" width="1.07421875" style="115" customWidth="1"/>
    <col min="5888" max="5888" width="8.84375" style="115" customWidth="1"/>
    <col min="5889" max="5889" width="1.07421875" style="115" customWidth="1"/>
    <col min="5890" max="5890" width="9.07421875" style="115" customWidth="1"/>
    <col min="5891" max="5891" width="1.07421875" style="115" customWidth="1"/>
    <col min="5892" max="5892" width="10" style="115" customWidth="1"/>
    <col min="5893" max="5893" width="1.07421875" style="115" customWidth="1"/>
    <col min="5894" max="5894" width="9.07421875" style="115" customWidth="1"/>
    <col min="5895" max="5895" width="1.07421875" style="115" customWidth="1"/>
    <col min="5896" max="5896" width="11.07421875" style="115" customWidth="1"/>
    <col min="5897" max="5897" width="1.07421875" style="115" customWidth="1"/>
    <col min="5898" max="5898" width="9.07421875" style="115" customWidth="1"/>
    <col min="5899" max="5899" width="1.84375" style="115" customWidth="1"/>
    <col min="5900" max="5900" width="11" style="115" customWidth="1"/>
    <col min="5901" max="5901" width="1.07421875" style="115" customWidth="1"/>
    <col min="5902" max="5902" width="10.84375" style="115" customWidth="1"/>
    <col min="5903" max="5903" width="1.07421875" style="115" customWidth="1"/>
    <col min="5904" max="5904" width="10" style="115" customWidth="1"/>
    <col min="5905" max="5905" width="1.07421875" style="115" customWidth="1"/>
    <col min="5906" max="5906" width="9.07421875" style="115" customWidth="1"/>
    <col min="5907" max="5907" width="1.07421875" style="115" customWidth="1"/>
    <col min="5908" max="5908" width="7.84375" style="115" customWidth="1"/>
    <col min="5909" max="5909" width="1.07421875" style="115" customWidth="1"/>
    <col min="5910" max="5910" width="0.84375" style="115" customWidth="1"/>
    <col min="5911" max="5911" width="9.07421875" style="115" customWidth="1"/>
    <col min="5912" max="5912" width="1.07421875" style="115" customWidth="1"/>
    <col min="5913" max="5913" width="0.84375" style="115" customWidth="1"/>
    <col min="5914" max="5914" width="9.53515625" style="115" bestFit="1" customWidth="1"/>
    <col min="5915" max="5916" width="0.84375" style="115" customWidth="1"/>
    <col min="5917" max="5917" width="9.84375" style="115" customWidth="1"/>
    <col min="5918" max="5918" width="1.07421875" style="115" customWidth="1"/>
    <col min="5919" max="5919" width="8.53515625" style="115" customWidth="1"/>
    <col min="5920" max="5920" width="14.53515625" style="115" customWidth="1"/>
    <col min="5921" max="5921" width="10" style="115" customWidth="1"/>
    <col min="5922" max="5922" width="7.84375" style="115" bestFit="1" customWidth="1"/>
    <col min="5923" max="5923" width="9.84375" style="115" customWidth="1"/>
    <col min="5924" max="6140" width="8.84375" style="115"/>
    <col min="6141" max="6141" width="38.4609375" style="115" customWidth="1"/>
    <col min="6142" max="6142" width="8.53515625" style="115" customWidth="1"/>
    <col min="6143" max="6143" width="1.07421875" style="115" customWidth="1"/>
    <col min="6144" max="6144" width="8.84375" style="115" customWidth="1"/>
    <col min="6145" max="6145" width="1.07421875" style="115" customWidth="1"/>
    <col min="6146" max="6146" width="9.07421875" style="115" customWidth="1"/>
    <col min="6147" max="6147" width="1.07421875" style="115" customWidth="1"/>
    <col min="6148" max="6148" width="10" style="115" customWidth="1"/>
    <col min="6149" max="6149" width="1.07421875" style="115" customWidth="1"/>
    <col min="6150" max="6150" width="9.07421875" style="115" customWidth="1"/>
    <col min="6151" max="6151" width="1.07421875" style="115" customWidth="1"/>
    <col min="6152" max="6152" width="11.07421875" style="115" customWidth="1"/>
    <col min="6153" max="6153" width="1.07421875" style="115" customWidth="1"/>
    <col min="6154" max="6154" width="9.07421875" style="115" customWidth="1"/>
    <col min="6155" max="6155" width="1.84375" style="115" customWidth="1"/>
    <col min="6156" max="6156" width="11" style="115" customWidth="1"/>
    <col min="6157" max="6157" width="1.07421875" style="115" customWidth="1"/>
    <col min="6158" max="6158" width="10.84375" style="115" customWidth="1"/>
    <col min="6159" max="6159" width="1.07421875" style="115" customWidth="1"/>
    <col min="6160" max="6160" width="10" style="115" customWidth="1"/>
    <col min="6161" max="6161" width="1.07421875" style="115" customWidth="1"/>
    <col min="6162" max="6162" width="9.07421875" style="115" customWidth="1"/>
    <col min="6163" max="6163" width="1.07421875" style="115" customWidth="1"/>
    <col min="6164" max="6164" width="7.84375" style="115" customWidth="1"/>
    <col min="6165" max="6165" width="1.07421875" style="115" customWidth="1"/>
    <col min="6166" max="6166" width="0.84375" style="115" customWidth="1"/>
    <col min="6167" max="6167" width="9.07421875" style="115" customWidth="1"/>
    <col min="6168" max="6168" width="1.07421875" style="115" customWidth="1"/>
    <col min="6169" max="6169" width="0.84375" style="115" customWidth="1"/>
    <col min="6170" max="6170" width="9.53515625" style="115" bestFit="1" customWidth="1"/>
    <col min="6171" max="6172" width="0.84375" style="115" customWidth="1"/>
    <col min="6173" max="6173" width="9.84375" style="115" customWidth="1"/>
    <col min="6174" max="6174" width="1.07421875" style="115" customWidth="1"/>
    <col min="6175" max="6175" width="8.53515625" style="115" customWidth="1"/>
    <col min="6176" max="6176" width="14.53515625" style="115" customWidth="1"/>
    <col min="6177" max="6177" width="10" style="115" customWidth="1"/>
    <col min="6178" max="6178" width="7.84375" style="115" bestFit="1" customWidth="1"/>
    <col min="6179" max="6179" width="9.84375" style="115" customWidth="1"/>
    <col min="6180" max="6396" width="8.84375" style="115"/>
    <col min="6397" max="6397" width="38.4609375" style="115" customWidth="1"/>
    <col min="6398" max="6398" width="8.53515625" style="115" customWidth="1"/>
    <col min="6399" max="6399" width="1.07421875" style="115" customWidth="1"/>
    <col min="6400" max="6400" width="8.84375" style="115" customWidth="1"/>
    <col min="6401" max="6401" width="1.07421875" style="115" customWidth="1"/>
    <col min="6402" max="6402" width="9.07421875" style="115" customWidth="1"/>
    <col min="6403" max="6403" width="1.07421875" style="115" customWidth="1"/>
    <col min="6404" max="6404" width="10" style="115" customWidth="1"/>
    <col min="6405" max="6405" width="1.07421875" style="115" customWidth="1"/>
    <col min="6406" max="6406" width="9.07421875" style="115" customWidth="1"/>
    <col min="6407" max="6407" width="1.07421875" style="115" customWidth="1"/>
    <col min="6408" max="6408" width="11.07421875" style="115" customWidth="1"/>
    <col min="6409" max="6409" width="1.07421875" style="115" customWidth="1"/>
    <col min="6410" max="6410" width="9.07421875" style="115" customWidth="1"/>
    <col min="6411" max="6411" width="1.84375" style="115" customWidth="1"/>
    <col min="6412" max="6412" width="11" style="115" customWidth="1"/>
    <col min="6413" max="6413" width="1.07421875" style="115" customWidth="1"/>
    <col min="6414" max="6414" width="10.84375" style="115" customWidth="1"/>
    <col min="6415" max="6415" width="1.07421875" style="115" customWidth="1"/>
    <col min="6416" max="6416" width="10" style="115" customWidth="1"/>
    <col min="6417" max="6417" width="1.07421875" style="115" customWidth="1"/>
    <col min="6418" max="6418" width="9.07421875" style="115" customWidth="1"/>
    <col min="6419" max="6419" width="1.07421875" style="115" customWidth="1"/>
    <col min="6420" max="6420" width="7.84375" style="115" customWidth="1"/>
    <col min="6421" max="6421" width="1.07421875" style="115" customWidth="1"/>
    <col min="6422" max="6422" width="0.84375" style="115" customWidth="1"/>
    <col min="6423" max="6423" width="9.07421875" style="115" customWidth="1"/>
    <col min="6424" max="6424" width="1.07421875" style="115" customWidth="1"/>
    <col min="6425" max="6425" width="0.84375" style="115" customWidth="1"/>
    <col min="6426" max="6426" width="9.53515625" style="115" bestFit="1" customWidth="1"/>
    <col min="6427" max="6428" width="0.84375" style="115" customWidth="1"/>
    <col min="6429" max="6429" width="9.84375" style="115" customWidth="1"/>
    <col min="6430" max="6430" width="1.07421875" style="115" customWidth="1"/>
    <col min="6431" max="6431" width="8.53515625" style="115" customWidth="1"/>
    <col min="6432" max="6432" width="14.53515625" style="115" customWidth="1"/>
    <col min="6433" max="6433" width="10" style="115" customWidth="1"/>
    <col min="6434" max="6434" width="7.84375" style="115" bestFit="1" customWidth="1"/>
    <col min="6435" max="6435" width="9.84375" style="115" customWidth="1"/>
    <col min="6436" max="6652" width="8.84375" style="115"/>
    <col min="6653" max="6653" width="38.4609375" style="115" customWidth="1"/>
    <col min="6654" max="6654" width="8.53515625" style="115" customWidth="1"/>
    <col min="6655" max="6655" width="1.07421875" style="115" customWidth="1"/>
    <col min="6656" max="6656" width="8.84375" style="115" customWidth="1"/>
    <col min="6657" max="6657" width="1.07421875" style="115" customWidth="1"/>
    <col min="6658" max="6658" width="9.07421875" style="115" customWidth="1"/>
    <col min="6659" max="6659" width="1.07421875" style="115" customWidth="1"/>
    <col min="6660" max="6660" width="10" style="115" customWidth="1"/>
    <col min="6661" max="6661" width="1.07421875" style="115" customWidth="1"/>
    <col min="6662" max="6662" width="9.07421875" style="115" customWidth="1"/>
    <col min="6663" max="6663" width="1.07421875" style="115" customWidth="1"/>
    <col min="6664" max="6664" width="11.07421875" style="115" customWidth="1"/>
    <col min="6665" max="6665" width="1.07421875" style="115" customWidth="1"/>
    <col min="6666" max="6666" width="9.07421875" style="115" customWidth="1"/>
    <col min="6667" max="6667" width="1.84375" style="115" customWidth="1"/>
    <col min="6668" max="6668" width="11" style="115" customWidth="1"/>
    <col min="6669" max="6669" width="1.07421875" style="115" customWidth="1"/>
    <col min="6670" max="6670" width="10.84375" style="115" customWidth="1"/>
    <col min="6671" max="6671" width="1.07421875" style="115" customWidth="1"/>
    <col min="6672" max="6672" width="10" style="115" customWidth="1"/>
    <col min="6673" max="6673" width="1.07421875" style="115" customWidth="1"/>
    <col min="6674" max="6674" width="9.07421875" style="115" customWidth="1"/>
    <col min="6675" max="6675" width="1.07421875" style="115" customWidth="1"/>
    <col min="6676" max="6676" width="7.84375" style="115" customWidth="1"/>
    <col min="6677" max="6677" width="1.07421875" style="115" customWidth="1"/>
    <col min="6678" max="6678" width="0.84375" style="115" customWidth="1"/>
    <col min="6679" max="6679" width="9.07421875" style="115" customWidth="1"/>
    <col min="6680" max="6680" width="1.07421875" style="115" customWidth="1"/>
    <col min="6681" max="6681" width="0.84375" style="115" customWidth="1"/>
    <col min="6682" max="6682" width="9.53515625" style="115" bestFit="1" customWidth="1"/>
    <col min="6683" max="6684" width="0.84375" style="115" customWidth="1"/>
    <col min="6685" max="6685" width="9.84375" style="115" customWidth="1"/>
    <col min="6686" max="6686" width="1.07421875" style="115" customWidth="1"/>
    <col min="6687" max="6687" width="8.53515625" style="115" customWidth="1"/>
    <col min="6688" max="6688" width="14.53515625" style="115" customWidth="1"/>
    <col min="6689" max="6689" width="10" style="115" customWidth="1"/>
    <col min="6690" max="6690" width="7.84375" style="115" bestFit="1" customWidth="1"/>
    <col min="6691" max="6691" width="9.84375" style="115" customWidth="1"/>
    <col min="6692" max="6908" width="8.84375" style="115"/>
    <col min="6909" max="6909" width="38.4609375" style="115" customWidth="1"/>
    <col min="6910" max="6910" width="8.53515625" style="115" customWidth="1"/>
    <col min="6911" max="6911" width="1.07421875" style="115" customWidth="1"/>
    <col min="6912" max="6912" width="8.84375" style="115" customWidth="1"/>
    <col min="6913" max="6913" width="1.07421875" style="115" customWidth="1"/>
    <col min="6914" max="6914" width="9.07421875" style="115" customWidth="1"/>
    <col min="6915" max="6915" width="1.07421875" style="115" customWidth="1"/>
    <col min="6916" max="6916" width="10" style="115" customWidth="1"/>
    <col min="6917" max="6917" width="1.07421875" style="115" customWidth="1"/>
    <col min="6918" max="6918" width="9.07421875" style="115" customWidth="1"/>
    <col min="6919" max="6919" width="1.07421875" style="115" customWidth="1"/>
    <col min="6920" max="6920" width="11.07421875" style="115" customWidth="1"/>
    <col min="6921" max="6921" width="1.07421875" style="115" customWidth="1"/>
    <col min="6922" max="6922" width="9.07421875" style="115" customWidth="1"/>
    <col min="6923" max="6923" width="1.84375" style="115" customWidth="1"/>
    <col min="6924" max="6924" width="11" style="115" customWidth="1"/>
    <col min="6925" max="6925" width="1.07421875" style="115" customWidth="1"/>
    <col min="6926" max="6926" width="10.84375" style="115" customWidth="1"/>
    <col min="6927" max="6927" width="1.07421875" style="115" customWidth="1"/>
    <col min="6928" max="6928" width="10" style="115" customWidth="1"/>
    <col min="6929" max="6929" width="1.07421875" style="115" customWidth="1"/>
    <col min="6930" max="6930" width="9.07421875" style="115" customWidth="1"/>
    <col min="6931" max="6931" width="1.07421875" style="115" customWidth="1"/>
    <col min="6932" max="6932" width="7.84375" style="115" customWidth="1"/>
    <col min="6933" max="6933" width="1.07421875" style="115" customWidth="1"/>
    <col min="6934" max="6934" width="0.84375" style="115" customWidth="1"/>
    <col min="6935" max="6935" width="9.07421875" style="115" customWidth="1"/>
    <col min="6936" max="6936" width="1.07421875" style="115" customWidth="1"/>
    <col min="6937" max="6937" width="0.84375" style="115" customWidth="1"/>
    <col min="6938" max="6938" width="9.53515625" style="115" bestFit="1" customWidth="1"/>
    <col min="6939" max="6940" width="0.84375" style="115" customWidth="1"/>
    <col min="6941" max="6941" width="9.84375" style="115" customWidth="1"/>
    <col min="6942" max="6942" width="1.07421875" style="115" customWidth="1"/>
    <col min="6943" max="6943" width="8.53515625" style="115" customWidth="1"/>
    <col min="6944" max="6944" width="14.53515625" style="115" customWidth="1"/>
    <col min="6945" max="6945" width="10" style="115" customWidth="1"/>
    <col min="6946" max="6946" width="7.84375" style="115" bestFit="1" customWidth="1"/>
    <col min="6947" max="6947" width="9.84375" style="115" customWidth="1"/>
    <col min="6948" max="7164" width="8.84375" style="115"/>
    <col min="7165" max="7165" width="38.4609375" style="115" customWidth="1"/>
    <col min="7166" max="7166" width="8.53515625" style="115" customWidth="1"/>
    <col min="7167" max="7167" width="1.07421875" style="115" customWidth="1"/>
    <col min="7168" max="7168" width="8.84375" style="115" customWidth="1"/>
    <col min="7169" max="7169" width="1.07421875" style="115" customWidth="1"/>
    <col min="7170" max="7170" width="9.07421875" style="115" customWidth="1"/>
    <col min="7171" max="7171" width="1.07421875" style="115" customWidth="1"/>
    <col min="7172" max="7172" width="10" style="115" customWidth="1"/>
    <col min="7173" max="7173" width="1.07421875" style="115" customWidth="1"/>
    <col min="7174" max="7174" width="9.07421875" style="115" customWidth="1"/>
    <col min="7175" max="7175" width="1.07421875" style="115" customWidth="1"/>
    <col min="7176" max="7176" width="11.07421875" style="115" customWidth="1"/>
    <col min="7177" max="7177" width="1.07421875" style="115" customWidth="1"/>
    <col min="7178" max="7178" width="9.07421875" style="115" customWidth="1"/>
    <col min="7179" max="7179" width="1.84375" style="115" customWidth="1"/>
    <col min="7180" max="7180" width="11" style="115" customWidth="1"/>
    <col min="7181" max="7181" width="1.07421875" style="115" customWidth="1"/>
    <col min="7182" max="7182" width="10.84375" style="115" customWidth="1"/>
    <col min="7183" max="7183" width="1.07421875" style="115" customWidth="1"/>
    <col min="7184" max="7184" width="10" style="115" customWidth="1"/>
    <col min="7185" max="7185" width="1.07421875" style="115" customWidth="1"/>
    <col min="7186" max="7186" width="9.07421875" style="115" customWidth="1"/>
    <col min="7187" max="7187" width="1.07421875" style="115" customWidth="1"/>
    <col min="7188" max="7188" width="7.84375" style="115" customWidth="1"/>
    <col min="7189" max="7189" width="1.07421875" style="115" customWidth="1"/>
    <col min="7190" max="7190" width="0.84375" style="115" customWidth="1"/>
    <col min="7191" max="7191" width="9.07421875" style="115" customWidth="1"/>
    <col min="7192" max="7192" width="1.07421875" style="115" customWidth="1"/>
    <col min="7193" max="7193" width="0.84375" style="115" customWidth="1"/>
    <col min="7194" max="7194" width="9.53515625" style="115" bestFit="1" customWidth="1"/>
    <col min="7195" max="7196" width="0.84375" style="115" customWidth="1"/>
    <col min="7197" max="7197" width="9.84375" style="115" customWidth="1"/>
    <col min="7198" max="7198" width="1.07421875" style="115" customWidth="1"/>
    <col min="7199" max="7199" width="8.53515625" style="115" customWidth="1"/>
    <col min="7200" max="7200" width="14.53515625" style="115" customWidth="1"/>
    <col min="7201" max="7201" width="10" style="115" customWidth="1"/>
    <col min="7202" max="7202" width="7.84375" style="115" bestFit="1" customWidth="1"/>
    <col min="7203" max="7203" width="9.84375" style="115" customWidth="1"/>
    <col min="7204" max="7420" width="8.84375" style="115"/>
    <col min="7421" max="7421" width="38.4609375" style="115" customWidth="1"/>
    <col min="7422" max="7422" width="8.53515625" style="115" customWidth="1"/>
    <col min="7423" max="7423" width="1.07421875" style="115" customWidth="1"/>
    <col min="7424" max="7424" width="8.84375" style="115" customWidth="1"/>
    <col min="7425" max="7425" width="1.07421875" style="115" customWidth="1"/>
    <col min="7426" max="7426" width="9.07421875" style="115" customWidth="1"/>
    <col min="7427" max="7427" width="1.07421875" style="115" customWidth="1"/>
    <col min="7428" max="7428" width="10" style="115" customWidth="1"/>
    <col min="7429" max="7429" width="1.07421875" style="115" customWidth="1"/>
    <col min="7430" max="7430" width="9.07421875" style="115" customWidth="1"/>
    <col min="7431" max="7431" width="1.07421875" style="115" customWidth="1"/>
    <col min="7432" max="7432" width="11.07421875" style="115" customWidth="1"/>
    <col min="7433" max="7433" width="1.07421875" style="115" customWidth="1"/>
    <col min="7434" max="7434" width="9.07421875" style="115" customWidth="1"/>
    <col min="7435" max="7435" width="1.84375" style="115" customWidth="1"/>
    <col min="7436" max="7436" width="11" style="115" customWidth="1"/>
    <col min="7437" max="7437" width="1.07421875" style="115" customWidth="1"/>
    <col min="7438" max="7438" width="10.84375" style="115" customWidth="1"/>
    <col min="7439" max="7439" width="1.07421875" style="115" customWidth="1"/>
    <col min="7440" max="7440" width="10" style="115" customWidth="1"/>
    <col min="7441" max="7441" width="1.07421875" style="115" customWidth="1"/>
    <col min="7442" max="7442" width="9.07421875" style="115" customWidth="1"/>
    <col min="7443" max="7443" width="1.07421875" style="115" customWidth="1"/>
    <col min="7444" max="7444" width="7.84375" style="115" customWidth="1"/>
    <col min="7445" max="7445" width="1.07421875" style="115" customWidth="1"/>
    <col min="7446" max="7446" width="0.84375" style="115" customWidth="1"/>
    <col min="7447" max="7447" width="9.07421875" style="115" customWidth="1"/>
    <col min="7448" max="7448" width="1.07421875" style="115" customWidth="1"/>
    <col min="7449" max="7449" width="0.84375" style="115" customWidth="1"/>
    <col min="7450" max="7450" width="9.53515625" style="115" bestFit="1" customWidth="1"/>
    <col min="7451" max="7452" width="0.84375" style="115" customWidth="1"/>
    <col min="7453" max="7453" width="9.84375" style="115" customWidth="1"/>
    <col min="7454" max="7454" width="1.07421875" style="115" customWidth="1"/>
    <col min="7455" max="7455" width="8.53515625" style="115" customWidth="1"/>
    <col min="7456" max="7456" width="14.53515625" style="115" customWidth="1"/>
    <col min="7457" max="7457" width="10" style="115" customWidth="1"/>
    <col min="7458" max="7458" width="7.84375" style="115" bestFit="1" customWidth="1"/>
    <col min="7459" max="7459" width="9.84375" style="115" customWidth="1"/>
    <col min="7460" max="7676" width="8.84375" style="115"/>
    <col min="7677" max="7677" width="38.4609375" style="115" customWidth="1"/>
    <col min="7678" max="7678" width="8.53515625" style="115" customWidth="1"/>
    <col min="7679" max="7679" width="1.07421875" style="115" customWidth="1"/>
    <col min="7680" max="7680" width="8.84375" style="115" customWidth="1"/>
    <col min="7681" max="7681" width="1.07421875" style="115" customWidth="1"/>
    <col min="7682" max="7682" width="9.07421875" style="115" customWidth="1"/>
    <col min="7683" max="7683" width="1.07421875" style="115" customWidth="1"/>
    <col min="7684" max="7684" width="10" style="115" customWidth="1"/>
    <col min="7685" max="7685" width="1.07421875" style="115" customWidth="1"/>
    <col min="7686" max="7686" width="9.07421875" style="115" customWidth="1"/>
    <col min="7687" max="7687" width="1.07421875" style="115" customWidth="1"/>
    <col min="7688" max="7688" width="11.07421875" style="115" customWidth="1"/>
    <col min="7689" max="7689" width="1.07421875" style="115" customWidth="1"/>
    <col min="7690" max="7690" width="9.07421875" style="115" customWidth="1"/>
    <col min="7691" max="7691" width="1.84375" style="115" customWidth="1"/>
    <col min="7692" max="7692" width="11" style="115" customWidth="1"/>
    <col min="7693" max="7693" width="1.07421875" style="115" customWidth="1"/>
    <col min="7694" max="7694" width="10.84375" style="115" customWidth="1"/>
    <col min="7695" max="7695" width="1.07421875" style="115" customWidth="1"/>
    <col min="7696" max="7696" width="10" style="115" customWidth="1"/>
    <col min="7697" max="7697" width="1.07421875" style="115" customWidth="1"/>
    <col min="7698" max="7698" width="9.07421875" style="115" customWidth="1"/>
    <col min="7699" max="7699" width="1.07421875" style="115" customWidth="1"/>
    <col min="7700" max="7700" width="7.84375" style="115" customWidth="1"/>
    <col min="7701" max="7701" width="1.07421875" style="115" customWidth="1"/>
    <col min="7702" max="7702" width="0.84375" style="115" customWidth="1"/>
    <col min="7703" max="7703" width="9.07421875" style="115" customWidth="1"/>
    <col min="7704" max="7704" width="1.07421875" style="115" customWidth="1"/>
    <col min="7705" max="7705" width="0.84375" style="115" customWidth="1"/>
    <col min="7706" max="7706" width="9.53515625" style="115" bestFit="1" customWidth="1"/>
    <col min="7707" max="7708" width="0.84375" style="115" customWidth="1"/>
    <col min="7709" max="7709" width="9.84375" style="115" customWidth="1"/>
    <col min="7710" max="7710" width="1.07421875" style="115" customWidth="1"/>
    <col min="7711" max="7711" width="8.53515625" style="115" customWidth="1"/>
    <col min="7712" max="7712" width="14.53515625" style="115" customWidth="1"/>
    <col min="7713" max="7713" width="10" style="115" customWidth="1"/>
    <col min="7714" max="7714" width="7.84375" style="115" bestFit="1" customWidth="1"/>
    <col min="7715" max="7715" width="9.84375" style="115" customWidth="1"/>
    <col min="7716" max="7932" width="8.84375" style="115"/>
    <col min="7933" max="7933" width="38.4609375" style="115" customWidth="1"/>
    <col min="7934" max="7934" width="8.53515625" style="115" customWidth="1"/>
    <col min="7935" max="7935" width="1.07421875" style="115" customWidth="1"/>
    <col min="7936" max="7936" width="8.84375" style="115" customWidth="1"/>
    <col min="7937" max="7937" width="1.07421875" style="115" customWidth="1"/>
    <col min="7938" max="7938" width="9.07421875" style="115" customWidth="1"/>
    <col min="7939" max="7939" width="1.07421875" style="115" customWidth="1"/>
    <col min="7940" max="7940" width="10" style="115" customWidth="1"/>
    <col min="7941" max="7941" width="1.07421875" style="115" customWidth="1"/>
    <col min="7942" max="7942" width="9.07421875" style="115" customWidth="1"/>
    <col min="7943" max="7943" width="1.07421875" style="115" customWidth="1"/>
    <col min="7944" max="7944" width="11.07421875" style="115" customWidth="1"/>
    <col min="7945" max="7945" width="1.07421875" style="115" customWidth="1"/>
    <col min="7946" max="7946" width="9.07421875" style="115" customWidth="1"/>
    <col min="7947" max="7947" width="1.84375" style="115" customWidth="1"/>
    <col min="7948" max="7948" width="11" style="115" customWidth="1"/>
    <col min="7949" max="7949" width="1.07421875" style="115" customWidth="1"/>
    <col min="7950" max="7950" width="10.84375" style="115" customWidth="1"/>
    <col min="7951" max="7951" width="1.07421875" style="115" customWidth="1"/>
    <col min="7952" max="7952" width="10" style="115" customWidth="1"/>
    <col min="7953" max="7953" width="1.07421875" style="115" customWidth="1"/>
    <col min="7954" max="7954" width="9.07421875" style="115" customWidth="1"/>
    <col min="7955" max="7955" width="1.07421875" style="115" customWidth="1"/>
    <col min="7956" max="7956" width="7.84375" style="115" customWidth="1"/>
    <col min="7957" max="7957" width="1.07421875" style="115" customWidth="1"/>
    <col min="7958" max="7958" width="0.84375" style="115" customWidth="1"/>
    <col min="7959" max="7959" width="9.07421875" style="115" customWidth="1"/>
    <col min="7960" max="7960" width="1.07421875" style="115" customWidth="1"/>
    <col min="7961" max="7961" width="0.84375" style="115" customWidth="1"/>
    <col min="7962" max="7962" width="9.53515625" style="115" bestFit="1" customWidth="1"/>
    <col min="7963" max="7964" width="0.84375" style="115" customWidth="1"/>
    <col min="7965" max="7965" width="9.84375" style="115" customWidth="1"/>
    <col min="7966" max="7966" width="1.07421875" style="115" customWidth="1"/>
    <col min="7967" max="7967" width="8.53515625" style="115" customWidth="1"/>
    <col min="7968" max="7968" width="14.53515625" style="115" customWidth="1"/>
    <col min="7969" max="7969" width="10" style="115" customWidth="1"/>
    <col min="7970" max="7970" width="7.84375" style="115" bestFit="1" customWidth="1"/>
    <col min="7971" max="7971" width="9.84375" style="115" customWidth="1"/>
    <col min="7972" max="8188" width="8.84375" style="115"/>
    <col min="8189" max="8189" width="38.4609375" style="115" customWidth="1"/>
    <col min="8190" max="8190" width="8.53515625" style="115" customWidth="1"/>
    <col min="8191" max="8191" width="1.07421875" style="115" customWidth="1"/>
    <col min="8192" max="8192" width="8.84375" style="115" customWidth="1"/>
    <col min="8193" max="8193" width="1.07421875" style="115" customWidth="1"/>
    <col min="8194" max="8194" width="9.07421875" style="115" customWidth="1"/>
    <col min="8195" max="8195" width="1.07421875" style="115" customWidth="1"/>
    <col min="8196" max="8196" width="10" style="115" customWidth="1"/>
    <col min="8197" max="8197" width="1.07421875" style="115" customWidth="1"/>
    <col min="8198" max="8198" width="9.07421875" style="115" customWidth="1"/>
    <col min="8199" max="8199" width="1.07421875" style="115" customWidth="1"/>
    <col min="8200" max="8200" width="11.07421875" style="115" customWidth="1"/>
    <col min="8201" max="8201" width="1.07421875" style="115" customWidth="1"/>
    <col min="8202" max="8202" width="9.07421875" style="115" customWidth="1"/>
    <col min="8203" max="8203" width="1.84375" style="115" customWidth="1"/>
    <col min="8204" max="8204" width="11" style="115" customWidth="1"/>
    <col min="8205" max="8205" width="1.07421875" style="115" customWidth="1"/>
    <col min="8206" max="8206" width="10.84375" style="115" customWidth="1"/>
    <col min="8207" max="8207" width="1.07421875" style="115" customWidth="1"/>
    <col min="8208" max="8208" width="10" style="115" customWidth="1"/>
    <col min="8209" max="8209" width="1.07421875" style="115" customWidth="1"/>
    <col min="8210" max="8210" width="9.07421875" style="115" customWidth="1"/>
    <col min="8211" max="8211" width="1.07421875" style="115" customWidth="1"/>
    <col min="8212" max="8212" width="7.84375" style="115" customWidth="1"/>
    <col min="8213" max="8213" width="1.07421875" style="115" customWidth="1"/>
    <col min="8214" max="8214" width="0.84375" style="115" customWidth="1"/>
    <col min="8215" max="8215" width="9.07421875" style="115" customWidth="1"/>
    <col min="8216" max="8216" width="1.07421875" style="115" customWidth="1"/>
    <col min="8217" max="8217" width="0.84375" style="115" customWidth="1"/>
    <col min="8218" max="8218" width="9.53515625" style="115" bestFit="1" customWidth="1"/>
    <col min="8219" max="8220" width="0.84375" style="115" customWidth="1"/>
    <col min="8221" max="8221" width="9.84375" style="115" customWidth="1"/>
    <col min="8222" max="8222" width="1.07421875" style="115" customWidth="1"/>
    <col min="8223" max="8223" width="8.53515625" style="115" customWidth="1"/>
    <col min="8224" max="8224" width="14.53515625" style="115" customWidth="1"/>
    <col min="8225" max="8225" width="10" style="115" customWidth="1"/>
    <col min="8226" max="8226" width="7.84375" style="115" bestFit="1" customWidth="1"/>
    <col min="8227" max="8227" width="9.84375" style="115" customWidth="1"/>
    <col min="8228" max="8444" width="8.84375" style="115"/>
    <col min="8445" max="8445" width="38.4609375" style="115" customWidth="1"/>
    <col min="8446" max="8446" width="8.53515625" style="115" customWidth="1"/>
    <col min="8447" max="8447" width="1.07421875" style="115" customWidth="1"/>
    <col min="8448" max="8448" width="8.84375" style="115" customWidth="1"/>
    <col min="8449" max="8449" width="1.07421875" style="115" customWidth="1"/>
    <col min="8450" max="8450" width="9.07421875" style="115" customWidth="1"/>
    <col min="8451" max="8451" width="1.07421875" style="115" customWidth="1"/>
    <col min="8452" max="8452" width="10" style="115" customWidth="1"/>
    <col min="8453" max="8453" width="1.07421875" style="115" customWidth="1"/>
    <col min="8454" max="8454" width="9.07421875" style="115" customWidth="1"/>
    <col min="8455" max="8455" width="1.07421875" style="115" customWidth="1"/>
    <col min="8456" max="8456" width="11.07421875" style="115" customWidth="1"/>
    <col min="8457" max="8457" width="1.07421875" style="115" customWidth="1"/>
    <col min="8458" max="8458" width="9.07421875" style="115" customWidth="1"/>
    <col min="8459" max="8459" width="1.84375" style="115" customWidth="1"/>
    <col min="8460" max="8460" width="11" style="115" customWidth="1"/>
    <col min="8461" max="8461" width="1.07421875" style="115" customWidth="1"/>
    <col min="8462" max="8462" width="10.84375" style="115" customWidth="1"/>
    <col min="8463" max="8463" width="1.07421875" style="115" customWidth="1"/>
    <col min="8464" max="8464" width="10" style="115" customWidth="1"/>
    <col min="8465" max="8465" width="1.07421875" style="115" customWidth="1"/>
    <col min="8466" max="8466" width="9.07421875" style="115" customWidth="1"/>
    <col min="8467" max="8467" width="1.07421875" style="115" customWidth="1"/>
    <col min="8468" max="8468" width="7.84375" style="115" customWidth="1"/>
    <col min="8469" max="8469" width="1.07421875" style="115" customWidth="1"/>
    <col min="8470" max="8470" width="0.84375" style="115" customWidth="1"/>
    <col min="8471" max="8471" width="9.07421875" style="115" customWidth="1"/>
    <col min="8472" max="8472" width="1.07421875" style="115" customWidth="1"/>
    <col min="8473" max="8473" width="0.84375" style="115" customWidth="1"/>
    <col min="8474" max="8474" width="9.53515625" style="115" bestFit="1" customWidth="1"/>
    <col min="8475" max="8476" width="0.84375" style="115" customWidth="1"/>
    <col min="8477" max="8477" width="9.84375" style="115" customWidth="1"/>
    <col min="8478" max="8478" width="1.07421875" style="115" customWidth="1"/>
    <col min="8479" max="8479" width="8.53515625" style="115" customWidth="1"/>
    <col min="8480" max="8480" width="14.53515625" style="115" customWidth="1"/>
    <col min="8481" max="8481" width="10" style="115" customWidth="1"/>
    <col min="8482" max="8482" width="7.84375" style="115" bestFit="1" customWidth="1"/>
    <col min="8483" max="8483" width="9.84375" style="115" customWidth="1"/>
    <col min="8484" max="8700" width="8.84375" style="115"/>
    <col min="8701" max="8701" width="38.4609375" style="115" customWidth="1"/>
    <col min="8702" max="8702" width="8.53515625" style="115" customWidth="1"/>
    <col min="8703" max="8703" width="1.07421875" style="115" customWidth="1"/>
    <col min="8704" max="8704" width="8.84375" style="115" customWidth="1"/>
    <col min="8705" max="8705" width="1.07421875" style="115" customWidth="1"/>
    <col min="8706" max="8706" width="9.07421875" style="115" customWidth="1"/>
    <col min="8707" max="8707" width="1.07421875" style="115" customWidth="1"/>
    <col min="8708" max="8708" width="10" style="115" customWidth="1"/>
    <col min="8709" max="8709" width="1.07421875" style="115" customWidth="1"/>
    <col min="8710" max="8710" width="9.07421875" style="115" customWidth="1"/>
    <col min="8711" max="8711" width="1.07421875" style="115" customWidth="1"/>
    <col min="8712" max="8712" width="11.07421875" style="115" customWidth="1"/>
    <col min="8713" max="8713" width="1.07421875" style="115" customWidth="1"/>
    <col min="8714" max="8714" width="9.07421875" style="115" customWidth="1"/>
    <col min="8715" max="8715" width="1.84375" style="115" customWidth="1"/>
    <col min="8716" max="8716" width="11" style="115" customWidth="1"/>
    <col min="8717" max="8717" width="1.07421875" style="115" customWidth="1"/>
    <col min="8718" max="8718" width="10.84375" style="115" customWidth="1"/>
    <col min="8719" max="8719" width="1.07421875" style="115" customWidth="1"/>
    <col min="8720" max="8720" width="10" style="115" customWidth="1"/>
    <col min="8721" max="8721" width="1.07421875" style="115" customWidth="1"/>
    <col min="8722" max="8722" width="9.07421875" style="115" customWidth="1"/>
    <col min="8723" max="8723" width="1.07421875" style="115" customWidth="1"/>
    <col min="8724" max="8724" width="7.84375" style="115" customWidth="1"/>
    <col min="8725" max="8725" width="1.07421875" style="115" customWidth="1"/>
    <col min="8726" max="8726" width="0.84375" style="115" customWidth="1"/>
    <col min="8727" max="8727" width="9.07421875" style="115" customWidth="1"/>
    <col min="8728" max="8728" width="1.07421875" style="115" customWidth="1"/>
    <col min="8729" max="8729" width="0.84375" style="115" customWidth="1"/>
    <col min="8730" max="8730" width="9.53515625" style="115" bestFit="1" customWidth="1"/>
    <col min="8731" max="8732" width="0.84375" style="115" customWidth="1"/>
    <col min="8733" max="8733" width="9.84375" style="115" customWidth="1"/>
    <col min="8734" max="8734" width="1.07421875" style="115" customWidth="1"/>
    <col min="8735" max="8735" width="8.53515625" style="115" customWidth="1"/>
    <col min="8736" max="8736" width="14.53515625" style="115" customWidth="1"/>
    <col min="8737" max="8737" width="10" style="115" customWidth="1"/>
    <col min="8738" max="8738" width="7.84375" style="115" bestFit="1" customWidth="1"/>
    <col min="8739" max="8739" width="9.84375" style="115" customWidth="1"/>
    <col min="8740" max="8956" width="8.84375" style="115"/>
    <col min="8957" max="8957" width="38.4609375" style="115" customWidth="1"/>
    <col min="8958" max="8958" width="8.53515625" style="115" customWidth="1"/>
    <col min="8959" max="8959" width="1.07421875" style="115" customWidth="1"/>
    <col min="8960" max="8960" width="8.84375" style="115" customWidth="1"/>
    <col min="8961" max="8961" width="1.07421875" style="115" customWidth="1"/>
    <col min="8962" max="8962" width="9.07421875" style="115" customWidth="1"/>
    <col min="8963" max="8963" width="1.07421875" style="115" customWidth="1"/>
    <col min="8964" max="8964" width="10" style="115" customWidth="1"/>
    <col min="8965" max="8965" width="1.07421875" style="115" customWidth="1"/>
    <col min="8966" max="8966" width="9.07421875" style="115" customWidth="1"/>
    <col min="8967" max="8967" width="1.07421875" style="115" customWidth="1"/>
    <col min="8968" max="8968" width="11.07421875" style="115" customWidth="1"/>
    <col min="8969" max="8969" width="1.07421875" style="115" customWidth="1"/>
    <col min="8970" max="8970" width="9.07421875" style="115" customWidth="1"/>
    <col min="8971" max="8971" width="1.84375" style="115" customWidth="1"/>
    <col min="8972" max="8972" width="11" style="115" customWidth="1"/>
    <col min="8973" max="8973" width="1.07421875" style="115" customWidth="1"/>
    <col min="8974" max="8974" width="10.84375" style="115" customWidth="1"/>
    <col min="8975" max="8975" width="1.07421875" style="115" customWidth="1"/>
    <col min="8976" max="8976" width="10" style="115" customWidth="1"/>
    <col min="8977" max="8977" width="1.07421875" style="115" customWidth="1"/>
    <col min="8978" max="8978" width="9.07421875" style="115" customWidth="1"/>
    <col min="8979" max="8979" width="1.07421875" style="115" customWidth="1"/>
    <col min="8980" max="8980" width="7.84375" style="115" customWidth="1"/>
    <col min="8981" max="8981" width="1.07421875" style="115" customWidth="1"/>
    <col min="8982" max="8982" width="0.84375" style="115" customWidth="1"/>
    <col min="8983" max="8983" width="9.07421875" style="115" customWidth="1"/>
    <col min="8984" max="8984" width="1.07421875" style="115" customWidth="1"/>
    <col min="8985" max="8985" width="0.84375" style="115" customWidth="1"/>
    <col min="8986" max="8986" width="9.53515625" style="115" bestFit="1" customWidth="1"/>
    <col min="8987" max="8988" width="0.84375" style="115" customWidth="1"/>
    <col min="8989" max="8989" width="9.84375" style="115" customWidth="1"/>
    <col min="8990" max="8990" width="1.07421875" style="115" customWidth="1"/>
    <col min="8991" max="8991" width="8.53515625" style="115" customWidth="1"/>
    <col min="8992" max="8992" width="14.53515625" style="115" customWidth="1"/>
    <col min="8993" max="8993" width="10" style="115" customWidth="1"/>
    <col min="8994" max="8994" width="7.84375" style="115" bestFit="1" customWidth="1"/>
    <col min="8995" max="8995" width="9.84375" style="115" customWidth="1"/>
    <col min="8996" max="9212" width="8.84375" style="115"/>
    <col min="9213" max="9213" width="38.4609375" style="115" customWidth="1"/>
    <col min="9214" max="9214" width="8.53515625" style="115" customWidth="1"/>
    <col min="9215" max="9215" width="1.07421875" style="115" customWidth="1"/>
    <col min="9216" max="9216" width="8.84375" style="115" customWidth="1"/>
    <col min="9217" max="9217" width="1.07421875" style="115" customWidth="1"/>
    <col min="9218" max="9218" width="9.07421875" style="115" customWidth="1"/>
    <col min="9219" max="9219" width="1.07421875" style="115" customWidth="1"/>
    <col min="9220" max="9220" width="10" style="115" customWidth="1"/>
    <col min="9221" max="9221" width="1.07421875" style="115" customWidth="1"/>
    <col min="9222" max="9222" width="9.07421875" style="115" customWidth="1"/>
    <col min="9223" max="9223" width="1.07421875" style="115" customWidth="1"/>
    <col min="9224" max="9224" width="11.07421875" style="115" customWidth="1"/>
    <col min="9225" max="9225" width="1.07421875" style="115" customWidth="1"/>
    <col min="9226" max="9226" width="9.07421875" style="115" customWidth="1"/>
    <col min="9227" max="9227" width="1.84375" style="115" customWidth="1"/>
    <col min="9228" max="9228" width="11" style="115" customWidth="1"/>
    <col min="9229" max="9229" width="1.07421875" style="115" customWidth="1"/>
    <col min="9230" max="9230" width="10.84375" style="115" customWidth="1"/>
    <col min="9231" max="9231" width="1.07421875" style="115" customWidth="1"/>
    <col min="9232" max="9232" width="10" style="115" customWidth="1"/>
    <col min="9233" max="9233" width="1.07421875" style="115" customWidth="1"/>
    <col min="9234" max="9234" width="9.07421875" style="115" customWidth="1"/>
    <col min="9235" max="9235" width="1.07421875" style="115" customWidth="1"/>
    <col min="9236" max="9236" width="7.84375" style="115" customWidth="1"/>
    <col min="9237" max="9237" width="1.07421875" style="115" customWidth="1"/>
    <col min="9238" max="9238" width="0.84375" style="115" customWidth="1"/>
    <col min="9239" max="9239" width="9.07421875" style="115" customWidth="1"/>
    <col min="9240" max="9240" width="1.07421875" style="115" customWidth="1"/>
    <col min="9241" max="9241" width="0.84375" style="115" customWidth="1"/>
    <col min="9242" max="9242" width="9.53515625" style="115" bestFit="1" customWidth="1"/>
    <col min="9243" max="9244" width="0.84375" style="115" customWidth="1"/>
    <col min="9245" max="9245" width="9.84375" style="115" customWidth="1"/>
    <col min="9246" max="9246" width="1.07421875" style="115" customWidth="1"/>
    <col min="9247" max="9247" width="8.53515625" style="115" customWidth="1"/>
    <col min="9248" max="9248" width="14.53515625" style="115" customWidth="1"/>
    <col min="9249" max="9249" width="10" style="115" customWidth="1"/>
    <col min="9250" max="9250" width="7.84375" style="115" bestFit="1" customWidth="1"/>
    <col min="9251" max="9251" width="9.84375" style="115" customWidth="1"/>
    <col min="9252" max="9468" width="8.84375" style="115"/>
    <col min="9469" max="9469" width="38.4609375" style="115" customWidth="1"/>
    <col min="9470" max="9470" width="8.53515625" style="115" customWidth="1"/>
    <col min="9471" max="9471" width="1.07421875" style="115" customWidth="1"/>
    <col min="9472" max="9472" width="8.84375" style="115" customWidth="1"/>
    <col min="9473" max="9473" width="1.07421875" style="115" customWidth="1"/>
    <col min="9474" max="9474" width="9.07421875" style="115" customWidth="1"/>
    <col min="9475" max="9475" width="1.07421875" style="115" customWidth="1"/>
    <col min="9476" max="9476" width="10" style="115" customWidth="1"/>
    <col min="9477" max="9477" width="1.07421875" style="115" customWidth="1"/>
    <col min="9478" max="9478" width="9.07421875" style="115" customWidth="1"/>
    <col min="9479" max="9479" width="1.07421875" style="115" customWidth="1"/>
    <col min="9480" max="9480" width="11.07421875" style="115" customWidth="1"/>
    <col min="9481" max="9481" width="1.07421875" style="115" customWidth="1"/>
    <col min="9482" max="9482" width="9.07421875" style="115" customWidth="1"/>
    <col min="9483" max="9483" width="1.84375" style="115" customWidth="1"/>
    <col min="9484" max="9484" width="11" style="115" customWidth="1"/>
    <col min="9485" max="9485" width="1.07421875" style="115" customWidth="1"/>
    <col min="9486" max="9486" width="10.84375" style="115" customWidth="1"/>
    <col min="9487" max="9487" width="1.07421875" style="115" customWidth="1"/>
    <col min="9488" max="9488" width="10" style="115" customWidth="1"/>
    <col min="9489" max="9489" width="1.07421875" style="115" customWidth="1"/>
    <col min="9490" max="9490" width="9.07421875" style="115" customWidth="1"/>
    <col min="9491" max="9491" width="1.07421875" style="115" customWidth="1"/>
    <col min="9492" max="9492" width="7.84375" style="115" customWidth="1"/>
    <col min="9493" max="9493" width="1.07421875" style="115" customWidth="1"/>
    <col min="9494" max="9494" width="0.84375" style="115" customWidth="1"/>
    <col min="9495" max="9495" width="9.07421875" style="115" customWidth="1"/>
    <col min="9496" max="9496" width="1.07421875" style="115" customWidth="1"/>
    <col min="9497" max="9497" width="0.84375" style="115" customWidth="1"/>
    <col min="9498" max="9498" width="9.53515625" style="115" bestFit="1" customWidth="1"/>
    <col min="9499" max="9500" width="0.84375" style="115" customWidth="1"/>
    <col min="9501" max="9501" width="9.84375" style="115" customWidth="1"/>
    <col min="9502" max="9502" width="1.07421875" style="115" customWidth="1"/>
    <col min="9503" max="9503" width="8.53515625" style="115" customWidth="1"/>
    <col min="9504" max="9504" width="14.53515625" style="115" customWidth="1"/>
    <col min="9505" max="9505" width="10" style="115" customWidth="1"/>
    <col min="9506" max="9506" width="7.84375" style="115" bestFit="1" customWidth="1"/>
    <col min="9507" max="9507" width="9.84375" style="115" customWidth="1"/>
    <col min="9508" max="9724" width="8.84375" style="115"/>
    <col min="9725" max="9725" width="38.4609375" style="115" customWidth="1"/>
    <col min="9726" max="9726" width="8.53515625" style="115" customWidth="1"/>
    <col min="9727" max="9727" width="1.07421875" style="115" customWidth="1"/>
    <col min="9728" max="9728" width="8.84375" style="115" customWidth="1"/>
    <col min="9729" max="9729" width="1.07421875" style="115" customWidth="1"/>
    <col min="9730" max="9730" width="9.07421875" style="115" customWidth="1"/>
    <col min="9731" max="9731" width="1.07421875" style="115" customWidth="1"/>
    <col min="9732" max="9732" width="10" style="115" customWidth="1"/>
    <col min="9733" max="9733" width="1.07421875" style="115" customWidth="1"/>
    <col min="9734" max="9734" width="9.07421875" style="115" customWidth="1"/>
    <col min="9735" max="9735" width="1.07421875" style="115" customWidth="1"/>
    <col min="9736" max="9736" width="11.07421875" style="115" customWidth="1"/>
    <col min="9737" max="9737" width="1.07421875" style="115" customWidth="1"/>
    <col min="9738" max="9738" width="9.07421875" style="115" customWidth="1"/>
    <col min="9739" max="9739" width="1.84375" style="115" customWidth="1"/>
    <col min="9740" max="9740" width="11" style="115" customWidth="1"/>
    <col min="9741" max="9741" width="1.07421875" style="115" customWidth="1"/>
    <col min="9742" max="9742" width="10.84375" style="115" customWidth="1"/>
    <col min="9743" max="9743" width="1.07421875" style="115" customWidth="1"/>
    <col min="9744" max="9744" width="10" style="115" customWidth="1"/>
    <col min="9745" max="9745" width="1.07421875" style="115" customWidth="1"/>
    <col min="9746" max="9746" width="9.07421875" style="115" customWidth="1"/>
    <col min="9747" max="9747" width="1.07421875" style="115" customWidth="1"/>
    <col min="9748" max="9748" width="7.84375" style="115" customWidth="1"/>
    <col min="9749" max="9749" width="1.07421875" style="115" customWidth="1"/>
    <col min="9750" max="9750" width="0.84375" style="115" customWidth="1"/>
    <col min="9751" max="9751" width="9.07421875" style="115" customWidth="1"/>
    <col min="9752" max="9752" width="1.07421875" style="115" customWidth="1"/>
    <col min="9753" max="9753" width="0.84375" style="115" customWidth="1"/>
    <col min="9754" max="9754" width="9.53515625" style="115" bestFit="1" customWidth="1"/>
    <col min="9755" max="9756" width="0.84375" style="115" customWidth="1"/>
    <col min="9757" max="9757" width="9.84375" style="115" customWidth="1"/>
    <col min="9758" max="9758" width="1.07421875" style="115" customWidth="1"/>
    <col min="9759" max="9759" width="8.53515625" style="115" customWidth="1"/>
    <col min="9760" max="9760" width="14.53515625" style="115" customWidth="1"/>
    <col min="9761" max="9761" width="10" style="115" customWidth="1"/>
    <col min="9762" max="9762" width="7.84375" style="115" bestFit="1" customWidth="1"/>
    <col min="9763" max="9763" width="9.84375" style="115" customWidth="1"/>
    <col min="9764" max="9980" width="8.84375" style="115"/>
    <col min="9981" max="9981" width="38.4609375" style="115" customWidth="1"/>
    <col min="9982" max="9982" width="8.53515625" style="115" customWidth="1"/>
    <col min="9983" max="9983" width="1.07421875" style="115" customWidth="1"/>
    <col min="9984" max="9984" width="8.84375" style="115" customWidth="1"/>
    <col min="9985" max="9985" width="1.07421875" style="115" customWidth="1"/>
    <col min="9986" max="9986" width="9.07421875" style="115" customWidth="1"/>
    <col min="9987" max="9987" width="1.07421875" style="115" customWidth="1"/>
    <col min="9988" max="9988" width="10" style="115" customWidth="1"/>
    <col min="9989" max="9989" width="1.07421875" style="115" customWidth="1"/>
    <col min="9990" max="9990" width="9.07421875" style="115" customWidth="1"/>
    <col min="9991" max="9991" width="1.07421875" style="115" customWidth="1"/>
    <col min="9992" max="9992" width="11.07421875" style="115" customWidth="1"/>
    <col min="9993" max="9993" width="1.07421875" style="115" customWidth="1"/>
    <col min="9994" max="9994" width="9.07421875" style="115" customWidth="1"/>
    <col min="9995" max="9995" width="1.84375" style="115" customWidth="1"/>
    <col min="9996" max="9996" width="11" style="115" customWidth="1"/>
    <col min="9997" max="9997" width="1.07421875" style="115" customWidth="1"/>
    <col min="9998" max="9998" width="10.84375" style="115" customWidth="1"/>
    <col min="9999" max="9999" width="1.07421875" style="115" customWidth="1"/>
    <col min="10000" max="10000" width="10" style="115" customWidth="1"/>
    <col min="10001" max="10001" width="1.07421875" style="115" customWidth="1"/>
    <col min="10002" max="10002" width="9.07421875" style="115" customWidth="1"/>
    <col min="10003" max="10003" width="1.07421875" style="115" customWidth="1"/>
    <col min="10004" max="10004" width="7.84375" style="115" customWidth="1"/>
    <col min="10005" max="10005" width="1.07421875" style="115" customWidth="1"/>
    <col min="10006" max="10006" width="0.84375" style="115" customWidth="1"/>
    <col min="10007" max="10007" width="9.07421875" style="115" customWidth="1"/>
    <col min="10008" max="10008" width="1.07421875" style="115" customWidth="1"/>
    <col min="10009" max="10009" width="0.84375" style="115" customWidth="1"/>
    <col min="10010" max="10010" width="9.53515625" style="115" bestFit="1" customWidth="1"/>
    <col min="10011" max="10012" width="0.84375" style="115" customWidth="1"/>
    <col min="10013" max="10013" width="9.84375" style="115" customWidth="1"/>
    <col min="10014" max="10014" width="1.07421875" style="115" customWidth="1"/>
    <col min="10015" max="10015" width="8.53515625" style="115" customWidth="1"/>
    <col min="10016" max="10016" width="14.53515625" style="115" customWidth="1"/>
    <col min="10017" max="10017" width="10" style="115" customWidth="1"/>
    <col min="10018" max="10018" width="7.84375" style="115" bestFit="1" customWidth="1"/>
    <col min="10019" max="10019" width="9.84375" style="115" customWidth="1"/>
    <col min="10020" max="10236" width="8.84375" style="115"/>
    <col min="10237" max="10237" width="38.4609375" style="115" customWidth="1"/>
    <col min="10238" max="10238" width="8.53515625" style="115" customWidth="1"/>
    <col min="10239" max="10239" width="1.07421875" style="115" customWidth="1"/>
    <col min="10240" max="10240" width="8.84375" style="115" customWidth="1"/>
    <col min="10241" max="10241" width="1.07421875" style="115" customWidth="1"/>
    <col min="10242" max="10242" width="9.07421875" style="115" customWidth="1"/>
    <col min="10243" max="10243" width="1.07421875" style="115" customWidth="1"/>
    <col min="10244" max="10244" width="10" style="115" customWidth="1"/>
    <col min="10245" max="10245" width="1.07421875" style="115" customWidth="1"/>
    <col min="10246" max="10246" width="9.07421875" style="115" customWidth="1"/>
    <col min="10247" max="10247" width="1.07421875" style="115" customWidth="1"/>
    <col min="10248" max="10248" width="11.07421875" style="115" customWidth="1"/>
    <col min="10249" max="10249" width="1.07421875" style="115" customWidth="1"/>
    <col min="10250" max="10250" width="9.07421875" style="115" customWidth="1"/>
    <col min="10251" max="10251" width="1.84375" style="115" customWidth="1"/>
    <col min="10252" max="10252" width="11" style="115" customWidth="1"/>
    <col min="10253" max="10253" width="1.07421875" style="115" customWidth="1"/>
    <col min="10254" max="10254" width="10.84375" style="115" customWidth="1"/>
    <col min="10255" max="10255" width="1.07421875" style="115" customWidth="1"/>
    <col min="10256" max="10256" width="10" style="115" customWidth="1"/>
    <col min="10257" max="10257" width="1.07421875" style="115" customWidth="1"/>
    <col min="10258" max="10258" width="9.07421875" style="115" customWidth="1"/>
    <col min="10259" max="10259" width="1.07421875" style="115" customWidth="1"/>
    <col min="10260" max="10260" width="7.84375" style="115" customWidth="1"/>
    <col min="10261" max="10261" width="1.07421875" style="115" customWidth="1"/>
    <col min="10262" max="10262" width="0.84375" style="115" customWidth="1"/>
    <col min="10263" max="10263" width="9.07421875" style="115" customWidth="1"/>
    <col min="10264" max="10264" width="1.07421875" style="115" customWidth="1"/>
    <col min="10265" max="10265" width="0.84375" style="115" customWidth="1"/>
    <col min="10266" max="10266" width="9.53515625" style="115" bestFit="1" customWidth="1"/>
    <col min="10267" max="10268" width="0.84375" style="115" customWidth="1"/>
    <col min="10269" max="10269" width="9.84375" style="115" customWidth="1"/>
    <col min="10270" max="10270" width="1.07421875" style="115" customWidth="1"/>
    <col min="10271" max="10271" width="8.53515625" style="115" customWidth="1"/>
    <col min="10272" max="10272" width="14.53515625" style="115" customWidth="1"/>
    <col min="10273" max="10273" width="10" style="115" customWidth="1"/>
    <col min="10274" max="10274" width="7.84375" style="115" bestFit="1" customWidth="1"/>
    <col min="10275" max="10275" width="9.84375" style="115" customWidth="1"/>
    <col min="10276" max="10492" width="8.84375" style="115"/>
    <col min="10493" max="10493" width="38.4609375" style="115" customWidth="1"/>
    <col min="10494" max="10494" width="8.53515625" style="115" customWidth="1"/>
    <col min="10495" max="10495" width="1.07421875" style="115" customWidth="1"/>
    <col min="10496" max="10496" width="8.84375" style="115" customWidth="1"/>
    <col min="10497" max="10497" width="1.07421875" style="115" customWidth="1"/>
    <col min="10498" max="10498" width="9.07421875" style="115" customWidth="1"/>
    <col min="10499" max="10499" width="1.07421875" style="115" customWidth="1"/>
    <col min="10500" max="10500" width="10" style="115" customWidth="1"/>
    <col min="10501" max="10501" width="1.07421875" style="115" customWidth="1"/>
    <col min="10502" max="10502" width="9.07421875" style="115" customWidth="1"/>
    <col min="10503" max="10503" width="1.07421875" style="115" customWidth="1"/>
    <col min="10504" max="10504" width="11.07421875" style="115" customWidth="1"/>
    <col min="10505" max="10505" width="1.07421875" style="115" customWidth="1"/>
    <col min="10506" max="10506" width="9.07421875" style="115" customWidth="1"/>
    <col min="10507" max="10507" width="1.84375" style="115" customWidth="1"/>
    <col min="10508" max="10508" width="11" style="115" customWidth="1"/>
    <col min="10509" max="10509" width="1.07421875" style="115" customWidth="1"/>
    <col min="10510" max="10510" width="10.84375" style="115" customWidth="1"/>
    <col min="10511" max="10511" width="1.07421875" style="115" customWidth="1"/>
    <col min="10512" max="10512" width="10" style="115" customWidth="1"/>
    <col min="10513" max="10513" width="1.07421875" style="115" customWidth="1"/>
    <col min="10514" max="10514" width="9.07421875" style="115" customWidth="1"/>
    <col min="10515" max="10515" width="1.07421875" style="115" customWidth="1"/>
    <col min="10516" max="10516" width="7.84375" style="115" customWidth="1"/>
    <col min="10517" max="10517" width="1.07421875" style="115" customWidth="1"/>
    <col min="10518" max="10518" width="0.84375" style="115" customWidth="1"/>
    <col min="10519" max="10519" width="9.07421875" style="115" customWidth="1"/>
    <col min="10520" max="10520" width="1.07421875" style="115" customWidth="1"/>
    <col min="10521" max="10521" width="0.84375" style="115" customWidth="1"/>
    <col min="10522" max="10522" width="9.53515625" style="115" bestFit="1" customWidth="1"/>
    <col min="10523" max="10524" width="0.84375" style="115" customWidth="1"/>
    <col min="10525" max="10525" width="9.84375" style="115" customWidth="1"/>
    <col min="10526" max="10526" width="1.07421875" style="115" customWidth="1"/>
    <col min="10527" max="10527" width="8.53515625" style="115" customWidth="1"/>
    <col min="10528" max="10528" width="14.53515625" style="115" customWidth="1"/>
    <col min="10529" max="10529" width="10" style="115" customWidth="1"/>
    <col min="10530" max="10530" width="7.84375" style="115" bestFit="1" customWidth="1"/>
    <col min="10531" max="10531" width="9.84375" style="115" customWidth="1"/>
    <col min="10532" max="10748" width="8.84375" style="115"/>
    <col min="10749" max="10749" width="38.4609375" style="115" customWidth="1"/>
    <col min="10750" max="10750" width="8.53515625" style="115" customWidth="1"/>
    <col min="10751" max="10751" width="1.07421875" style="115" customWidth="1"/>
    <col min="10752" max="10752" width="8.84375" style="115" customWidth="1"/>
    <col min="10753" max="10753" width="1.07421875" style="115" customWidth="1"/>
    <col min="10754" max="10754" width="9.07421875" style="115" customWidth="1"/>
    <col min="10755" max="10755" width="1.07421875" style="115" customWidth="1"/>
    <col min="10756" max="10756" width="10" style="115" customWidth="1"/>
    <col min="10757" max="10757" width="1.07421875" style="115" customWidth="1"/>
    <col min="10758" max="10758" width="9.07421875" style="115" customWidth="1"/>
    <col min="10759" max="10759" width="1.07421875" style="115" customWidth="1"/>
    <col min="10760" max="10760" width="11.07421875" style="115" customWidth="1"/>
    <col min="10761" max="10761" width="1.07421875" style="115" customWidth="1"/>
    <col min="10762" max="10762" width="9.07421875" style="115" customWidth="1"/>
    <col min="10763" max="10763" width="1.84375" style="115" customWidth="1"/>
    <col min="10764" max="10764" width="11" style="115" customWidth="1"/>
    <col min="10765" max="10765" width="1.07421875" style="115" customWidth="1"/>
    <col min="10766" max="10766" width="10.84375" style="115" customWidth="1"/>
    <col min="10767" max="10767" width="1.07421875" style="115" customWidth="1"/>
    <col min="10768" max="10768" width="10" style="115" customWidth="1"/>
    <col min="10769" max="10769" width="1.07421875" style="115" customWidth="1"/>
    <col min="10770" max="10770" width="9.07421875" style="115" customWidth="1"/>
    <col min="10771" max="10771" width="1.07421875" style="115" customWidth="1"/>
    <col min="10772" max="10772" width="7.84375" style="115" customWidth="1"/>
    <col min="10773" max="10773" width="1.07421875" style="115" customWidth="1"/>
    <col min="10774" max="10774" width="0.84375" style="115" customWidth="1"/>
    <col min="10775" max="10775" width="9.07421875" style="115" customWidth="1"/>
    <col min="10776" max="10776" width="1.07421875" style="115" customWidth="1"/>
    <col min="10777" max="10777" width="0.84375" style="115" customWidth="1"/>
    <col min="10778" max="10778" width="9.53515625" style="115" bestFit="1" customWidth="1"/>
    <col min="10779" max="10780" width="0.84375" style="115" customWidth="1"/>
    <col min="10781" max="10781" width="9.84375" style="115" customWidth="1"/>
    <col min="10782" max="10782" width="1.07421875" style="115" customWidth="1"/>
    <col min="10783" max="10783" width="8.53515625" style="115" customWidth="1"/>
    <col min="10784" max="10784" width="14.53515625" style="115" customWidth="1"/>
    <col min="10785" max="10785" width="10" style="115" customWidth="1"/>
    <col min="10786" max="10786" width="7.84375" style="115" bestFit="1" customWidth="1"/>
    <col min="10787" max="10787" width="9.84375" style="115" customWidth="1"/>
    <col min="10788" max="11004" width="8.84375" style="115"/>
    <col min="11005" max="11005" width="38.4609375" style="115" customWidth="1"/>
    <col min="11006" max="11006" width="8.53515625" style="115" customWidth="1"/>
    <col min="11007" max="11007" width="1.07421875" style="115" customWidth="1"/>
    <col min="11008" max="11008" width="8.84375" style="115" customWidth="1"/>
    <col min="11009" max="11009" width="1.07421875" style="115" customWidth="1"/>
    <col min="11010" max="11010" width="9.07421875" style="115" customWidth="1"/>
    <col min="11011" max="11011" width="1.07421875" style="115" customWidth="1"/>
    <col min="11012" max="11012" width="10" style="115" customWidth="1"/>
    <col min="11013" max="11013" width="1.07421875" style="115" customWidth="1"/>
    <col min="11014" max="11014" width="9.07421875" style="115" customWidth="1"/>
    <col min="11015" max="11015" width="1.07421875" style="115" customWidth="1"/>
    <col min="11016" max="11016" width="11.07421875" style="115" customWidth="1"/>
    <col min="11017" max="11017" width="1.07421875" style="115" customWidth="1"/>
    <col min="11018" max="11018" width="9.07421875" style="115" customWidth="1"/>
    <col min="11019" max="11019" width="1.84375" style="115" customWidth="1"/>
    <col min="11020" max="11020" width="11" style="115" customWidth="1"/>
    <col min="11021" max="11021" width="1.07421875" style="115" customWidth="1"/>
    <col min="11022" max="11022" width="10.84375" style="115" customWidth="1"/>
    <col min="11023" max="11023" width="1.07421875" style="115" customWidth="1"/>
    <col min="11024" max="11024" width="10" style="115" customWidth="1"/>
    <col min="11025" max="11025" width="1.07421875" style="115" customWidth="1"/>
    <col min="11026" max="11026" width="9.07421875" style="115" customWidth="1"/>
    <col min="11027" max="11027" width="1.07421875" style="115" customWidth="1"/>
    <col min="11028" max="11028" width="7.84375" style="115" customWidth="1"/>
    <col min="11029" max="11029" width="1.07421875" style="115" customWidth="1"/>
    <col min="11030" max="11030" width="0.84375" style="115" customWidth="1"/>
    <col min="11031" max="11031" width="9.07421875" style="115" customWidth="1"/>
    <col min="11032" max="11032" width="1.07421875" style="115" customWidth="1"/>
    <col min="11033" max="11033" width="0.84375" style="115" customWidth="1"/>
    <col min="11034" max="11034" width="9.53515625" style="115" bestFit="1" customWidth="1"/>
    <col min="11035" max="11036" width="0.84375" style="115" customWidth="1"/>
    <col min="11037" max="11037" width="9.84375" style="115" customWidth="1"/>
    <col min="11038" max="11038" width="1.07421875" style="115" customWidth="1"/>
    <col min="11039" max="11039" width="8.53515625" style="115" customWidth="1"/>
    <col min="11040" max="11040" width="14.53515625" style="115" customWidth="1"/>
    <col min="11041" max="11041" width="10" style="115" customWidth="1"/>
    <col min="11042" max="11042" width="7.84375" style="115" bestFit="1" customWidth="1"/>
    <col min="11043" max="11043" width="9.84375" style="115" customWidth="1"/>
    <col min="11044" max="11260" width="8.84375" style="115"/>
    <col min="11261" max="11261" width="38.4609375" style="115" customWidth="1"/>
    <col min="11262" max="11262" width="8.53515625" style="115" customWidth="1"/>
    <col min="11263" max="11263" width="1.07421875" style="115" customWidth="1"/>
    <col min="11264" max="11264" width="8.84375" style="115" customWidth="1"/>
    <col min="11265" max="11265" width="1.07421875" style="115" customWidth="1"/>
    <col min="11266" max="11266" width="9.07421875" style="115" customWidth="1"/>
    <col min="11267" max="11267" width="1.07421875" style="115" customWidth="1"/>
    <col min="11268" max="11268" width="10" style="115" customWidth="1"/>
    <col min="11269" max="11269" width="1.07421875" style="115" customWidth="1"/>
    <col min="11270" max="11270" width="9.07421875" style="115" customWidth="1"/>
    <col min="11271" max="11271" width="1.07421875" style="115" customWidth="1"/>
    <col min="11272" max="11272" width="11.07421875" style="115" customWidth="1"/>
    <col min="11273" max="11273" width="1.07421875" style="115" customWidth="1"/>
    <col min="11274" max="11274" width="9.07421875" style="115" customWidth="1"/>
    <col min="11275" max="11275" width="1.84375" style="115" customWidth="1"/>
    <col min="11276" max="11276" width="11" style="115" customWidth="1"/>
    <col min="11277" max="11277" width="1.07421875" style="115" customWidth="1"/>
    <col min="11278" max="11278" width="10.84375" style="115" customWidth="1"/>
    <col min="11279" max="11279" width="1.07421875" style="115" customWidth="1"/>
    <col min="11280" max="11280" width="10" style="115" customWidth="1"/>
    <col min="11281" max="11281" width="1.07421875" style="115" customWidth="1"/>
    <col min="11282" max="11282" width="9.07421875" style="115" customWidth="1"/>
    <col min="11283" max="11283" width="1.07421875" style="115" customWidth="1"/>
    <col min="11284" max="11284" width="7.84375" style="115" customWidth="1"/>
    <col min="11285" max="11285" width="1.07421875" style="115" customWidth="1"/>
    <col min="11286" max="11286" width="0.84375" style="115" customWidth="1"/>
    <col min="11287" max="11287" width="9.07421875" style="115" customWidth="1"/>
    <col min="11288" max="11288" width="1.07421875" style="115" customWidth="1"/>
    <col min="11289" max="11289" width="0.84375" style="115" customWidth="1"/>
    <col min="11290" max="11290" width="9.53515625" style="115" bestFit="1" customWidth="1"/>
    <col min="11291" max="11292" width="0.84375" style="115" customWidth="1"/>
    <col min="11293" max="11293" width="9.84375" style="115" customWidth="1"/>
    <col min="11294" max="11294" width="1.07421875" style="115" customWidth="1"/>
    <col min="11295" max="11295" width="8.53515625" style="115" customWidth="1"/>
    <col min="11296" max="11296" width="14.53515625" style="115" customWidth="1"/>
    <col min="11297" max="11297" width="10" style="115" customWidth="1"/>
    <col min="11298" max="11298" width="7.84375" style="115" bestFit="1" customWidth="1"/>
    <col min="11299" max="11299" width="9.84375" style="115" customWidth="1"/>
    <col min="11300" max="11516" width="8.84375" style="115"/>
    <col min="11517" max="11517" width="38.4609375" style="115" customWidth="1"/>
    <col min="11518" max="11518" width="8.53515625" style="115" customWidth="1"/>
    <col min="11519" max="11519" width="1.07421875" style="115" customWidth="1"/>
    <col min="11520" max="11520" width="8.84375" style="115" customWidth="1"/>
    <col min="11521" max="11521" width="1.07421875" style="115" customWidth="1"/>
    <col min="11522" max="11522" width="9.07421875" style="115" customWidth="1"/>
    <col min="11523" max="11523" width="1.07421875" style="115" customWidth="1"/>
    <col min="11524" max="11524" width="10" style="115" customWidth="1"/>
    <col min="11525" max="11525" width="1.07421875" style="115" customWidth="1"/>
    <col min="11526" max="11526" width="9.07421875" style="115" customWidth="1"/>
    <col min="11527" max="11527" width="1.07421875" style="115" customWidth="1"/>
    <col min="11528" max="11528" width="11.07421875" style="115" customWidth="1"/>
    <col min="11529" max="11529" width="1.07421875" style="115" customWidth="1"/>
    <col min="11530" max="11530" width="9.07421875" style="115" customWidth="1"/>
    <col min="11531" max="11531" width="1.84375" style="115" customWidth="1"/>
    <col min="11532" max="11532" width="11" style="115" customWidth="1"/>
    <col min="11533" max="11533" width="1.07421875" style="115" customWidth="1"/>
    <col min="11534" max="11534" width="10.84375" style="115" customWidth="1"/>
    <col min="11535" max="11535" width="1.07421875" style="115" customWidth="1"/>
    <col min="11536" max="11536" width="10" style="115" customWidth="1"/>
    <col min="11537" max="11537" width="1.07421875" style="115" customWidth="1"/>
    <col min="11538" max="11538" width="9.07421875" style="115" customWidth="1"/>
    <col min="11539" max="11539" width="1.07421875" style="115" customWidth="1"/>
    <col min="11540" max="11540" width="7.84375" style="115" customWidth="1"/>
    <col min="11541" max="11541" width="1.07421875" style="115" customWidth="1"/>
    <col min="11542" max="11542" width="0.84375" style="115" customWidth="1"/>
    <col min="11543" max="11543" width="9.07421875" style="115" customWidth="1"/>
    <col min="11544" max="11544" width="1.07421875" style="115" customWidth="1"/>
    <col min="11545" max="11545" width="0.84375" style="115" customWidth="1"/>
    <col min="11546" max="11546" width="9.53515625" style="115" bestFit="1" customWidth="1"/>
    <col min="11547" max="11548" width="0.84375" style="115" customWidth="1"/>
    <col min="11549" max="11549" width="9.84375" style="115" customWidth="1"/>
    <col min="11550" max="11550" width="1.07421875" style="115" customWidth="1"/>
    <col min="11551" max="11551" width="8.53515625" style="115" customWidth="1"/>
    <col min="11552" max="11552" width="14.53515625" style="115" customWidth="1"/>
    <col min="11553" max="11553" width="10" style="115" customWidth="1"/>
    <col min="11554" max="11554" width="7.84375" style="115" bestFit="1" customWidth="1"/>
    <col min="11555" max="11555" width="9.84375" style="115" customWidth="1"/>
    <col min="11556" max="11772" width="8.84375" style="115"/>
    <col min="11773" max="11773" width="38.4609375" style="115" customWidth="1"/>
    <col min="11774" max="11774" width="8.53515625" style="115" customWidth="1"/>
    <col min="11775" max="11775" width="1.07421875" style="115" customWidth="1"/>
    <col min="11776" max="11776" width="8.84375" style="115" customWidth="1"/>
    <col min="11777" max="11777" width="1.07421875" style="115" customWidth="1"/>
    <col min="11778" max="11778" width="9.07421875" style="115" customWidth="1"/>
    <col min="11779" max="11779" width="1.07421875" style="115" customWidth="1"/>
    <col min="11780" max="11780" width="10" style="115" customWidth="1"/>
    <col min="11781" max="11781" width="1.07421875" style="115" customWidth="1"/>
    <col min="11782" max="11782" width="9.07421875" style="115" customWidth="1"/>
    <col min="11783" max="11783" width="1.07421875" style="115" customWidth="1"/>
    <col min="11784" max="11784" width="11.07421875" style="115" customWidth="1"/>
    <col min="11785" max="11785" width="1.07421875" style="115" customWidth="1"/>
    <col min="11786" max="11786" width="9.07421875" style="115" customWidth="1"/>
    <col min="11787" max="11787" width="1.84375" style="115" customWidth="1"/>
    <col min="11788" max="11788" width="11" style="115" customWidth="1"/>
    <col min="11789" max="11789" width="1.07421875" style="115" customWidth="1"/>
    <col min="11790" max="11790" width="10.84375" style="115" customWidth="1"/>
    <col min="11791" max="11791" width="1.07421875" style="115" customWidth="1"/>
    <col min="11792" max="11792" width="10" style="115" customWidth="1"/>
    <col min="11793" max="11793" width="1.07421875" style="115" customWidth="1"/>
    <col min="11794" max="11794" width="9.07421875" style="115" customWidth="1"/>
    <col min="11795" max="11795" width="1.07421875" style="115" customWidth="1"/>
    <col min="11796" max="11796" width="7.84375" style="115" customWidth="1"/>
    <col min="11797" max="11797" width="1.07421875" style="115" customWidth="1"/>
    <col min="11798" max="11798" width="0.84375" style="115" customWidth="1"/>
    <col min="11799" max="11799" width="9.07421875" style="115" customWidth="1"/>
    <col min="11800" max="11800" width="1.07421875" style="115" customWidth="1"/>
    <col min="11801" max="11801" width="0.84375" style="115" customWidth="1"/>
    <col min="11802" max="11802" width="9.53515625" style="115" bestFit="1" customWidth="1"/>
    <col min="11803" max="11804" width="0.84375" style="115" customWidth="1"/>
    <col min="11805" max="11805" width="9.84375" style="115" customWidth="1"/>
    <col min="11806" max="11806" width="1.07421875" style="115" customWidth="1"/>
    <col min="11807" max="11807" width="8.53515625" style="115" customWidth="1"/>
    <col min="11808" max="11808" width="14.53515625" style="115" customWidth="1"/>
    <col min="11809" max="11809" width="10" style="115" customWidth="1"/>
    <col min="11810" max="11810" width="7.84375" style="115" bestFit="1" customWidth="1"/>
    <col min="11811" max="11811" width="9.84375" style="115" customWidth="1"/>
    <col min="11812" max="12028" width="8.84375" style="115"/>
    <col min="12029" max="12029" width="38.4609375" style="115" customWidth="1"/>
    <col min="12030" max="12030" width="8.53515625" style="115" customWidth="1"/>
    <col min="12031" max="12031" width="1.07421875" style="115" customWidth="1"/>
    <col min="12032" max="12032" width="8.84375" style="115" customWidth="1"/>
    <col min="12033" max="12033" width="1.07421875" style="115" customWidth="1"/>
    <col min="12034" max="12034" width="9.07421875" style="115" customWidth="1"/>
    <col min="12035" max="12035" width="1.07421875" style="115" customWidth="1"/>
    <col min="12036" max="12036" width="10" style="115" customWidth="1"/>
    <col min="12037" max="12037" width="1.07421875" style="115" customWidth="1"/>
    <col min="12038" max="12038" width="9.07421875" style="115" customWidth="1"/>
    <col min="12039" max="12039" width="1.07421875" style="115" customWidth="1"/>
    <col min="12040" max="12040" width="11.07421875" style="115" customWidth="1"/>
    <col min="12041" max="12041" width="1.07421875" style="115" customWidth="1"/>
    <col min="12042" max="12042" width="9.07421875" style="115" customWidth="1"/>
    <col min="12043" max="12043" width="1.84375" style="115" customWidth="1"/>
    <col min="12044" max="12044" width="11" style="115" customWidth="1"/>
    <col min="12045" max="12045" width="1.07421875" style="115" customWidth="1"/>
    <col min="12046" max="12046" width="10.84375" style="115" customWidth="1"/>
    <col min="12047" max="12047" width="1.07421875" style="115" customWidth="1"/>
    <col min="12048" max="12048" width="10" style="115" customWidth="1"/>
    <col min="12049" max="12049" width="1.07421875" style="115" customWidth="1"/>
    <col min="12050" max="12050" width="9.07421875" style="115" customWidth="1"/>
    <col min="12051" max="12051" width="1.07421875" style="115" customWidth="1"/>
    <col min="12052" max="12052" width="7.84375" style="115" customWidth="1"/>
    <col min="12053" max="12053" width="1.07421875" style="115" customWidth="1"/>
    <col min="12054" max="12054" width="0.84375" style="115" customWidth="1"/>
    <col min="12055" max="12055" width="9.07421875" style="115" customWidth="1"/>
    <col min="12056" max="12056" width="1.07421875" style="115" customWidth="1"/>
    <col min="12057" max="12057" width="0.84375" style="115" customWidth="1"/>
    <col min="12058" max="12058" width="9.53515625" style="115" bestFit="1" customWidth="1"/>
    <col min="12059" max="12060" width="0.84375" style="115" customWidth="1"/>
    <col min="12061" max="12061" width="9.84375" style="115" customWidth="1"/>
    <col min="12062" max="12062" width="1.07421875" style="115" customWidth="1"/>
    <col min="12063" max="12063" width="8.53515625" style="115" customWidth="1"/>
    <col min="12064" max="12064" width="14.53515625" style="115" customWidth="1"/>
    <col min="12065" max="12065" width="10" style="115" customWidth="1"/>
    <col min="12066" max="12066" width="7.84375" style="115" bestFit="1" customWidth="1"/>
    <col min="12067" max="12067" width="9.84375" style="115" customWidth="1"/>
    <col min="12068" max="12284" width="8.84375" style="115"/>
    <col min="12285" max="12285" width="38.4609375" style="115" customWidth="1"/>
    <col min="12286" max="12286" width="8.53515625" style="115" customWidth="1"/>
    <col min="12287" max="12287" width="1.07421875" style="115" customWidth="1"/>
    <col min="12288" max="12288" width="8.84375" style="115" customWidth="1"/>
    <col min="12289" max="12289" width="1.07421875" style="115" customWidth="1"/>
    <col min="12290" max="12290" width="9.07421875" style="115" customWidth="1"/>
    <col min="12291" max="12291" width="1.07421875" style="115" customWidth="1"/>
    <col min="12292" max="12292" width="10" style="115" customWidth="1"/>
    <col min="12293" max="12293" width="1.07421875" style="115" customWidth="1"/>
    <col min="12294" max="12294" width="9.07421875" style="115" customWidth="1"/>
    <col min="12295" max="12295" width="1.07421875" style="115" customWidth="1"/>
    <col min="12296" max="12296" width="11.07421875" style="115" customWidth="1"/>
    <col min="12297" max="12297" width="1.07421875" style="115" customWidth="1"/>
    <col min="12298" max="12298" width="9.07421875" style="115" customWidth="1"/>
    <col min="12299" max="12299" width="1.84375" style="115" customWidth="1"/>
    <col min="12300" max="12300" width="11" style="115" customWidth="1"/>
    <col min="12301" max="12301" width="1.07421875" style="115" customWidth="1"/>
    <col min="12302" max="12302" width="10.84375" style="115" customWidth="1"/>
    <col min="12303" max="12303" width="1.07421875" style="115" customWidth="1"/>
    <col min="12304" max="12304" width="10" style="115" customWidth="1"/>
    <col min="12305" max="12305" width="1.07421875" style="115" customWidth="1"/>
    <col min="12306" max="12306" width="9.07421875" style="115" customWidth="1"/>
    <col min="12307" max="12307" width="1.07421875" style="115" customWidth="1"/>
    <col min="12308" max="12308" width="7.84375" style="115" customWidth="1"/>
    <col min="12309" max="12309" width="1.07421875" style="115" customWidth="1"/>
    <col min="12310" max="12310" width="0.84375" style="115" customWidth="1"/>
    <col min="12311" max="12311" width="9.07421875" style="115" customWidth="1"/>
    <col min="12312" max="12312" width="1.07421875" style="115" customWidth="1"/>
    <col min="12313" max="12313" width="0.84375" style="115" customWidth="1"/>
    <col min="12314" max="12314" width="9.53515625" style="115" bestFit="1" customWidth="1"/>
    <col min="12315" max="12316" width="0.84375" style="115" customWidth="1"/>
    <col min="12317" max="12317" width="9.84375" style="115" customWidth="1"/>
    <col min="12318" max="12318" width="1.07421875" style="115" customWidth="1"/>
    <col min="12319" max="12319" width="8.53515625" style="115" customWidth="1"/>
    <col min="12320" max="12320" width="14.53515625" style="115" customWidth="1"/>
    <col min="12321" max="12321" width="10" style="115" customWidth="1"/>
    <col min="12322" max="12322" width="7.84375" style="115" bestFit="1" customWidth="1"/>
    <col min="12323" max="12323" width="9.84375" style="115" customWidth="1"/>
    <col min="12324" max="12540" width="8.84375" style="115"/>
    <col min="12541" max="12541" width="38.4609375" style="115" customWidth="1"/>
    <col min="12542" max="12542" width="8.53515625" style="115" customWidth="1"/>
    <col min="12543" max="12543" width="1.07421875" style="115" customWidth="1"/>
    <col min="12544" max="12544" width="8.84375" style="115" customWidth="1"/>
    <col min="12545" max="12545" width="1.07421875" style="115" customWidth="1"/>
    <col min="12546" max="12546" width="9.07421875" style="115" customWidth="1"/>
    <col min="12547" max="12547" width="1.07421875" style="115" customWidth="1"/>
    <col min="12548" max="12548" width="10" style="115" customWidth="1"/>
    <col min="12549" max="12549" width="1.07421875" style="115" customWidth="1"/>
    <col min="12550" max="12550" width="9.07421875" style="115" customWidth="1"/>
    <col min="12551" max="12551" width="1.07421875" style="115" customWidth="1"/>
    <col min="12552" max="12552" width="11.07421875" style="115" customWidth="1"/>
    <col min="12553" max="12553" width="1.07421875" style="115" customWidth="1"/>
    <col min="12554" max="12554" width="9.07421875" style="115" customWidth="1"/>
    <col min="12555" max="12555" width="1.84375" style="115" customWidth="1"/>
    <col min="12556" max="12556" width="11" style="115" customWidth="1"/>
    <col min="12557" max="12557" width="1.07421875" style="115" customWidth="1"/>
    <col min="12558" max="12558" width="10.84375" style="115" customWidth="1"/>
    <col min="12559" max="12559" width="1.07421875" style="115" customWidth="1"/>
    <col min="12560" max="12560" width="10" style="115" customWidth="1"/>
    <col min="12561" max="12561" width="1.07421875" style="115" customWidth="1"/>
    <col min="12562" max="12562" width="9.07421875" style="115" customWidth="1"/>
    <col min="12563" max="12563" width="1.07421875" style="115" customWidth="1"/>
    <col min="12564" max="12564" width="7.84375" style="115" customWidth="1"/>
    <col min="12565" max="12565" width="1.07421875" style="115" customWidth="1"/>
    <col min="12566" max="12566" width="0.84375" style="115" customWidth="1"/>
    <col min="12567" max="12567" width="9.07421875" style="115" customWidth="1"/>
    <col min="12568" max="12568" width="1.07421875" style="115" customWidth="1"/>
    <col min="12569" max="12569" width="0.84375" style="115" customWidth="1"/>
    <col min="12570" max="12570" width="9.53515625" style="115" bestFit="1" customWidth="1"/>
    <col min="12571" max="12572" width="0.84375" style="115" customWidth="1"/>
    <col min="12573" max="12573" width="9.84375" style="115" customWidth="1"/>
    <col min="12574" max="12574" width="1.07421875" style="115" customWidth="1"/>
    <col min="12575" max="12575" width="8.53515625" style="115" customWidth="1"/>
    <col min="12576" max="12576" width="14.53515625" style="115" customWidth="1"/>
    <col min="12577" max="12577" width="10" style="115" customWidth="1"/>
    <col min="12578" max="12578" width="7.84375" style="115" bestFit="1" customWidth="1"/>
    <col min="12579" max="12579" width="9.84375" style="115" customWidth="1"/>
    <col min="12580" max="12796" width="8.84375" style="115"/>
    <col min="12797" max="12797" width="38.4609375" style="115" customWidth="1"/>
    <col min="12798" max="12798" width="8.53515625" style="115" customWidth="1"/>
    <col min="12799" max="12799" width="1.07421875" style="115" customWidth="1"/>
    <col min="12800" max="12800" width="8.84375" style="115" customWidth="1"/>
    <col min="12801" max="12801" width="1.07421875" style="115" customWidth="1"/>
    <col min="12802" max="12802" width="9.07421875" style="115" customWidth="1"/>
    <col min="12803" max="12803" width="1.07421875" style="115" customWidth="1"/>
    <col min="12804" max="12804" width="10" style="115" customWidth="1"/>
    <col min="12805" max="12805" width="1.07421875" style="115" customWidth="1"/>
    <col min="12806" max="12806" width="9.07421875" style="115" customWidth="1"/>
    <col min="12807" max="12807" width="1.07421875" style="115" customWidth="1"/>
    <col min="12808" max="12808" width="11.07421875" style="115" customWidth="1"/>
    <col min="12809" max="12809" width="1.07421875" style="115" customWidth="1"/>
    <col min="12810" max="12810" width="9.07421875" style="115" customWidth="1"/>
    <col min="12811" max="12811" width="1.84375" style="115" customWidth="1"/>
    <col min="12812" max="12812" width="11" style="115" customWidth="1"/>
    <col min="12813" max="12813" width="1.07421875" style="115" customWidth="1"/>
    <col min="12814" max="12814" width="10.84375" style="115" customWidth="1"/>
    <col min="12815" max="12815" width="1.07421875" style="115" customWidth="1"/>
    <col min="12816" max="12816" width="10" style="115" customWidth="1"/>
    <col min="12817" max="12817" width="1.07421875" style="115" customWidth="1"/>
    <col min="12818" max="12818" width="9.07421875" style="115" customWidth="1"/>
    <col min="12819" max="12819" width="1.07421875" style="115" customWidth="1"/>
    <col min="12820" max="12820" width="7.84375" style="115" customWidth="1"/>
    <col min="12821" max="12821" width="1.07421875" style="115" customWidth="1"/>
    <col min="12822" max="12822" width="0.84375" style="115" customWidth="1"/>
    <col min="12823" max="12823" width="9.07421875" style="115" customWidth="1"/>
    <col min="12824" max="12824" width="1.07421875" style="115" customWidth="1"/>
    <col min="12825" max="12825" width="0.84375" style="115" customWidth="1"/>
    <col min="12826" max="12826" width="9.53515625" style="115" bestFit="1" customWidth="1"/>
    <col min="12827" max="12828" width="0.84375" style="115" customWidth="1"/>
    <col min="12829" max="12829" width="9.84375" style="115" customWidth="1"/>
    <col min="12830" max="12830" width="1.07421875" style="115" customWidth="1"/>
    <col min="12831" max="12831" width="8.53515625" style="115" customWidth="1"/>
    <col min="12832" max="12832" width="14.53515625" style="115" customWidth="1"/>
    <col min="12833" max="12833" width="10" style="115" customWidth="1"/>
    <col min="12834" max="12834" width="7.84375" style="115" bestFit="1" customWidth="1"/>
    <col min="12835" max="12835" width="9.84375" style="115" customWidth="1"/>
    <col min="12836" max="13052" width="8.84375" style="115"/>
    <col min="13053" max="13053" width="38.4609375" style="115" customWidth="1"/>
    <col min="13054" max="13054" width="8.53515625" style="115" customWidth="1"/>
    <col min="13055" max="13055" width="1.07421875" style="115" customWidth="1"/>
    <col min="13056" max="13056" width="8.84375" style="115" customWidth="1"/>
    <col min="13057" max="13057" width="1.07421875" style="115" customWidth="1"/>
    <col min="13058" max="13058" width="9.07421875" style="115" customWidth="1"/>
    <col min="13059" max="13059" width="1.07421875" style="115" customWidth="1"/>
    <col min="13060" max="13060" width="10" style="115" customWidth="1"/>
    <col min="13061" max="13061" width="1.07421875" style="115" customWidth="1"/>
    <col min="13062" max="13062" width="9.07421875" style="115" customWidth="1"/>
    <col min="13063" max="13063" width="1.07421875" style="115" customWidth="1"/>
    <col min="13064" max="13064" width="11.07421875" style="115" customWidth="1"/>
    <col min="13065" max="13065" width="1.07421875" style="115" customWidth="1"/>
    <col min="13066" max="13066" width="9.07421875" style="115" customWidth="1"/>
    <col min="13067" max="13067" width="1.84375" style="115" customWidth="1"/>
    <col min="13068" max="13068" width="11" style="115" customWidth="1"/>
    <col min="13069" max="13069" width="1.07421875" style="115" customWidth="1"/>
    <col min="13070" max="13070" width="10.84375" style="115" customWidth="1"/>
    <col min="13071" max="13071" width="1.07421875" style="115" customWidth="1"/>
    <col min="13072" max="13072" width="10" style="115" customWidth="1"/>
    <col min="13073" max="13073" width="1.07421875" style="115" customWidth="1"/>
    <col min="13074" max="13074" width="9.07421875" style="115" customWidth="1"/>
    <col min="13075" max="13075" width="1.07421875" style="115" customWidth="1"/>
    <col min="13076" max="13076" width="7.84375" style="115" customWidth="1"/>
    <col min="13077" max="13077" width="1.07421875" style="115" customWidth="1"/>
    <col min="13078" max="13078" width="0.84375" style="115" customWidth="1"/>
    <col min="13079" max="13079" width="9.07421875" style="115" customWidth="1"/>
    <col min="13080" max="13080" width="1.07421875" style="115" customWidth="1"/>
    <col min="13081" max="13081" width="0.84375" style="115" customWidth="1"/>
    <col min="13082" max="13082" width="9.53515625" style="115" bestFit="1" customWidth="1"/>
    <col min="13083" max="13084" width="0.84375" style="115" customWidth="1"/>
    <col min="13085" max="13085" width="9.84375" style="115" customWidth="1"/>
    <col min="13086" max="13086" width="1.07421875" style="115" customWidth="1"/>
    <col min="13087" max="13087" width="8.53515625" style="115" customWidth="1"/>
    <col min="13088" max="13088" width="14.53515625" style="115" customWidth="1"/>
    <col min="13089" max="13089" width="10" style="115" customWidth="1"/>
    <col min="13090" max="13090" width="7.84375" style="115" bestFit="1" customWidth="1"/>
    <col min="13091" max="13091" width="9.84375" style="115" customWidth="1"/>
    <col min="13092" max="13308" width="8.84375" style="115"/>
    <col min="13309" max="13309" width="38.4609375" style="115" customWidth="1"/>
    <col min="13310" max="13310" width="8.53515625" style="115" customWidth="1"/>
    <col min="13311" max="13311" width="1.07421875" style="115" customWidth="1"/>
    <col min="13312" max="13312" width="8.84375" style="115" customWidth="1"/>
    <col min="13313" max="13313" width="1.07421875" style="115" customWidth="1"/>
    <col min="13314" max="13314" width="9.07421875" style="115" customWidth="1"/>
    <col min="13315" max="13315" width="1.07421875" style="115" customWidth="1"/>
    <col min="13316" max="13316" width="10" style="115" customWidth="1"/>
    <col min="13317" max="13317" width="1.07421875" style="115" customWidth="1"/>
    <col min="13318" max="13318" width="9.07421875" style="115" customWidth="1"/>
    <col min="13319" max="13319" width="1.07421875" style="115" customWidth="1"/>
    <col min="13320" max="13320" width="11.07421875" style="115" customWidth="1"/>
    <col min="13321" max="13321" width="1.07421875" style="115" customWidth="1"/>
    <col min="13322" max="13322" width="9.07421875" style="115" customWidth="1"/>
    <col min="13323" max="13323" width="1.84375" style="115" customWidth="1"/>
    <col min="13324" max="13324" width="11" style="115" customWidth="1"/>
    <col min="13325" max="13325" width="1.07421875" style="115" customWidth="1"/>
    <col min="13326" max="13326" width="10.84375" style="115" customWidth="1"/>
    <col min="13327" max="13327" width="1.07421875" style="115" customWidth="1"/>
    <col min="13328" max="13328" width="10" style="115" customWidth="1"/>
    <col min="13329" max="13329" width="1.07421875" style="115" customWidth="1"/>
    <col min="13330" max="13330" width="9.07421875" style="115" customWidth="1"/>
    <col min="13331" max="13331" width="1.07421875" style="115" customWidth="1"/>
    <col min="13332" max="13332" width="7.84375" style="115" customWidth="1"/>
    <col min="13333" max="13333" width="1.07421875" style="115" customWidth="1"/>
    <col min="13334" max="13334" width="0.84375" style="115" customWidth="1"/>
    <col min="13335" max="13335" width="9.07421875" style="115" customWidth="1"/>
    <col min="13336" max="13336" width="1.07421875" style="115" customWidth="1"/>
    <col min="13337" max="13337" width="0.84375" style="115" customWidth="1"/>
    <col min="13338" max="13338" width="9.53515625" style="115" bestFit="1" customWidth="1"/>
    <col min="13339" max="13340" width="0.84375" style="115" customWidth="1"/>
    <col min="13341" max="13341" width="9.84375" style="115" customWidth="1"/>
    <col min="13342" max="13342" width="1.07421875" style="115" customWidth="1"/>
    <col min="13343" max="13343" width="8.53515625" style="115" customWidth="1"/>
    <col min="13344" max="13344" width="14.53515625" style="115" customWidth="1"/>
    <col min="13345" max="13345" width="10" style="115" customWidth="1"/>
    <col min="13346" max="13346" width="7.84375" style="115" bestFit="1" customWidth="1"/>
    <col min="13347" max="13347" width="9.84375" style="115" customWidth="1"/>
    <col min="13348" max="13564" width="8.84375" style="115"/>
    <col min="13565" max="13565" width="38.4609375" style="115" customWidth="1"/>
    <col min="13566" max="13566" width="8.53515625" style="115" customWidth="1"/>
    <col min="13567" max="13567" width="1.07421875" style="115" customWidth="1"/>
    <col min="13568" max="13568" width="8.84375" style="115" customWidth="1"/>
    <col min="13569" max="13569" width="1.07421875" style="115" customWidth="1"/>
    <col min="13570" max="13570" width="9.07421875" style="115" customWidth="1"/>
    <col min="13571" max="13571" width="1.07421875" style="115" customWidth="1"/>
    <col min="13572" max="13572" width="10" style="115" customWidth="1"/>
    <col min="13573" max="13573" width="1.07421875" style="115" customWidth="1"/>
    <col min="13574" max="13574" width="9.07421875" style="115" customWidth="1"/>
    <col min="13575" max="13575" width="1.07421875" style="115" customWidth="1"/>
    <col min="13576" max="13576" width="11.07421875" style="115" customWidth="1"/>
    <col min="13577" max="13577" width="1.07421875" style="115" customWidth="1"/>
    <col min="13578" max="13578" width="9.07421875" style="115" customWidth="1"/>
    <col min="13579" max="13579" width="1.84375" style="115" customWidth="1"/>
    <col min="13580" max="13580" width="11" style="115" customWidth="1"/>
    <col min="13581" max="13581" width="1.07421875" style="115" customWidth="1"/>
    <col min="13582" max="13582" width="10.84375" style="115" customWidth="1"/>
    <col min="13583" max="13583" width="1.07421875" style="115" customWidth="1"/>
    <col min="13584" max="13584" width="10" style="115" customWidth="1"/>
    <col min="13585" max="13585" width="1.07421875" style="115" customWidth="1"/>
    <col min="13586" max="13586" width="9.07421875" style="115" customWidth="1"/>
    <col min="13587" max="13587" width="1.07421875" style="115" customWidth="1"/>
    <col min="13588" max="13588" width="7.84375" style="115" customWidth="1"/>
    <col min="13589" max="13589" width="1.07421875" style="115" customWidth="1"/>
    <col min="13590" max="13590" width="0.84375" style="115" customWidth="1"/>
    <col min="13591" max="13591" width="9.07421875" style="115" customWidth="1"/>
    <col min="13592" max="13592" width="1.07421875" style="115" customWidth="1"/>
    <col min="13593" max="13593" width="0.84375" style="115" customWidth="1"/>
    <col min="13594" max="13594" width="9.53515625" style="115" bestFit="1" customWidth="1"/>
    <col min="13595" max="13596" width="0.84375" style="115" customWidth="1"/>
    <col min="13597" max="13597" width="9.84375" style="115" customWidth="1"/>
    <col min="13598" max="13598" width="1.07421875" style="115" customWidth="1"/>
    <col min="13599" max="13599" width="8.53515625" style="115" customWidth="1"/>
    <col min="13600" max="13600" width="14.53515625" style="115" customWidth="1"/>
    <col min="13601" max="13601" width="10" style="115" customWidth="1"/>
    <col min="13602" max="13602" width="7.84375" style="115" bestFit="1" customWidth="1"/>
    <col min="13603" max="13603" width="9.84375" style="115" customWidth="1"/>
    <col min="13604" max="13820" width="8.84375" style="115"/>
    <col min="13821" max="13821" width="38.4609375" style="115" customWidth="1"/>
    <col min="13822" max="13822" width="8.53515625" style="115" customWidth="1"/>
    <col min="13823" max="13823" width="1.07421875" style="115" customWidth="1"/>
    <col min="13824" max="13824" width="8.84375" style="115" customWidth="1"/>
    <col min="13825" max="13825" width="1.07421875" style="115" customWidth="1"/>
    <col min="13826" max="13826" width="9.07421875" style="115" customWidth="1"/>
    <col min="13827" max="13827" width="1.07421875" style="115" customWidth="1"/>
    <col min="13828" max="13828" width="10" style="115" customWidth="1"/>
    <col min="13829" max="13829" width="1.07421875" style="115" customWidth="1"/>
    <col min="13830" max="13830" width="9.07421875" style="115" customWidth="1"/>
    <col min="13831" max="13831" width="1.07421875" style="115" customWidth="1"/>
    <col min="13832" max="13832" width="11.07421875" style="115" customWidth="1"/>
    <col min="13833" max="13833" width="1.07421875" style="115" customWidth="1"/>
    <col min="13834" max="13834" width="9.07421875" style="115" customWidth="1"/>
    <col min="13835" max="13835" width="1.84375" style="115" customWidth="1"/>
    <col min="13836" max="13836" width="11" style="115" customWidth="1"/>
    <col min="13837" max="13837" width="1.07421875" style="115" customWidth="1"/>
    <col min="13838" max="13838" width="10.84375" style="115" customWidth="1"/>
    <col min="13839" max="13839" width="1.07421875" style="115" customWidth="1"/>
    <col min="13840" max="13840" width="10" style="115" customWidth="1"/>
    <col min="13841" max="13841" width="1.07421875" style="115" customWidth="1"/>
    <col min="13842" max="13842" width="9.07421875" style="115" customWidth="1"/>
    <col min="13843" max="13843" width="1.07421875" style="115" customWidth="1"/>
    <col min="13844" max="13844" width="7.84375" style="115" customWidth="1"/>
    <col min="13845" max="13845" width="1.07421875" style="115" customWidth="1"/>
    <col min="13846" max="13846" width="0.84375" style="115" customWidth="1"/>
    <col min="13847" max="13847" width="9.07421875" style="115" customWidth="1"/>
    <col min="13848" max="13848" width="1.07421875" style="115" customWidth="1"/>
    <col min="13849" max="13849" width="0.84375" style="115" customWidth="1"/>
    <col min="13850" max="13850" width="9.53515625" style="115" bestFit="1" customWidth="1"/>
    <col min="13851" max="13852" width="0.84375" style="115" customWidth="1"/>
    <col min="13853" max="13853" width="9.84375" style="115" customWidth="1"/>
    <col min="13854" max="13854" width="1.07421875" style="115" customWidth="1"/>
    <col min="13855" max="13855" width="8.53515625" style="115" customWidth="1"/>
    <col min="13856" max="13856" width="14.53515625" style="115" customWidth="1"/>
    <col min="13857" max="13857" width="10" style="115" customWidth="1"/>
    <col min="13858" max="13858" width="7.84375" style="115" bestFit="1" customWidth="1"/>
    <col min="13859" max="13859" width="9.84375" style="115" customWidth="1"/>
    <col min="13860" max="14076" width="8.84375" style="115"/>
    <col min="14077" max="14077" width="38.4609375" style="115" customWidth="1"/>
    <col min="14078" max="14078" width="8.53515625" style="115" customWidth="1"/>
    <col min="14079" max="14079" width="1.07421875" style="115" customWidth="1"/>
    <col min="14080" max="14080" width="8.84375" style="115" customWidth="1"/>
    <col min="14081" max="14081" width="1.07421875" style="115" customWidth="1"/>
    <col min="14082" max="14082" width="9.07421875" style="115" customWidth="1"/>
    <col min="14083" max="14083" width="1.07421875" style="115" customWidth="1"/>
    <col min="14084" max="14084" width="10" style="115" customWidth="1"/>
    <col min="14085" max="14085" width="1.07421875" style="115" customWidth="1"/>
    <col min="14086" max="14086" width="9.07421875" style="115" customWidth="1"/>
    <col min="14087" max="14087" width="1.07421875" style="115" customWidth="1"/>
    <col min="14088" max="14088" width="11.07421875" style="115" customWidth="1"/>
    <col min="14089" max="14089" width="1.07421875" style="115" customWidth="1"/>
    <col min="14090" max="14090" width="9.07421875" style="115" customWidth="1"/>
    <col min="14091" max="14091" width="1.84375" style="115" customWidth="1"/>
    <col min="14092" max="14092" width="11" style="115" customWidth="1"/>
    <col min="14093" max="14093" width="1.07421875" style="115" customWidth="1"/>
    <col min="14094" max="14094" width="10.84375" style="115" customWidth="1"/>
    <col min="14095" max="14095" width="1.07421875" style="115" customWidth="1"/>
    <col min="14096" max="14096" width="10" style="115" customWidth="1"/>
    <col min="14097" max="14097" width="1.07421875" style="115" customWidth="1"/>
    <col min="14098" max="14098" width="9.07421875" style="115" customWidth="1"/>
    <col min="14099" max="14099" width="1.07421875" style="115" customWidth="1"/>
    <col min="14100" max="14100" width="7.84375" style="115" customWidth="1"/>
    <col min="14101" max="14101" width="1.07421875" style="115" customWidth="1"/>
    <col min="14102" max="14102" width="0.84375" style="115" customWidth="1"/>
    <col min="14103" max="14103" width="9.07421875" style="115" customWidth="1"/>
    <col min="14104" max="14104" width="1.07421875" style="115" customWidth="1"/>
    <col min="14105" max="14105" width="0.84375" style="115" customWidth="1"/>
    <col min="14106" max="14106" width="9.53515625" style="115" bestFit="1" customWidth="1"/>
    <col min="14107" max="14108" width="0.84375" style="115" customWidth="1"/>
    <col min="14109" max="14109" width="9.84375" style="115" customWidth="1"/>
    <col min="14110" max="14110" width="1.07421875" style="115" customWidth="1"/>
    <col min="14111" max="14111" width="8.53515625" style="115" customWidth="1"/>
    <col min="14112" max="14112" width="14.53515625" style="115" customWidth="1"/>
    <col min="14113" max="14113" width="10" style="115" customWidth="1"/>
    <col min="14114" max="14114" width="7.84375" style="115" bestFit="1" customWidth="1"/>
    <col min="14115" max="14115" width="9.84375" style="115" customWidth="1"/>
    <col min="14116" max="14332" width="8.84375" style="115"/>
    <col min="14333" max="14333" width="38.4609375" style="115" customWidth="1"/>
    <col min="14334" max="14334" width="8.53515625" style="115" customWidth="1"/>
    <col min="14335" max="14335" width="1.07421875" style="115" customWidth="1"/>
    <col min="14336" max="14336" width="8.84375" style="115" customWidth="1"/>
    <col min="14337" max="14337" width="1.07421875" style="115" customWidth="1"/>
    <col min="14338" max="14338" width="9.07421875" style="115" customWidth="1"/>
    <col min="14339" max="14339" width="1.07421875" style="115" customWidth="1"/>
    <col min="14340" max="14340" width="10" style="115" customWidth="1"/>
    <col min="14341" max="14341" width="1.07421875" style="115" customWidth="1"/>
    <col min="14342" max="14342" width="9.07421875" style="115" customWidth="1"/>
    <col min="14343" max="14343" width="1.07421875" style="115" customWidth="1"/>
    <col min="14344" max="14344" width="11.07421875" style="115" customWidth="1"/>
    <col min="14345" max="14345" width="1.07421875" style="115" customWidth="1"/>
    <col min="14346" max="14346" width="9.07421875" style="115" customWidth="1"/>
    <col min="14347" max="14347" width="1.84375" style="115" customWidth="1"/>
    <col min="14348" max="14348" width="11" style="115" customWidth="1"/>
    <col min="14349" max="14349" width="1.07421875" style="115" customWidth="1"/>
    <col min="14350" max="14350" width="10.84375" style="115" customWidth="1"/>
    <col min="14351" max="14351" width="1.07421875" style="115" customWidth="1"/>
    <col min="14352" max="14352" width="10" style="115" customWidth="1"/>
    <col min="14353" max="14353" width="1.07421875" style="115" customWidth="1"/>
    <col min="14354" max="14354" width="9.07421875" style="115" customWidth="1"/>
    <col min="14355" max="14355" width="1.07421875" style="115" customWidth="1"/>
    <col min="14356" max="14356" width="7.84375" style="115" customWidth="1"/>
    <col min="14357" max="14357" width="1.07421875" style="115" customWidth="1"/>
    <col min="14358" max="14358" width="0.84375" style="115" customWidth="1"/>
    <col min="14359" max="14359" width="9.07421875" style="115" customWidth="1"/>
    <col min="14360" max="14360" width="1.07421875" style="115" customWidth="1"/>
    <col min="14361" max="14361" width="0.84375" style="115" customWidth="1"/>
    <col min="14362" max="14362" width="9.53515625" style="115" bestFit="1" customWidth="1"/>
    <col min="14363" max="14364" width="0.84375" style="115" customWidth="1"/>
    <col min="14365" max="14365" width="9.84375" style="115" customWidth="1"/>
    <col min="14366" max="14366" width="1.07421875" style="115" customWidth="1"/>
    <col min="14367" max="14367" width="8.53515625" style="115" customWidth="1"/>
    <col min="14368" max="14368" width="14.53515625" style="115" customWidth="1"/>
    <col min="14369" max="14369" width="10" style="115" customWidth="1"/>
    <col min="14370" max="14370" width="7.84375" style="115" bestFit="1" customWidth="1"/>
    <col min="14371" max="14371" width="9.84375" style="115" customWidth="1"/>
    <col min="14372" max="14588" width="8.84375" style="115"/>
    <col min="14589" max="14589" width="38.4609375" style="115" customWidth="1"/>
    <col min="14590" max="14590" width="8.53515625" style="115" customWidth="1"/>
    <col min="14591" max="14591" width="1.07421875" style="115" customWidth="1"/>
    <col min="14592" max="14592" width="8.84375" style="115" customWidth="1"/>
    <col min="14593" max="14593" width="1.07421875" style="115" customWidth="1"/>
    <col min="14594" max="14594" width="9.07421875" style="115" customWidth="1"/>
    <col min="14595" max="14595" width="1.07421875" style="115" customWidth="1"/>
    <col min="14596" max="14596" width="10" style="115" customWidth="1"/>
    <col min="14597" max="14597" width="1.07421875" style="115" customWidth="1"/>
    <col min="14598" max="14598" width="9.07421875" style="115" customWidth="1"/>
    <col min="14599" max="14599" width="1.07421875" style="115" customWidth="1"/>
    <col min="14600" max="14600" width="11.07421875" style="115" customWidth="1"/>
    <col min="14601" max="14601" width="1.07421875" style="115" customWidth="1"/>
    <col min="14602" max="14602" width="9.07421875" style="115" customWidth="1"/>
    <col min="14603" max="14603" width="1.84375" style="115" customWidth="1"/>
    <col min="14604" max="14604" width="11" style="115" customWidth="1"/>
    <col min="14605" max="14605" width="1.07421875" style="115" customWidth="1"/>
    <col min="14606" max="14606" width="10.84375" style="115" customWidth="1"/>
    <col min="14607" max="14607" width="1.07421875" style="115" customWidth="1"/>
    <col min="14608" max="14608" width="10" style="115" customWidth="1"/>
    <col min="14609" max="14609" width="1.07421875" style="115" customWidth="1"/>
    <col min="14610" max="14610" width="9.07421875" style="115" customWidth="1"/>
    <col min="14611" max="14611" width="1.07421875" style="115" customWidth="1"/>
    <col min="14612" max="14612" width="7.84375" style="115" customWidth="1"/>
    <col min="14613" max="14613" width="1.07421875" style="115" customWidth="1"/>
    <col min="14614" max="14614" width="0.84375" style="115" customWidth="1"/>
    <col min="14615" max="14615" width="9.07421875" style="115" customWidth="1"/>
    <col min="14616" max="14616" width="1.07421875" style="115" customWidth="1"/>
    <col min="14617" max="14617" width="0.84375" style="115" customWidth="1"/>
    <col min="14618" max="14618" width="9.53515625" style="115" bestFit="1" customWidth="1"/>
    <col min="14619" max="14620" width="0.84375" style="115" customWidth="1"/>
    <col min="14621" max="14621" width="9.84375" style="115" customWidth="1"/>
    <col min="14622" max="14622" width="1.07421875" style="115" customWidth="1"/>
    <col min="14623" max="14623" width="8.53515625" style="115" customWidth="1"/>
    <col min="14624" max="14624" width="14.53515625" style="115" customWidth="1"/>
    <col min="14625" max="14625" width="10" style="115" customWidth="1"/>
    <col min="14626" max="14626" width="7.84375" style="115" bestFit="1" customWidth="1"/>
    <col min="14627" max="14627" width="9.84375" style="115" customWidth="1"/>
    <col min="14628" max="14844" width="8.84375" style="115"/>
    <col min="14845" max="14845" width="38.4609375" style="115" customWidth="1"/>
    <col min="14846" max="14846" width="8.53515625" style="115" customWidth="1"/>
    <col min="14847" max="14847" width="1.07421875" style="115" customWidth="1"/>
    <col min="14848" max="14848" width="8.84375" style="115" customWidth="1"/>
    <col min="14849" max="14849" width="1.07421875" style="115" customWidth="1"/>
    <col min="14850" max="14850" width="9.07421875" style="115" customWidth="1"/>
    <col min="14851" max="14851" width="1.07421875" style="115" customWidth="1"/>
    <col min="14852" max="14852" width="10" style="115" customWidth="1"/>
    <col min="14853" max="14853" width="1.07421875" style="115" customWidth="1"/>
    <col min="14854" max="14854" width="9.07421875" style="115" customWidth="1"/>
    <col min="14855" max="14855" width="1.07421875" style="115" customWidth="1"/>
    <col min="14856" max="14856" width="11.07421875" style="115" customWidth="1"/>
    <col min="14857" max="14857" width="1.07421875" style="115" customWidth="1"/>
    <col min="14858" max="14858" width="9.07421875" style="115" customWidth="1"/>
    <col min="14859" max="14859" width="1.84375" style="115" customWidth="1"/>
    <col min="14860" max="14860" width="11" style="115" customWidth="1"/>
    <col min="14861" max="14861" width="1.07421875" style="115" customWidth="1"/>
    <col min="14862" max="14862" width="10.84375" style="115" customWidth="1"/>
    <col min="14863" max="14863" width="1.07421875" style="115" customWidth="1"/>
    <col min="14864" max="14864" width="10" style="115" customWidth="1"/>
    <col min="14865" max="14865" width="1.07421875" style="115" customWidth="1"/>
    <col min="14866" max="14866" width="9.07421875" style="115" customWidth="1"/>
    <col min="14867" max="14867" width="1.07421875" style="115" customWidth="1"/>
    <col min="14868" max="14868" width="7.84375" style="115" customWidth="1"/>
    <col min="14869" max="14869" width="1.07421875" style="115" customWidth="1"/>
    <col min="14870" max="14870" width="0.84375" style="115" customWidth="1"/>
    <col min="14871" max="14871" width="9.07421875" style="115" customWidth="1"/>
    <col min="14872" max="14872" width="1.07421875" style="115" customWidth="1"/>
    <col min="14873" max="14873" width="0.84375" style="115" customWidth="1"/>
    <col min="14874" max="14874" width="9.53515625" style="115" bestFit="1" customWidth="1"/>
    <col min="14875" max="14876" width="0.84375" style="115" customWidth="1"/>
    <col min="14877" max="14877" width="9.84375" style="115" customWidth="1"/>
    <col min="14878" max="14878" width="1.07421875" style="115" customWidth="1"/>
    <col min="14879" max="14879" width="8.53515625" style="115" customWidth="1"/>
    <col min="14880" max="14880" width="14.53515625" style="115" customWidth="1"/>
    <col min="14881" max="14881" width="10" style="115" customWidth="1"/>
    <col min="14882" max="14882" width="7.84375" style="115" bestFit="1" customWidth="1"/>
    <col min="14883" max="14883" width="9.84375" style="115" customWidth="1"/>
    <col min="14884" max="15100" width="8.84375" style="115"/>
    <col min="15101" max="15101" width="38.4609375" style="115" customWidth="1"/>
    <col min="15102" max="15102" width="8.53515625" style="115" customWidth="1"/>
    <col min="15103" max="15103" width="1.07421875" style="115" customWidth="1"/>
    <col min="15104" max="15104" width="8.84375" style="115" customWidth="1"/>
    <col min="15105" max="15105" width="1.07421875" style="115" customWidth="1"/>
    <col min="15106" max="15106" width="9.07421875" style="115" customWidth="1"/>
    <col min="15107" max="15107" width="1.07421875" style="115" customWidth="1"/>
    <col min="15108" max="15108" width="10" style="115" customWidth="1"/>
    <col min="15109" max="15109" width="1.07421875" style="115" customWidth="1"/>
    <col min="15110" max="15110" width="9.07421875" style="115" customWidth="1"/>
    <col min="15111" max="15111" width="1.07421875" style="115" customWidth="1"/>
    <col min="15112" max="15112" width="11.07421875" style="115" customWidth="1"/>
    <col min="15113" max="15113" width="1.07421875" style="115" customWidth="1"/>
    <col min="15114" max="15114" width="9.07421875" style="115" customWidth="1"/>
    <col min="15115" max="15115" width="1.84375" style="115" customWidth="1"/>
    <col min="15116" max="15116" width="11" style="115" customWidth="1"/>
    <col min="15117" max="15117" width="1.07421875" style="115" customWidth="1"/>
    <col min="15118" max="15118" width="10.84375" style="115" customWidth="1"/>
    <col min="15119" max="15119" width="1.07421875" style="115" customWidth="1"/>
    <col min="15120" max="15120" width="10" style="115" customWidth="1"/>
    <col min="15121" max="15121" width="1.07421875" style="115" customWidth="1"/>
    <col min="15122" max="15122" width="9.07421875" style="115" customWidth="1"/>
    <col min="15123" max="15123" width="1.07421875" style="115" customWidth="1"/>
    <col min="15124" max="15124" width="7.84375" style="115" customWidth="1"/>
    <col min="15125" max="15125" width="1.07421875" style="115" customWidth="1"/>
    <col min="15126" max="15126" width="0.84375" style="115" customWidth="1"/>
    <col min="15127" max="15127" width="9.07421875" style="115" customWidth="1"/>
    <col min="15128" max="15128" width="1.07421875" style="115" customWidth="1"/>
    <col min="15129" max="15129" width="0.84375" style="115" customWidth="1"/>
    <col min="15130" max="15130" width="9.53515625" style="115" bestFit="1" customWidth="1"/>
    <col min="15131" max="15132" width="0.84375" style="115" customWidth="1"/>
    <col min="15133" max="15133" width="9.84375" style="115" customWidth="1"/>
    <col min="15134" max="15134" width="1.07421875" style="115" customWidth="1"/>
    <col min="15135" max="15135" width="8.53515625" style="115" customWidth="1"/>
    <col min="15136" max="15136" width="14.53515625" style="115" customWidth="1"/>
    <col min="15137" max="15137" width="10" style="115" customWidth="1"/>
    <col min="15138" max="15138" width="7.84375" style="115" bestFit="1" customWidth="1"/>
    <col min="15139" max="15139" width="9.84375" style="115" customWidth="1"/>
    <col min="15140" max="15356" width="8.84375" style="115"/>
    <col min="15357" max="15357" width="38.4609375" style="115" customWidth="1"/>
    <col min="15358" max="15358" width="8.53515625" style="115" customWidth="1"/>
    <col min="15359" max="15359" width="1.07421875" style="115" customWidth="1"/>
    <col min="15360" max="15360" width="8.84375" style="115" customWidth="1"/>
    <col min="15361" max="15361" width="1.07421875" style="115" customWidth="1"/>
    <col min="15362" max="15362" width="9.07421875" style="115" customWidth="1"/>
    <col min="15363" max="15363" width="1.07421875" style="115" customWidth="1"/>
    <col min="15364" max="15364" width="10" style="115" customWidth="1"/>
    <col min="15365" max="15365" width="1.07421875" style="115" customWidth="1"/>
    <col min="15366" max="15366" width="9.07421875" style="115" customWidth="1"/>
    <col min="15367" max="15367" width="1.07421875" style="115" customWidth="1"/>
    <col min="15368" max="15368" width="11.07421875" style="115" customWidth="1"/>
    <col min="15369" max="15369" width="1.07421875" style="115" customWidth="1"/>
    <col min="15370" max="15370" width="9.07421875" style="115" customWidth="1"/>
    <col min="15371" max="15371" width="1.84375" style="115" customWidth="1"/>
    <col min="15372" max="15372" width="11" style="115" customWidth="1"/>
    <col min="15373" max="15373" width="1.07421875" style="115" customWidth="1"/>
    <col min="15374" max="15374" width="10.84375" style="115" customWidth="1"/>
    <col min="15375" max="15375" width="1.07421875" style="115" customWidth="1"/>
    <col min="15376" max="15376" width="10" style="115" customWidth="1"/>
    <col min="15377" max="15377" width="1.07421875" style="115" customWidth="1"/>
    <col min="15378" max="15378" width="9.07421875" style="115" customWidth="1"/>
    <col min="15379" max="15379" width="1.07421875" style="115" customWidth="1"/>
    <col min="15380" max="15380" width="7.84375" style="115" customWidth="1"/>
    <col min="15381" max="15381" width="1.07421875" style="115" customWidth="1"/>
    <col min="15382" max="15382" width="0.84375" style="115" customWidth="1"/>
    <col min="15383" max="15383" width="9.07421875" style="115" customWidth="1"/>
    <col min="15384" max="15384" width="1.07421875" style="115" customWidth="1"/>
    <col min="15385" max="15385" width="0.84375" style="115" customWidth="1"/>
    <col min="15386" max="15386" width="9.53515625" style="115" bestFit="1" customWidth="1"/>
    <col min="15387" max="15388" width="0.84375" style="115" customWidth="1"/>
    <col min="15389" max="15389" width="9.84375" style="115" customWidth="1"/>
    <col min="15390" max="15390" width="1.07421875" style="115" customWidth="1"/>
    <col min="15391" max="15391" width="8.53515625" style="115" customWidth="1"/>
    <col min="15392" max="15392" width="14.53515625" style="115" customWidth="1"/>
    <col min="15393" max="15393" width="10" style="115" customWidth="1"/>
    <col min="15394" max="15394" width="7.84375" style="115" bestFit="1" customWidth="1"/>
    <col min="15395" max="15395" width="9.84375" style="115" customWidth="1"/>
    <col min="15396" max="15612" width="8.84375" style="115"/>
    <col min="15613" max="15613" width="38.4609375" style="115" customWidth="1"/>
    <col min="15614" max="15614" width="8.53515625" style="115" customWidth="1"/>
    <col min="15615" max="15615" width="1.07421875" style="115" customWidth="1"/>
    <col min="15616" max="15616" width="8.84375" style="115" customWidth="1"/>
    <col min="15617" max="15617" width="1.07421875" style="115" customWidth="1"/>
    <col min="15618" max="15618" width="9.07421875" style="115" customWidth="1"/>
    <col min="15619" max="15619" width="1.07421875" style="115" customWidth="1"/>
    <col min="15620" max="15620" width="10" style="115" customWidth="1"/>
    <col min="15621" max="15621" width="1.07421875" style="115" customWidth="1"/>
    <col min="15622" max="15622" width="9.07421875" style="115" customWidth="1"/>
    <col min="15623" max="15623" width="1.07421875" style="115" customWidth="1"/>
    <col min="15624" max="15624" width="11.07421875" style="115" customWidth="1"/>
    <col min="15625" max="15625" width="1.07421875" style="115" customWidth="1"/>
    <col min="15626" max="15626" width="9.07421875" style="115" customWidth="1"/>
    <col min="15627" max="15627" width="1.84375" style="115" customWidth="1"/>
    <col min="15628" max="15628" width="11" style="115" customWidth="1"/>
    <col min="15629" max="15629" width="1.07421875" style="115" customWidth="1"/>
    <col min="15630" max="15630" width="10.84375" style="115" customWidth="1"/>
    <col min="15631" max="15631" width="1.07421875" style="115" customWidth="1"/>
    <col min="15632" max="15632" width="10" style="115" customWidth="1"/>
    <col min="15633" max="15633" width="1.07421875" style="115" customWidth="1"/>
    <col min="15634" max="15634" width="9.07421875" style="115" customWidth="1"/>
    <col min="15635" max="15635" width="1.07421875" style="115" customWidth="1"/>
    <col min="15636" max="15636" width="7.84375" style="115" customWidth="1"/>
    <col min="15637" max="15637" width="1.07421875" style="115" customWidth="1"/>
    <col min="15638" max="15638" width="0.84375" style="115" customWidth="1"/>
    <col min="15639" max="15639" width="9.07421875" style="115" customWidth="1"/>
    <col min="15640" max="15640" width="1.07421875" style="115" customWidth="1"/>
    <col min="15641" max="15641" width="0.84375" style="115" customWidth="1"/>
    <col min="15642" max="15642" width="9.53515625" style="115" bestFit="1" customWidth="1"/>
    <col min="15643" max="15644" width="0.84375" style="115" customWidth="1"/>
    <col min="15645" max="15645" width="9.84375" style="115" customWidth="1"/>
    <col min="15646" max="15646" width="1.07421875" style="115" customWidth="1"/>
    <col min="15647" max="15647" width="8.53515625" style="115" customWidth="1"/>
    <col min="15648" max="15648" width="14.53515625" style="115" customWidth="1"/>
    <col min="15649" max="15649" width="10" style="115" customWidth="1"/>
    <col min="15650" max="15650" width="7.84375" style="115" bestFit="1" customWidth="1"/>
    <col min="15651" max="15651" width="9.84375" style="115" customWidth="1"/>
    <col min="15652" max="15868" width="8.84375" style="115"/>
    <col min="15869" max="15869" width="38.4609375" style="115" customWidth="1"/>
    <col min="15870" max="15870" width="8.53515625" style="115" customWidth="1"/>
    <col min="15871" max="15871" width="1.07421875" style="115" customWidth="1"/>
    <col min="15872" max="15872" width="8.84375" style="115" customWidth="1"/>
    <col min="15873" max="15873" width="1.07421875" style="115" customWidth="1"/>
    <col min="15874" max="15874" width="9.07421875" style="115" customWidth="1"/>
    <col min="15875" max="15875" width="1.07421875" style="115" customWidth="1"/>
    <col min="15876" max="15876" width="10" style="115" customWidth="1"/>
    <col min="15877" max="15877" width="1.07421875" style="115" customWidth="1"/>
    <col min="15878" max="15878" width="9.07421875" style="115" customWidth="1"/>
    <col min="15879" max="15879" width="1.07421875" style="115" customWidth="1"/>
    <col min="15880" max="15880" width="11.07421875" style="115" customWidth="1"/>
    <col min="15881" max="15881" width="1.07421875" style="115" customWidth="1"/>
    <col min="15882" max="15882" width="9.07421875" style="115" customWidth="1"/>
    <col min="15883" max="15883" width="1.84375" style="115" customWidth="1"/>
    <col min="15884" max="15884" width="11" style="115" customWidth="1"/>
    <col min="15885" max="15885" width="1.07421875" style="115" customWidth="1"/>
    <col min="15886" max="15886" width="10.84375" style="115" customWidth="1"/>
    <col min="15887" max="15887" width="1.07421875" style="115" customWidth="1"/>
    <col min="15888" max="15888" width="10" style="115" customWidth="1"/>
    <col min="15889" max="15889" width="1.07421875" style="115" customWidth="1"/>
    <col min="15890" max="15890" width="9.07421875" style="115" customWidth="1"/>
    <col min="15891" max="15891" width="1.07421875" style="115" customWidth="1"/>
    <col min="15892" max="15892" width="7.84375" style="115" customWidth="1"/>
    <col min="15893" max="15893" width="1.07421875" style="115" customWidth="1"/>
    <col min="15894" max="15894" width="0.84375" style="115" customWidth="1"/>
    <col min="15895" max="15895" width="9.07421875" style="115" customWidth="1"/>
    <col min="15896" max="15896" width="1.07421875" style="115" customWidth="1"/>
    <col min="15897" max="15897" width="0.84375" style="115" customWidth="1"/>
    <col min="15898" max="15898" width="9.53515625" style="115" bestFit="1" customWidth="1"/>
    <col min="15899" max="15900" width="0.84375" style="115" customWidth="1"/>
    <col min="15901" max="15901" width="9.84375" style="115" customWidth="1"/>
    <col min="15902" max="15902" width="1.07421875" style="115" customWidth="1"/>
    <col min="15903" max="15903" width="8.53515625" style="115" customWidth="1"/>
    <col min="15904" max="15904" width="14.53515625" style="115" customWidth="1"/>
    <col min="15905" max="15905" width="10" style="115" customWidth="1"/>
    <col min="15906" max="15906" width="7.84375" style="115" bestFit="1" customWidth="1"/>
    <col min="15907" max="15907" width="9.84375" style="115" customWidth="1"/>
    <col min="15908" max="16124" width="8.84375" style="115"/>
    <col min="16125" max="16125" width="38.4609375" style="115" customWidth="1"/>
    <col min="16126" max="16126" width="8.53515625" style="115" customWidth="1"/>
    <col min="16127" max="16127" width="1.07421875" style="115" customWidth="1"/>
    <col min="16128" max="16128" width="8.84375" style="115" customWidth="1"/>
    <col min="16129" max="16129" width="1.07421875" style="115" customWidth="1"/>
    <col min="16130" max="16130" width="9.07421875" style="115" customWidth="1"/>
    <col min="16131" max="16131" width="1.07421875" style="115" customWidth="1"/>
    <col min="16132" max="16132" width="10" style="115" customWidth="1"/>
    <col min="16133" max="16133" width="1.07421875" style="115" customWidth="1"/>
    <col min="16134" max="16134" width="9.07421875" style="115" customWidth="1"/>
    <col min="16135" max="16135" width="1.07421875" style="115" customWidth="1"/>
    <col min="16136" max="16136" width="11.07421875" style="115" customWidth="1"/>
    <col min="16137" max="16137" width="1.07421875" style="115" customWidth="1"/>
    <col min="16138" max="16138" width="9.07421875" style="115" customWidth="1"/>
    <col min="16139" max="16139" width="1.84375" style="115" customWidth="1"/>
    <col min="16140" max="16140" width="11" style="115" customWidth="1"/>
    <col min="16141" max="16141" width="1.07421875" style="115" customWidth="1"/>
    <col min="16142" max="16142" width="10.84375" style="115" customWidth="1"/>
    <col min="16143" max="16143" width="1.07421875" style="115" customWidth="1"/>
    <col min="16144" max="16144" width="10" style="115" customWidth="1"/>
    <col min="16145" max="16145" width="1.07421875" style="115" customWidth="1"/>
    <col min="16146" max="16146" width="9.07421875" style="115" customWidth="1"/>
    <col min="16147" max="16147" width="1.07421875" style="115" customWidth="1"/>
    <col min="16148" max="16148" width="7.84375" style="115" customWidth="1"/>
    <col min="16149" max="16149" width="1.07421875" style="115" customWidth="1"/>
    <col min="16150" max="16150" width="0.84375" style="115" customWidth="1"/>
    <col min="16151" max="16151" width="9.07421875" style="115" customWidth="1"/>
    <col min="16152" max="16152" width="1.07421875" style="115" customWidth="1"/>
    <col min="16153" max="16153" width="0.84375" style="115" customWidth="1"/>
    <col min="16154" max="16154" width="9.53515625" style="115" bestFit="1" customWidth="1"/>
    <col min="16155" max="16156" width="0.84375" style="115" customWidth="1"/>
    <col min="16157" max="16157" width="9.84375" style="115" customWidth="1"/>
    <col min="16158" max="16158" width="1.07421875" style="115" customWidth="1"/>
    <col min="16159" max="16159" width="8.53515625" style="115" customWidth="1"/>
    <col min="16160" max="16160" width="14.53515625" style="115" customWidth="1"/>
    <col min="16161" max="16161" width="10" style="115" customWidth="1"/>
    <col min="16162" max="16162" width="7.84375" style="115" bestFit="1" customWidth="1"/>
    <col min="16163" max="16163" width="9.84375" style="115" customWidth="1"/>
    <col min="16164" max="16384" width="8.84375" style="115"/>
  </cols>
  <sheetData>
    <row r="1" spans="1:36" ht="15.5">
      <c r="A1" s="345" t="s">
        <v>98</v>
      </c>
    </row>
    <row r="2" spans="1:36" ht="10.5" customHeight="1"/>
    <row r="3" spans="1:36" ht="18">
      <c r="A3" s="975" t="s">
        <v>99</v>
      </c>
      <c r="AI3" s="976" t="s">
        <v>571</v>
      </c>
    </row>
    <row r="4" spans="1:36" ht="18">
      <c r="A4" s="116" t="s">
        <v>572</v>
      </c>
    </row>
    <row r="5" spans="1:36" ht="18">
      <c r="A5" s="116" t="s">
        <v>474</v>
      </c>
      <c r="AB5" s="2230"/>
      <c r="AC5" s="2231"/>
      <c r="AD5" s="2231"/>
      <c r="AE5" s="2011"/>
      <c r="AF5" s="2011"/>
      <c r="AG5" s="2011"/>
      <c r="AH5" s="2011"/>
      <c r="AI5" s="2011"/>
      <c r="AJ5" s="977"/>
    </row>
    <row r="6" spans="1:36" ht="18">
      <c r="A6" s="975" t="str">
        <f>'Cashflow Governmental'!A6</f>
        <v>FISCAL YEAR 2023-2024</v>
      </c>
    </row>
    <row r="7" spans="1:36" ht="18">
      <c r="A7" s="116" t="s">
        <v>103</v>
      </c>
    </row>
    <row r="8" spans="1:36" ht="15.5">
      <c r="AA8" s="2232" t="s">
        <v>1590</v>
      </c>
      <c r="AB8" s="2233"/>
      <c r="AC8" s="2233"/>
      <c r="AD8" s="2233"/>
      <c r="AE8" s="2233"/>
      <c r="AF8" s="2233"/>
      <c r="AG8" s="2233"/>
      <c r="AH8" s="2233"/>
      <c r="AI8" s="2233"/>
    </row>
    <row r="9" spans="1:36" ht="15.5">
      <c r="B9" s="978" t="str">
        <f>'Cashflow Governmental'!C13</f>
        <v>2023</v>
      </c>
      <c r="C9" s="118"/>
      <c r="D9" s="118"/>
      <c r="E9" s="118"/>
      <c r="F9" s="1740"/>
      <c r="G9" s="118"/>
      <c r="H9" s="118"/>
      <c r="I9" s="118"/>
      <c r="J9" s="118"/>
      <c r="K9" s="118"/>
      <c r="L9" s="118"/>
      <c r="M9" s="118"/>
      <c r="N9" s="118"/>
      <c r="O9" s="118"/>
      <c r="P9" s="118"/>
      <c r="Q9" s="118"/>
      <c r="R9" s="118"/>
      <c r="S9" s="118"/>
      <c r="T9" s="978">
        <f>'Cashflow Governmental'!U13</f>
        <v>2024</v>
      </c>
      <c r="U9" s="118"/>
      <c r="V9" s="118"/>
      <c r="W9" s="118"/>
      <c r="X9" s="978"/>
      <c r="Y9" s="118"/>
      <c r="Z9" s="118"/>
      <c r="AA9" s="118"/>
      <c r="AB9" s="118"/>
      <c r="AC9" s="118"/>
      <c r="AD9" s="118"/>
      <c r="AE9" s="118"/>
      <c r="AF9" s="118"/>
      <c r="AG9" s="979" t="s">
        <v>111</v>
      </c>
      <c r="AH9" s="980"/>
      <c r="AI9" s="981" t="s">
        <v>112</v>
      </c>
      <c r="AJ9" s="977"/>
    </row>
    <row r="10" spans="1:36" ht="15.5">
      <c r="B10" s="1552" t="s">
        <v>358</v>
      </c>
      <c r="C10" s="118"/>
      <c r="D10" s="1552" t="s">
        <v>359</v>
      </c>
      <c r="E10" s="978"/>
      <c r="F10" s="1553" t="s">
        <v>360</v>
      </c>
      <c r="G10" s="978"/>
      <c r="H10" s="1552" t="s">
        <v>361</v>
      </c>
      <c r="I10" s="978"/>
      <c r="J10" s="1552" t="s">
        <v>362</v>
      </c>
      <c r="K10" s="978"/>
      <c r="L10" s="2012" t="s">
        <v>475</v>
      </c>
      <c r="M10" s="978"/>
      <c r="N10" s="1552" t="s">
        <v>476</v>
      </c>
      <c r="O10" s="978"/>
      <c r="P10" s="1552" t="s">
        <v>365</v>
      </c>
      <c r="Q10" s="978"/>
      <c r="R10" s="1552" t="s">
        <v>366</v>
      </c>
      <c r="S10" s="118"/>
      <c r="T10" s="1552" t="s">
        <v>367</v>
      </c>
      <c r="U10" s="978"/>
      <c r="V10" s="1552" t="s">
        <v>368</v>
      </c>
      <c r="W10" s="978"/>
      <c r="X10" s="1552" t="s">
        <v>477</v>
      </c>
      <c r="Y10" s="978"/>
      <c r="Z10" s="978"/>
      <c r="AA10" s="1552">
        <f>'Cashflow Governmental'!AB14</f>
        <v>2023</v>
      </c>
      <c r="AB10" s="978"/>
      <c r="AC10" s="978"/>
      <c r="AD10" s="1552">
        <f>'Cashflow Governmental'!AE14</f>
        <v>2022</v>
      </c>
      <c r="AE10" s="978"/>
      <c r="AF10" s="978"/>
      <c r="AG10" s="1553" t="s">
        <v>113</v>
      </c>
      <c r="AH10" s="980"/>
      <c r="AI10" s="1553" t="s">
        <v>114</v>
      </c>
      <c r="AJ10" s="977"/>
    </row>
    <row r="11" spans="1:36" ht="3" customHeight="1">
      <c r="B11" s="1235"/>
      <c r="C11" s="991"/>
      <c r="D11" s="1235"/>
      <c r="E11" s="1235"/>
      <c r="F11" s="1554"/>
      <c r="G11" s="1235"/>
      <c r="H11" s="1235"/>
      <c r="I11" s="1235"/>
      <c r="J11" s="1235"/>
      <c r="K11" s="1235"/>
      <c r="L11" s="1555"/>
      <c r="M11" s="1235"/>
      <c r="N11" s="1235"/>
      <c r="O11" s="1235"/>
      <c r="P11" s="1235"/>
      <c r="Q11" s="1235"/>
      <c r="R11" s="1235"/>
      <c r="S11" s="991"/>
      <c r="T11" s="1556"/>
      <c r="U11" s="1235"/>
      <c r="V11" s="1235"/>
      <c r="W11" s="1235"/>
      <c r="X11" s="1235"/>
      <c r="Y11" s="1235"/>
      <c r="Z11" s="1235"/>
      <c r="AA11" s="1235"/>
      <c r="AB11" s="1235"/>
      <c r="AC11" s="1235"/>
      <c r="AD11" s="1235"/>
      <c r="AE11" s="1235"/>
      <c r="AF11" s="1557"/>
      <c r="AG11" s="1235"/>
      <c r="AH11" s="991"/>
      <c r="AI11" s="991"/>
    </row>
    <row r="12" spans="1:36" ht="15.5">
      <c r="A12" s="982" t="s">
        <v>573</v>
      </c>
      <c r="B12" s="117">
        <v>159.4</v>
      </c>
      <c r="C12" s="117"/>
      <c r="D12" s="983">
        <f>B77</f>
        <v>210.2</v>
      </c>
      <c r="E12" s="983"/>
      <c r="F12" s="983">
        <f t="shared" ref="F12:P12" si="0">D77</f>
        <v>191.2</v>
      </c>
      <c r="G12" s="117"/>
      <c r="H12" s="983">
        <f t="shared" si="0"/>
        <v>256.10000000000002</v>
      </c>
      <c r="I12" s="117"/>
      <c r="J12" s="983">
        <f t="shared" si="0"/>
        <v>484.2</v>
      </c>
      <c r="K12" s="117"/>
      <c r="L12" s="983">
        <f t="shared" si="0"/>
        <v>1062.4000000000001</v>
      </c>
      <c r="M12" s="117"/>
      <c r="N12" s="983">
        <f t="shared" si="0"/>
        <v>193.2</v>
      </c>
      <c r="O12" s="117"/>
      <c r="P12" s="983">
        <f t="shared" si="0"/>
        <v>278.60000000000002</v>
      </c>
      <c r="Q12" s="983"/>
      <c r="R12" s="983"/>
      <c r="S12" s="983"/>
      <c r="T12" s="983"/>
      <c r="U12" s="983"/>
      <c r="V12" s="983"/>
      <c r="W12" s="983"/>
      <c r="X12" s="983"/>
      <c r="Y12" s="2050"/>
      <c r="Z12" s="117"/>
      <c r="AA12" s="117">
        <f>B12</f>
        <v>159.4</v>
      </c>
      <c r="AB12" s="2050"/>
      <c r="AC12" s="117"/>
      <c r="AD12" s="1202">
        <v>102</v>
      </c>
      <c r="AE12" s="984"/>
      <c r="AF12" s="985"/>
      <c r="AG12" s="117">
        <f>ROUND(SUM(AA12-AD12),1)</f>
        <v>57.4</v>
      </c>
      <c r="AH12" s="118"/>
      <c r="AI12" s="986">
        <f>ROUND(SUM(AG12/AD12),3)</f>
        <v>0.56299999999999994</v>
      </c>
      <c r="AJ12" s="977"/>
    </row>
    <row r="13" spans="1:36" ht="12.75" customHeight="1">
      <c r="A13" s="991"/>
      <c r="B13" s="991"/>
      <c r="C13" s="991"/>
      <c r="D13" s="991"/>
      <c r="E13" s="991"/>
      <c r="F13" s="1234"/>
      <c r="G13" s="991"/>
      <c r="H13" s="1234"/>
      <c r="I13" s="991"/>
      <c r="J13" s="991"/>
      <c r="K13" s="991"/>
      <c r="L13" s="991"/>
      <c r="M13" s="991"/>
      <c r="N13" s="991"/>
      <c r="O13" s="991"/>
      <c r="P13" s="991"/>
      <c r="Q13" s="991"/>
      <c r="R13" s="991"/>
      <c r="S13" s="991"/>
      <c r="T13" s="991"/>
      <c r="U13" s="991"/>
      <c r="V13" s="991"/>
      <c r="W13" s="991"/>
      <c r="X13" s="991"/>
      <c r="Y13" s="2051"/>
      <c r="Z13" s="991"/>
      <c r="AA13" s="1234"/>
      <c r="AB13" s="2052"/>
      <c r="AC13" s="1234"/>
      <c r="AD13" s="689"/>
      <c r="AE13" s="1235"/>
      <c r="AF13" s="1236"/>
      <c r="AG13" s="1234"/>
      <c r="AH13" s="991"/>
      <c r="AI13" s="991"/>
    </row>
    <row r="14" spans="1:36" ht="14.25" customHeight="1">
      <c r="A14" s="118" t="s">
        <v>115</v>
      </c>
      <c r="B14" s="991"/>
      <c r="C14" s="991"/>
      <c r="D14" s="991"/>
      <c r="E14" s="991"/>
      <c r="F14" s="1234"/>
      <c r="G14" s="991"/>
      <c r="H14" s="1234"/>
      <c r="I14" s="991"/>
      <c r="J14" s="991"/>
      <c r="K14" s="991"/>
      <c r="L14" s="991"/>
      <c r="M14" s="991"/>
      <c r="N14" s="991"/>
      <c r="O14" s="991"/>
      <c r="P14" s="991"/>
      <c r="Q14" s="991"/>
      <c r="R14" s="991"/>
      <c r="S14" s="991"/>
      <c r="T14" s="991"/>
      <c r="U14" s="991"/>
      <c r="V14" s="991"/>
      <c r="W14" s="991"/>
      <c r="X14" s="991"/>
      <c r="Y14" s="2051"/>
      <c r="Z14" s="991"/>
      <c r="AA14" s="1234"/>
      <c r="AB14" s="2052"/>
      <c r="AC14" s="1234"/>
      <c r="AD14" s="689"/>
      <c r="AE14" s="1235"/>
      <c r="AF14" s="1236"/>
      <c r="AG14" s="1234"/>
      <c r="AH14" s="991"/>
      <c r="AI14" s="991"/>
    </row>
    <row r="15" spans="1:36" ht="14.25" customHeight="1">
      <c r="A15" s="2006" t="s">
        <v>371</v>
      </c>
      <c r="B15" s="79"/>
      <c r="C15" s="79"/>
      <c r="D15" s="79"/>
      <c r="E15" s="243"/>
      <c r="F15" s="79"/>
      <c r="G15" s="243"/>
      <c r="H15" s="79"/>
      <c r="I15" s="991"/>
      <c r="J15" s="991"/>
      <c r="K15" s="991"/>
      <c r="L15" s="991"/>
      <c r="M15" s="991"/>
      <c r="N15" s="991"/>
      <c r="O15" s="991"/>
      <c r="P15" s="991"/>
      <c r="Q15" s="991"/>
      <c r="R15" s="991"/>
      <c r="S15" s="991"/>
      <c r="T15" s="991"/>
      <c r="U15" s="991"/>
      <c r="V15" s="991"/>
      <c r="W15" s="991"/>
      <c r="X15" s="991"/>
      <c r="Y15" s="2051"/>
      <c r="Z15" s="991"/>
      <c r="AA15" s="1234"/>
      <c r="AB15" s="2052"/>
      <c r="AC15" s="1234"/>
      <c r="AD15" s="79"/>
      <c r="AE15" s="1235"/>
      <c r="AF15" s="1236"/>
      <c r="AG15" s="1234"/>
      <c r="AH15" s="991"/>
      <c r="AI15" s="991"/>
    </row>
    <row r="16" spans="1:36" ht="14.25" customHeight="1">
      <c r="A16" s="525" t="s">
        <v>510</v>
      </c>
      <c r="B16" s="659">
        <v>3727.2</v>
      </c>
      <c r="C16" s="635"/>
      <c r="D16" s="659">
        <v>1044.3000000000002</v>
      </c>
      <c r="E16" s="635"/>
      <c r="F16" s="659">
        <v>2497.3000000000002</v>
      </c>
      <c r="G16" s="635"/>
      <c r="H16" s="635">
        <v>1712.9999999999991</v>
      </c>
      <c r="I16" s="689"/>
      <c r="J16" s="635">
        <v>1850.1000000000004</v>
      </c>
      <c r="K16" s="689"/>
      <c r="L16" s="635">
        <v>2158.6000000000004</v>
      </c>
      <c r="M16" s="689"/>
      <c r="N16" s="635">
        <v>1142.2999999999993</v>
      </c>
      <c r="O16" s="689"/>
      <c r="P16" s="635">
        <f>$AA16-$B16-$D16-$F16-$H16-$J16-$L16-$N16</f>
        <v>1685.4000000000024</v>
      </c>
      <c r="Q16" s="635"/>
      <c r="R16" s="635"/>
      <c r="S16" s="635"/>
      <c r="T16" s="635"/>
      <c r="U16" s="635"/>
      <c r="V16" s="635"/>
      <c r="W16" s="635"/>
      <c r="X16" s="635"/>
      <c r="Y16" s="2051"/>
      <c r="Z16" s="991"/>
      <c r="AA16" s="659">
        <v>15818.2</v>
      </c>
      <c r="AB16" s="2052"/>
      <c r="AC16" s="1234"/>
      <c r="AD16" s="659">
        <v>18918.599999999999</v>
      </c>
      <c r="AE16" s="1235"/>
      <c r="AF16" s="1236"/>
      <c r="AG16" s="1316">
        <f>ROUND(SUM(AA16-AD16),1)</f>
        <v>-3100.4</v>
      </c>
      <c r="AH16" s="991"/>
      <c r="AI16" s="327">
        <f>ROUND(IF(AD16=0,0,AG16/ABS(AD16)),3)</f>
        <v>-0.16400000000000001</v>
      </c>
    </row>
    <row r="17" spans="1:35" ht="6" customHeight="1">
      <c r="A17" s="525"/>
      <c r="B17" s="635"/>
      <c r="C17" s="659"/>
      <c r="D17" s="635"/>
      <c r="E17" s="659"/>
      <c r="F17" s="635"/>
      <c r="G17" s="353"/>
      <c r="H17" s="635"/>
      <c r="I17" s="991"/>
      <c r="J17" s="635"/>
      <c r="K17" s="991"/>
      <c r="L17" s="635"/>
      <c r="M17" s="991"/>
      <c r="N17" s="635"/>
      <c r="O17" s="991"/>
      <c r="P17" s="635"/>
      <c r="Q17" s="991"/>
      <c r="R17" s="635"/>
      <c r="S17" s="991"/>
      <c r="T17" s="635"/>
      <c r="U17" s="991"/>
      <c r="V17" s="635"/>
      <c r="W17" s="991"/>
      <c r="X17" s="635"/>
      <c r="Y17" s="2051"/>
      <c r="Z17" s="991"/>
      <c r="AA17" s="635"/>
      <c r="AB17" s="2052"/>
      <c r="AC17" s="1234"/>
      <c r="AD17" s="635"/>
      <c r="AE17" s="1235"/>
      <c r="AF17" s="1236"/>
      <c r="AG17" s="1316"/>
      <c r="AH17" s="991"/>
      <c r="AI17" s="327"/>
    </row>
    <row r="18" spans="1:35" ht="14.25" customHeight="1">
      <c r="A18" s="525" t="s">
        <v>383</v>
      </c>
      <c r="B18" s="16"/>
      <c r="C18" s="325"/>
      <c r="D18" s="635"/>
      <c r="E18" s="325"/>
      <c r="F18" s="635"/>
      <c r="G18" s="325"/>
      <c r="H18" s="635"/>
      <c r="I18" s="991"/>
      <c r="J18" s="635"/>
      <c r="K18" s="991"/>
      <c r="L18" s="635"/>
      <c r="M18" s="991"/>
      <c r="N18" s="635"/>
      <c r="O18" s="991"/>
      <c r="P18" s="635"/>
      <c r="Q18" s="991"/>
      <c r="R18" s="635"/>
      <c r="S18" s="991"/>
      <c r="T18" s="635"/>
      <c r="U18" s="991"/>
      <c r="V18" s="635"/>
      <c r="W18" s="991"/>
      <c r="X18" s="635"/>
      <c r="Y18" s="2051"/>
      <c r="Z18" s="991"/>
      <c r="AA18" s="16"/>
      <c r="AB18" s="2052"/>
      <c r="AC18" s="1234"/>
      <c r="AD18" s="16"/>
      <c r="AE18" s="1235"/>
      <c r="AF18" s="1236"/>
      <c r="AG18" s="1234"/>
      <c r="AH18" s="991"/>
      <c r="AI18" s="991"/>
    </row>
    <row r="19" spans="1:35" ht="14.25" customHeight="1">
      <c r="A19" s="345" t="s">
        <v>384</v>
      </c>
      <c r="B19" s="659">
        <v>677.8</v>
      </c>
      <c r="C19" s="659"/>
      <c r="D19" s="659">
        <v>687.10000000000014</v>
      </c>
      <c r="E19" s="659"/>
      <c r="F19" s="659">
        <v>919.5</v>
      </c>
      <c r="G19" s="325"/>
      <c r="H19" s="635">
        <v>739.39999999999986</v>
      </c>
      <c r="I19" s="689"/>
      <c r="J19" s="635">
        <v>718.89999999999941</v>
      </c>
      <c r="K19" s="689"/>
      <c r="L19" s="635">
        <v>917.19999999999982</v>
      </c>
      <c r="M19" s="689"/>
      <c r="N19" s="635">
        <v>721.50000000000023</v>
      </c>
      <c r="O19" s="689"/>
      <c r="P19" s="635">
        <f>$AA19-$B19-$D19-$F19-$H19-$J19-$L19-$N19</f>
        <v>726.99999999999977</v>
      </c>
      <c r="Q19" s="689"/>
      <c r="R19" s="635"/>
      <c r="S19" s="689"/>
      <c r="T19" s="635"/>
      <c r="U19" s="689"/>
      <c r="V19" s="635"/>
      <c r="W19" s="689"/>
      <c r="X19" s="635"/>
      <c r="Y19" s="2051"/>
      <c r="Z19" s="991"/>
      <c r="AA19" s="659">
        <v>6108.4</v>
      </c>
      <c r="AB19" s="2052"/>
      <c r="AC19" s="1234"/>
      <c r="AD19" s="659">
        <v>7979.4</v>
      </c>
      <c r="AE19" s="1235"/>
      <c r="AF19" s="1236"/>
      <c r="AG19" s="1316">
        <f>ROUND(SUM(AA19-AD19),1)</f>
        <v>-1871</v>
      </c>
      <c r="AH19" s="991"/>
      <c r="AI19" s="327">
        <f>ROUND(IF(AD19=0,0,AG19/ABS(AD19)),3)</f>
        <v>-0.23400000000000001</v>
      </c>
    </row>
    <row r="20" spans="1:35" ht="14.25" customHeight="1">
      <c r="A20" s="118" t="s">
        <v>394</v>
      </c>
      <c r="B20" s="100">
        <f>ROUND(SUM(B19:B19),1)</f>
        <v>677.8</v>
      </c>
      <c r="C20" s="16"/>
      <c r="D20" s="100">
        <f>ROUND(SUM(D19:D19),1)</f>
        <v>687.1</v>
      </c>
      <c r="E20" s="16"/>
      <c r="F20" s="100">
        <f>ROUND(SUM(F19:F19),1)</f>
        <v>919.5</v>
      </c>
      <c r="G20" s="16"/>
      <c r="H20" s="100">
        <f>ROUND(SUM(H19:H19),1)</f>
        <v>739.4</v>
      </c>
      <c r="I20" s="991"/>
      <c r="J20" s="100">
        <f>ROUND(SUM(J19:J19),1)</f>
        <v>718.9</v>
      </c>
      <c r="K20" s="991"/>
      <c r="L20" s="100">
        <f>ROUND(SUM(L19:L19),1)</f>
        <v>917.2</v>
      </c>
      <c r="M20" s="991"/>
      <c r="N20" s="100">
        <f>ROUND(SUM(N19:N19),1)</f>
        <v>721.5</v>
      </c>
      <c r="O20" s="991"/>
      <c r="P20" s="100">
        <f>ROUND(SUM(P19:P19),1)</f>
        <v>727</v>
      </c>
      <c r="Q20" s="16"/>
      <c r="R20" s="100">
        <f>ROUND(SUM(R19:R19),1)</f>
        <v>0</v>
      </c>
      <c r="S20" s="991"/>
      <c r="T20" s="100">
        <f>ROUND(SUM(T19:T19),1)</f>
        <v>0</v>
      </c>
      <c r="U20" s="991"/>
      <c r="V20" s="100">
        <f>ROUND(SUM(V19:V19),1)</f>
        <v>0</v>
      </c>
      <c r="W20" s="991"/>
      <c r="X20" s="100">
        <f>ROUND(SUM(X19:X19),1)</f>
        <v>0</v>
      </c>
      <c r="Y20" s="2051"/>
      <c r="Z20" s="991"/>
      <c r="AA20" s="100">
        <f>ROUND(SUM(AA19:AA19),1)</f>
        <v>6108.4</v>
      </c>
      <c r="AB20" s="2052"/>
      <c r="AC20" s="1234"/>
      <c r="AD20" s="100">
        <f>ROUND(SUM(AD19:AD19),1)</f>
        <v>7979.4</v>
      </c>
      <c r="AE20" s="1235"/>
      <c r="AF20" s="1236"/>
      <c r="AG20" s="1682">
        <f>ROUND(SUM(AA20-AD20),1)</f>
        <v>-1871</v>
      </c>
      <c r="AH20" s="118"/>
      <c r="AI20" s="665">
        <f>ROUND(IF(AD20=0,0,AG20/ABS(AD20)),3)</f>
        <v>-0.23400000000000001</v>
      </c>
    </row>
    <row r="21" spans="1:35" ht="14.25" customHeight="1">
      <c r="A21" s="525" t="s">
        <v>395</v>
      </c>
      <c r="B21" s="16"/>
      <c r="C21" s="16"/>
      <c r="D21" s="16"/>
      <c r="E21" s="16"/>
      <c r="F21" s="16"/>
      <c r="G21" s="16"/>
      <c r="H21" s="16"/>
      <c r="I21" s="991"/>
      <c r="J21" s="16"/>
      <c r="K21" s="991"/>
      <c r="L21" s="16"/>
      <c r="M21" s="991"/>
      <c r="N21" s="16"/>
      <c r="O21" s="991"/>
      <c r="P21" s="16"/>
      <c r="Q21" s="991"/>
      <c r="R21" s="16"/>
      <c r="S21" s="991"/>
      <c r="T21" s="16"/>
      <c r="U21" s="991"/>
      <c r="V21" s="16"/>
      <c r="W21" s="991"/>
      <c r="X21" s="16"/>
      <c r="Y21" s="2051"/>
      <c r="Z21" s="991"/>
      <c r="AA21" s="16"/>
      <c r="AB21" s="2052"/>
      <c r="AC21" s="1234"/>
      <c r="AD21" s="16"/>
      <c r="AE21" s="1235"/>
      <c r="AF21" s="1236"/>
      <c r="AG21" s="526"/>
      <c r="AH21" s="118"/>
      <c r="AI21" s="342"/>
    </row>
    <row r="22" spans="1:35" ht="14.25" customHeight="1">
      <c r="A22" s="345" t="s">
        <v>400</v>
      </c>
      <c r="B22" s="659">
        <v>49.4</v>
      </c>
      <c r="C22" s="325"/>
      <c r="D22" s="659">
        <v>65.699999999999989</v>
      </c>
      <c r="E22" s="325"/>
      <c r="F22" s="659">
        <v>1269.0999999999999</v>
      </c>
      <c r="G22" s="325"/>
      <c r="H22" s="635">
        <v>18.5</v>
      </c>
      <c r="I22" s="991"/>
      <c r="J22" s="635">
        <v>68.399999999999864</v>
      </c>
      <c r="K22" s="991"/>
      <c r="L22" s="635">
        <v>1486.6000000000001</v>
      </c>
      <c r="M22" s="991"/>
      <c r="N22" s="635">
        <v>-550.5</v>
      </c>
      <c r="O22" s="991"/>
      <c r="P22" s="635">
        <f>$AA22-$B22-$D22-$F22-$H22-$J22-$L22-$N22</f>
        <v>24.600000000000364</v>
      </c>
      <c r="Q22" s="991"/>
      <c r="R22" s="635"/>
      <c r="S22" s="991"/>
      <c r="T22" s="635"/>
      <c r="U22" s="991"/>
      <c r="V22" s="635"/>
      <c r="W22" s="991"/>
      <c r="X22" s="635"/>
      <c r="Y22" s="2051"/>
      <c r="Z22" s="991"/>
      <c r="AA22" s="659">
        <v>2431.8000000000002</v>
      </c>
      <c r="AB22" s="2052"/>
      <c r="AC22" s="1234"/>
      <c r="AD22" s="659">
        <v>2843.8</v>
      </c>
      <c r="AE22" s="1235"/>
      <c r="AF22" s="1236"/>
      <c r="AG22" s="1316">
        <f>ROUND(SUM(AA22-AD22),1)</f>
        <v>-412</v>
      </c>
      <c r="AH22" s="991"/>
      <c r="AI22" s="327">
        <f>ROUND(IF(AD22=0,1,AG22/ABS(AD22)),3)</f>
        <v>-0.14499999999999999</v>
      </c>
    </row>
    <row r="23" spans="1:35" ht="14.25" customHeight="1">
      <c r="A23" s="118" t="s">
        <v>402</v>
      </c>
      <c r="B23" s="100">
        <f>ROUND(SUM(B22),1)</f>
        <v>49.4</v>
      </c>
      <c r="C23" s="16"/>
      <c r="D23" s="100">
        <f>ROUND(SUM(D22),1)</f>
        <v>65.7</v>
      </c>
      <c r="E23" s="16"/>
      <c r="F23" s="100">
        <f>ROUND(SUM(F22),1)</f>
        <v>1269.0999999999999</v>
      </c>
      <c r="G23" s="16"/>
      <c r="H23" s="100">
        <f>ROUND(SUM(H22),1)</f>
        <v>18.5</v>
      </c>
      <c r="I23" s="991"/>
      <c r="J23" s="100">
        <f>ROUND(SUM(J22),1)</f>
        <v>68.400000000000006</v>
      </c>
      <c r="K23" s="991"/>
      <c r="L23" s="100">
        <f>ROUND(SUM(L22),1)</f>
        <v>1486.6</v>
      </c>
      <c r="M23" s="991"/>
      <c r="N23" s="100">
        <f>ROUND(SUM(N22),1)</f>
        <v>-550.5</v>
      </c>
      <c r="O23" s="991"/>
      <c r="P23" s="100">
        <f>ROUND(SUM(P22),1)</f>
        <v>24.6</v>
      </c>
      <c r="Q23" s="16"/>
      <c r="R23" s="100">
        <f>ROUND(SUM(R22),1)</f>
        <v>0</v>
      </c>
      <c r="S23" s="991"/>
      <c r="T23" s="100">
        <f>ROUND(SUM(T22),1)</f>
        <v>0</v>
      </c>
      <c r="U23" s="991"/>
      <c r="V23" s="100">
        <f>ROUND(SUM(V22),1)</f>
        <v>0</v>
      </c>
      <c r="W23" s="991"/>
      <c r="X23" s="100">
        <f>ROUND(SUM(X22),1)</f>
        <v>0</v>
      </c>
      <c r="Y23" s="2051"/>
      <c r="Z23" s="991"/>
      <c r="AA23" s="100">
        <f>ROUND(SUM(AA22),1)</f>
        <v>2431.8000000000002</v>
      </c>
      <c r="AB23" s="2052"/>
      <c r="AC23" s="1234"/>
      <c r="AD23" s="100">
        <f>ROUND(SUM(AD22),1)</f>
        <v>2843.8</v>
      </c>
      <c r="AE23" s="1235"/>
      <c r="AF23" s="1236"/>
      <c r="AG23" s="1682">
        <f>ROUND(SUM(AA23-AD23),1)</f>
        <v>-412</v>
      </c>
      <c r="AH23" s="118"/>
      <c r="AI23" s="665">
        <f>ROUND(IF(AD23=0,1,AG23/ABS(AD23)),3)</f>
        <v>-0.14499999999999999</v>
      </c>
    </row>
    <row r="24" spans="1:35" ht="14.25" customHeight="1">
      <c r="A24" s="525" t="s">
        <v>403</v>
      </c>
      <c r="B24" s="16"/>
      <c r="C24" s="16"/>
      <c r="D24" s="16"/>
      <c r="E24" s="16"/>
      <c r="F24" s="16"/>
      <c r="G24" s="16"/>
      <c r="H24" s="16"/>
      <c r="I24" s="991"/>
      <c r="J24" s="16"/>
      <c r="K24" s="991"/>
      <c r="L24" s="16"/>
      <c r="M24" s="991"/>
      <c r="N24" s="16"/>
      <c r="O24" s="991"/>
      <c r="P24" s="16"/>
      <c r="Q24" s="991"/>
      <c r="R24" s="16"/>
      <c r="S24" s="991"/>
      <c r="T24" s="16"/>
      <c r="U24" s="991"/>
      <c r="V24" s="16"/>
      <c r="W24" s="991"/>
      <c r="X24" s="16"/>
      <c r="Y24" s="2051"/>
      <c r="Z24" s="991"/>
      <c r="AA24" s="16"/>
      <c r="AB24" s="2052"/>
      <c r="AC24" s="1234"/>
      <c r="AD24" s="16"/>
      <c r="AE24" s="1235"/>
      <c r="AF24" s="1236"/>
      <c r="AG24" s="1234"/>
      <c r="AH24" s="991"/>
      <c r="AI24" s="991"/>
    </row>
    <row r="25" spans="1:35" ht="14.25" customHeight="1">
      <c r="A25" s="345" t="s">
        <v>407</v>
      </c>
      <c r="B25" s="659">
        <v>83.4</v>
      </c>
      <c r="C25" s="659"/>
      <c r="D25" s="659">
        <v>86.1</v>
      </c>
      <c r="E25" s="659"/>
      <c r="F25" s="659">
        <v>83.300000000000011</v>
      </c>
      <c r="G25" s="16"/>
      <c r="H25" s="635">
        <v>76.199999999999989</v>
      </c>
      <c r="I25" s="689"/>
      <c r="J25" s="635">
        <v>88.9</v>
      </c>
      <c r="K25" s="689"/>
      <c r="L25" s="635">
        <v>90.1</v>
      </c>
      <c r="M25" s="689"/>
      <c r="N25" s="635">
        <v>79.600000000000023</v>
      </c>
      <c r="O25" s="689"/>
      <c r="P25" s="635">
        <f>$AA25-$B25-$D25-$F25-$H25-$J25-$L25-$N25</f>
        <v>71.600000000000023</v>
      </c>
      <c r="Q25" s="689"/>
      <c r="R25" s="635"/>
      <c r="S25" s="689"/>
      <c r="T25" s="635"/>
      <c r="U25" s="689"/>
      <c r="V25" s="635"/>
      <c r="W25" s="689"/>
      <c r="X25" s="635"/>
      <c r="Y25" s="2051"/>
      <c r="Z25" s="991"/>
      <c r="AA25" s="659">
        <v>659.2</v>
      </c>
      <c r="AB25" s="2052"/>
      <c r="AC25" s="1234"/>
      <c r="AD25" s="659">
        <v>957.7</v>
      </c>
      <c r="AE25" s="1235"/>
      <c r="AF25" s="1236"/>
      <c r="AG25" s="1316">
        <f>ROUND(SUM(AA25-AD25),1)</f>
        <v>-298.5</v>
      </c>
      <c r="AH25" s="991"/>
      <c r="AI25" s="327">
        <f>ROUND(IF(AD25=0,0,AG25/ABS(AD25)),3)</f>
        <v>-0.312</v>
      </c>
    </row>
    <row r="26" spans="1:35" ht="14.25" customHeight="1">
      <c r="A26" s="533" t="s">
        <v>409</v>
      </c>
      <c r="B26" s="659">
        <v>0.2</v>
      </c>
      <c r="C26" s="325"/>
      <c r="D26" s="659">
        <v>0.2</v>
      </c>
      <c r="E26" s="325"/>
      <c r="F26" s="659">
        <v>9.9999999999999978E-2</v>
      </c>
      <c r="G26" s="325"/>
      <c r="H26" s="635">
        <v>0.3000000000000001</v>
      </c>
      <c r="I26" s="991"/>
      <c r="J26" s="635">
        <v>0.3000000000000001</v>
      </c>
      <c r="K26" s="991"/>
      <c r="L26" s="635">
        <v>0.1999999999999999</v>
      </c>
      <c r="M26" s="991"/>
      <c r="N26" s="635">
        <v>0.40000000000000019</v>
      </c>
      <c r="O26" s="991"/>
      <c r="P26" s="635">
        <f>$AA26-$B26-$D26-$F26-$H26-$J26-$L26-$N26</f>
        <v>0.19999999999999968</v>
      </c>
      <c r="Q26" s="991"/>
      <c r="R26" s="635"/>
      <c r="S26" s="991"/>
      <c r="T26" s="635"/>
      <c r="U26" s="991"/>
      <c r="V26" s="635"/>
      <c r="W26" s="991"/>
      <c r="X26" s="635"/>
      <c r="Y26" s="2051"/>
      <c r="Z26" s="991"/>
      <c r="AA26" s="659">
        <v>1.9</v>
      </c>
      <c r="AB26" s="2052"/>
      <c r="AC26" s="1234"/>
      <c r="AD26" s="659">
        <v>1.5</v>
      </c>
      <c r="AE26" s="1235"/>
      <c r="AF26" s="1236"/>
      <c r="AG26" s="1316">
        <f>ROUND(SUM(AA26-AD26),1)</f>
        <v>0.4</v>
      </c>
      <c r="AH26" s="991"/>
      <c r="AI26" s="327">
        <f>ROUND(IF(AD26=0,1,AG26/ABS(AD26)),3)</f>
        <v>0.26700000000000002</v>
      </c>
    </row>
    <row r="27" spans="1:35" ht="14.25" customHeight="1">
      <c r="A27" s="118" t="s">
        <v>410</v>
      </c>
      <c r="B27" s="1683">
        <f>ROUND(SUM(B25:B26),1)</f>
        <v>83.6</v>
      </c>
      <c r="C27" s="16"/>
      <c r="D27" s="100">
        <f>ROUND(SUM(D25:D26),1)</f>
        <v>86.3</v>
      </c>
      <c r="E27" s="16"/>
      <c r="F27" s="100">
        <f>ROUND(SUM(F25:F26),1)</f>
        <v>83.4</v>
      </c>
      <c r="G27" s="16"/>
      <c r="H27" s="100">
        <f>ROUND(SUM(H25:H26),1)</f>
        <v>76.5</v>
      </c>
      <c r="I27" s="991"/>
      <c r="J27" s="100">
        <f>ROUND(SUM(J25:J26),1)</f>
        <v>89.2</v>
      </c>
      <c r="K27" s="991"/>
      <c r="L27" s="100">
        <f>ROUND(SUM(L25:L26),1)</f>
        <v>90.3</v>
      </c>
      <c r="M27" s="991"/>
      <c r="N27" s="100">
        <f>ROUND(SUM(N25:N26),1)</f>
        <v>80</v>
      </c>
      <c r="O27" s="991"/>
      <c r="P27" s="100">
        <f>ROUND(SUM(P25:P26),1)</f>
        <v>71.8</v>
      </c>
      <c r="Q27" s="16"/>
      <c r="R27" s="100">
        <f>ROUND(SUM(R25:R26),1)</f>
        <v>0</v>
      </c>
      <c r="S27" s="991"/>
      <c r="T27" s="100">
        <f>ROUND(SUM(T25:T26),1)</f>
        <v>0</v>
      </c>
      <c r="U27" s="991"/>
      <c r="V27" s="100">
        <f>ROUND(SUM(V25:V26),1)</f>
        <v>0</v>
      </c>
      <c r="W27" s="991"/>
      <c r="X27" s="100">
        <f>ROUND(SUM(X25:X26),1)</f>
        <v>0</v>
      </c>
      <c r="Y27" s="2051"/>
      <c r="Z27" s="991"/>
      <c r="AA27" s="100">
        <f>ROUND(SUM(AA25:AA26),1)</f>
        <v>661.1</v>
      </c>
      <c r="AB27" s="2052"/>
      <c r="AC27" s="1234"/>
      <c r="AD27" s="100">
        <f>ROUND(SUM(AD25:AD26),1)</f>
        <v>959.2</v>
      </c>
      <c r="AE27" s="1235"/>
      <c r="AF27" s="1236"/>
      <c r="AG27" s="1682">
        <f>ROUND(SUM(AA27-AD27),1)</f>
        <v>-298.10000000000002</v>
      </c>
      <c r="AH27" s="118"/>
      <c r="AI27" s="665">
        <f>ROUND(IF(AD27=0,0,AG27/ABS(AD27)),3)</f>
        <v>-0.311</v>
      </c>
    </row>
    <row r="28" spans="1:35" ht="14.25" customHeight="1">
      <c r="A28" s="118"/>
      <c r="B28" s="1683"/>
      <c r="C28" s="16"/>
      <c r="D28" s="16"/>
      <c r="E28" s="16"/>
      <c r="F28" s="16"/>
      <c r="G28" s="16"/>
      <c r="H28" s="16"/>
      <c r="I28" s="991"/>
      <c r="J28" s="16"/>
      <c r="K28" s="991"/>
      <c r="L28" s="16"/>
      <c r="M28" s="991"/>
      <c r="N28" s="16"/>
      <c r="O28" s="991"/>
      <c r="P28" s="16"/>
      <c r="Q28" s="991"/>
      <c r="R28" s="16"/>
      <c r="S28" s="991"/>
      <c r="T28" s="16"/>
      <c r="U28" s="991"/>
      <c r="V28" s="16"/>
      <c r="W28" s="991"/>
      <c r="X28" s="16"/>
      <c r="Y28" s="2051"/>
      <c r="Z28" s="991"/>
      <c r="AA28" s="1683"/>
      <c r="AB28" s="2052"/>
      <c r="AC28" s="1234"/>
      <c r="AD28" s="1683"/>
      <c r="AE28" s="1235"/>
      <c r="AF28" s="1236"/>
      <c r="AG28" s="1234"/>
      <c r="AH28" s="991"/>
      <c r="AI28" s="991"/>
    </row>
    <row r="29" spans="1:35" ht="14.25" customHeight="1">
      <c r="A29" s="118" t="s">
        <v>411</v>
      </c>
      <c r="B29" s="953">
        <f>ROUND(SUM(B16+B20+B23+B27),1)</f>
        <v>4538</v>
      </c>
      <c r="C29" s="325"/>
      <c r="D29" s="953">
        <f>ROUND(SUM(D16+D20+D23+D27),1)</f>
        <v>1883.4</v>
      </c>
      <c r="E29" s="325"/>
      <c r="F29" s="953">
        <f>ROUND(SUM(F16+F20+F23+F27),1)</f>
        <v>4769.3</v>
      </c>
      <c r="G29" s="325"/>
      <c r="H29" s="953">
        <f>ROUND(SUM(H16+H20+H23+H27),1)</f>
        <v>2547.4</v>
      </c>
      <c r="I29" s="991"/>
      <c r="J29" s="1514">
        <f>ROUND(SUM(J16+J20+J23+J27),1)</f>
        <v>2726.6</v>
      </c>
      <c r="K29" s="991"/>
      <c r="L29" s="1514">
        <f>ROUND(SUM(L16+L20+L23+L27),1)</f>
        <v>4652.7</v>
      </c>
      <c r="M29" s="991"/>
      <c r="N29" s="1514">
        <f>ROUND(SUM(N16+N20+N23+N27),1)</f>
        <v>1393.3</v>
      </c>
      <c r="O29" s="991"/>
      <c r="P29" s="1514">
        <f>ROUND(SUM(P16+P20+P23+P27),1)</f>
        <v>2508.8000000000002</v>
      </c>
      <c r="Q29" s="839"/>
      <c r="R29" s="1514">
        <f>ROUND(SUM(R16+R20+R23+R27),1)</f>
        <v>0</v>
      </c>
      <c r="S29" s="991"/>
      <c r="T29" s="1514">
        <f>ROUND(SUM(T16+T20+T23+T27),1)</f>
        <v>0</v>
      </c>
      <c r="U29" s="991"/>
      <c r="V29" s="1514">
        <f>ROUND(SUM(V16+V20+V23+V27),1)</f>
        <v>0</v>
      </c>
      <c r="W29" s="991"/>
      <c r="X29" s="1514">
        <f>ROUND(SUM(X16+X20+X23+X27),1)</f>
        <v>0</v>
      </c>
      <c r="Y29" s="2051"/>
      <c r="Z29" s="991"/>
      <c r="AA29" s="1514">
        <f>ROUND(SUM(AA16+AA20+AA23+AA27),1)</f>
        <v>25019.5</v>
      </c>
      <c r="AB29" s="2052"/>
      <c r="AC29" s="1234"/>
      <c r="AD29" s="1514">
        <f>ROUND(SUM(AD16+AD20+AD23+AD27),1)</f>
        <v>30701</v>
      </c>
      <c r="AE29" s="1235"/>
      <c r="AF29" s="1236"/>
      <c r="AG29" s="1514">
        <f>ROUND(SUM(AG16+AG20+AG23+AG27),1)</f>
        <v>-5681.5</v>
      </c>
      <c r="AH29" s="118"/>
      <c r="AI29" s="666">
        <f>ROUND(IF(AD29=0,0,AG29/ABS(AD29)),3)</f>
        <v>-0.185</v>
      </c>
    </row>
    <row r="30" spans="1:35" ht="14.25" customHeight="1">
      <c r="A30" s="2006"/>
      <c r="B30" s="325"/>
      <c r="C30" s="325"/>
      <c r="D30" s="325"/>
      <c r="E30" s="325"/>
      <c r="F30" s="325"/>
      <c r="G30" s="325"/>
      <c r="H30" s="325"/>
      <c r="I30" s="991"/>
      <c r="J30" s="325"/>
      <c r="K30" s="991"/>
      <c r="L30" s="325"/>
      <c r="M30" s="991"/>
      <c r="N30" s="325"/>
      <c r="O30" s="991"/>
      <c r="P30" s="325"/>
      <c r="Q30" s="991"/>
      <c r="R30" s="325"/>
      <c r="S30" s="991"/>
      <c r="T30" s="325"/>
      <c r="U30" s="991"/>
      <c r="V30" s="325"/>
      <c r="W30" s="991"/>
      <c r="X30" s="325"/>
      <c r="Y30" s="2051"/>
      <c r="Z30" s="991"/>
      <c r="AA30" s="325"/>
      <c r="AB30" s="2052"/>
      <c r="AC30" s="1234"/>
      <c r="AD30" s="325"/>
      <c r="AE30" s="1235"/>
      <c r="AF30" s="1236"/>
      <c r="AG30" s="1234"/>
      <c r="AH30" s="991"/>
      <c r="AI30" s="991"/>
    </row>
    <row r="31" spans="1:35" ht="14.25" customHeight="1">
      <c r="A31" s="2006" t="s">
        <v>412</v>
      </c>
      <c r="B31" s="835"/>
      <c r="C31" s="690"/>
      <c r="D31" s="690"/>
      <c r="E31" s="690"/>
      <c r="F31" s="690"/>
      <c r="G31" s="690"/>
      <c r="H31" s="690"/>
      <c r="I31" s="1316"/>
      <c r="J31" s="1316"/>
      <c r="K31" s="1316"/>
      <c r="L31" s="1316"/>
      <c r="M31" s="1316"/>
      <c r="N31" s="1316"/>
      <c r="O31" s="1316"/>
      <c r="P31" s="1316"/>
      <c r="Q31" s="1316"/>
      <c r="R31" s="1316"/>
      <c r="S31" s="1316"/>
      <c r="T31" s="1316"/>
      <c r="U31" s="1316"/>
      <c r="V31" s="1316"/>
      <c r="W31" s="1316"/>
      <c r="X31" s="1316"/>
      <c r="Y31" s="2053"/>
      <c r="Z31" s="1316"/>
      <c r="AA31" s="835"/>
      <c r="AB31" s="2053"/>
      <c r="AC31" s="1316"/>
      <c r="AD31" s="835"/>
      <c r="AE31" s="1558"/>
      <c r="AF31" s="1315"/>
      <c r="AG31" s="1316"/>
      <c r="AH31" s="991"/>
      <c r="AI31" s="1559"/>
    </row>
    <row r="32" spans="1:35" ht="14.25" customHeight="1">
      <c r="A32" s="427" t="s">
        <v>416</v>
      </c>
      <c r="B32" s="835"/>
      <c r="C32" s="690"/>
      <c r="D32" s="690"/>
      <c r="E32" s="690"/>
      <c r="F32" s="690"/>
      <c r="G32" s="690"/>
      <c r="H32" s="690"/>
      <c r="I32" s="1316"/>
      <c r="J32" s="1316"/>
      <c r="K32" s="1316"/>
      <c r="L32" s="1316"/>
      <c r="M32" s="1316"/>
      <c r="N32" s="1316"/>
      <c r="O32" s="1316"/>
      <c r="P32" s="1316"/>
      <c r="Q32" s="1316"/>
      <c r="R32" s="1316"/>
      <c r="S32" s="1316"/>
      <c r="T32" s="1316"/>
      <c r="U32" s="1316"/>
      <c r="V32" s="1316"/>
      <c r="W32" s="1316"/>
      <c r="X32" s="1316"/>
      <c r="Y32" s="2053"/>
      <c r="Z32" s="1316"/>
      <c r="AA32" s="835"/>
      <c r="AB32" s="2053"/>
      <c r="AC32" s="1316"/>
      <c r="AD32" s="835"/>
      <c r="AE32" s="1558"/>
      <c r="AF32" s="1315"/>
      <c r="AG32" s="1316"/>
      <c r="AH32" s="991"/>
      <c r="AI32" s="1559"/>
    </row>
    <row r="33" spans="1:35" ht="14.25" customHeight="1">
      <c r="A33" s="427" t="s">
        <v>418</v>
      </c>
      <c r="B33" s="659">
        <v>0</v>
      </c>
      <c r="C33" s="690"/>
      <c r="D33" s="659">
        <v>0</v>
      </c>
      <c r="E33" s="690"/>
      <c r="F33" s="659">
        <v>0</v>
      </c>
      <c r="G33" s="690"/>
      <c r="H33" s="635">
        <v>0</v>
      </c>
      <c r="I33" s="689"/>
      <c r="J33" s="635">
        <v>0</v>
      </c>
      <c r="K33" s="689"/>
      <c r="L33" s="635">
        <v>0</v>
      </c>
      <c r="M33" s="689"/>
      <c r="N33" s="635">
        <v>0</v>
      </c>
      <c r="O33" s="689"/>
      <c r="P33" s="635">
        <f>$AA33-$B33-$D33-$F33-$H33-$J33-$L33-$N33</f>
        <v>0</v>
      </c>
      <c r="Q33" s="689"/>
      <c r="R33" s="635"/>
      <c r="S33" s="689"/>
      <c r="T33" s="635"/>
      <c r="U33" s="689"/>
      <c r="V33" s="635"/>
      <c r="W33" s="689"/>
      <c r="X33" s="635"/>
      <c r="Y33" s="2051"/>
      <c r="Z33" s="991"/>
      <c r="AA33" s="659">
        <v>0</v>
      </c>
      <c r="AB33" s="2052"/>
      <c r="AC33" s="1234"/>
      <c r="AD33" s="659">
        <v>0</v>
      </c>
      <c r="AE33" s="1558"/>
      <c r="AF33" s="1315"/>
      <c r="AG33" s="1316">
        <f>ROUND(SUM(AA33-AD33),1)</f>
        <v>0</v>
      </c>
      <c r="AH33" s="991"/>
      <c r="AI33" s="327">
        <f>ROUND(IF(AD33=0,0,AG33/ABS(AD33)),3)</f>
        <v>0</v>
      </c>
    </row>
    <row r="34" spans="1:35" ht="14.25" customHeight="1">
      <c r="A34" s="427" t="s">
        <v>421</v>
      </c>
      <c r="B34" s="635" t="s">
        <v>104</v>
      </c>
      <c r="C34" s="690"/>
      <c r="D34" s="635"/>
      <c r="E34" s="690"/>
      <c r="F34" s="635"/>
      <c r="G34" s="690"/>
      <c r="H34" s="635" t="s">
        <v>104</v>
      </c>
      <c r="I34" s="689"/>
      <c r="J34" s="635"/>
      <c r="K34" s="689"/>
      <c r="L34" s="635"/>
      <c r="M34" s="689"/>
      <c r="N34" s="635"/>
      <c r="O34" s="689"/>
      <c r="P34" s="635"/>
      <c r="Q34" s="689"/>
      <c r="R34" s="635"/>
      <c r="S34" s="689"/>
      <c r="T34" s="635"/>
      <c r="U34" s="689"/>
      <c r="V34" s="635"/>
      <c r="W34" s="689"/>
      <c r="X34" s="635"/>
      <c r="Y34" s="2051"/>
      <c r="Z34" s="991"/>
      <c r="AA34" s="635" t="s">
        <v>104</v>
      </c>
      <c r="AB34" s="2052"/>
      <c r="AC34" s="1234"/>
      <c r="AD34" s="635" t="s">
        <v>104</v>
      </c>
      <c r="AE34" s="1558"/>
      <c r="AF34" s="1315"/>
      <c r="AG34" s="1316"/>
      <c r="AH34" s="991"/>
      <c r="AI34" s="1559"/>
    </row>
    <row r="35" spans="1:35" ht="14.25" customHeight="1">
      <c r="A35" s="427" t="s">
        <v>422</v>
      </c>
      <c r="B35" s="659">
        <v>0</v>
      </c>
      <c r="C35" s="690"/>
      <c r="D35" s="659">
        <v>0</v>
      </c>
      <c r="E35" s="690"/>
      <c r="F35" s="659">
        <v>0</v>
      </c>
      <c r="G35" s="690"/>
      <c r="H35" s="635">
        <v>0</v>
      </c>
      <c r="I35" s="689"/>
      <c r="J35" s="635">
        <v>0</v>
      </c>
      <c r="K35" s="689"/>
      <c r="L35" s="635">
        <v>0</v>
      </c>
      <c r="M35" s="689"/>
      <c r="N35" s="635">
        <v>0</v>
      </c>
      <c r="O35" s="689"/>
      <c r="P35" s="635">
        <f>$AA35-$B35-$D35-$F35-$H35-$J35-$L35-$N35</f>
        <v>0</v>
      </c>
      <c r="Q35" s="689"/>
      <c r="R35" s="635"/>
      <c r="S35" s="689"/>
      <c r="T35" s="635"/>
      <c r="U35" s="689"/>
      <c r="V35" s="635"/>
      <c r="W35" s="689"/>
      <c r="X35" s="635"/>
      <c r="Y35" s="2051"/>
      <c r="Z35" s="991"/>
      <c r="AA35" s="659">
        <v>0</v>
      </c>
      <c r="AB35" s="2052"/>
      <c r="AC35" s="1234"/>
      <c r="AD35" s="659">
        <v>0</v>
      </c>
      <c r="AE35" s="1558"/>
      <c r="AF35" s="1315"/>
      <c r="AG35" s="1316">
        <f t="shared" ref="AG35:AG45" si="1">ROUND(SUM(AA35-AD35),1)</f>
        <v>0</v>
      </c>
      <c r="AH35" s="991"/>
      <c r="AI35" s="327">
        <f t="shared" ref="AI35:AI45" si="2">ROUND(IF(AD35=0,0,AG35/ABS(AD35)),3)</f>
        <v>0</v>
      </c>
    </row>
    <row r="36" spans="1:35" ht="14.25" customHeight="1">
      <c r="A36" s="427" t="s">
        <v>424</v>
      </c>
      <c r="B36" s="659">
        <v>0</v>
      </c>
      <c r="C36" s="690"/>
      <c r="D36" s="659">
        <v>0</v>
      </c>
      <c r="E36" s="690"/>
      <c r="F36" s="659">
        <v>0</v>
      </c>
      <c r="G36" s="690"/>
      <c r="H36" s="635">
        <v>0</v>
      </c>
      <c r="I36" s="689"/>
      <c r="J36" s="635">
        <v>0</v>
      </c>
      <c r="K36" s="689"/>
      <c r="L36" s="635">
        <v>0</v>
      </c>
      <c r="M36" s="689"/>
      <c r="N36" s="635">
        <v>0</v>
      </c>
      <c r="O36" s="689"/>
      <c r="P36" s="635">
        <f t="shared" ref="P36:P49" si="3">$AA36-$B36-$D36-$F36-$H36-$J36-$L36-$N36</f>
        <v>0</v>
      </c>
      <c r="Q36" s="689"/>
      <c r="R36" s="635"/>
      <c r="S36" s="689"/>
      <c r="T36" s="635"/>
      <c r="U36" s="689"/>
      <c r="V36" s="635"/>
      <c r="W36" s="689"/>
      <c r="X36" s="635"/>
      <c r="Y36" s="2051"/>
      <c r="Z36" s="991"/>
      <c r="AA36" s="659">
        <v>0</v>
      </c>
      <c r="AB36" s="2052"/>
      <c r="AC36" s="1234"/>
      <c r="AD36" s="659">
        <v>0</v>
      </c>
      <c r="AE36" s="1558"/>
      <c r="AF36" s="1315"/>
      <c r="AG36" s="1316">
        <f t="shared" si="1"/>
        <v>0</v>
      </c>
      <c r="AH36" s="991"/>
      <c r="AI36" s="327">
        <f t="shared" si="2"/>
        <v>0</v>
      </c>
    </row>
    <row r="37" spans="1:35" ht="14.25" customHeight="1">
      <c r="A37" s="427" t="s">
        <v>425</v>
      </c>
      <c r="B37" s="659">
        <v>0</v>
      </c>
      <c r="C37" s="690"/>
      <c r="D37" s="659">
        <v>0</v>
      </c>
      <c r="E37" s="690"/>
      <c r="F37" s="659">
        <v>0</v>
      </c>
      <c r="G37" s="690"/>
      <c r="H37" s="635">
        <v>0</v>
      </c>
      <c r="I37" s="689"/>
      <c r="J37" s="635">
        <v>0</v>
      </c>
      <c r="K37" s="689"/>
      <c r="L37" s="635">
        <v>0</v>
      </c>
      <c r="M37" s="689"/>
      <c r="N37" s="635">
        <v>0</v>
      </c>
      <c r="O37" s="689"/>
      <c r="P37" s="635">
        <f t="shared" si="3"/>
        <v>0</v>
      </c>
      <c r="Q37" s="689"/>
      <c r="R37" s="635"/>
      <c r="S37" s="689"/>
      <c r="T37" s="635"/>
      <c r="U37" s="689"/>
      <c r="V37" s="635"/>
      <c r="W37" s="689"/>
      <c r="X37" s="635"/>
      <c r="Y37" s="2051"/>
      <c r="Z37" s="991"/>
      <c r="AA37" s="659">
        <v>0</v>
      </c>
      <c r="AB37" s="2052"/>
      <c r="AC37" s="1234"/>
      <c r="AD37" s="659">
        <v>0</v>
      </c>
      <c r="AE37" s="1558"/>
      <c r="AF37" s="1315"/>
      <c r="AG37" s="1316">
        <f t="shared" si="1"/>
        <v>0</v>
      </c>
      <c r="AH37" s="991"/>
      <c r="AI37" s="327">
        <f t="shared" si="2"/>
        <v>0</v>
      </c>
    </row>
    <row r="38" spans="1:35" ht="14.25" customHeight="1">
      <c r="A38" s="427" t="s">
        <v>426</v>
      </c>
      <c r="B38" s="659">
        <v>0</v>
      </c>
      <c r="C38" s="690"/>
      <c r="D38" s="659">
        <v>0</v>
      </c>
      <c r="E38" s="690"/>
      <c r="F38" s="659">
        <v>0</v>
      </c>
      <c r="G38" s="690"/>
      <c r="H38" s="635">
        <v>0</v>
      </c>
      <c r="I38" s="689"/>
      <c r="J38" s="635">
        <v>0</v>
      </c>
      <c r="K38" s="689"/>
      <c r="L38" s="635">
        <v>0</v>
      </c>
      <c r="M38" s="689"/>
      <c r="N38" s="635">
        <v>0</v>
      </c>
      <c r="O38" s="689"/>
      <c r="P38" s="635">
        <f t="shared" si="3"/>
        <v>0</v>
      </c>
      <c r="Q38" s="689"/>
      <c r="R38" s="635"/>
      <c r="S38" s="689"/>
      <c r="T38" s="635"/>
      <c r="U38" s="689"/>
      <c r="V38" s="635"/>
      <c r="W38" s="689"/>
      <c r="X38" s="635"/>
      <c r="Y38" s="2051"/>
      <c r="Z38" s="991"/>
      <c r="AA38" s="659">
        <v>0</v>
      </c>
      <c r="AB38" s="2052"/>
      <c r="AC38" s="1234"/>
      <c r="AD38" s="659">
        <v>0</v>
      </c>
      <c r="AE38" s="1558"/>
      <c r="AF38" s="1315"/>
      <c r="AG38" s="1316">
        <f t="shared" si="1"/>
        <v>0</v>
      </c>
      <c r="AH38" s="991"/>
      <c r="AI38" s="327">
        <f t="shared" si="2"/>
        <v>0</v>
      </c>
    </row>
    <row r="39" spans="1:35" ht="14.25" customHeight="1">
      <c r="A39" s="427" t="s">
        <v>427</v>
      </c>
      <c r="B39" s="659">
        <v>0</v>
      </c>
      <c r="C39" s="690"/>
      <c r="D39" s="659">
        <v>0</v>
      </c>
      <c r="E39" s="690"/>
      <c r="F39" s="659">
        <v>0</v>
      </c>
      <c r="G39" s="690"/>
      <c r="H39" s="635">
        <v>0</v>
      </c>
      <c r="I39" s="689"/>
      <c r="J39" s="635">
        <v>0</v>
      </c>
      <c r="K39" s="689"/>
      <c r="L39" s="635">
        <v>0</v>
      </c>
      <c r="M39" s="689"/>
      <c r="N39" s="635">
        <v>0</v>
      </c>
      <c r="O39" s="689"/>
      <c r="P39" s="635">
        <f t="shared" si="3"/>
        <v>0</v>
      </c>
      <c r="Q39" s="689"/>
      <c r="R39" s="635"/>
      <c r="S39" s="689"/>
      <c r="T39" s="635"/>
      <c r="U39" s="689"/>
      <c r="V39" s="635"/>
      <c r="W39" s="689"/>
      <c r="X39" s="635"/>
      <c r="Y39" s="2051"/>
      <c r="Z39" s="991"/>
      <c r="AA39" s="659">
        <v>0</v>
      </c>
      <c r="AB39" s="2052"/>
      <c r="AC39" s="1234"/>
      <c r="AD39" s="659">
        <v>0</v>
      </c>
      <c r="AE39" s="1558"/>
      <c r="AF39" s="1315"/>
      <c r="AG39" s="1316">
        <f t="shared" si="1"/>
        <v>0</v>
      </c>
      <c r="AH39" s="991"/>
      <c r="AI39" s="327">
        <f t="shared" si="2"/>
        <v>0</v>
      </c>
    </row>
    <row r="40" spans="1:35" ht="14.25" customHeight="1">
      <c r="A40" s="427" t="s">
        <v>428</v>
      </c>
      <c r="B40" s="659">
        <v>0</v>
      </c>
      <c r="C40" s="690"/>
      <c r="D40" s="659">
        <v>0</v>
      </c>
      <c r="E40" s="690"/>
      <c r="F40" s="659">
        <v>0</v>
      </c>
      <c r="G40" s="690"/>
      <c r="H40" s="635">
        <v>0</v>
      </c>
      <c r="I40" s="689"/>
      <c r="J40" s="635">
        <v>0</v>
      </c>
      <c r="K40" s="689"/>
      <c r="L40" s="635">
        <v>0</v>
      </c>
      <c r="M40" s="689"/>
      <c r="N40" s="635">
        <v>0</v>
      </c>
      <c r="O40" s="689"/>
      <c r="P40" s="635">
        <f t="shared" si="3"/>
        <v>0</v>
      </c>
      <c r="Q40" s="689"/>
      <c r="R40" s="635"/>
      <c r="S40" s="689"/>
      <c r="T40" s="635"/>
      <c r="U40" s="689"/>
      <c r="V40" s="635"/>
      <c r="W40" s="689"/>
      <c r="X40" s="635"/>
      <c r="Y40" s="2051"/>
      <c r="Z40" s="991"/>
      <c r="AA40" s="659">
        <v>0</v>
      </c>
      <c r="AB40" s="2052"/>
      <c r="AC40" s="1234"/>
      <c r="AD40" s="659">
        <v>0</v>
      </c>
      <c r="AE40" s="1558"/>
      <c r="AF40" s="1315"/>
      <c r="AG40" s="1316">
        <f t="shared" si="1"/>
        <v>0</v>
      </c>
      <c r="AH40" s="991"/>
      <c r="AI40" s="327">
        <f t="shared" si="2"/>
        <v>0</v>
      </c>
    </row>
    <row r="41" spans="1:35" ht="14.25" customHeight="1">
      <c r="A41" s="427" t="s">
        <v>435</v>
      </c>
      <c r="B41" s="659">
        <v>0.2</v>
      </c>
      <c r="C41" s="690"/>
      <c r="D41" s="659">
        <v>0</v>
      </c>
      <c r="E41" s="690"/>
      <c r="F41" s="659">
        <v>0.10000000000000003</v>
      </c>
      <c r="G41" s="690"/>
      <c r="H41" s="635">
        <v>0</v>
      </c>
      <c r="I41" s="689"/>
      <c r="J41" s="635">
        <v>0</v>
      </c>
      <c r="K41" s="689"/>
      <c r="L41" s="635">
        <v>0</v>
      </c>
      <c r="M41" s="689"/>
      <c r="N41" s="635">
        <v>0</v>
      </c>
      <c r="O41" s="689"/>
      <c r="P41" s="635">
        <f t="shared" si="3"/>
        <v>0.29999999999999993</v>
      </c>
      <c r="Q41" s="689"/>
      <c r="R41" s="635"/>
      <c r="S41" s="689"/>
      <c r="T41" s="635"/>
      <c r="U41" s="689"/>
      <c r="V41" s="635"/>
      <c r="W41" s="689"/>
      <c r="X41" s="635"/>
      <c r="Y41" s="2051"/>
      <c r="Z41" s="991"/>
      <c r="AA41" s="1921">
        <v>0.6</v>
      </c>
      <c r="AB41" s="2052"/>
      <c r="AC41" s="1234"/>
      <c r="AD41" s="659">
        <v>0.1</v>
      </c>
      <c r="AE41" s="1558"/>
      <c r="AF41" s="1315"/>
      <c r="AG41" s="1316">
        <f t="shared" si="1"/>
        <v>0.5</v>
      </c>
      <c r="AH41" s="991"/>
      <c r="AI41" s="327">
        <f>ROUND(IF(AD41=0,1,AG41/ABS(AD41)),3)</f>
        <v>5</v>
      </c>
    </row>
    <row r="42" spans="1:35" ht="14.25" customHeight="1">
      <c r="A42" s="427" t="s">
        <v>436</v>
      </c>
      <c r="B42" s="659">
        <v>0</v>
      </c>
      <c r="C42" s="690"/>
      <c r="D42" s="659">
        <v>0</v>
      </c>
      <c r="E42" s="690"/>
      <c r="F42" s="659">
        <v>0</v>
      </c>
      <c r="G42" s="690"/>
      <c r="H42" s="635">
        <v>0</v>
      </c>
      <c r="I42" s="689"/>
      <c r="J42" s="635">
        <v>0</v>
      </c>
      <c r="K42" s="689"/>
      <c r="L42" s="635">
        <v>0</v>
      </c>
      <c r="M42" s="689"/>
      <c r="N42" s="635">
        <v>0</v>
      </c>
      <c r="O42" s="689"/>
      <c r="P42" s="635">
        <f t="shared" si="3"/>
        <v>0.5</v>
      </c>
      <c r="Q42" s="689"/>
      <c r="R42" s="635"/>
      <c r="S42" s="689"/>
      <c r="T42" s="635"/>
      <c r="U42" s="689"/>
      <c r="V42" s="635"/>
      <c r="W42" s="689"/>
      <c r="X42" s="635"/>
      <c r="Y42" s="2051"/>
      <c r="Z42" s="991"/>
      <c r="AA42" s="659">
        <v>0.5</v>
      </c>
      <c r="AB42" s="2052"/>
      <c r="AC42" s="1234"/>
      <c r="AD42" s="659">
        <v>4.8</v>
      </c>
      <c r="AE42" s="1558"/>
      <c r="AF42" s="1315"/>
      <c r="AG42" s="1316">
        <f>ROUND(SUM(AA42-AD42),1)</f>
        <v>-4.3</v>
      </c>
      <c r="AH42" s="991"/>
      <c r="AI42" s="327">
        <f>ROUND(IF(AD42=0,0,AG42/ABS(AD42)),3)</f>
        <v>-0.89600000000000002</v>
      </c>
    </row>
    <row r="43" spans="1:35" ht="14.25" customHeight="1">
      <c r="A43" s="427" t="s">
        <v>437</v>
      </c>
      <c r="B43" s="635" t="s">
        <v>104</v>
      </c>
      <c r="C43" s="690"/>
      <c r="D43" s="635"/>
      <c r="E43" s="690"/>
      <c r="F43" s="635"/>
      <c r="G43" s="690"/>
      <c r="H43" s="635"/>
      <c r="I43" s="689"/>
      <c r="J43" s="635"/>
      <c r="K43" s="689"/>
      <c r="L43" s="635"/>
      <c r="M43" s="689"/>
      <c r="N43" s="635"/>
      <c r="O43" s="689"/>
      <c r="P43" s="635"/>
      <c r="Q43" s="689"/>
      <c r="R43" s="635"/>
      <c r="S43" s="689"/>
      <c r="T43" s="635"/>
      <c r="U43" s="689"/>
      <c r="V43" s="635"/>
      <c r="W43" s="689"/>
      <c r="X43" s="635"/>
      <c r="Y43" s="2051"/>
      <c r="Z43" s="991"/>
      <c r="AA43" s="635" t="s">
        <v>104</v>
      </c>
      <c r="AB43" s="2052"/>
      <c r="AC43" s="1234" t="s">
        <v>104</v>
      </c>
      <c r="AD43" s="635" t="s">
        <v>104</v>
      </c>
      <c r="AE43" s="1558"/>
      <c r="AF43" s="1315" t="s">
        <v>104</v>
      </c>
      <c r="AG43" s="1316" t="s">
        <v>104</v>
      </c>
      <c r="AH43" s="991"/>
      <c r="AI43" s="327" t="s">
        <v>104</v>
      </c>
    </row>
    <row r="44" spans="1:35" ht="14.25" customHeight="1">
      <c r="A44" s="427" t="s">
        <v>525</v>
      </c>
      <c r="B44" s="659">
        <v>0</v>
      </c>
      <c r="C44" s="690"/>
      <c r="D44" s="659">
        <v>0</v>
      </c>
      <c r="E44" s="690"/>
      <c r="F44" s="659">
        <v>0</v>
      </c>
      <c r="G44" s="690"/>
      <c r="H44" s="635">
        <v>0</v>
      </c>
      <c r="I44" s="689"/>
      <c r="J44" s="635">
        <v>0</v>
      </c>
      <c r="K44" s="689"/>
      <c r="L44" s="635">
        <v>0</v>
      </c>
      <c r="M44" s="689"/>
      <c r="N44" s="635">
        <v>0</v>
      </c>
      <c r="O44" s="689"/>
      <c r="P44" s="635">
        <f t="shared" si="3"/>
        <v>0</v>
      </c>
      <c r="Q44" s="689"/>
      <c r="R44" s="635"/>
      <c r="S44" s="689"/>
      <c r="T44" s="635"/>
      <c r="U44" s="689"/>
      <c r="V44" s="635"/>
      <c r="W44" s="689"/>
      <c r="X44" s="635"/>
      <c r="Y44" s="2051"/>
      <c r="Z44" s="991"/>
      <c r="AA44" s="659">
        <v>0</v>
      </c>
      <c r="AB44" s="2052"/>
      <c r="AC44" s="1234"/>
      <c r="AD44" s="659">
        <v>0</v>
      </c>
      <c r="AE44" s="1558"/>
      <c r="AF44" s="1315"/>
      <c r="AG44" s="1316">
        <f>ROUND(SUM(AA44-AD44),1)</f>
        <v>0</v>
      </c>
      <c r="AH44" s="991"/>
      <c r="AI44" s="327">
        <f>ROUND(IF(AD44=0,0,AG44/ABS(AD44)),3)</f>
        <v>0</v>
      </c>
    </row>
    <row r="45" spans="1:35" ht="14.25" customHeight="1">
      <c r="A45" s="427" t="s">
        <v>442</v>
      </c>
      <c r="B45" s="659">
        <v>0</v>
      </c>
      <c r="C45" s="690"/>
      <c r="D45" s="659">
        <v>0</v>
      </c>
      <c r="E45" s="690"/>
      <c r="F45" s="659">
        <v>0</v>
      </c>
      <c r="G45" s="690"/>
      <c r="H45" s="635">
        <v>0</v>
      </c>
      <c r="I45" s="689"/>
      <c r="J45" s="635">
        <v>0</v>
      </c>
      <c r="K45" s="689"/>
      <c r="L45" s="635">
        <v>0</v>
      </c>
      <c r="M45" s="689"/>
      <c r="N45" s="635">
        <v>0</v>
      </c>
      <c r="O45" s="689"/>
      <c r="P45" s="635">
        <f t="shared" si="3"/>
        <v>0</v>
      </c>
      <c r="Q45" s="689"/>
      <c r="R45" s="635"/>
      <c r="S45" s="689"/>
      <c r="T45" s="635"/>
      <c r="U45" s="689"/>
      <c r="V45" s="635"/>
      <c r="W45" s="689"/>
      <c r="X45" s="635"/>
      <c r="Y45" s="2051"/>
      <c r="Z45" s="991"/>
      <c r="AA45" s="659">
        <v>0</v>
      </c>
      <c r="AB45" s="2052"/>
      <c r="AC45" s="1234"/>
      <c r="AD45" s="659">
        <v>0</v>
      </c>
      <c r="AE45" s="1558"/>
      <c r="AF45" s="1315"/>
      <c r="AG45" s="1316">
        <f t="shared" si="1"/>
        <v>0</v>
      </c>
      <c r="AH45" s="991"/>
      <c r="AI45" s="327">
        <f t="shared" si="2"/>
        <v>0</v>
      </c>
    </row>
    <row r="46" spans="1:35" ht="14.25" customHeight="1">
      <c r="A46" s="427" t="s">
        <v>443</v>
      </c>
      <c r="B46" s="635" t="s">
        <v>104</v>
      </c>
      <c r="C46" s="690"/>
      <c r="D46" s="635"/>
      <c r="E46" s="690"/>
      <c r="F46" s="635"/>
      <c r="G46" s="690"/>
      <c r="H46" s="635"/>
      <c r="I46" s="689"/>
      <c r="J46" s="635"/>
      <c r="K46" s="689"/>
      <c r="L46" s="635"/>
      <c r="M46" s="689"/>
      <c r="N46" s="635"/>
      <c r="O46" s="689"/>
      <c r="P46" s="635"/>
      <c r="Q46" s="689"/>
      <c r="R46" s="635"/>
      <c r="S46" s="689"/>
      <c r="T46" s="635"/>
      <c r="U46" s="689"/>
      <c r="V46" s="635"/>
      <c r="W46" s="689"/>
      <c r="X46" s="635"/>
      <c r="Y46" s="2051"/>
      <c r="Z46" s="991"/>
      <c r="AA46" s="635" t="s">
        <v>104</v>
      </c>
      <c r="AB46" s="2052"/>
      <c r="AC46" s="1234"/>
      <c r="AD46" s="635" t="s">
        <v>104</v>
      </c>
      <c r="AE46" s="1558"/>
      <c r="AF46" s="1315"/>
      <c r="AG46" s="1316"/>
      <c r="AH46" s="991"/>
      <c r="AI46" s="1559"/>
    </row>
    <row r="47" spans="1:35" ht="14.25" customHeight="1">
      <c r="A47" s="427" t="s">
        <v>574</v>
      </c>
      <c r="B47" s="659">
        <v>59.8</v>
      </c>
      <c r="C47" s="690"/>
      <c r="D47" s="659">
        <v>56.400000000000006</v>
      </c>
      <c r="E47" s="690"/>
      <c r="F47" s="659">
        <v>15.100000000000009</v>
      </c>
      <c r="G47" s="690"/>
      <c r="H47" s="635">
        <v>127.69999999999997</v>
      </c>
      <c r="I47" s="689"/>
      <c r="J47" s="635">
        <v>48.800000000000026</v>
      </c>
      <c r="K47" s="689"/>
      <c r="L47" s="635">
        <v>28</v>
      </c>
      <c r="M47" s="689"/>
      <c r="N47" s="635">
        <v>-46</v>
      </c>
      <c r="O47" s="689"/>
      <c r="P47" s="635">
        <f t="shared" si="3"/>
        <v>53.599999999999966</v>
      </c>
      <c r="Q47" s="689"/>
      <c r="R47" s="635"/>
      <c r="S47" s="689"/>
      <c r="T47" s="635"/>
      <c r="U47" s="689"/>
      <c r="V47" s="635"/>
      <c r="W47" s="689"/>
      <c r="X47" s="635"/>
      <c r="Y47" s="2051"/>
      <c r="Z47" s="991"/>
      <c r="AA47" s="659">
        <v>343.4</v>
      </c>
      <c r="AB47" s="2052"/>
      <c r="AC47" s="1234"/>
      <c r="AD47" s="659">
        <v>348.8</v>
      </c>
      <c r="AE47" s="1558"/>
      <c r="AF47" s="1315"/>
      <c r="AG47" s="1316">
        <f>ROUND(SUM(AA47-AD47),1)</f>
        <v>-5.4</v>
      </c>
      <c r="AH47" s="991"/>
      <c r="AI47" s="670">
        <f>ROUND(IF(AD47=0,0,AG47/ABS(AD47)),3)</f>
        <v>-1.4999999999999999E-2</v>
      </c>
    </row>
    <row r="48" spans="1:35" ht="14.25" customHeight="1">
      <c r="A48" s="427" t="s">
        <v>453</v>
      </c>
      <c r="B48" s="659">
        <v>0</v>
      </c>
      <c r="C48" s="690"/>
      <c r="D48" s="659">
        <v>0</v>
      </c>
      <c r="E48" s="690"/>
      <c r="F48" s="659">
        <v>0</v>
      </c>
      <c r="G48" s="690"/>
      <c r="H48" s="635">
        <v>0</v>
      </c>
      <c r="I48" s="689"/>
      <c r="J48" s="635">
        <v>0</v>
      </c>
      <c r="K48" s="689"/>
      <c r="L48" s="635">
        <v>0</v>
      </c>
      <c r="M48" s="689"/>
      <c r="N48" s="635">
        <v>0</v>
      </c>
      <c r="O48" s="689"/>
      <c r="P48" s="635">
        <f t="shared" si="3"/>
        <v>0</v>
      </c>
      <c r="Q48" s="689"/>
      <c r="R48" s="635"/>
      <c r="S48" s="689"/>
      <c r="T48" s="635"/>
      <c r="U48" s="689"/>
      <c r="V48" s="635"/>
      <c r="W48" s="689"/>
      <c r="X48" s="635"/>
      <c r="Y48" s="2051"/>
      <c r="Z48" s="991"/>
      <c r="AA48" s="659">
        <v>0</v>
      </c>
      <c r="AB48" s="2052"/>
      <c r="AC48" s="1234"/>
      <c r="AD48" s="659">
        <v>0</v>
      </c>
      <c r="AE48" s="1558"/>
      <c r="AF48" s="1315"/>
      <c r="AG48" s="1316">
        <f>ROUND(SUM(AA48-AD48),1)</f>
        <v>0</v>
      </c>
      <c r="AH48" s="991"/>
      <c r="AI48" s="327">
        <f>ROUND(IF(AD48=0,0,AG48/ABS(AD48)),3)</f>
        <v>0</v>
      </c>
    </row>
    <row r="49" spans="1:36" ht="14.25" customHeight="1">
      <c r="A49" s="427" t="s">
        <v>454</v>
      </c>
      <c r="B49" s="659">
        <v>0</v>
      </c>
      <c r="C49" s="690"/>
      <c r="D49" s="659">
        <v>0</v>
      </c>
      <c r="E49" s="690"/>
      <c r="F49" s="659">
        <v>0</v>
      </c>
      <c r="G49" s="690"/>
      <c r="H49" s="635">
        <v>0</v>
      </c>
      <c r="I49" s="689"/>
      <c r="J49" s="635">
        <v>0</v>
      </c>
      <c r="K49" s="689"/>
      <c r="L49" s="635">
        <v>0</v>
      </c>
      <c r="M49" s="689"/>
      <c r="N49" s="635">
        <v>0</v>
      </c>
      <c r="O49" s="689"/>
      <c r="P49" s="635">
        <f t="shared" si="3"/>
        <v>0</v>
      </c>
      <c r="Q49" s="689"/>
      <c r="R49" s="635"/>
      <c r="S49" s="689"/>
      <c r="T49" s="635"/>
      <c r="U49" s="689"/>
      <c r="V49" s="635"/>
      <c r="W49" s="689"/>
      <c r="X49" s="635"/>
      <c r="Y49" s="2051"/>
      <c r="Z49" s="991"/>
      <c r="AA49" s="659">
        <v>0</v>
      </c>
      <c r="AB49" s="2052"/>
      <c r="AC49" s="1234"/>
      <c r="AD49" s="659">
        <v>0</v>
      </c>
      <c r="AE49" s="1558"/>
      <c r="AF49" s="1315"/>
      <c r="AG49" s="1316">
        <f>ROUND(SUM(AA49-AD49),1)</f>
        <v>0</v>
      </c>
      <c r="AH49" s="991"/>
      <c r="AI49" s="327">
        <f>ROUND(IF(AD49=0,0,AG49/ABS(AD49)),3)</f>
        <v>0</v>
      </c>
    </row>
    <row r="50" spans="1:36" s="990" customFormat="1" ht="15.5">
      <c r="A50" s="118" t="s">
        <v>456</v>
      </c>
      <c r="B50" s="100">
        <f>ROUND(SUM(B33:B49),1)</f>
        <v>60</v>
      </c>
      <c r="C50" s="987"/>
      <c r="D50" s="100">
        <f>ROUND(SUM(D33:D49),1)</f>
        <v>56.4</v>
      </c>
      <c r="E50" s="987"/>
      <c r="F50" s="100">
        <f>ROUND(SUM(F33:F49),1)</f>
        <v>15.2</v>
      </c>
      <c r="G50" s="987"/>
      <c r="H50" s="100">
        <f>ROUND(SUM(H33:H49),1)</f>
        <v>127.7</v>
      </c>
      <c r="I50" s="526"/>
      <c r="J50" s="100">
        <f>ROUND(SUM(J33:J49),1)</f>
        <v>48.8</v>
      </c>
      <c r="K50" s="526"/>
      <c r="L50" s="100">
        <f>ROUND(SUM(L33:L49),1)</f>
        <v>28</v>
      </c>
      <c r="M50" s="526"/>
      <c r="N50" s="100">
        <f>ROUND(SUM(N33:N49),1)</f>
        <v>-46</v>
      </c>
      <c r="O50" s="526"/>
      <c r="P50" s="100">
        <f>ROUND(SUM(P33:P49),1)</f>
        <v>54.4</v>
      </c>
      <c r="Q50" s="16"/>
      <c r="R50" s="100">
        <f>ROUND(SUM(R33:R49),1)</f>
        <v>0</v>
      </c>
      <c r="S50" s="526"/>
      <c r="T50" s="100">
        <f>ROUND(SUM(T33:T49),1)</f>
        <v>0</v>
      </c>
      <c r="U50" s="526"/>
      <c r="V50" s="100">
        <f>ROUND(SUM(V33:V49),1)</f>
        <v>0</v>
      </c>
      <c r="W50" s="526"/>
      <c r="X50" s="100">
        <f>ROUND(SUM(X33:X49),1)</f>
        <v>0</v>
      </c>
      <c r="Y50" s="2054"/>
      <c r="Z50" s="526"/>
      <c r="AA50" s="100">
        <f>ROUND(SUM(AA33:AA49),1)</f>
        <v>344.5</v>
      </c>
      <c r="AB50" s="2054"/>
      <c r="AC50" s="526"/>
      <c r="AD50" s="100">
        <f>ROUND(SUM(AD33:AD49),1)</f>
        <v>353.7</v>
      </c>
      <c r="AE50" s="988"/>
      <c r="AF50" s="989"/>
      <c r="AG50" s="100">
        <f>ROUND(SUM(AG33:AG49),1)</f>
        <v>-9.1999999999999993</v>
      </c>
      <c r="AH50" s="118"/>
      <c r="AI50" s="1684">
        <f>ROUND(IF(AD50=0,0,AG50/ABS(AD50)),3)</f>
        <v>-2.5999999999999999E-2</v>
      </c>
      <c r="AJ50" s="977"/>
    </row>
    <row r="51" spans="1:36" s="990" customFormat="1" ht="14.25" customHeight="1">
      <c r="A51" s="118"/>
      <c r="B51" s="16"/>
      <c r="C51" s="987"/>
      <c r="D51" s="16"/>
      <c r="E51" s="987"/>
      <c r="F51" s="16"/>
      <c r="G51" s="987"/>
      <c r="H51" s="16"/>
      <c r="I51" s="526"/>
      <c r="J51" s="16"/>
      <c r="K51" s="526"/>
      <c r="L51" s="16"/>
      <c r="M51" s="526"/>
      <c r="N51" s="16"/>
      <c r="O51" s="526"/>
      <c r="P51" s="16"/>
      <c r="Q51" s="526"/>
      <c r="R51" s="16"/>
      <c r="S51" s="526"/>
      <c r="T51" s="16"/>
      <c r="U51" s="526"/>
      <c r="V51" s="16"/>
      <c r="W51" s="526"/>
      <c r="X51" s="16"/>
      <c r="Y51" s="2054"/>
      <c r="Z51" s="526"/>
      <c r="AA51" s="16"/>
      <c r="AB51" s="2054"/>
      <c r="AC51" s="526"/>
      <c r="AD51" s="16"/>
      <c r="AE51" s="988"/>
      <c r="AF51" s="989"/>
      <c r="AG51" s="526"/>
      <c r="AH51" s="118"/>
      <c r="AI51" s="986"/>
      <c r="AJ51" s="977"/>
    </row>
    <row r="52" spans="1:36" ht="15.5">
      <c r="A52" s="991" t="s">
        <v>575</v>
      </c>
      <c r="B52" s="659">
        <v>3.2</v>
      </c>
      <c r="C52" s="690"/>
      <c r="D52" s="659">
        <v>0</v>
      </c>
      <c r="E52" s="690"/>
      <c r="F52" s="659">
        <v>0.89999999999999947</v>
      </c>
      <c r="G52" s="690"/>
      <c r="H52" s="635">
        <v>30.8</v>
      </c>
      <c r="I52" s="1316"/>
      <c r="J52" s="635">
        <v>0</v>
      </c>
      <c r="K52" s="1316"/>
      <c r="L52" s="635">
        <f t="shared" ref="L52" si="4">$AA52-$B52-$D52-$F52-$H52-$J52</f>
        <v>0</v>
      </c>
      <c r="M52" s="1316"/>
      <c r="N52" s="635">
        <v>0</v>
      </c>
      <c r="O52" s="1316"/>
      <c r="P52" s="635">
        <f t="shared" ref="P52" si="5">$AA52-$B52-$D52-$F52-$H52-$J52-$L52-$N52</f>
        <v>0</v>
      </c>
      <c r="Q52" s="1316"/>
      <c r="R52" s="635"/>
      <c r="S52" s="1316"/>
      <c r="T52" s="635"/>
      <c r="U52" s="1316"/>
      <c r="V52" s="635"/>
      <c r="W52" s="1316"/>
      <c r="X52" s="635"/>
      <c r="Y52" s="2053"/>
      <c r="Z52" s="1316"/>
      <c r="AA52" s="1695">
        <v>34.9</v>
      </c>
      <c r="AB52" s="2053"/>
      <c r="AC52" s="1316"/>
      <c r="AD52" s="1695">
        <v>40.799999999999997</v>
      </c>
      <c r="AE52" s="1558"/>
      <c r="AF52" s="1315"/>
      <c r="AG52" s="1560">
        <f>ROUND(SUM(AA52-AD52),1)</f>
        <v>-5.9</v>
      </c>
      <c r="AH52" s="991"/>
      <c r="AI52" s="661">
        <f>ROUND(IF(AD52=0,1,AG52/ABS(AD52)),3)</f>
        <v>-0.14499999999999999</v>
      </c>
    </row>
    <row r="53" spans="1:36" ht="12" customHeight="1">
      <c r="A53" s="991"/>
      <c r="B53" s="1685"/>
      <c r="C53" s="690"/>
      <c r="D53" s="1685"/>
      <c r="E53" s="690"/>
      <c r="F53" s="1685"/>
      <c r="G53" s="690"/>
      <c r="H53" s="1685"/>
      <c r="I53" s="1316"/>
      <c r="J53" s="1686"/>
      <c r="K53" s="1316"/>
      <c r="L53" s="1686"/>
      <c r="M53" s="1316"/>
      <c r="N53" s="1686"/>
      <c r="O53" s="1316"/>
      <c r="P53" s="1686"/>
      <c r="Q53" s="1316"/>
      <c r="R53" s="1686"/>
      <c r="S53" s="1316"/>
      <c r="T53" s="1686"/>
      <c r="U53" s="1316"/>
      <c r="V53" s="1686"/>
      <c r="W53" s="1316"/>
      <c r="X53" s="1686"/>
      <c r="Y53" s="2053"/>
      <c r="Z53" s="1316"/>
      <c r="AA53" s="690"/>
      <c r="AB53" s="2053"/>
      <c r="AC53" s="1316"/>
      <c r="AD53" s="690"/>
      <c r="AE53" s="1558"/>
      <c r="AF53" s="1315"/>
      <c r="AG53" s="1316"/>
      <c r="AH53" s="991"/>
      <c r="AI53" s="991"/>
    </row>
    <row r="54" spans="1:36" ht="14.25" customHeight="1">
      <c r="A54" s="118" t="s">
        <v>576</v>
      </c>
      <c r="B54" s="773">
        <f>B29+B50+B52</f>
        <v>4601.2</v>
      </c>
      <c r="C54" s="987"/>
      <c r="D54" s="773">
        <f>D29+D50+D52</f>
        <v>1939.8000000000002</v>
      </c>
      <c r="E54" s="992"/>
      <c r="F54" s="773">
        <f>F29+F50+F52</f>
        <v>4785.3999999999996</v>
      </c>
      <c r="G54" s="992"/>
      <c r="H54" s="773">
        <f>H29+H50+H52</f>
        <v>2705.9</v>
      </c>
      <c r="I54" s="993"/>
      <c r="J54" s="1561">
        <f>J29+J50+J52</f>
        <v>2775.4</v>
      </c>
      <c r="K54" s="993"/>
      <c r="L54" s="1561">
        <f>L29+L50+L52</f>
        <v>4680.7</v>
      </c>
      <c r="M54" s="993"/>
      <c r="N54" s="1561">
        <f>N29+N50+N52</f>
        <v>1347.3</v>
      </c>
      <c r="O54" s="993"/>
      <c r="P54" s="1561">
        <f>P29+P50+P52</f>
        <v>2563.2000000000003</v>
      </c>
      <c r="Q54" s="526"/>
      <c r="R54" s="1561">
        <f>R29+R50+R52</f>
        <v>0</v>
      </c>
      <c r="S54" s="993"/>
      <c r="T54" s="1561">
        <f>T29+T50+T52</f>
        <v>0</v>
      </c>
      <c r="U54" s="993"/>
      <c r="V54" s="1561">
        <f>V29+V50+V52</f>
        <v>0</v>
      </c>
      <c r="W54" s="993"/>
      <c r="X54" s="1561">
        <f>X29+X50+X52</f>
        <v>0</v>
      </c>
      <c r="Y54" s="2054"/>
      <c r="Z54" s="526"/>
      <c r="AA54" s="1561">
        <f>AA29+AA50+AA52</f>
        <v>25398.9</v>
      </c>
      <c r="AB54" s="2054"/>
      <c r="AC54" s="526"/>
      <c r="AD54" s="1561">
        <f>AD29+AD50+AD52</f>
        <v>31095.5</v>
      </c>
      <c r="AE54" s="988"/>
      <c r="AF54" s="989"/>
      <c r="AG54" s="1561">
        <f>ROUND(SUM(AG29+AG50+AG52),1)</f>
        <v>-5696.6</v>
      </c>
      <c r="AH54" s="118"/>
      <c r="AI54" s="666">
        <f>ROUND(IF(AD54=0,0,AG54/ABS(AD54)),3)</f>
        <v>-0.183</v>
      </c>
      <c r="AJ54" s="994"/>
    </row>
    <row r="55" spans="1:36" ht="19.5" customHeight="1">
      <c r="A55" s="991"/>
      <c r="B55" s="690"/>
      <c r="C55" s="690"/>
      <c r="D55" s="690"/>
      <c r="E55" s="690"/>
      <c r="F55" s="690"/>
      <c r="G55" s="690"/>
      <c r="H55" s="690"/>
      <c r="I55" s="1316"/>
      <c r="J55" s="1316"/>
      <c r="K55" s="1316"/>
      <c r="L55" s="1316"/>
      <c r="M55" s="1316"/>
      <c r="N55" s="1316"/>
      <c r="O55" s="1316"/>
      <c r="P55" s="1316"/>
      <c r="Q55" s="1316"/>
      <c r="R55" s="1316"/>
      <c r="S55" s="1316"/>
      <c r="T55" s="1316"/>
      <c r="U55" s="1316"/>
      <c r="V55" s="1316"/>
      <c r="W55" s="1316"/>
      <c r="X55" s="1316"/>
      <c r="Y55" s="2053"/>
      <c r="Z55" s="1316"/>
      <c r="AA55" s="690"/>
      <c r="AB55" s="2053"/>
      <c r="AC55" s="1316"/>
      <c r="AD55" s="690"/>
      <c r="AE55" s="1558"/>
      <c r="AF55" s="1315"/>
      <c r="AG55" s="1316"/>
      <c r="AH55" s="991"/>
      <c r="AI55" s="991"/>
    </row>
    <row r="56" spans="1:36" ht="15.5">
      <c r="A56" s="995" t="s">
        <v>577</v>
      </c>
      <c r="B56" s="690"/>
      <c r="C56" s="690"/>
      <c r="D56" s="690"/>
      <c r="E56" s="690"/>
      <c r="F56" s="690"/>
      <c r="G56" s="690"/>
      <c r="H56" s="690"/>
      <c r="I56" s="1316"/>
      <c r="J56" s="1316"/>
      <c r="K56" s="1316"/>
      <c r="L56" s="1316"/>
      <c r="M56" s="1316"/>
      <c r="N56" s="1316"/>
      <c r="O56" s="1316"/>
      <c r="P56" s="1316"/>
      <c r="Q56" s="1316"/>
      <c r="R56" s="1316"/>
      <c r="S56" s="1316"/>
      <c r="T56" s="1316"/>
      <c r="U56" s="1316"/>
      <c r="V56" s="1316"/>
      <c r="W56" s="1316"/>
      <c r="X56" s="1316"/>
      <c r="Y56" s="2053"/>
      <c r="Z56" s="1316"/>
      <c r="AA56" s="690"/>
      <c r="AB56" s="2053"/>
      <c r="AC56" s="1316"/>
      <c r="AD56" s="690"/>
      <c r="AE56" s="1558"/>
      <c r="AF56" s="1315"/>
      <c r="AG56" s="1316"/>
      <c r="AH56" s="991"/>
      <c r="AI56" s="991"/>
    </row>
    <row r="57" spans="1:36" ht="14.25" customHeight="1">
      <c r="A57" s="996" t="s">
        <v>483</v>
      </c>
      <c r="B57" s="690"/>
      <c r="C57" s="690"/>
      <c r="D57" s="690"/>
      <c r="E57" s="690"/>
      <c r="F57" s="690"/>
      <c r="G57" s="690"/>
      <c r="H57" s="690"/>
      <c r="I57" s="1316"/>
      <c r="J57" s="1316"/>
      <c r="K57" s="1316"/>
      <c r="L57" s="1316"/>
      <c r="M57" s="1316"/>
      <c r="N57" s="1316"/>
      <c r="O57" s="1316"/>
      <c r="P57" s="1316"/>
      <c r="Q57" s="1316"/>
      <c r="R57" s="1316"/>
      <c r="S57" s="1316"/>
      <c r="T57" s="1316"/>
      <c r="U57" s="1316"/>
      <c r="V57" s="1316"/>
      <c r="W57" s="1316"/>
      <c r="X57" s="1316"/>
      <c r="Y57" s="2053"/>
      <c r="Z57" s="1316"/>
      <c r="AA57" s="690"/>
      <c r="AB57" s="2053"/>
      <c r="AC57" s="1316"/>
      <c r="AD57" s="690"/>
      <c r="AE57" s="1558"/>
      <c r="AF57" s="1315"/>
      <c r="AG57" s="1316"/>
      <c r="AH57" s="991"/>
      <c r="AI57" s="991"/>
    </row>
    <row r="58" spans="1:36" ht="14.25" customHeight="1">
      <c r="A58" s="996" t="s">
        <v>138</v>
      </c>
      <c r="B58" s="659">
        <v>0</v>
      </c>
      <c r="C58" s="690"/>
      <c r="D58" s="659">
        <v>1</v>
      </c>
      <c r="E58" s="1741"/>
      <c r="F58" s="659">
        <v>0.7</v>
      </c>
      <c r="G58" s="690"/>
      <c r="H58" s="635">
        <v>29.1</v>
      </c>
      <c r="I58" s="1316"/>
      <c r="J58" s="635">
        <v>5.2999999999999972</v>
      </c>
      <c r="K58" s="1316"/>
      <c r="L58" s="635">
        <v>0.60000000000000142</v>
      </c>
      <c r="M58" s="1316"/>
      <c r="N58" s="635">
        <v>0</v>
      </c>
      <c r="O58" s="1316"/>
      <c r="P58" s="635">
        <f t="shared" ref="P58" si="6">$AA58-$B58-$D58-$F58-$H58-$J58-$L58-$N58</f>
        <v>1.6999999999999957</v>
      </c>
      <c r="Q58" s="1316"/>
      <c r="R58" s="635"/>
      <c r="S58" s="1316"/>
      <c r="T58" s="635"/>
      <c r="U58" s="1316"/>
      <c r="V58" s="635"/>
      <c r="W58" s="1316"/>
      <c r="X58" s="635"/>
      <c r="Y58" s="2053"/>
      <c r="Z58" s="1316"/>
      <c r="AA58" s="835">
        <v>38.4</v>
      </c>
      <c r="AB58" s="2053"/>
      <c r="AC58" s="1316"/>
      <c r="AD58" s="835">
        <v>26.1</v>
      </c>
      <c r="AE58" s="1558"/>
      <c r="AF58" s="1315"/>
      <c r="AG58" s="1316">
        <f>ROUND(SUM(AA58-AD58),1)</f>
        <v>12.3</v>
      </c>
      <c r="AH58" s="991"/>
      <c r="AI58" s="670">
        <f>ROUND(IF(AD58=0,0,AG58/ABS(AD58)),3)</f>
        <v>0.47099999999999997</v>
      </c>
    </row>
    <row r="59" spans="1:36" ht="14.25" customHeight="1">
      <c r="A59" s="996" t="s">
        <v>543</v>
      </c>
      <c r="B59" s="635" t="s">
        <v>254</v>
      </c>
      <c r="C59" s="690"/>
      <c r="D59" s="635"/>
      <c r="E59" s="690"/>
      <c r="F59" s="635"/>
      <c r="G59" s="690"/>
      <c r="H59" s="635" t="s">
        <v>254</v>
      </c>
      <c r="I59" s="1316"/>
      <c r="J59" s="635"/>
      <c r="K59" s="1316"/>
      <c r="L59" s="635"/>
      <c r="M59" s="1316"/>
      <c r="N59" s="635"/>
      <c r="O59" s="1316"/>
      <c r="P59" s="635"/>
      <c r="Q59" s="1316"/>
      <c r="R59" s="635"/>
      <c r="S59" s="1316"/>
      <c r="T59" s="635"/>
      <c r="U59" s="1316"/>
      <c r="V59" s="635"/>
      <c r="W59" s="1316"/>
      <c r="X59" s="635"/>
      <c r="Y59" s="2053"/>
      <c r="Z59" s="1316"/>
      <c r="AA59" s="690" t="s">
        <v>254</v>
      </c>
      <c r="AB59" s="2053"/>
      <c r="AC59" s="1316"/>
      <c r="AD59" s="690" t="s">
        <v>254</v>
      </c>
      <c r="AE59" s="1558"/>
      <c r="AF59" s="1315"/>
      <c r="AG59" s="1316"/>
      <c r="AH59" s="991"/>
      <c r="AI59" s="991"/>
    </row>
    <row r="60" spans="1:36" ht="14.25" customHeight="1">
      <c r="A60" s="997" t="s">
        <v>578</v>
      </c>
      <c r="B60" s="659">
        <v>35.200000000000003</v>
      </c>
      <c r="C60" s="690"/>
      <c r="D60" s="659">
        <v>28.5</v>
      </c>
      <c r="E60" s="690"/>
      <c r="F60" s="659">
        <v>4.8999999999999915</v>
      </c>
      <c r="G60" s="690"/>
      <c r="H60" s="635">
        <v>4.5</v>
      </c>
      <c r="I60" s="1316"/>
      <c r="J60" s="635">
        <v>61.400000000000006</v>
      </c>
      <c r="K60" s="1316"/>
      <c r="L60" s="635">
        <v>426.9</v>
      </c>
      <c r="M60" s="1316"/>
      <c r="N60" s="635">
        <v>5.3000000000000682</v>
      </c>
      <c r="O60" s="1316"/>
      <c r="P60" s="635">
        <f t="shared" ref="P60" si="7">$AA60-$B60-$D60-$F60-$H60-$J60-$L60-$N60</f>
        <v>13.799999999999955</v>
      </c>
      <c r="Q60" s="1316"/>
      <c r="R60" s="635"/>
      <c r="S60" s="1316"/>
      <c r="T60" s="635"/>
      <c r="U60" s="1316"/>
      <c r="V60" s="635"/>
      <c r="W60" s="1316"/>
      <c r="X60" s="635"/>
      <c r="Y60" s="2053"/>
      <c r="Z60" s="1316"/>
      <c r="AA60" s="998">
        <v>580.5</v>
      </c>
      <c r="AB60" s="2053"/>
      <c r="AC60" s="1316"/>
      <c r="AD60" s="998">
        <v>1440.6</v>
      </c>
      <c r="AE60" s="1558"/>
      <c r="AF60" s="1315"/>
      <c r="AG60" s="1562">
        <f>ROUND(SUM(AA60-AD60),1)</f>
        <v>-860.1</v>
      </c>
      <c r="AH60" s="991"/>
      <c r="AI60" s="661">
        <f>ROUND(IF(AD60=0,0,AG60/ABS(AD60)),3)</f>
        <v>-0.59699999999999998</v>
      </c>
    </row>
    <row r="61" spans="1:36" ht="15.5">
      <c r="A61" s="991"/>
      <c r="B61" s="1685"/>
      <c r="C61" s="690"/>
      <c r="D61" s="1685"/>
      <c r="E61" s="690"/>
      <c r="F61" s="1685"/>
      <c r="G61" s="690"/>
      <c r="H61" s="1685"/>
      <c r="I61" s="1316"/>
      <c r="J61" s="1686"/>
      <c r="K61" s="1316"/>
      <c r="L61" s="1686"/>
      <c r="M61" s="1316"/>
      <c r="N61" s="1686"/>
      <c r="O61" s="1316"/>
      <c r="P61" s="1686"/>
      <c r="Q61" s="1316"/>
      <c r="R61" s="1686"/>
      <c r="S61" s="1316"/>
      <c r="T61" s="1686"/>
      <c r="U61" s="1316"/>
      <c r="V61" s="1686"/>
      <c r="W61" s="1316"/>
      <c r="X61" s="1686"/>
      <c r="Y61" s="2053"/>
      <c r="Z61" s="1316"/>
      <c r="AA61" s="690"/>
      <c r="AB61" s="2053"/>
      <c r="AC61" s="1316"/>
      <c r="AD61" s="690"/>
      <c r="AE61" s="1558"/>
      <c r="AF61" s="1315"/>
      <c r="AG61" s="1316"/>
      <c r="AH61" s="991"/>
      <c r="AI61" s="991"/>
    </row>
    <row r="62" spans="1:36" ht="14.25" customHeight="1">
      <c r="A62" s="995" t="s">
        <v>579</v>
      </c>
      <c r="B62" s="773">
        <f>ROUND(SUM(B58:B60),1)</f>
        <v>35.200000000000003</v>
      </c>
      <c r="C62" s="987"/>
      <c r="D62" s="773">
        <f>ROUND(SUM(D58:D60),1)</f>
        <v>29.5</v>
      </c>
      <c r="E62" s="992"/>
      <c r="F62" s="773">
        <f>ROUND(SUM(F58:F60),1)</f>
        <v>5.6</v>
      </c>
      <c r="G62" s="992"/>
      <c r="H62" s="773">
        <f>ROUND(SUM(H58:H60),1)</f>
        <v>33.6</v>
      </c>
      <c r="I62" s="993"/>
      <c r="J62" s="1561">
        <f>ROUND(SUM(J58:J60),1)</f>
        <v>66.7</v>
      </c>
      <c r="K62" s="993"/>
      <c r="L62" s="1561">
        <f>ROUND(SUM(L58:L60),1)</f>
        <v>427.5</v>
      </c>
      <c r="M62" s="993"/>
      <c r="N62" s="1561">
        <f>ROUND(SUM(N58:N60),1)</f>
        <v>5.3</v>
      </c>
      <c r="O62" s="993"/>
      <c r="P62" s="1561">
        <f>ROUND(SUM(P58:P60),1)</f>
        <v>15.5</v>
      </c>
      <c r="Q62" s="526"/>
      <c r="R62" s="1561">
        <f>ROUND(SUM(R58:R60),1)</f>
        <v>0</v>
      </c>
      <c r="S62" s="993"/>
      <c r="T62" s="1561">
        <f>ROUND(SUM(T58:T60),1)</f>
        <v>0</v>
      </c>
      <c r="U62" s="993"/>
      <c r="V62" s="1561">
        <f>ROUND(SUM(V58:V60),1)</f>
        <v>0</v>
      </c>
      <c r="W62" s="993"/>
      <c r="X62" s="1561">
        <f>ROUND(SUM(X58:X60),1)</f>
        <v>0</v>
      </c>
      <c r="Y62" s="2054"/>
      <c r="Z62" s="526"/>
      <c r="AA62" s="1561">
        <f>ROUND(SUM(AA58:AA60),1)</f>
        <v>618.9</v>
      </c>
      <c r="AB62" s="2054"/>
      <c r="AC62" s="526"/>
      <c r="AD62" s="1561">
        <f>ROUND(SUM(AD58:AD60),1)</f>
        <v>1466.7</v>
      </c>
      <c r="AE62" s="988"/>
      <c r="AF62" s="989"/>
      <c r="AG62" s="1561">
        <f>ROUND(SUM(AG58:AG60),1)</f>
        <v>-847.8</v>
      </c>
      <c r="AH62" s="118"/>
      <c r="AI62" s="666">
        <f>ROUND(IF(AD62=0,0,AG62/ABS(AD62)),3)</f>
        <v>-0.57799999999999996</v>
      </c>
      <c r="AJ62" s="999"/>
    </row>
    <row r="63" spans="1:36" ht="12" customHeight="1">
      <c r="A63" s="991"/>
      <c r="B63" s="690"/>
      <c r="C63" s="690"/>
      <c r="D63" s="1000"/>
      <c r="E63" s="1000"/>
      <c r="F63" s="1000"/>
      <c r="G63" s="1000"/>
      <c r="H63" s="1000"/>
      <c r="I63" s="1563"/>
      <c r="J63" s="1563"/>
      <c r="K63" s="1563"/>
      <c r="L63" s="1563"/>
      <c r="M63" s="1563"/>
      <c r="N63" s="1563"/>
      <c r="O63" s="1563"/>
      <c r="P63" s="1563"/>
      <c r="Q63" s="1563"/>
      <c r="R63" s="1563"/>
      <c r="S63" s="1563"/>
      <c r="T63" s="1563"/>
      <c r="U63" s="1563"/>
      <c r="V63" s="1563"/>
      <c r="W63" s="1563"/>
      <c r="X63" s="1563"/>
      <c r="Y63" s="2053"/>
      <c r="Z63" s="1316"/>
      <c r="AA63" s="690"/>
      <c r="AB63" s="2053"/>
      <c r="AC63" s="1316"/>
      <c r="AD63" s="690"/>
      <c r="AE63" s="1558"/>
      <c r="AF63" s="1315"/>
      <c r="AG63" s="1316"/>
      <c r="AH63" s="991"/>
      <c r="AI63" s="991"/>
    </row>
    <row r="64" spans="1:36" ht="14.25" customHeight="1">
      <c r="A64" s="995" t="s">
        <v>145</v>
      </c>
      <c r="B64" s="690"/>
      <c r="C64" s="690"/>
      <c r="D64" s="1000"/>
      <c r="E64" s="1000"/>
      <c r="F64" s="1000"/>
      <c r="G64" s="1000"/>
      <c r="H64" s="1000"/>
      <c r="I64" s="1563"/>
      <c r="J64" s="1563"/>
      <c r="K64" s="1563"/>
      <c r="L64" s="1563"/>
      <c r="M64" s="1563"/>
      <c r="N64" s="1563"/>
      <c r="O64" s="1563"/>
      <c r="P64" s="1563"/>
      <c r="Q64" s="1563"/>
      <c r="R64" s="1563"/>
      <c r="S64" s="1563"/>
      <c r="T64" s="1563"/>
      <c r="U64" s="1563"/>
      <c r="V64" s="1563"/>
      <c r="W64" s="1563"/>
      <c r="X64" s="1563"/>
      <c r="Y64" s="2053"/>
      <c r="Z64" s="1316"/>
      <c r="AA64" s="690"/>
      <c r="AB64" s="2053"/>
      <c r="AC64" s="1316"/>
      <c r="AD64" s="690"/>
      <c r="AE64" s="1558"/>
      <c r="AF64" s="1315"/>
      <c r="AG64" s="1316"/>
      <c r="AH64" s="991"/>
      <c r="AI64" s="991"/>
    </row>
    <row r="65" spans="1:38" ht="14.25" customHeight="1">
      <c r="A65" s="118" t="s">
        <v>580</v>
      </c>
      <c r="B65" s="773">
        <f>ROUND(SUM(B54-B62),1)</f>
        <v>4566</v>
      </c>
      <c r="C65" s="987"/>
      <c r="D65" s="773">
        <f>ROUND(SUM(D54-D62),1)</f>
        <v>1910.3</v>
      </c>
      <c r="E65" s="992"/>
      <c r="F65" s="773">
        <f>ROUND(SUM(F54-F62),1)</f>
        <v>4779.8</v>
      </c>
      <c r="G65" s="992"/>
      <c r="H65" s="773">
        <f>ROUND(SUM(H54-H62),1)</f>
        <v>2672.3</v>
      </c>
      <c r="I65" s="993"/>
      <c r="J65" s="1561">
        <f>ROUND(SUM(J54-J62),1)</f>
        <v>2708.7</v>
      </c>
      <c r="K65" s="993"/>
      <c r="L65" s="1561">
        <f>ROUND(SUM(L54-L62),1)</f>
        <v>4253.2</v>
      </c>
      <c r="M65" s="993"/>
      <c r="N65" s="1561">
        <f>ROUND(SUM(N54-N62),1)</f>
        <v>1342</v>
      </c>
      <c r="O65" s="993"/>
      <c r="P65" s="1561">
        <f>ROUND(SUM(P54-P62),1)</f>
        <v>2547.6999999999998</v>
      </c>
      <c r="Q65" s="526"/>
      <c r="R65" s="1561">
        <f>ROUND(SUM(R54-R62),1)</f>
        <v>0</v>
      </c>
      <c r="S65" s="993"/>
      <c r="T65" s="1561">
        <f>ROUND(SUM(T54-T62),1)</f>
        <v>0</v>
      </c>
      <c r="U65" s="993"/>
      <c r="V65" s="1561">
        <f>ROUND(SUM(V54-V62),1)</f>
        <v>0</v>
      </c>
      <c r="W65" s="993"/>
      <c r="X65" s="1561">
        <f>ROUND(SUM(X54-X62),1)</f>
        <v>0</v>
      </c>
      <c r="Y65" s="2054"/>
      <c r="Z65" s="526"/>
      <c r="AA65" s="1561">
        <f>ROUND(SUM(AA54-AA62),1)</f>
        <v>24780</v>
      </c>
      <c r="AB65" s="2054"/>
      <c r="AC65" s="526"/>
      <c r="AD65" s="1561">
        <f>ROUND(SUM(AD54-AD62),1)</f>
        <v>29628.799999999999</v>
      </c>
      <c r="AE65" s="988"/>
      <c r="AF65" s="989"/>
      <c r="AG65" s="1561">
        <f>ROUND(SUM(+AG54-AG62),1)</f>
        <v>-4848.8</v>
      </c>
      <c r="AH65" s="118"/>
      <c r="AI65" s="666">
        <f>ROUND(IF(AD65=0,0,AG65/ABS(AD65)),3)</f>
        <v>-0.16400000000000001</v>
      </c>
      <c r="AJ65" s="994"/>
    </row>
    <row r="66" spans="1:38" ht="19.5" customHeight="1">
      <c r="A66" s="991"/>
      <c r="B66" s="690"/>
      <c r="C66" s="690"/>
      <c r="D66" s="690"/>
      <c r="E66" s="690"/>
      <c r="F66" s="690"/>
      <c r="G66" s="690"/>
      <c r="H66" s="690"/>
      <c r="I66" s="1316"/>
      <c r="J66" s="1316"/>
      <c r="K66" s="1316"/>
      <c r="L66" s="1316"/>
      <c r="M66" s="1316"/>
      <c r="N66" s="1316"/>
      <c r="O66" s="1316"/>
      <c r="P66" s="1316"/>
      <c r="Q66" s="1316"/>
      <c r="R66" s="1316"/>
      <c r="S66" s="1316"/>
      <c r="T66" s="1316"/>
      <c r="U66" s="1316"/>
      <c r="V66" s="1316"/>
      <c r="W66" s="1316"/>
      <c r="X66" s="1316"/>
      <c r="Y66" s="2053"/>
      <c r="Z66" s="1316"/>
      <c r="AA66" s="690"/>
      <c r="AB66" s="2053"/>
      <c r="AC66" s="1316"/>
      <c r="AD66" s="690"/>
      <c r="AE66" s="1558"/>
      <c r="AF66" s="1315"/>
      <c r="AG66" s="1316"/>
      <c r="AH66" s="991"/>
      <c r="AI66" s="991"/>
    </row>
    <row r="67" spans="1:38" ht="14.25" customHeight="1">
      <c r="A67" s="995" t="s">
        <v>147</v>
      </c>
      <c r="B67" s="690"/>
      <c r="C67" s="690"/>
      <c r="D67" s="690"/>
      <c r="E67" s="690"/>
      <c r="F67" s="690"/>
      <c r="G67" s="690"/>
      <c r="H67" s="690"/>
      <c r="I67" s="1316"/>
      <c r="J67" s="1316"/>
      <c r="K67" s="1316"/>
      <c r="L67" s="1316"/>
      <c r="M67" s="1316"/>
      <c r="N67" s="1316"/>
      <c r="O67" s="1316"/>
      <c r="P67" s="1316"/>
      <c r="Q67" s="1316"/>
      <c r="R67" s="1316"/>
      <c r="S67" s="1316"/>
      <c r="T67" s="1316"/>
      <c r="U67" s="1316"/>
      <c r="V67" s="1316"/>
      <c r="W67" s="1316"/>
      <c r="X67" s="1316"/>
      <c r="Y67" s="2053"/>
      <c r="Z67" s="1316"/>
      <c r="AA67" s="690"/>
      <c r="AB67" s="2053"/>
      <c r="AC67" s="1316"/>
      <c r="AD67" s="690"/>
      <c r="AE67" s="1558"/>
      <c r="AF67" s="1315"/>
      <c r="AG67" s="1316"/>
      <c r="AH67" s="991"/>
      <c r="AI67" s="991"/>
    </row>
    <row r="68" spans="1:38" ht="14.25" customHeight="1">
      <c r="A68" s="996" t="s">
        <v>569</v>
      </c>
      <c r="B68" s="659">
        <v>135.69999999999999</v>
      </c>
      <c r="C68" s="690"/>
      <c r="D68" s="659">
        <v>84.700000000000017</v>
      </c>
      <c r="E68" s="690"/>
      <c r="F68" s="659">
        <v>135.79999999999998</v>
      </c>
      <c r="G68" s="690"/>
      <c r="H68" s="635">
        <v>76.400000000000034</v>
      </c>
      <c r="I68" s="1316"/>
      <c r="J68" s="635">
        <v>130.00000000000003</v>
      </c>
      <c r="K68" s="1316"/>
      <c r="L68" s="635">
        <v>81.500000000000028</v>
      </c>
      <c r="M68" s="1316"/>
      <c r="N68" s="635">
        <v>162.59999999999991</v>
      </c>
      <c r="O68" s="1316"/>
      <c r="P68" s="635">
        <f t="shared" ref="P68:P69" si="8">$AA68-$B68-$D68-$F68-$H68-$J68-$L68-$N68</f>
        <v>427.5</v>
      </c>
      <c r="Q68" s="1316"/>
      <c r="R68" s="635"/>
      <c r="S68" s="1316"/>
      <c r="T68" s="635"/>
      <c r="U68" s="1316"/>
      <c r="V68" s="635"/>
      <c r="W68" s="1316"/>
      <c r="X68" s="635"/>
      <c r="Y68" s="2053"/>
      <c r="Z68" s="1316"/>
      <c r="AA68" s="835">
        <v>1234.2</v>
      </c>
      <c r="AB68" s="2053"/>
      <c r="AC68" s="1316"/>
      <c r="AD68" s="835">
        <v>1060.5999999999999</v>
      </c>
      <c r="AE68" s="1558"/>
      <c r="AF68" s="1315"/>
      <c r="AG68" s="1316">
        <f>ROUND(SUM(AA68-AD68),1)</f>
        <v>173.6</v>
      </c>
      <c r="AH68" s="991"/>
      <c r="AI68" s="327">
        <f>ROUND(IF(AD68=0,0,AG68/ABS(AD68)),3)</f>
        <v>0.16400000000000001</v>
      </c>
    </row>
    <row r="69" spans="1:38" ht="14.25" customHeight="1">
      <c r="A69" s="996" t="s">
        <v>581</v>
      </c>
      <c r="B69" s="659">
        <v>-4650.8999999999996</v>
      </c>
      <c r="C69" s="690"/>
      <c r="D69" s="659">
        <v>-2014</v>
      </c>
      <c r="E69" s="690"/>
      <c r="F69" s="659">
        <v>-4850.7000000000007</v>
      </c>
      <c r="G69" s="690"/>
      <c r="H69" s="635">
        <v>-2520.6000000000004</v>
      </c>
      <c r="I69" s="1316"/>
      <c r="J69" s="635">
        <v>-2260.5</v>
      </c>
      <c r="K69" s="1316"/>
      <c r="L69" s="635">
        <v>-5203.899999999996</v>
      </c>
      <c r="M69" s="1316"/>
      <c r="N69" s="635">
        <v>-1419.2000000000044</v>
      </c>
      <c r="O69" s="1316"/>
      <c r="P69" s="635">
        <f t="shared" si="8"/>
        <v>-2599.4000000000015</v>
      </c>
      <c r="Q69" s="1316"/>
      <c r="R69" s="635"/>
      <c r="S69" s="1316"/>
      <c r="T69" s="635"/>
      <c r="U69" s="1316"/>
      <c r="V69" s="635"/>
      <c r="W69" s="1316"/>
      <c r="X69" s="635"/>
      <c r="Y69" s="2053"/>
      <c r="Z69" s="1316"/>
      <c r="AA69" s="1001">
        <v>-25519.200000000001</v>
      </c>
      <c r="AB69" s="2053"/>
      <c r="AC69" s="1316"/>
      <c r="AD69" s="1001">
        <v>-29910.3</v>
      </c>
      <c r="AE69" s="1558"/>
      <c r="AF69" s="1315"/>
      <c r="AG69" s="1562">
        <f>ROUND(SUM(-(AA69-AD69)),1)</f>
        <v>-4391.1000000000004</v>
      </c>
      <c r="AH69" s="991"/>
      <c r="AI69" s="661">
        <f>ROUND(IF(AD69=0,0,AG69/ABS(AD69)),3)</f>
        <v>-0.14699999999999999</v>
      </c>
    </row>
    <row r="70" spans="1:38" ht="15.5">
      <c r="A70" s="991"/>
      <c r="B70" s="1686"/>
      <c r="C70" s="1316"/>
      <c r="D70" s="1687"/>
      <c r="E70" s="1316"/>
      <c r="F70" s="1687"/>
      <c r="G70" s="1316"/>
      <c r="H70" s="1687"/>
      <c r="I70" s="1316"/>
      <c r="J70" s="1687"/>
      <c r="K70" s="1316"/>
      <c r="L70" s="1687"/>
      <c r="M70" s="1316"/>
      <c r="N70" s="1687"/>
      <c r="O70" s="1316"/>
      <c r="P70" s="1687"/>
      <c r="Q70" s="1316"/>
      <c r="R70" s="1687"/>
      <c r="S70" s="1316"/>
      <c r="T70" s="1687"/>
      <c r="U70" s="1316"/>
      <c r="V70" s="1687"/>
      <c r="W70" s="1316"/>
      <c r="X70" s="1687"/>
      <c r="Y70" s="2053"/>
      <c r="Z70" s="1316"/>
      <c r="AA70" s="690"/>
      <c r="AB70" s="2053"/>
      <c r="AC70" s="1316"/>
      <c r="AD70" s="690"/>
      <c r="AE70" s="1558"/>
      <c r="AF70" s="1315"/>
      <c r="AG70" s="1316"/>
      <c r="AH70" s="991"/>
      <c r="AI70" s="991"/>
    </row>
    <row r="71" spans="1:38" ht="14.25" customHeight="1">
      <c r="A71" s="995" t="s">
        <v>582</v>
      </c>
      <c r="B71" s="1514">
        <f>ROUND(SUM(B68:B69),1)</f>
        <v>-4515.2</v>
      </c>
      <c r="C71" s="526"/>
      <c r="D71" s="1514">
        <f>ROUND(SUM(D68:D69),1)</f>
        <v>-1929.3</v>
      </c>
      <c r="E71" s="993"/>
      <c r="F71" s="1514">
        <f>ROUND(SUM(F68:F69),1)</f>
        <v>-4714.8999999999996</v>
      </c>
      <c r="G71" s="993"/>
      <c r="H71" s="1514">
        <f>ROUND(SUM(H68:H69),1)</f>
        <v>-2444.1999999999998</v>
      </c>
      <c r="I71" s="993"/>
      <c r="J71" s="1514">
        <f>ROUND(SUM(J68:J69),1)</f>
        <v>-2130.5</v>
      </c>
      <c r="K71" s="993"/>
      <c r="L71" s="1514">
        <f>ROUND(SUM(L68:L69),1)</f>
        <v>-5122.3999999999996</v>
      </c>
      <c r="M71" s="993"/>
      <c r="N71" s="1514">
        <f>ROUND(SUM(N68:N69),1)</f>
        <v>-1256.5999999999999</v>
      </c>
      <c r="O71" s="993"/>
      <c r="P71" s="1514">
        <f>ROUND(SUM(P68:P69),1)</f>
        <v>-2171.9</v>
      </c>
      <c r="Q71" s="839"/>
      <c r="R71" s="1514">
        <f>ROUND(SUM(R68:R69),1)</f>
        <v>0</v>
      </c>
      <c r="S71" s="993"/>
      <c r="T71" s="1514">
        <f>ROUND(SUM(T68:T69),1)</f>
        <v>0</v>
      </c>
      <c r="U71" s="993"/>
      <c r="V71" s="1514">
        <f>ROUND(SUM(V68:V69),1)</f>
        <v>0</v>
      </c>
      <c r="W71" s="993"/>
      <c r="X71" s="1514">
        <f>ROUND(SUM(X68:X69),1)</f>
        <v>0</v>
      </c>
      <c r="Y71" s="2054"/>
      <c r="Z71" s="526"/>
      <c r="AA71" s="1514">
        <f>ROUND(SUM(AA68:AA69),1)</f>
        <v>-24285</v>
      </c>
      <c r="AB71" s="2054"/>
      <c r="AC71" s="526"/>
      <c r="AD71" s="1514">
        <f>ROUND(SUM(AD68:AD69),1)</f>
        <v>-28849.7</v>
      </c>
      <c r="AE71" s="988"/>
      <c r="AF71" s="989"/>
      <c r="AG71" s="1514">
        <f>ROUND(SUM(AA71-AD71),1)</f>
        <v>4564.7</v>
      </c>
      <c r="AH71" s="118"/>
      <c r="AI71" s="666">
        <f>ROUND(IF(AD71=0,0,AG71/ABS(AD71)),3)</f>
        <v>0.158</v>
      </c>
      <c r="AJ71" s="994"/>
    </row>
    <row r="72" spans="1:38" ht="19.5" customHeight="1">
      <c r="A72" s="991"/>
      <c r="B72" s="1316"/>
      <c r="C72" s="1316"/>
      <c r="D72" s="1558"/>
      <c r="E72" s="1316"/>
      <c r="F72" s="1558"/>
      <c r="G72" s="1316"/>
      <c r="H72" s="1558"/>
      <c r="I72" s="1316"/>
      <c r="J72" s="1558"/>
      <c r="K72" s="1316"/>
      <c r="L72" s="1558"/>
      <c r="M72" s="1316"/>
      <c r="N72" s="1558"/>
      <c r="O72" s="1316"/>
      <c r="P72" s="1558"/>
      <c r="Q72" s="1316"/>
      <c r="R72" s="1558"/>
      <c r="S72" s="1316"/>
      <c r="T72" s="1558"/>
      <c r="U72" s="1316"/>
      <c r="V72" s="1558"/>
      <c r="W72" s="1316"/>
      <c r="X72" s="1558"/>
      <c r="Y72" s="2053"/>
      <c r="Z72" s="1316"/>
      <c r="AA72" s="690"/>
      <c r="AB72" s="2053"/>
      <c r="AC72" s="1316"/>
      <c r="AD72" s="690"/>
      <c r="AE72" s="1558"/>
      <c r="AF72" s="1315"/>
      <c r="AG72" s="1316"/>
      <c r="AH72" s="991"/>
      <c r="AI72" s="991"/>
    </row>
    <row r="73" spans="1:38" ht="14.25" customHeight="1">
      <c r="A73" s="118" t="s">
        <v>583</v>
      </c>
      <c r="B73" s="1316"/>
      <c r="C73" s="1316"/>
      <c r="D73" s="1563"/>
      <c r="E73" s="1316"/>
      <c r="F73" s="1563"/>
      <c r="G73" s="1316"/>
      <c r="H73" s="1563"/>
      <c r="I73" s="1316"/>
      <c r="J73" s="1563"/>
      <c r="K73" s="1316"/>
      <c r="L73" s="1563"/>
      <c r="M73" s="1316"/>
      <c r="N73" s="1563"/>
      <c r="O73" s="1316"/>
      <c r="P73" s="1563"/>
      <c r="Q73" s="1316"/>
      <c r="R73" s="1563"/>
      <c r="S73" s="1316"/>
      <c r="T73" s="1563"/>
      <c r="U73" s="1316"/>
      <c r="V73" s="1563"/>
      <c r="W73" s="1316"/>
      <c r="X73" s="1563"/>
      <c r="Y73" s="2053"/>
      <c r="Z73" s="1316"/>
      <c r="AA73" s="690"/>
      <c r="AB73" s="2053"/>
      <c r="AC73" s="1316"/>
      <c r="AD73" s="690"/>
      <c r="AE73" s="1558"/>
      <c r="AF73" s="1315"/>
      <c r="AG73" s="1316"/>
      <c r="AH73" s="991"/>
      <c r="AI73" s="991"/>
    </row>
    <row r="74" spans="1:38" ht="14.25" customHeight="1">
      <c r="A74" s="118" t="s">
        <v>584</v>
      </c>
      <c r="B74" s="1316"/>
      <c r="C74" s="1316"/>
      <c r="D74" s="1563"/>
      <c r="E74" s="1316"/>
      <c r="F74" s="1563"/>
      <c r="G74" s="1316"/>
      <c r="H74" s="1563"/>
      <c r="I74" s="1316"/>
      <c r="J74" s="1563"/>
      <c r="K74" s="1316"/>
      <c r="L74" s="1563"/>
      <c r="M74" s="1316"/>
      <c r="N74" s="1563"/>
      <c r="O74" s="1316"/>
      <c r="P74" s="1563"/>
      <c r="Q74" s="1316"/>
      <c r="R74" s="1563"/>
      <c r="S74" s="1316"/>
      <c r="T74" s="1563"/>
      <c r="U74" s="1316"/>
      <c r="V74" s="1563"/>
      <c r="W74" s="1316"/>
      <c r="X74" s="1563"/>
      <c r="Y74" s="2053"/>
      <c r="Z74" s="1316"/>
      <c r="AA74" s="690"/>
      <c r="AB74" s="2053"/>
      <c r="AC74" s="1316"/>
      <c r="AD74" s="690"/>
      <c r="AE74" s="1558"/>
      <c r="AF74" s="1315"/>
      <c r="AG74" s="1316"/>
      <c r="AH74" s="991"/>
      <c r="AI74" s="991"/>
    </row>
    <row r="75" spans="1:38" ht="14.25" customHeight="1">
      <c r="A75" s="118" t="s">
        <v>585</v>
      </c>
      <c r="B75" s="1561">
        <f>ROUND(SUM(+B65+B71),1)</f>
        <v>50.8</v>
      </c>
      <c r="C75" s="526"/>
      <c r="D75" s="1561">
        <f>ROUND(SUM(+D65+D71),1)</f>
        <v>-19</v>
      </c>
      <c r="E75" s="526"/>
      <c r="F75" s="1561">
        <f>ROUND(SUM(+F65+F71),1)</f>
        <v>64.900000000000006</v>
      </c>
      <c r="G75" s="526"/>
      <c r="H75" s="1561">
        <f>ROUND(SUM(+H65+H71),1)</f>
        <v>228.1</v>
      </c>
      <c r="I75" s="526"/>
      <c r="J75" s="1561">
        <f>ROUND(SUM(+J65+J71),1)</f>
        <v>578.20000000000005</v>
      </c>
      <c r="K75" s="526"/>
      <c r="L75" s="1561">
        <f>ROUND(SUM(+L65+L71),1)</f>
        <v>-869.2</v>
      </c>
      <c r="M75" s="526"/>
      <c r="N75" s="1561">
        <f>ROUND(SUM(+N65+N71),1)</f>
        <v>85.4</v>
      </c>
      <c r="O75" s="526"/>
      <c r="P75" s="1561">
        <f>ROUND(SUM(+P65+P71),1)</f>
        <v>375.8</v>
      </c>
      <c r="Q75" s="526"/>
      <c r="R75" s="1561">
        <f>ROUND(SUM(+R65+R71),1)</f>
        <v>0</v>
      </c>
      <c r="S75" s="526"/>
      <c r="T75" s="1561">
        <f>ROUND(SUM(+T65+T71),1)</f>
        <v>0</v>
      </c>
      <c r="U75" s="526"/>
      <c r="V75" s="1561">
        <f>ROUND(SUM(+V65+V71),1)</f>
        <v>0</v>
      </c>
      <c r="W75" s="526"/>
      <c r="X75" s="1561">
        <f>ROUND(SUM(+X65+X71),1)</f>
        <v>0</v>
      </c>
      <c r="Y75" s="2054"/>
      <c r="Z75" s="526"/>
      <c r="AA75" s="1561">
        <f>ROUND(SUM(+AA65+AA71),1)</f>
        <v>495</v>
      </c>
      <c r="AB75" s="2054"/>
      <c r="AC75" s="526"/>
      <c r="AD75" s="1561">
        <f>ROUND(SUM(+AD65+AD71),1)</f>
        <v>779.1</v>
      </c>
      <c r="AE75" s="988"/>
      <c r="AF75" s="989"/>
      <c r="AG75" s="1561">
        <f>ROUND(SUM(+AG65+AG71),1)</f>
        <v>-284.10000000000002</v>
      </c>
      <c r="AH75" s="118"/>
      <c r="AI75" s="667">
        <f>ROUND(IF(AD75=0,0,AG75/ABS(AD75)),3)</f>
        <v>-0.36499999999999999</v>
      </c>
      <c r="AJ75" s="994"/>
    </row>
    <row r="76" spans="1:38" ht="15.5">
      <c r="A76" s="991"/>
      <c r="B76" s="1234"/>
      <c r="C76" s="1234"/>
      <c r="D76" s="1554"/>
      <c r="E76" s="1234"/>
      <c r="F76" s="1688"/>
      <c r="G76" s="1234"/>
      <c r="H76" s="1688"/>
      <c r="I76" s="1234"/>
      <c r="J76" s="1688"/>
      <c r="K76" s="1234"/>
      <c r="L76" s="1689"/>
      <c r="M76" s="1234"/>
      <c r="N76" s="1688"/>
      <c r="O76" s="1234"/>
      <c r="P76" s="1688"/>
      <c r="Q76" s="1234"/>
      <c r="R76" s="1688"/>
      <c r="S76" s="1234"/>
      <c r="T76" s="1688"/>
      <c r="U76" s="1234"/>
      <c r="V76" s="1688"/>
      <c r="W76" s="1234"/>
      <c r="X76" s="1688"/>
      <c r="Y76" s="2052"/>
      <c r="Z76" s="1234"/>
      <c r="AA76" s="1234" t="s">
        <v>104</v>
      </c>
      <c r="AB76" s="2052"/>
      <c r="AC76" s="1234"/>
      <c r="AD76" s="1207"/>
      <c r="AE76" s="1554"/>
      <c r="AF76" s="1236"/>
      <c r="AG76" s="1234"/>
      <c r="AH76" s="991"/>
      <c r="AI76" s="991"/>
    </row>
    <row r="77" spans="1:38" ht="19.5" customHeight="1" thickBot="1">
      <c r="A77" s="118" t="s">
        <v>463</v>
      </c>
      <c r="B77" s="1002">
        <f>ROUND(SUM(B12+B75),1)</f>
        <v>210.2</v>
      </c>
      <c r="C77" s="117"/>
      <c r="D77" s="1002">
        <f>ROUND(SUM(D12+D75),1)</f>
        <v>191.2</v>
      </c>
      <c r="E77" s="117"/>
      <c r="F77" s="1002">
        <f>ROUND(SUM(F12+F75),1)</f>
        <v>256.10000000000002</v>
      </c>
      <c r="G77" s="117"/>
      <c r="H77" s="1002">
        <f>ROUND(SUM(H12+H75),1)</f>
        <v>484.2</v>
      </c>
      <c r="I77" s="117"/>
      <c r="J77" s="1002">
        <f>ROUND(SUM(J12+J75),1)</f>
        <v>1062.4000000000001</v>
      </c>
      <c r="K77" s="117"/>
      <c r="L77" s="1002">
        <f>ROUND(SUM(L12+L75),1)</f>
        <v>193.2</v>
      </c>
      <c r="M77" s="117"/>
      <c r="N77" s="1002">
        <f>ROUND(SUM(N12+N75),1)</f>
        <v>278.60000000000002</v>
      </c>
      <c r="O77" s="117"/>
      <c r="P77" s="1002">
        <f>ROUND(SUM(P12+P75),1)</f>
        <v>654.4</v>
      </c>
      <c r="Q77" s="117"/>
      <c r="R77" s="1002">
        <f>ROUND(SUM(R12+R75),1)</f>
        <v>0</v>
      </c>
      <c r="S77" s="117"/>
      <c r="T77" s="1002">
        <f>ROUND(SUM(T12+T75),1)</f>
        <v>0</v>
      </c>
      <c r="U77" s="117"/>
      <c r="V77" s="1002">
        <f>ROUND(SUM(V12+V75),1)</f>
        <v>0</v>
      </c>
      <c r="W77" s="117"/>
      <c r="X77" s="1002">
        <f>ROUND(SUM(X12+X75),1)</f>
        <v>0</v>
      </c>
      <c r="Y77" s="2050"/>
      <c r="Z77" s="117"/>
      <c r="AA77" s="1002">
        <f>ROUND(SUM(AA12+AA75),1)</f>
        <v>654.4</v>
      </c>
      <c r="AB77" s="2050"/>
      <c r="AC77" s="117"/>
      <c r="AD77" s="1002">
        <f>ROUND(SUM(AD12+AD75),1)</f>
        <v>881.1</v>
      </c>
      <c r="AE77" s="1003"/>
      <c r="AF77" s="985"/>
      <c r="AG77" s="1002">
        <f>ROUND(SUM(+AG12+AG75),1)</f>
        <v>-226.7</v>
      </c>
      <c r="AH77" s="118"/>
      <c r="AI77" s="1373">
        <f>ROUND(IF(AD77=0,0,AG77/ABS(AD77)),3)</f>
        <v>-0.25700000000000001</v>
      </c>
      <c r="AJ77" s="1004"/>
      <c r="AK77" s="990"/>
      <c r="AL77" s="990"/>
    </row>
    <row r="78" spans="1:38" ht="14.25" customHeight="1" thickTop="1">
      <c r="A78" s="990"/>
      <c r="B78" s="1005"/>
      <c r="C78" s="1005"/>
      <c r="D78" s="1005"/>
      <c r="F78" s="1005"/>
      <c r="H78" s="1006"/>
      <c r="J78" s="1006"/>
      <c r="L78" s="1006"/>
      <c r="N78" s="1006"/>
      <c r="P78" s="1006"/>
      <c r="R78" s="1006"/>
      <c r="T78" s="1006"/>
      <c r="U78" s="973"/>
      <c r="V78" s="1006"/>
      <c r="W78" s="973"/>
      <c r="X78" s="1006"/>
      <c r="Y78" s="1005"/>
      <c r="Z78" s="1005"/>
      <c r="AA78" s="1005"/>
      <c r="AB78" s="1005"/>
      <c r="AC78" s="1005"/>
      <c r="AD78" s="1005"/>
      <c r="AE78" s="1007"/>
      <c r="AF78" s="1005"/>
      <c r="AG78" s="1005"/>
      <c r="AI78" s="1008"/>
    </row>
    <row r="79" spans="1:38">
      <c r="L79" s="973"/>
      <c r="T79" s="1009"/>
      <c r="U79" s="1009"/>
      <c r="V79" s="1009"/>
      <c r="W79" s="1009"/>
      <c r="X79" s="1009"/>
      <c r="AD79" s="1010"/>
    </row>
    <row r="80" spans="1:38" ht="12" customHeight="1">
      <c r="A80" s="991"/>
      <c r="L80" s="973"/>
      <c r="R80" s="1011"/>
      <c r="T80" s="1005"/>
      <c r="V80" s="1005"/>
      <c r="X80" s="1005"/>
    </row>
    <row r="81" spans="1:35">
      <c r="B81" s="1010"/>
      <c r="L81" s="973"/>
      <c r="R81" s="1011"/>
      <c r="T81" s="1005"/>
      <c r="V81" s="1005"/>
      <c r="X81" s="1005"/>
    </row>
    <row r="82" spans="1:35">
      <c r="A82" s="1012"/>
      <c r="L82" s="973"/>
    </row>
    <row r="83" spans="1:35">
      <c r="A83" s="1013"/>
      <c r="B83" s="1010"/>
      <c r="L83" s="973"/>
      <c r="R83" s="1014"/>
    </row>
    <row r="84" spans="1:35">
      <c r="A84" s="1015"/>
      <c r="B84" s="1010"/>
      <c r="L84" s="973"/>
    </row>
    <row r="85" spans="1:35">
      <c r="A85" s="1016"/>
      <c r="L85" s="973"/>
      <c r="AI85" s="1005"/>
    </row>
    <row r="86" spans="1:35">
      <c r="L86" s="973"/>
    </row>
    <row r="87" spans="1:35">
      <c r="L87" s="973"/>
    </row>
    <row r="88" spans="1:35">
      <c r="L88" s="973"/>
    </row>
    <row r="89" spans="1:35">
      <c r="L89" s="973"/>
    </row>
    <row r="90" spans="1:35">
      <c r="L90" s="973"/>
    </row>
    <row r="91" spans="1:35">
      <c r="L91" s="973"/>
    </row>
    <row r="92" spans="1:35">
      <c r="L92" s="973"/>
    </row>
    <row r="93" spans="1:35">
      <c r="L93" s="973"/>
    </row>
    <row r="94" spans="1:35">
      <c r="L94" s="973"/>
    </row>
    <row r="95" spans="1:35">
      <c r="L95" s="973"/>
    </row>
    <row r="96" spans="1:35">
      <c r="L96" s="973"/>
    </row>
    <row r="97" spans="12:12">
      <c r="L97" s="973"/>
    </row>
    <row r="98" spans="12:12">
      <c r="L98" s="973"/>
    </row>
    <row r="99" spans="12:12">
      <c r="L99" s="973"/>
    </row>
    <row r="100" spans="12:12">
      <c r="L100" s="973"/>
    </row>
    <row r="101" spans="12:12">
      <c r="L101" s="973"/>
    </row>
    <row r="102" spans="12:12">
      <c r="L102" s="973"/>
    </row>
    <row r="103" spans="12:12">
      <c r="L103" s="973"/>
    </row>
    <row r="104" spans="12:12">
      <c r="L104" s="973"/>
    </row>
    <row r="105" spans="12:12">
      <c r="L105" s="973"/>
    </row>
    <row r="106" spans="12:12">
      <c r="L106" s="973"/>
    </row>
    <row r="107" spans="12:12">
      <c r="L107" s="973"/>
    </row>
    <row r="108" spans="12:12">
      <c r="L108" s="973"/>
    </row>
    <row r="109" spans="12:12">
      <c r="L109" s="973"/>
    </row>
    <row r="110" spans="12:12">
      <c r="L110" s="973"/>
    </row>
    <row r="111" spans="12:12">
      <c r="L111" s="973"/>
    </row>
    <row r="112" spans="12:12">
      <c r="L112" s="973"/>
    </row>
    <row r="113" spans="12:12">
      <c r="L113" s="973"/>
    </row>
    <row r="114" spans="12:12">
      <c r="L114" s="973"/>
    </row>
    <row r="115" spans="12:12">
      <c r="L115" s="973"/>
    </row>
    <row r="116" spans="12:12">
      <c r="L116" s="973"/>
    </row>
    <row r="117" spans="12:12">
      <c r="L117" s="973"/>
    </row>
    <row r="118" spans="12:12">
      <c r="L118" s="973"/>
    </row>
    <row r="119" spans="12:12">
      <c r="L119" s="973"/>
    </row>
    <row r="120" spans="12:12">
      <c r="L120" s="973"/>
    </row>
    <row r="121" spans="12:12">
      <c r="L121" s="973"/>
    </row>
    <row r="122" spans="12:12">
      <c r="L122" s="973"/>
    </row>
    <row r="123" spans="12:12">
      <c r="L123" s="973"/>
    </row>
    <row r="124" spans="12:12">
      <c r="L124" s="973"/>
    </row>
    <row r="125" spans="12:12">
      <c r="L125" s="973"/>
    </row>
    <row r="126" spans="12:12">
      <c r="L126" s="973"/>
    </row>
    <row r="127" spans="12:12">
      <c r="L127" s="973"/>
    </row>
    <row r="128" spans="12:12">
      <c r="L128" s="973"/>
    </row>
    <row r="129" spans="12:12">
      <c r="L129" s="973"/>
    </row>
    <row r="130" spans="12:12">
      <c r="L130" s="973"/>
    </row>
    <row r="131" spans="12:12">
      <c r="L131" s="973"/>
    </row>
    <row r="132" spans="12:12">
      <c r="L132" s="973"/>
    </row>
    <row r="133" spans="12:12">
      <c r="L133" s="973"/>
    </row>
    <row r="134" spans="12:12">
      <c r="L134" s="973"/>
    </row>
    <row r="135" spans="12:12">
      <c r="L135" s="973"/>
    </row>
    <row r="136" spans="12:12">
      <c r="L136" s="973"/>
    </row>
    <row r="137" spans="12:12">
      <c r="L137" s="973"/>
    </row>
    <row r="138" spans="12:12">
      <c r="L138" s="973"/>
    </row>
    <row r="139" spans="12:12">
      <c r="L139" s="973"/>
    </row>
    <row r="140" spans="12:12">
      <c r="L140" s="973"/>
    </row>
    <row r="141" spans="12:12">
      <c r="L141" s="973"/>
    </row>
    <row r="142" spans="12:12">
      <c r="L142" s="973"/>
    </row>
    <row r="143" spans="12:12">
      <c r="L143" s="973"/>
    </row>
    <row r="144" spans="12:12">
      <c r="L144" s="973"/>
    </row>
    <row r="145" spans="12:12">
      <c r="L145" s="973"/>
    </row>
    <row r="146" spans="12:12">
      <c r="L146" s="973"/>
    </row>
    <row r="147" spans="12:12">
      <c r="L147" s="973"/>
    </row>
    <row r="148" spans="12:12">
      <c r="L148" s="973"/>
    </row>
    <row r="149" spans="12:12">
      <c r="L149" s="973"/>
    </row>
    <row r="150" spans="12:12">
      <c r="L150" s="973"/>
    </row>
    <row r="151" spans="12:12">
      <c r="L151" s="973"/>
    </row>
    <row r="152" spans="12:12">
      <c r="L152" s="973"/>
    </row>
    <row r="153" spans="12:12">
      <c r="L153" s="973"/>
    </row>
    <row r="154" spans="12:12">
      <c r="L154" s="973"/>
    </row>
    <row r="155" spans="12:12">
      <c r="L155" s="973"/>
    </row>
    <row r="156" spans="12:12">
      <c r="L156" s="973"/>
    </row>
    <row r="157" spans="12:12">
      <c r="L157" s="973"/>
    </row>
    <row r="158" spans="12:12">
      <c r="L158" s="973"/>
    </row>
    <row r="159" spans="12:12">
      <c r="L159" s="973"/>
    </row>
    <row r="160" spans="12:12">
      <c r="L160" s="973"/>
    </row>
    <row r="161" spans="12:12">
      <c r="L161" s="973"/>
    </row>
    <row r="162" spans="12:12">
      <c r="L162" s="973"/>
    </row>
    <row r="163" spans="12:12">
      <c r="L163" s="973"/>
    </row>
    <row r="164" spans="12:12">
      <c r="L164" s="973"/>
    </row>
    <row r="165" spans="12:12">
      <c r="L165" s="973"/>
    </row>
    <row r="166" spans="12:12">
      <c r="L166" s="973"/>
    </row>
    <row r="167" spans="12:12">
      <c r="L167" s="973"/>
    </row>
    <row r="168" spans="12:12">
      <c r="L168" s="973"/>
    </row>
    <row r="169" spans="12:12">
      <c r="L169" s="973"/>
    </row>
    <row r="170" spans="12:12">
      <c r="L170" s="973"/>
    </row>
    <row r="171" spans="12:12">
      <c r="L171" s="973"/>
    </row>
    <row r="172" spans="12:12">
      <c r="L172" s="973"/>
    </row>
    <row r="173" spans="12:12">
      <c r="L173" s="973"/>
    </row>
    <row r="174" spans="12:12">
      <c r="L174" s="973"/>
    </row>
    <row r="175" spans="12:12">
      <c r="L175" s="973"/>
    </row>
    <row r="176" spans="12:12">
      <c r="L176" s="973"/>
    </row>
    <row r="177" spans="12:12">
      <c r="L177" s="973"/>
    </row>
    <row r="178" spans="12:12">
      <c r="L178" s="973"/>
    </row>
    <row r="179" spans="12:12">
      <c r="L179" s="973"/>
    </row>
    <row r="180" spans="12:12">
      <c r="L180" s="973"/>
    </row>
    <row r="181" spans="12:12">
      <c r="L181" s="973"/>
    </row>
    <row r="182" spans="12:12">
      <c r="L182" s="973"/>
    </row>
    <row r="183" spans="12:12">
      <c r="L183" s="973"/>
    </row>
    <row r="184" spans="12:12">
      <c r="L184" s="973"/>
    </row>
    <row r="185" spans="12:12">
      <c r="L185" s="973"/>
    </row>
    <row r="186" spans="12:12">
      <c r="L186" s="973"/>
    </row>
    <row r="187" spans="12:12">
      <c r="L187" s="973"/>
    </row>
    <row r="188" spans="12:12">
      <c r="L188" s="973"/>
    </row>
    <row r="189" spans="12:12">
      <c r="L189" s="973"/>
    </row>
    <row r="190" spans="12:12">
      <c r="L190" s="973"/>
    </row>
    <row r="191" spans="12:12">
      <c r="L191" s="973"/>
    </row>
    <row r="192" spans="12:12">
      <c r="L192" s="973"/>
    </row>
    <row r="193" spans="12:12">
      <c r="L193" s="973"/>
    </row>
    <row r="194" spans="12:12">
      <c r="L194" s="973"/>
    </row>
    <row r="195" spans="12:12">
      <c r="L195" s="973"/>
    </row>
    <row r="196" spans="12:12">
      <c r="L196" s="973"/>
    </row>
    <row r="197" spans="12:12">
      <c r="L197" s="973"/>
    </row>
    <row r="198" spans="12:12">
      <c r="L198" s="973"/>
    </row>
    <row r="199" spans="12:12">
      <c r="L199" s="973"/>
    </row>
    <row r="200" spans="12:12">
      <c r="L200" s="973"/>
    </row>
    <row r="201" spans="12:12">
      <c r="L201" s="973"/>
    </row>
    <row r="202" spans="12:12">
      <c r="L202" s="973"/>
    </row>
    <row r="203" spans="12:12">
      <c r="L203" s="973"/>
    </row>
    <row r="204" spans="12:12">
      <c r="L204" s="973"/>
    </row>
    <row r="205" spans="12:12">
      <c r="L205" s="973"/>
    </row>
    <row r="206" spans="12:12">
      <c r="L206" s="973"/>
    </row>
    <row r="207" spans="12:12">
      <c r="L207" s="973"/>
    </row>
    <row r="208" spans="12:12">
      <c r="L208" s="973"/>
    </row>
    <row r="209" spans="12:12">
      <c r="L209" s="973"/>
    </row>
    <row r="210" spans="12:12">
      <c r="L210" s="973"/>
    </row>
    <row r="211" spans="12:12">
      <c r="L211" s="973"/>
    </row>
    <row r="212" spans="12:12">
      <c r="L212" s="973"/>
    </row>
    <row r="213" spans="12:12">
      <c r="L213" s="973"/>
    </row>
    <row r="214" spans="12:12">
      <c r="L214" s="973"/>
    </row>
    <row r="215" spans="12:12">
      <c r="L215" s="973"/>
    </row>
    <row r="216" spans="12:12">
      <c r="L216" s="973"/>
    </row>
    <row r="217" spans="12:12">
      <c r="L217" s="973"/>
    </row>
    <row r="218" spans="12:12">
      <c r="L218" s="973"/>
    </row>
    <row r="219" spans="12:12">
      <c r="L219" s="973"/>
    </row>
    <row r="220" spans="12:12">
      <c r="L220" s="973"/>
    </row>
    <row r="221" spans="12:12">
      <c r="L221" s="973"/>
    </row>
    <row r="222" spans="12:12">
      <c r="L222" s="973"/>
    </row>
    <row r="223" spans="12:12">
      <c r="L223" s="973"/>
    </row>
    <row r="224" spans="12:12">
      <c r="L224" s="973"/>
    </row>
    <row r="225" spans="12:12">
      <c r="L225" s="973"/>
    </row>
    <row r="226" spans="12:12">
      <c r="L226" s="973"/>
    </row>
    <row r="227" spans="12:12">
      <c r="L227" s="973"/>
    </row>
    <row r="228" spans="12:12">
      <c r="L228" s="973"/>
    </row>
    <row r="229" spans="12:12">
      <c r="L229" s="973"/>
    </row>
    <row r="230" spans="12:12">
      <c r="L230" s="973"/>
    </row>
    <row r="231" spans="12:12">
      <c r="L231" s="973"/>
    </row>
    <row r="232" spans="12:12">
      <c r="L232" s="973"/>
    </row>
    <row r="233" spans="12:12">
      <c r="L233" s="973"/>
    </row>
    <row r="234" spans="12:12">
      <c r="L234" s="973"/>
    </row>
    <row r="235" spans="12:12">
      <c r="L235" s="973"/>
    </row>
    <row r="236" spans="12:12">
      <c r="L236" s="973"/>
    </row>
    <row r="237" spans="12:12">
      <c r="L237" s="973"/>
    </row>
    <row r="238" spans="12:12">
      <c r="L238" s="973"/>
    </row>
    <row r="239" spans="12:12">
      <c r="L239" s="973"/>
    </row>
    <row r="240" spans="12:12">
      <c r="L240" s="973"/>
    </row>
    <row r="241" spans="12:12">
      <c r="L241" s="973"/>
    </row>
    <row r="242" spans="12:12">
      <c r="L242" s="973"/>
    </row>
    <row r="243" spans="12:12">
      <c r="L243" s="973"/>
    </row>
    <row r="244" spans="12:12">
      <c r="L244" s="973"/>
    </row>
    <row r="245" spans="12:12">
      <c r="L245" s="973"/>
    </row>
    <row r="246" spans="12:12">
      <c r="L246" s="973"/>
    </row>
    <row r="247" spans="12:12">
      <c r="L247" s="973"/>
    </row>
    <row r="248" spans="12:12">
      <c r="L248" s="973"/>
    </row>
    <row r="249" spans="12:12">
      <c r="L249" s="973"/>
    </row>
    <row r="250" spans="12:12">
      <c r="L250" s="973"/>
    </row>
    <row r="251" spans="12:12">
      <c r="L251" s="973"/>
    </row>
    <row r="252" spans="12:12">
      <c r="L252" s="973"/>
    </row>
    <row r="253" spans="12:12">
      <c r="L253" s="973"/>
    </row>
    <row r="254" spans="12:12">
      <c r="L254" s="973"/>
    </row>
    <row r="255" spans="12:12">
      <c r="L255" s="973"/>
    </row>
    <row r="256" spans="12:12">
      <c r="L256" s="973"/>
    </row>
    <row r="257" spans="12:12">
      <c r="L257" s="973"/>
    </row>
    <row r="258" spans="12:12">
      <c r="L258" s="973"/>
    </row>
    <row r="259" spans="12:12">
      <c r="L259" s="973"/>
    </row>
    <row r="260" spans="12:12">
      <c r="L260" s="973"/>
    </row>
    <row r="261" spans="12:12">
      <c r="L261" s="973"/>
    </row>
  </sheetData>
  <mergeCells count="2">
    <mergeCell ref="AB5:AD5"/>
    <mergeCell ref="AA8:AI8"/>
  </mergeCells>
  <pageMargins left="0.25" right="0.25" top="0.5" bottom="0.25" header="0.5" footer="0.25"/>
  <pageSetup scale="48" firstPageNumber="28" orientation="landscape" useFirstPageNumber="1" r:id="rId1"/>
  <headerFooter scaleWithDoc="0" alignWithMargins="0">
    <oddFooter>&amp;C&amp;8&amp;P</oddFooter>
  </headerFooter>
  <rowBreaks count="1" manualBreakCount="1">
    <brk id="85" max="34" man="1"/>
  </rowBreaks>
  <customProperties>
    <customPr name="SheetOptions" r:id="rId2"/>
  </customProperties>
  <ignoredErrors>
    <ignoredError sqref="AJ41 AI18 AJ45:AJ46 AJ47 AI76 AI24 AI28 AI55:AI57 AI73:AI74 AI72 AI66 AI63:AI64 AI61 AI59 AI70 AI71 AI60 AI62 AI65 AI68:AI69 AI51 AI53 AI54 AI50 AI67 AI77" unlockedFormula="1"/>
    <ignoredError sqref="I50 K50" formulaRange="1"/>
    <ignoredError sqref="AI47 AI45 AI46" formula="1" unlockedFormula="1"/>
    <ignoredError sqref="AI26" formula="1"/>
  </ignoredError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dimension ref="A1:BC112"/>
  <sheetViews>
    <sheetView showGridLines="0" zoomScale="90" zoomScaleNormal="80" workbookViewId="0"/>
  </sheetViews>
  <sheetFormatPr defaultColWidth="8.84375" defaultRowHeight="15.5"/>
  <cols>
    <col min="1" max="1" width="2.53515625" style="29" customWidth="1"/>
    <col min="2" max="2" width="15.84375" style="29" customWidth="1"/>
    <col min="3" max="3" width="25.07421875" style="29" customWidth="1"/>
    <col min="4" max="4" width="2" style="29" customWidth="1"/>
    <col min="5" max="5" width="12.53515625" style="29" customWidth="1"/>
    <col min="6" max="6" width="1.84375" style="29" customWidth="1"/>
    <col min="7" max="7" width="11.84375" style="29" bestFit="1" customWidth="1"/>
    <col min="8" max="8" width="1.84375" style="29" customWidth="1"/>
    <col min="9" max="9" width="11.4609375" style="29" bestFit="1" customWidth="1"/>
    <col min="10" max="10" width="1.84375" style="29" customWidth="1"/>
    <col min="11" max="11" width="11.84375" style="29" bestFit="1" customWidth="1"/>
    <col min="12" max="12" width="1.07421875" style="29" customWidth="1"/>
    <col min="13" max="13" width="10.53515625" style="29" customWidth="1"/>
    <col min="14" max="14" width="1.84375" style="29" customWidth="1"/>
    <col min="15" max="15" width="12.4609375" style="29" customWidth="1"/>
    <col min="16" max="16" width="1.84375" style="29" customWidth="1"/>
    <col min="17" max="17" width="12.07421875" style="29" customWidth="1"/>
    <col min="18" max="18" width="1.84375" style="29" customWidth="1"/>
    <col min="19" max="19" width="12.07421875" style="29" customWidth="1"/>
    <col min="20" max="20" width="1.84375" style="29" customWidth="1"/>
    <col min="21" max="21" width="10.84375" style="29" customWidth="1"/>
    <col min="22" max="22" width="1.84375" style="29" customWidth="1"/>
    <col min="23" max="23" width="13.84375" style="29" customWidth="1"/>
    <col min="24" max="24" width="1.84375" style="29" customWidth="1"/>
    <col min="25" max="25" width="12.84375" style="29" customWidth="1"/>
    <col min="26" max="26" width="1.84375" style="29" customWidth="1"/>
    <col min="27" max="27" width="11.84375" style="29" bestFit="1" customWidth="1"/>
    <col min="28" max="28" width="1.4609375" style="29" customWidth="1"/>
    <col min="29" max="29" width="11.07421875" style="29" customWidth="1"/>
    <col min="30" max="31" width="1.84375" style="29" customWidth="1"/>
    <col min="32" max="32" width="12.84375" style="29" customWidth="1"/>
    <col min="33" max="34" width="1.07421875" style="29" customWidth="1"/>
    <col min="35" max="35" width="12.84375" style="29" customWidth="1"/>
    <col min="36" max="37" width="1" style="29" customWidth="1"/>
    <col min="38" max="38" width="13.07421875" style="29" bestFit="1" customWidth="1"/>
    <col min="39" max="39" width="1.07421875" style="29" customWidth="1"/>
    <col min="40" max="40" width="12.07421875" style="29" customWidth="1"/>
    <col min="41" max="16384" width="8.84375" style="29"/>
  </cols>
  <sheetData>
    <row r="1" spans="1:41">
      <c r="B1" s="326" t="s">
        <v>98</v>
      </c>
    </row>
    <row r="2" spans="1:41">
      <c r="B2" s="431"/>
    </row>
    <row r="3" spans="1:41" ht="19.5" customHeight="1">
      <c r="A3" s="119"/>
      <c r="B3" s="62" t="s">
        <v>99</v>
      </c>
      <c r="C3" s="120"/>
      <c r="D3" s="120"/>
      <c r="E3" s="120"/>
      <c r="F3" s="121"/>
      <c r="G3" s="121"/>
      <c r="H3" s="121"/>
      <c r="I3" s="121"/>
      <c r="J3" s="121"/>
      <c r="K3" s="121"/>
      <c r="L3" s="121"/>
      <c r="M3" s="121"/>
      <c r="N3" s="121"/>
      <c r="O3" s="121"/>
      <c r="P3" s="121"/>
      <c r="Q3" s="121"/>
      <c r="R3" s="121"/>
      <c r="S3" s="121"/>
      <c r="T3" s="121"/>
      <c r="U3" s="121"/>
      <c r="V3" s="121"/>
      <c r="W3" s="121"/>
      <c r="X3" s="121"/>
      <c r="Y3" s="121"/>
      <c r="Z3" s="121"/>
      <c r="AA3" s="121"/>
      <c r="AB3" s="121"/>
      <c r="AC3" s="121"/>
      <c r="AD3" s="121"/>
      <c r="AE3" s="121"/>
      <c r="AF3" s="121"/>
      <c r="AG3" s="121"/>
      <c r="AH3" s="121"/>
      <c r="AI3" s="121"/>
      <c r="AJ3" s="121"/>
      <c r="AK3" s="121"/>
      <c r="AN3" s="154" t="s">
        <v>586</v>
      </c>
    </row>
    <row r="4" spans="1:41" ht="19.5" customHeight="1">
      <c r="A4" s="119"/>
      <c r="B4" s="62" t="s">
        <v>587</v>
      </c>
      <c r="C4" s="120"/>
      <c r="D4" s="120"/>
      <c r="E4" s="120"/>
      <c r="F4" s="121"/>
      <c r="G4" s="121"/>
      <c r="H4" s="121"/>
      <c r="I4" s="121"/>
      <c r="J4" s="121"/>
      <c r="K4" s="121"/>
      <c r="L4" s="121"/>
      <c r="M4" s="121"/>
      <c r="N4" s="121"/>
      <c r="O4" s="121"/>
      <c r="P4" s="121"/>
      <c r="Q4" s="121"/>
      <c r="R4" s="121"/>
      <c r="S4" s="121"/>
      <c r="T4" s="121"/>
      <c r="U4" s="121"/>
      <c r="V4" s="121"/>
      <c r="W4" s="121"/>
      <c r="X4" s="121"/>
      <c r="Y4" s="121"/>
      <c r="Z4" s="121"/>
      <c r="AA4" s="121"/>
      <c r="AB4" s="121"/>
      <c r="AC4" s="121"/>
      <c r="AD4" s="121"/>
      <c r="AE4" s="121"/>
      <c r="AG4" s="122"/>
      <c r="AH4" s="122"/>
    </row>
    <row r="5" spans="1:41" ht="19.5" customHeight="1">
      <c r="A5" s="119"/>
      <c r="B5" s="116" t="s">
        <v>474</v>
      </c>
      <c r="C5" s="120"/>
      <c r="D5" s="120"/>
      <c r="E5" s="120"/>
      <c r="F5" s="121"/>
      <c r="G5" s="121"/>
      <c r="H5" s="121"/>
      <c r="I5" s="121"/>
      <c r="J5" s="121"/>
      <c r="K5" s="121"/>
      <c r="L5" s="121"/>
      <c r="M5" s="121"/>
      <c r="N5" s="121"/>
      <c r="O5" s="121"/>
      <c r="P5" s="121"/>
      <c r="Q5" s="121"/>
      <c r="R5" s="121"/>
      <c r="S5" s="121" t="s">
        <v>104</v>
      </c>
      <c r="T5" s="121"/>
      <c r="U5" s="121" t="s">
        <v>104</v>
      </c>
      <c r="V5" s="121"/>
      <c r="W5" s="121"/>
      <c r="X5" s="121"/>
      <c r="Y5" s="121"/>
      <c r="Z5" s="121"/>
      <c r="AA5" s="121"/>
      <c r="AB5" s="121"/>
      <c r="AC5" s="121"/>
      <c r="AD5" s="121"/>
      <c r="AE5" s="121"/>
      <c r="AF5" s="121"/>
      <c r="AG5" s="121"/>
      <c r="AH5" s="121"/>
      <c r="AI5" s="121"/>
      <c r="AJ5" s="121"/>
      <c r="AK5" s="121"/>
      <c r="AN5" s="105"/>
    </row>
    <row r="6" spans="1:41" ht="19.5" customHeight="1">
      <c r="A6" s="119"/>
      <c r="B6" s="668" t="str">
        <f>'Cashflow Governmental'!A6</f>
        <v>FISCAL YEAR 2023-2024</v>
      </c>
      <c r="C6" s="120"/>
      <c r="D6" s="120"/>
      <c r="E6" s="120"/>
      <c r="F6" s="121"/>
      <c r="G6" s="121"/>
      <c r="H6" s="1747"/>
      <c r="I6" s="121"/>
      <c r="J6" s="121"/>
      <c r="K6" s="121"/>
      <c r="L6" s="121"/>
      <c r="M6" s="121"/>
      <c r="N6" s="121"/>
      <c r="O6" s="121"/>
      <c r="P6" s="121"/>
      <c r="Q6" s="121"/>
      <c r="R6" s="121"/>
      <c r="S6" s="121" t="s">
        <v>104</v>
      </c>
      <c r="T6" s="121"/>
      <c r="U6" s="121"/>
      <c r="V6" s="121"/>
      <c r="W6" s="121"/>
      <c r="X6" s="121"/>
      <c r="Y6" s="121"/>
      <c r="Z6" s="121"/>
      <c r="AA6" s="121"/>
      <c r="AB6" s="121"/>
      <c r="AC6" s="121"/>
      <c r="AD6" s="121"/>
      <c r="AE6" s="121"/>
      <c r="AF6" s="121"/>
      <c r="AG6" s="123"/>
      <c r="AH6" s="123"/>
      <c r="AI6" s="123"/>
      <c r="AJ6" s="123"/>
      <c r="AK6" s="123"/>
    </row>
    <row r="7" spans="1:41" ht="19.5" customHeight="1">
      <c r="A7" s="119"/>
      <c r="B7" s="62" t="s">
        <v>588</v>
      </c>
      <c r="C7" s="120"/>
      <c r="D7" s="120"/>
      <c r="E7" s="120"/>
      <c r="F7" s="121"/>
      <c r="G7" s="121"/>
      <c r="H7" s="1747"/>
      <c r="I7" s="121"/>
      <c r="J7" s="121"/>
      <c r="K7" s="121"/>
      <c r="L7" s="121"/>
      <c r="M7" s="121"/>
      <c r="N7" s="121"/>
      <c r="O7" s="121"/>
      <c r="P7" s="121"/>
      <c r="Q7" s="121"/>
      <c r="R7" s="121"/>
      <c r="S7" s="121" t="s">
        <v>104</v>
      </c>
      <c r="T7" s="121"/>
      <c r="U7" s="121"/>
      <c r="V7" s="121"/>
      <c r="W7" s="121"/>
      <c r="X7" s="121"/>
      <c r="Y7" s="121"/>
      <c r="Z7" s="121"/>
      <c r="AA7" s="121"/>
      <c r="AB7" s="121"/>
      <c r="AC7" s="121"/>
      <c r="AD7" s="121"/>
      <c r="AE7" s="121"/>
      <c r="AF7" s="121"/>
      <c r="AG7" s="123"/>
      <c r="AH7" s="123"/>
      <c r="AI7" s="123"/>
      <c r="AJ7" s="123"/>
      <c r="AK7" s="123"/>
    </row>
    <row r="8" spans="1:41" ht="19.5" customHeight="1">
      <c r="A8" s="119"/>
      <c r="C8" s="120"/>
      <c r="D8" s="120"/>
      <c r="E8" s="120"/>
      <c r="F8" s="121"/>
      <c r="G8" s="121"/>
      <c r="H8" s="121"/>
      <c r="I8" s="121"/>
      <c r="J8" s="121"/>
      <c r="K8" s="121"/>
      <c r="L8" s="121"/>
      <c r="M8" s="121"/>
      <c r="N8" s="121"/>
      <c r="O8" s="121"/>
      <c r="P8" s="121"/>
      <c r="Q8" s="121"/>
      <c r="R8" s="121"/>
      <c r="S8" s="121" t="s">
        <v>104</v>
      </c>
      <c r="T8" s="121"/>
      <c r="U8" s="121"/>
      <c r="V8" s="121"/>
      <c r="W8" s="121"/>
      <c r="X8" s="121"/>
      <c r="Y8" s="121"/>
      <c r="Z8" s="121"/>
      <c r="AA8" s="121"/>
      <c r="AB8" s="121"/>
      <c r="AC8" s="121"/>
      <c r="AD8" s="121"/>
      <c r="AE8" s="124"/>
    </row>
    <row r="9" spans="1:41" ht="15.75" customHeight="1">
      <c r="A9" s="119"/>
      <c r="B9" s="62"/>
      <c r="C9" s="120"/>
      <c r="D9" s="120"/>
      <c r="E9" s="120"/>
      <c r="F9" s="121"/>
      <c r="G9" s="121"/>
      <c r="H9" s="121"/>
      <c r="I9" s="121"/>
      <c r="J9" s="121"/>
      <c r="K9" s="121"/>
      <c r="L9" s="121"/>
      <c r="M9" s="121"/>
      <c r="N9" s="121"/>
      <c r="O9" s="121"/>
      <c r="P9" s="121"/>
      <c r="Q9" s="121"/>
      <c r="R9" s="121"/>
      <c r="S9" s="121"/>
      <c r="T9" s="121"/>
      <c r="U9" s="121"/>
      <c r="V9" s="121"/>
      <c r="W9" s="121"/>
      <c r="X9" s="121"/>
      <c r="Y9" s="121"/>
      <c r="Z9" s="121"/>
      <c r="AA9" s="121"/>
      <c r="AB9" s="121"/>
      <c r="AC9" s="121"/>
      <c r="AD9" s="121"/>
      <c r="AE9" s="124"/>
    </row>
    <row r="10" spans="1:41" ht="15.75" customHeight="1">
      <c r="A10" s="119"/>
      <c r="B10" s="125"/>
      <c r="C10" s="120"/>
      <c r="D10" s="120"/>
      <c r="E10" s="120"/>
      <c r="F10" s="121"/>
      <c r="G10" s="121"/>
      <c r="H10" s="121"/>
      <c r="I10" s="121"/>
      <c r="J10" s="121"/>
      <c r="K10" s="121"/>
      <c r="L10" s="121"/>
      <c r="M10" s="121"/>
      <c r="N10" s="121"/>
      <c r="O10" s="121"/>
      <c r="P10" s="121"/>
      <c r="Q10" s="121"/>
      <c r="R10" s="121"/>
      <c r="S10" s="121"/>
      <c r="T10" s="121"/>
      <c r="U10" s="121"/>
      <c r="V10" s="121"/>
      <c r="W10" s="121"/>
      <c r="X10" s="121"/>
      <c r="Y10" s="121"/>
      <c r="Z10" s="121"/>
      <c r="AA10" s="121"/>
      <c r="AB10" s="121"/>
      <c r="AC10" s="121"/>
      <c r="AD10" s="121"/>
      <c r="AE10" s="124"/>
    </row>
    <row r="11" spans="1:41" ht="15.75" customHeight="1">
      <c r="A11" s="119"/>
      <c r="B11" s="125"/>
      <c r="C11" s="120"/>
      <c r="D11" s="120"/>
      <c r="E11" s="1974"/>
      <c r="F11" s="392"/>
      <c r="G11" s="392"/>
      <c r="H11" s="392"/>
      <c r="I11" s="392"/>
      <c r="J11" s="392"/>
      <c r="K11" s="392"/>
      <c r="L11" s="392"/>
      <c r="M11" s="392"/>
      <c r="N11" s="392"/>
      <c r="O11" s="392"/>
      <c r="P11" s="392"/>
      <c r="Q11" s="392"/>
      <c r="R11" s="392"/>
      <c r="S11" s="392"/>
      <c r="T11" s="392"/>
      <c r="U11" s="392"/>
      <c r="V11" s="392"/>
      <c r="W11" s="392"/>
      <c r="X11" s="392"/>
      <c r="Y11" s="392"/>
      <c r="Z11" s="392"/>
      <c r="AA11" s="392"/>
      <c r="AB11" s="392"/>
      <c r="AC11" s="66" t="s">
        <v>506</v>
      </c>
      <c r="AD11" s="392"/>
      <c r="AE11" s="393"/>
      <c r="AF11" s="2229" t="s">
        <v>1594</v>
      </c>
      <c r="AG11" s="2234"/>
      <c r="AH11" s="2234"/>
      <c r="AI11" s="2234"/>
      <c r="AJ11" s="2234"/>
      <c r="AK11" s="2234"/>
      <c r="AL11" s="2234"/>
      <c r="AM11" s="2234"/>
      <c r="AN11" s="2234"/>
    </row>
    <row r="12" spans="1:41" ht="15.75" customHeight="1">
      <c r="A12" s="126"/>
      <c r="B12" s="126"/>
      <c r="C12" s="126"/>
      <c r="D12" s="126"/>
      <c r="E12" s="382" t="str">
        <f>'Cashflow Governmental'!C13</f>
        <v>2023</v>
      </c>
      <c r="F12" s="394"/>
      <c r="G12" s="394"/>
      <c r="H12" s="394"/>
      <c r="I12" s="394"/>
      <c r="J12" s="394"/>
      <c r="K12" s="394"/>
      <c r="L12" s="394"/>
      <c r="M12" s="394"/>
      <c r="N12" s="394"/>
      <c r="O12" s="394"/>
      <c r="P12" s="394"/>
      <c r="Q12" s="394"/>
      <c r="R12" s="394"/>
      <c r="S12" s="394"/>
      <c r="T12" s="394"/>
      <c r="U12" s="394"/>
      <c r="V12" s="394"/>
      <c r="W12" s="382">
        <f>'Cashflow Governmental'!U13</f>
        <v>2024</v>
      </c>
      <c r="X12" s="394"/>
      <c r="Y12" s="394"/>
      <c r="Z12" s="394"/>
      <c r="AA12" s="394"/>
      <c r="AB12" s="394"/>
      <c r="AC12" s="66" t="s">
        <v>507</v>
      </c>
      <c r="AD12" s="394"/>
      <c r="AE12" s="394"/>
      <c r="AF12" s="394"/>
      <c r="AG12" s="394"/>
      <c r="AH12" s="394"/>
      <c r="AI12" s="394"/>
      <c r="AJ12" s="394"/>
      <c r="AK12" s="394"/>
      <c r="AL12" s="390" t="s">
        <v>111</v>
      </c>
      <c r="AM12" s="390"/>
      <c r="AN12" s="388" t="s">
        <v>112</v>
      </c>
      <c r="AO12" s="6"/>
    </row>
    <row r="13" spans="1:41" ht="15.75" customHeight="1">
      <c r="A13" s="353"/>
      <c r="B13" s="353"/>
      <c r="C13" s="353"/>
      <c r="D13" s="353"/>
      <c r="E13" s="2007" t="s">
        <v>358</v>
      </c>
      <c r="F13" s="6"/>
      <c r="G13" s="2007" t="s">
        <v>359</v>
      </c>
      <c r="H13" s="6"/>
      <c r="I13" s="2007" t="s">
        <v>360</v>
      </c>
      <c r="J13" s="6"/>
      <c r="K13" s="2007" t="s">
        <v>361</v>
      </c>
      <c r="L13" s="6"/>
      <c r="M13" s="2007" t="s">
        <v>362</v>
      </c>
      <c r="N13" s="6"/>
      <c r="O13" s="2007" t="s">
        <v>475</v>
      </c>
      <c r="P13" s="6"/>
      <c r="Q13" s="2007" t="s">
        <v>476</v>
      </c>
      <c r="R13" s="6"/>
      <c r="S13" s="2007" t="s">
        <v>365</v>
      </c>
      <c r="T13" s="6"/>
      <c r="U13" s="2007" t="s">
        <v>366</v>
      </c>
      <c r="V13" s="6"/>
      <c r="W13" s="2007" t="s">
        <v>367</v>
      </c>
      <c r="X13" s="6"/>
      <c r="Y13" s="2007" t="s">
        <v>368</v>
      </c>
      <c r="Z13" s="6"/>
      <c r="AA13" s="2007" t="s">
        <v>477</v>
      </c>
      <c r="AB13" s="66"/>
      <c r="AC13" s="2007" t="s">
        <v>508</v>
      </c>
      <c r="AD13" s="6"/>
      <c r="AE13" s="6"/>
      <c r="AF13" s="2007">
        <f>'Cashflow Governmental'!AB14</f>
        <v>2023</v>
      </c>
      <c r="AG13" s="6"/>
      <c r="AH13" s="6"/>
      <c r="AI13" s="2007">
        <f>'Cashflow Governmental'!AE14</f>
        <v>2022</v>
      </c>
      <c r="AJ13" s="66"/>
      <c r="AK13" s="66"/>
      <c r="AL13" s="528" t="s">
        <v>113</v>
      </c>
      <c r="AM13" s="390"/>
      <c r="AN13" s="528" t="s">
        <v>114</v>
      </c>
      <c r="AO13" s="6"/>
    </row>
    <row r="14" spans="1:41" ht="6" customHeight="1">
      <c r="A14" s="353"/>
      <c r="B14" s="6"/>
      <c r="C14" s="6"/>
      <c r="D14" s="353"/>
      <c r="E14" s="329"/>
      <c r="F14" s="329"/>
      <c r="G14" s="329"/>
      <c r="H14" s="329"/>
      <c r="I14" s="329"/>
      <c r="J14" s="329"/>
      <c r="K14" s="329"/>
      <c r="L14" s="329"/>
      <c r="M14" s="329"/>
      <c r="N14" s="329"/>
      <c r="O14" s="329"/>
      <c r="P14" s="329"/>
      <c r="Q14" s="329"/>
      <c r="R14" s="329"/>
      <c r="S14" s="329"/>
      <c r="T14" s="329"/>
      <c r="U14" s="329"/>
      <c r="V14" s="329"/>
      <c r="W14" s="329"/>
      <c r="X14" s="329"/>
      <c r="Y14" s="329"/>
      <c r="Z14" s="329"/>
      <c r="AA14" s="329"/>
      <c r="AB14" s="329"/>
      <c r="AC14" s="329"/>
      <c r="AD14" s="329"/>
      <c r="AE14" s="329"/>
      <c r="AF14" s="329"/>
      <c r="AG14" s="329"/>
      <c r="AH14" s="329"/>
      <c r="AI14" s="329"/>
      <c r="AJ14" s="329"/>
      <c r="AK14" s="51"/>
    </row>
    <row r="15" spans="1:41" ht="15.75" customHeight="1">
      <c r="A15" s="353"/>
      <c r="B15" s="2006" t="s">
        <v>589</v>
      </c>
      <c r="C15" s="6"/>
      <c r="D15" s="353"/>
      <c r="E15" s="117">
        <f>'Exhibit I State'!E14+'Exhibit I Federal'!E14</f>
        <v>-1594.5</v>
      </c>
      <c r="F15" s="26"/>
      <c r="G15" s="26">
        <f>E103</f>
        <v>-1576.5</v>
      </c>
      <c r="H15" s="26"/>
      <c r="I15" s="26">
        <f t="shared" ref="I15:S15" si="0">G103</f>
        <v>-1625.6</v>
      </c>
      <c r="J15" s="26"/>
      <c r="K15" s="26">
        <f t="shared" si="0"/>
        <v>-1819.2</v>
      </c>
      <c r="L15" s="26"/>
      <c r="M15" s="26">
        <f t="shared" si="0"/>
        <v>-1918.6</v>
      </c>
      <c r="N15" s="26"/>
      <c r="O15" s="26">
        <f t="shared" si="0"/>
        <v>-1961</v>
      </c>
      <c r="P15" s="26"/>
      <c r="Q15" s="26">
        <f t="shared" si="0"/>
        <v>-1969.7</v>
      </c>
      <c r="R15" s="26"/>
      <c r="S15" s="26">
        <f t="shared" si="0"/>
        <v>-1827.6</v>
      </c>
      <c r="T15" s="26"/>
      <c r="U15" s="26"/>
      <c r="V15" s="26"/>
      <c r="W15" s="26"/>
      <c r="X15" s="26"/>
      <c r="Y15" s="26"/>
      <c r="Z15" s="26"/>
      <c r="AA15" s="26"/>
      <c r="AB15" s="26"/>
      <c r="AC15" s="26">
        <v>0</v>
      </c>
      <c r="AD15" s="26"/>
      <c r="AE15" s="27"/>
      <c r="AF15" s="26">
        <f>E15</f>
        <v>-1594.5</v>
      </c>
      <c r="AG15" s="2055"/>
      <c r="AH15" s="26"/>
      <c r="AI15" s="1202">
        <f>'Exhibit I State'!AG14+'Exhibit I Federal'!AG14</f>
        <v>-1543.9</v>
      </c>
      <c r="AJ15" s="26"/>
      <c r="AK15" s="129"/>
      <c r="AL15" s="128">
        <f>+AF15-AI15</f>
        <v>-50.599999999999909</v>
      </c>
      <c r="AM15" s="26"/>
      <c r="AN15" s="342">
        <f>ROUND(IF(AI15=0,0,-AL15/(AI15)),3)</f>
        <v>-3.3000000000000002E-2</v>
      </c>
      <c r="AO15" s="6"/>
    </row>
    <row r="16" spans="1:41" ht="15.75" customHeight="1">
      <c r="A16" s="353"/>
      <c r="B16" s="6"/>
      <c r="C16" s="6"/>
      <c r="D16" s="353"/>
      <c r="E16" s="329"/>
      <c r="F16" s="329"/>
      <c r="G16" s="329"/>
      <c r="H16" s="329"/>
      <c r="I16" s="329"/>
      <c r="J16" s="329"/>
      <c r="K16" s="329"/>
      <c r="L16" s="329"/>
      <c r="M16" s="329"/>
      <c r="N16" s="329"/>
      <c r="O16" s="329"/>
      <c r="P16" s="329"/>
      <c r="Q16" s="329"/>
      <c r="R16" s="329"/>
      <c r="S16" s="329"/>
      <c r="T16" s="329"/>
      <c r="U16" s="329"/>
      <c r="V16" s="329"/>
      <c r="W16" s="329"/>
      <c r="X16" s="329"/>
      <c r="Y16" s="329"/>
      <c r="Z16" s="329"/>
      <c r="AA16" s="329"/>
      <c r="AB16" s="329"/>
      <c r="AC16" s="329"/>
      <c r="AD16" s="329"/>
      <c r="AE16" s="836"/>
      <c r="AF16" s="329"/>
      <c r="AG16" s="2056"/>
      <c r="AH16" s="329"/>
      <c r="AI16" s="329"/>
      <c r="AJ16" s="329"/>
      <c r="AK16" s="127"/>
    </row>
    <row r="17" spans="1:46">
      <c r="A17" s="353"/>
      <c r="B17" s="6" t="s">
        <v>590</v>
      </c>
      <c r="C17" s="353"/>
      <c r="D17" s="353"/>
      <c r="E17" s="329"/>
      <c r="F17" s="329"/>
      <c r="G17" s="329"/>
      <c r="H17" s="329"/>
      <c r="I17" s="329"/>
      <c r="J17" s="329"/>
      <c r="K17" s="329"/>
      <c r="L17" s="329"/>
      <c r="M17" s="329"/>
      <c r="N17" s="329"/>
      <c r="O17" s="329"/>
      <c r="P17" s="329"/>
      <c r="Q17" s="329"/>
      <c r="R17" s="329"/>
      <c r="S17" s="329"/>
      <c r="T17" s="329"/>
      <c r="U17" s="329"/>
      <c r="V17" s="329"/>
      <c r="W17" s="329"/>
      <c r="X17" s="329"/>
      <c r="Y17" s="329"/>
      <c r="Z17" s="329"/>
      <c r="AA17" s="329"/>
      <c r="AB17" s="329"/>
      <c r="AC17" s="329"/>
      <c r="AD17" s="329"/>
      <c r="AE17" s="836"/>
      <c r="AF17" s="329"/>
      <c r="AG17" s="2056"/>
      <c r="AH17" s="329"/>
      <c r="AI17" s="329"/>
      <c r="AJ17" s="329"/>
      <c r="AK17" s="127"/>
    </row>
    <row r="18" spans="1:46">
      <c r="A18" s="353"/>
      <c r="B18" s="2006" t="s">
        <v>371</v>
      </c>
      <c r="C18" s="353"/>
      <c r="D18" s="353"/>
      <c r="E18" s="329"/>
      <c r="F18" s="329"/>
      <c r="G18" s="329"/>
      <c r="H18" s="329"/>
      <c r="I18" s="329"/>
      <c r="J18" s="329"/>
      <c r="K18" s="329"/>
      <c r="L18" s="329"/>
      <c r="M18" s="329"/>
      <c r="N18" s="329"/>
      <c r="O18" s="329"/>
      <c r="P18" s="329"/>
      <c r="Q18" s="329"/>
      <c r="R18" s="329"/>
      <c r="S18" s="329"/>
      <c r="T18" s="329"/>
      <c r="U18" s="329"/>
      <c r="V18" s="329"/>
      <c r="W18" s="329"/>
      <c r="X18" s="329"/>
      <c r="Y18" s="329"/>
      <c r="Z18" s="329"/>
      <c r="AA18" s="329"/>
      <c r="AB18" s="329"/>
      <c r="AC18" s="329"/>
      <c r="AD18" s="329"/>
      <c r="AE18" s="836"/>
      <c r="AF18" s="329"/>
      <c r="AG18" s="2056"/>
      <c r="AH18" s="329"/>
      <c r="AI18" s="329"/>
      <c r="AJ18" s="329"/>
      <c r="AK18" s="127"/>
    </row>
    <row r="19" spans="1:46">
      <c r="A19" s="353"/>
      <c r="B19" s="525" t="s">
        <v>383</v>
      </c>
      <c r="C19" s="353"/>
      <c r="D19" s="353"/>
      <c r="E19" s="329"/>
      <c r="F19" s="329"/>
      <c r="G19" s="329"/>
      <c r="H19" s="329"/>
      <c r="I19" s="329"/>
      <c r="J19" s="329"/>
      <c r="K19" s="329"/>
      <c r="L19" s="329"/>
      <c r="M19" s="329"/>
      <c r="N19" s="329"/>
      <c r="O19" s="329"/>
      <c r="P19" s="329"/>
      <c r="Q19" s="329"/>
      <c r="R19" s="329"/>
      <c r="S19" s="329"/>
      <c r="T19" s="329"/>
      <c r="U19" s="329"/>
      <c r="V19" s="329"/>
      <c r="W19" s="329"/>
      <c r="X19" s="329"/>
      <c r="Y19" s="329"/>
      <c r="Z19" s="329"/>
      <c r="AA19" s="329"/>
      <c r="AB19" s="329"/>
      <c r="AC19" s="329"/>
      <c r="AD19" s="329"/>
      <c r="AE19" s="836"/>
      <c r="AF19" s="329"/>
      <c r="AG19" s="2056"/>
      <c r="AH19" s="329"/>
      <c r="AI19" s="329"/>
      <c r="AJ19" s="329"/>
      <c r="AK19" s="127"/>
    </row>
    <row r="20" spans="1:46">
      <c r="A20" s="353"/>
      <c r="B20" s="345" t="s">
        <v>385</v>
      </c>
      <c r="C20" s="353"/>
      <c r="D20" s="353"/>
      <c r="E20" s="635">
        <f>+'Exhibit I State'!E19</f>
        <v>9.5</v>
      </c>
      <c r="F20" s="635"/>
      <c r="G20" s="635">
        <f>+'Exhibit I State'!G19</f>
        <v>9.9999999999999645E-2</v>
      </c>
      <c r="H20" s="635"/>
      <c r="I20" s="635">
        <f>+'Exhibit I State'!I19</f>
        <v>21.6</v>
      </c>
      <c r="J20" s="325"/>
      <c r="K20" s="635">
        <f>+'Exhibit I State'!K19</f>
        <v>0.10000000000000142</v>
      </c>
      <c r="L20" s="991"/>
      <c r="M20" s="635">
        <f>+'Exhibit I State'!M19</f>
        <v>0</v>
      </c>
      <c r="N20" s="991"/>
      <c r="O20" s="635">
        <f>+'Exhibit I State'!O19</f>
        <v>30.299999999999997</v>
      </c>
      <c r="P20" s="991"/>
      <c r="Q20" s="635">
        <f>+'Exhibit I State'!Q19</f>
        <v>0</v>
      </c>
      <c r="R20" s="991"/>
      <c r="S20" s="635">
        <f>+'Exhibit I State'!S19</f>
        <v>0</v>
      </c>
      <c r="T20" s="635"/>
      <c r="U20" s="635"/>
      <c r="V20" s="635"/>
      <c r="W20" s="635"/>
      <c r="X20" s="635"/>
      <c r="Y20" s="635"/>
      <c r="Z20" s="635"/>
      <c r="AA20" s="635"/>
      <c r="AB20" s="635"/>
      <c r="AC20" s="635">
        <v>0</v>
      </c>
      <c r="AD20" s="2051"/>
      <c r="AE20" s="991"/>
      <c r="AF20" s="325">
        <f>ROUND(SUM(E20:AC20),1)</f>
        <v>61.6</v>
      </c>
      <c r="AG20" s="2052"/>
      <c r="AH20" s="1234"/>
      <c r="AI20" s="1316">
        <f>+'Exhibit I State'!AG19</f>
        <v>60.7</v>
      </c>
      <c r="AJ20" s="1235"/>
      <c r="AK20" s="1236"/>
      <c r="AL20" s="1316">
        <f>ROUND(SUM(AF20-AI20),1)</f>
        <v>0.9</v>
      </c>
      <c r="AM20" s="991"/>
      <c r="AN20" s="670">
        <f>ROUND(IF(AI20=0,0,AL20/ABS(AI20)),3)</f>
        <v>1.4999999999999999E-2</v>
      </c>
      <c r="AO20" s="262"/>
    </row>
    <row r="21" spans="1:46">
      <c r="A21" s="353"/>
      <c r="B21" s="345" t="s">
        <v>388</v>
      </c>
      <c r="C21" s="353"/>
      <c r="D21" s="353"/>
      <c r="E21" s="635">
        <f>+'Exhibit I State'!E20</f>
        <v>28</v>
      </c>
      <c r="F21" s="635"/>
      <c r="G21" s="635">
        <f>+'Exhibit I State'!G20</f>
        <v>34.4</v>
      </c>
      <c r="H21" s="635"/>
      <c r="I21" s="635">
        <f>+'Exhibit I State'!I20</f>
        <v>30.300000000000004</v>
      </c>
      <c r="J21" s="325"/>
      <c r="K21" s="635">
        <f>+'Exhibit I State'!K20</f>
        <v>34.199999999999996</v>
      </c>
      <c r="L21" s="991"/>
      <c r="M21" s="635">
        <f>+'Exhibit I State'!M20</f>
        <v>34.199999999999982</v>
      </c>
      <c r="N21" s="991"/>
      <c r="O21" s="635">
        <f>+'Exhibit I State'!O20</f>
        <v>35.400000000000013</v>
      </c>
      <c r="P21" s="991"/>
      <c r="Q21" s="635">
        <f>+'Exhibit I State'!Q20</f>
        <v>32.499999999999993</v>
      </c>
      <c r="R21" s="991"/>
      <c r="S21" s="635">
        <f>+'Exhibit I State'!S20</f>
        <v>33.10000000000003</v>
      </c>
      <c r="T21" s="635"/>
      <c r="U21" s="635"/>
      <c r="V21" s="635"/>
      <c r="W21" s="635"/>
      <c r="X21" s="635"/>
      <c r="Y21" s="635"/>
      <c r="Z21" s="635"/>
      <c r="AA21" s="635"/>
      <c r="AB21" s="635"/>
      <c r="AC21" s="635">
        <v>0</v>
      </c>
      <c r="AD21" s="2051"/>
      <c r="AE21" s="991"/>
      <c r="AF21" s="325">
        <f>ROUND(SUM(E21:AC21),1)</f>
        <v>262.10000000000002</v>
      </c>
      <c r="AG21" s="2052"/>
      <c r="AH21" s="1234"/>
      <c r="AI21" s="1316">
        <f>+'Exhibit I State'!AG20</f>
        <v>60.5</v>
      </c>
      <c r="AJ21" s="1235"/>
      <c r="AK21" s="1236"/>
      <c r="AL21" s="1316">
        <f>ROUND(SUM(AF21-AI21),1)</f>
        <v>201.6</v>
      </c>
      <c r="AM21" s="991"/>
      <c r="AN21" s="477">
        <f>ROUND(IF(AI21=0,0,AL21/ABS(AI21)),3)</f>
        <v>3.3319999999999999</v>
      </c>
      <c r="AO21" s="262"/>
    </row>
    <row r="22" spans="1:46">
      <c r="A22" s="353"/>
      <c r="B22" s="345" t="s">
        <v>391</v>
      </c>
      <c r="C22" s="353"/>
      <c r="D22" s="353"/>
      <c r="E22" s="635">
        <f>+'Exhibit I State'!E21</f>
        <v>12.5</v>
      </c>
      <c r="F22" s="635"/>
      <c r="G22" s="635">
        <f>+'Exhibit I State'!G21</f>
        <v>11.600000000000001</v>
      </c>
      <c r="H22" s="635"/>
      <c r="I22" s="635">
        <f>+'Exhibit I State'!I21</f>
        <v>10</v>
      </c>
      <c r="J22" s="325"/>
      <c r="K22" s="635">
        <f>+'Exhibit I State'!K21</f>
        <v>11.699999999999996</v>
      </c>
      <c r="L22" s="991"/>
      <c r="M22" s="635">
        <f>+'Exhibit I State'!M21</f>
        <v>11.100000000000001</v>
      </c>
      <c r="N22" s="991"/>
      <c r="O22" s="635">
        <f>+'Exhibit I State'!O21</f>
        <v>10.300000000000004</v>
      </c>
      <c r="P22" s="991"/>
      <c r="Q22" s="635">
        <f>+'Exhibit I State'!Q21</f>
        <v>13.299999999999997</v>
      </c>
      <c r="R22" s="991"/>
      <c r="S22" s="635">
        <f>+'Exhibit I State'!S21</f>
        <v>10.000000000000007</v>
      </c>
      <c r="T22" s="635"/>
      <c r="U22" s="635"/>
      <c r="V22" s="635"/>
      <c r="W22" s="635"/>
      <c r="X22" s="635"/>
      <c r="Y22" s="635"/>
      <c r="Z22" s="635"/>
      <c r="AA22" s="635"/>
      <c r="AB22" s="635"/>
      <c r="AC22" s="635">
        <v>0</v>
      </c>
      <c r="AD22" s="2051"/>
      <c r="AE22" s="991"/>
      <c r="AF22" s="325">
        <f>ROUND(SUM(E22:AC22),1)</f>
        <v>90.5</v>
      </c>
      <c r="AG22" s="2052"/>
      <c r="AH22" s="1234"/>
      <c r="AI22" s="1316">
        <f>+'Exhibit I State'!AG21</f>
        <v>89.1</v>
      </c>
      <c r="AJ22" s="1235"/>
      <c r="AK22" s="1236"/>
      <c r="AL22" s="1316">
        <f>ROUND(SUM(AF22-AI22),1)</f>
        <v>1.4</v>
      </c>
      <c r="AM22" s="991"/>
      <c r="AN22" s="670">
        <f>ROUND(IF(AI22=0,0,AL22/ABS(AI22)),3)</f>
        <v>1.6E-2</v>
      </c>
      <c r="AO22" s="262"/>
    </row>
    <row r="23" spans="1:46">
      <c r="A23" s="353"/>
      <c r="B23" s="118" t="s">
        <v>591</v>
      </c>
      <c r="C23" s="353"/>
      <c r="D23" s="353"/>
      <c r="E23" s="100">
        <f>ROUND(SUM(E20:E22),1)</f>
        <v>50</v>
      </c>
      <c r="F23" s="16"/>
      <c r="G23" s="100">
        <f>ROUND(SUM(G20:G22),1)</f>
        <v>46.1</v>
      </c>
      <c r="H23" s="16"/>
      <c r="I23" s="100">
        <f>ROUND(SUM(I20:I22),1)</f>
        <v>61.9</v>
      </c>
      <c r="J23" s="16"/>
      <c r="K23" s="100">
        <f>ROUND(SUM(K20:K22),1)</f>
        <v>46</v>
      </c>
      <c r="L23" s="991"/>
      <c r="M23" s="100">
        <f>ROUND(SUM(M20:M22),1)</f>
        <v>45.3</v>
      </c>
      <c r="N23" s="991"/>
      <c r="O23" s="100">
        <f>ROUND(SUM(O20:O22),1)</f>
        <v>76</v>
      </c>
      <c r="P23" s="991"/>
      <c r="Q23" s="100">
        <f>ROUND(SUM(Q20:Q22),1)</f>
        <v>45.8</v>
      </c>
      <c r="R23" s="991"/>
      <c r="S23" s="100">
        <f>ROUND(SUM(S20:S22),1)</f>
        <v>43.1</v>
      </c>
      <c r="T23" s="991"/>
      <c r="U23" s="100">
        <f>ROUND(SUM(U20:U22),1)</f>
        <v>0</v>
      </c>
      <c r="V23" s="991"/>
      <c r="W23" s="100">
        <f>ROUND(SUM(W20:W22),1)</f>
        <v>0</v>
      </c>
      <c r="X23" s="991"/>
      <c r="Y23" s="100">
        <f>ROUND(SUM(Y20:Y22),1)</f>
        <v>0</v>
      </c>
      <c r="Z23" s="991"/>
      <c r="AA23" s="100">
        <f>ROUND(SUM(AA20:AA22),1)</f>
        <v>0</v>
      </c>
      <c r="AB23" s="16"/>
      <c r="AC23" s="100">
        <f>ROUND(SUM(AC20:AC22),1)</f>
        <v>0</v>
      </c>
      <c r="AD23" s="2051"/>
      <c r="AE23" s="991"/>
      <c r="AF23" s="100">
        <f>ROUND(SUM(AF20:AF22),1)</f>
        <v>414.2</v>
      </c>
      <c r="AG23" s="2052"/>
      <c r="AH23" s="1234"/>
      <c r="AI23" s="100">
        <f>ROUND(SUM(AI20:AI22),1)</f>
        <v>210.3</v>
      </c>
      <c r="AJ23" s="1235"/>
      <c r="AK23" s="1236"/>
      <c r="AL23" s="1682">
        <f>ROUND(SUM(AF23-AI23),1)</f>
        <v>203.9</v>
      </c>
      <c r="AM23" s="118"/>
      <c r="AN23" s="1576">
        <f>ROUND(IF(AI23=0,0,AL23/ABS(AI23)),3)</f>
        <v>0.97</v>
      </c>
      <c r="AO23" s="262"/>
    </row>
    <row r="24" spans="1:46">
      <c r="A24" s="353"/>
      <c r="B24" s="525" t="s">
        <v>395</v>
      </c>
      <c r="C24" s="353"/>
      <c r="D24" s="353"/>
      <c r="E24" s="16"/>
      <c r="F24" s="16"/>
      <c r="G24" s="16"/>
      <c r="H24" s="16"/>
      <c r="I24" s="16"/>
      <c r="J24" s="16"/>
      <c r="K24" s="16"/>
      <c r="L24" s="991"/>
      <c r="M24" s="16"/>
      <c r="N24" s="991"/>
      <c r="O24" s="16"/>
      <c r="P24" s="991"/>
      <c r="Q24" s="16"/>
      <c r="R24" s="991"/>
      <c r="S24" s="16"/>
      <c r="T24" s="991"/>
      <c r="U24" s="16"/>
      <c r="V24" s="991"/>
      <c r="W24" s="16"/>
      <c r="X24" s="991"/>
      <c r="Y24" s="16"/>
      <c r="Z24" s="991"/>
      <c r="AA24" s="16"/>
      <c r="AB24" s="16"/>
      <c r="AC24" s="16"/>
      <c r="AD24" s="2051"/>
      <c r="AE24" s="991"/>
      <c r="AF24" s="16"/>
      <c r="AG24" s="2052"/>
      <c r="AH24" s="1234"/>
      <c r="AI24" s="16"/>
      <c r="AJ24" s="1235"/>
      <c r="AK24" s="1236"/>
      <c r="AL24" s="526"/>
      <c r="AM24" s="118"/>
      <c r="AN24" s="5"/>
      <c r="AO24" s="262"/>
    </row>
    <row r="25" spans="1:46">
      <c r="A25" s="353"/>
      <c r="B25" s="345" t="s">
        <v>396</v>
      </c>
      <c r="C25" s="353"/>
      <c r="D25" s="353"/>
      <c r="E25" s="635">
        <f>+'Exhibit I State'!E24</f>
        <v>0</v>
      </c>
      <c r="F25" s="635"/>
      <c r="G25" s="635">
        <f>+'Exhibit I State'!G24</f>
        <v>0</v>
      </c>
      <c r="H25" s="635"/>
      <c r="I25" s="635">
        <f>+'Exhibit I State'!I24</f>
        <v>0</v>
      </c>
      <c r="J25" s="16"/>
      <c r="K25" s="635">
        <f>+'Exhibit I State'!K24</f>
        <v>0</v>
      </c>
      <c r="L25" s="991"/>
      <c r="M25" s="635">
        <f>+'Exhibit I State'!M24</f>
        <v>0</v>
      </c>
      <c r="N25" s="991"/>
      <c r="O25" s="635">
        <f>+'Exhibit I State'!O24</f>
        <v>0</v>
      </c>
      <c r="P25" s="991"/>
      <c r="Q25" s="635">
        <f>+'Exhibit I State'!Q24</f>
        <v>0</v>
      </c>
      <c r="R25" s="991"/>
      <c r="S25" s="635">
        <f>+'Exhibit I State'!S24</f>
        <v>0</v>
      </c>
      <c r="T25" s="635"/>
      <c r="U25" s="635"/>
      <c r="V25" s="635"/>
      <c r="W25" s="635"/>
      <c r="X25" s="635"/>
      <c r="Y25" s="635"/>
      <c r="Z25" s="635"/>
      <c r="AA25" s="635"/>
      <c r="AB25" s="635"/>
      <c r="AC25" s="635">
        <v>0</v>
      </c>
      <c r="AD25" s="2051"/>
      <c r="AE25" s="991"/>
      <c r="AF25" s="325">
        <v>0</v>
      </c>
      <c r="AG25" s="2052"/>
      <c r="AH25" s="1234"/>
      <c r="AI25" s="1316">
        <f>+'Exhibit I State'!AG24</f>
        <v>0</v>
      </c>
      <c r="AJ25" s="1235"/>
      <c r="AK25" s="1236"/>
      <c r="AL25" s="1316">
        <f>ROUND(SUM(AF25-AI25),1)</f>
        <v>0</v>
      </c>
      <c r="AM25" s="991"/>
      <c r="AN25" s="1559">
        <f>ROUND(IF(AI25=0,0,AL25/ABS(AI25)),3)</f>
        <v>0</v>
      </c>
      <c r="AO25" s="262"/>
      <c r="AP25" s="115"/>
      <c r="AQ25" s="115"/>
      <c r="AR25" s="115"/>
      <c r="AS25" s="115"/>
      <c r="AT25" s="115"/>
    </row>
    <row r="26" spans="1:46">
      <c r="A26" s="353"/>
      <c r="B26" s="345" t="s">
        <v>397</v>
      </c>
      <c r="C26" s="353"/>
      <c r="D26" s="353"/>
      <c r="E26" s="635">
        <f>+'Exhibit I State'!E25</f>
        <v>5</v>
      </c>
      <c r="F26" s="635"/>
      <c r="G26" s="635">
        <f>+'Exhibit I State'!G25</f>
        <v>0</v>
      </c>
      <c r="H26" s="635"/>
      <c r="I26" s="635">
        <f>+'Exhibit I State'!I25</f>
        <v>1.5999999999999996</v>
      </c>
      <c r="J26" s="16"/>
      <c r="K26" s="635">
        <f>+'Exhibit I State'!K25</f>
        <v>0</v>
      </c>
      <c r="L26" s="991"/>
      <c r="M26" s="635">
        <f>+'Exhibit I State'!M25</f>
        <v>0.10000000000000053</v>
      </c>
      <c r="N26" s="991"/>
      <c r="O26" s="635">
        <f>+'Exhibit I State'!O25</f>
        <v>1.7000000000000002</v>
      </c>
      <c r="P26" s="991"/>
      <c r="Q26" s="635">
        <f>+'Exhibit I State'!Q25</f>
        <v>0.29999999999999893</v>
      </c>
      <c r="R26" s="991"/>
      <c r="S26" s="635">
        <f>+'Exhibit I State'!S25</f>
        <v>0.40000000000000036</v>
      </c>
      <c r="T26" s="635"/>
      <c r="U26" s="635"/>
      <c r="V26" s="635"/>
      <c r="W26" s="635"/>
      <c r="X26" s="635"/>
      <c r="Y26" s="635"/>
      <c r="Z26" s="635"/>
      <c r="AA26" s="635"/>
      <c r="AB26" s="635"/>
      <c r="AC26" s="635">
        <v>0</v>
      </c>
      <c r="AD26" s="2051"/>
      <c r="AE26" s="991"/>
      <c r="AF26" s="325">
        <f>ROUND(SUM(E26:AC26),1)</f>
        <v>9.1</v>
      </c>
      <c r="AG26" s="2052"/>
      <c r="AH26" s="1234"/>
      <c r="AI26" s="1316">
        <f>+'Exhibit I State'!AG25</f>
        <v>5.3999999999999995</v>
      </c>
      <c r="AJ26" s="1235"/>
      <c r="AK26" s="1236"/>
      <c r="AL26" s="1316">
        <f>ROUND(SUM(AF26-AI26),1)</f>
        <v>3.7</v>
      </c>
      <c r="AM26" s="991"/>
      <c r="AN26" s="670">
        <f>ROUND(IF(AI26=0,1,AL26/ABS(AI26)),3)</f>
        <v>0.68500000000000005</v>
      </c>
      <c r="AO26" s="262"/>
      <c r="AP26" s="115"/>
      <c r="AQ26" s="115"/>
      <c r="AR26" s="115"/>
      <c r="AS26" s="115"/>
      <c r="AT26" s="115"/>
    </row>
    <row r="27" spans="1:46">
      <c r="A27" s="353"/>
      <c r="B27" s="345" t="s">
        <v>401</v>
      </c>
      <c r="C27" s="353"/>
      <c r="D27" s="353"/>
      <c r="E27" s="635">
        <f>+'Exhibit I State'!E26</f>
        <v>46</v>
      </c>
      <c r="F27" s="635"/>
      <c r="G27" s="635">
        <f>+'Exhibit I State'!G26</f>
        <v>54.7</v>
      </c>
      <c r="H27" s="635"/>
      <c r="I27" s="635">
        <f>+'Exhibit I State'!I26</f>
        <v>53.7</v>
      </c>
      <c r="J27" s="16"/>
      <c r="K27" s="635">
        <f>+'Exhibit I State'!K26</f>
        <v>54.599999999999994</v>
      </c>
      <c r="L27" s="991"/>
      <c r="M27" s="635">
        <f>+'Exhibit I State'!M26</f>
        <v>50.399999999999991</v>
      </c>
      <c r="N27" s="991"/>
      <c r="O27" s="635">
        <f>+'Exhibit I State'!O26</f>
        <v>64.800000000000026</v>
      </c>
      <c r="P27" s="991"/>
      <c r="Q27" s="635">
        <f>+'Exhibit I State'!Q26</f>
        <v>55.300000000000011</v>
      </c>
      <c r="R27" s="991"/>
      <c r="S27" s="635">
        <f>+'Exhibit I State'!S26</f>
        <v>52.899999999999963</v>
      </c>
      <c r="T27" s="635"/>
      <c r="U27" s="635"/>
      <c r="V27" s="635"/>
      <c r="W27" s="635"/>
      <c r="X27" s="635"/>
      <c r="Y27" s="635"/>
      <c r="Z27" s="635"/>
      <c r="AA27" s="635"/>
      <c r="AB27" s="635"/>
      <c r="AC27" s="635">
        <v>0</v>
      </c>
      <c r="AD27" s="2051"/>
      <c r="AE27" s="991"/>
      <c r="AF27" s="325">
        <f>ROUND(SUM(E27:AC27),1)</f>
        <v>432.4</v>
      </c>
      <c r="AG27" s="2052"/>
      <c r="AH27" s="1234"/>
      <c r="AI27" s="1316">
        <f>+'Exhibit I State'!AG26</f>
        <v>411.8</v>
      </c>
      <c r="AJ27" s="1235"/>
      <c r="AK27" s="1236"/>
      <c r="AL27" s="1316">
        <f>ROUND(SUM(AF27-AI27),1)</f>
        <v>20.6</v>
      </c>
      <c r="AM27" s="991"/>
      <c r="AN27" s="327">
        <f>ROUND(IF(AI27=0,0,AL27/ABS(AI27)),3)</f>
        <v>0.05</v>
      </c>
      <c r="AO27" s="262"/>
      <c r="AP27" s="115"/>
      <c r="AQ27" s="115"/>
      <c r="AR27" s="115"/>
      <c r="AS27" s="115"/>
      <c r="AT27" s="115"/>
    </row>
    <row r="28" spans="1:46">
      <c r="A28" s="353"/>
      <c r="B28" s="118" t="s">
        <v>592</v>
      </c>
      <c r="C28" s="353"/>
      <c r="D28" s="353"/>
      <c r="E28" s="100">
        <f>ROUND(SUM(E25:E27),1)</f>
        <v>51</v>
      </c>
      <c r="F28" s="659"/>
      <c r="G28" s="100">
        <f>ROUND(SUM(G25:G27),1)</f>
        <v>54.7</v>
      </c>
      <c r="H28" s="659"/>
      <c r="I28" s="100">
        <f>ROUND(SUM(I25:I27),1)</f>
        <v>55.3</v>
      </c>
      <c r="J28" s="16"/>
      <c r="K28" s="100">
        <f>ROUND(SUM(K25:K27),1)</f>
        <v>54.6</v>
      </c>
      <c r="L28" s="991"/>
      <c r="M28" s="100">
        <f>ROUND(SUM(M25:M27),1)</f>
        <v>50.5</v>
      </c>
      <c r="N28" s="991"/>
      <c r="O28" s="100">
        <f>ROUND(SUM(O25:O27),1)</f>
        <v>66.5</v>
      </c>
      <c r="P28" s="991"/>
      <c r="Q28" s="100">
        <f>ROUND(SUM(Q25:Q27),1)</f>
        <v>55.6</v>
      </c>
      <c r="R28" s="991"/>
      <c r="S28" s="100">
        <f>ROUND(SUM(S25:S27),1)</f>
        <v>53.3</v>
      </c>
      <c r="T28" s="991"/>
      <c r="U28" s="100">
        <f>ROUND(SUM(U25:U27),1)</f>
        <v>0</v>
      </c>
      <c r="V28" s="991"/>
      <c r="W28" s="100">
        <f>ROUND(SUM(W25:W27),1)</f>
        <v>0</v>
      </c>
      <c r="X28" s="991"/>
      <c r="Y28" s="100">
        <f>ROUND(SUM(Y25:Y27),1)</f>
        <v>0</v>
      </c>
      <c r="Z28" s="991"/>
      <c r="AA28" s="100">
        <f>ROUND(SUM(AA25:AA27),1)</f>
        <v>0</v>
      </c>
      <c r="AB28" s="16"/>
      <c r="AC28" s="100">
        <f>ROUND(SUM(AC25:AC27),1)</f>
        <v>0</v>
      </c>
      <c r="AD28" s="2051"/>
      <c r="AE28" s="991"/>
      <c r="AF28" s="100">
        <f>ROUND(SUM(AF25:AF27),1)</f>
        <v>441.5</v>
      </c>
      <c r="AG28" s="2052"/>
      <c r="AH28" s="1234"/>
      <c r="AI28" s="100">
        <f>ROUND(SUM(AI25:AI27),1)</f>
        <v>417.2</v>
      </c>
      <c r="AJ28" s="1235"/>
      <c r="AK28" s="1236"/>
      <c r="AL28" s="100">
        <f>ROUND(SUM(AL25:AL27),1)</f>
        <v>24.3</v>
      </c>
      <c r="AM28" s="991"/>
      <c r="AN28" s="665">
        <f>ROUND(IF(AI28=0,0,AL28/ABS(AI28)),3)</f>
        <v>5.8000000000000003E-2</v>
      </c>
      <c r="AO28" s="262"/>
      <c r="AP28" s="115"/>
      <c r="AQ28" s="115"/>
      <c r="AR28" s="115"/>
      <c r="AS28" s="115"/>
      <c r="AT28" s="115"/>
    </row>
    <row r="29" spans="1:46">
      <c r="A29" s="353"/>
      <c r="B29" s="525" t="s">
        <v>403</v>
      </c>
      <c r="C29" s="353"/>
      <c r="D29" s="353"/>
      <c r="E29" s="329"/>
      <c r="F29" s="329"/>
      <c r="G29" s="329"/>
      <c r="H29" s="329"/>
      <c r="I29" s="329"/>
      <c r="J29" s="329"/>
      <c r="K29" s="329"/>
      <c r="L29" s="329"/>
      <c r="M29" s="329"/>
      <c r="N29" s="329"/>
      <c r="O29" s="329"/>
      <c r="P29" s="329"/>
      <c r="Q29" s="329"/>
      <c r="R29" s="329"/>
      <c r="S29" s="329"/>
      <c r="T29" s="329"/>
      <c r="U29" s="329"/>
      <c r="V29" s="329"/>
      <c r="W29" s="329"/>
      <c r="X29" s="329"/>
      <c r="Y29" s="329"/>
      <c r="Z29" s="329"/>
      <c r="AA29" s="329"/>
      <c r="AB29" s="329"/>
      <c r="AC29" s="329"/>
      <c r="AD29" s="329"/>
      <c r="AE29" s="836"/>
      <c r="AF29" s="329"/>
      <c r="AG29" s="2056"/>
      <c r="AH29" s="329"/>
      <c r="AI29" s="329"/>
      <c r="AJ29" s="329"/>
      <c r="AK29" s="127"/>
    </row>
    <row r="30" spans="1:46">
      <c r="A30" s="353"/>
      <c r="B30" s="345" t="s">
        <v>407</v>
      </c>
      <c r="C30" s="353"/>
      <c r="D30" s="353"/>
      <c r="E30" s="635">
        <f>+'Exhibit I State'!E29</f>
        <v>0</v>
      </c>
      <c r="F30" s="635"/>
      <c r="G30" s="635">
        <f>+'Exhibit I State'!G29</f>
        <v>0</v>
      </c>
      <c r="H30" s="635"/>
      <c r="I30" s="635">
        <f>+'Exhibit I State'!I29</f>
        <v>25.7</v>
      </c>
      <c r="J30" s="16"/>
      <c r="K30" s="635">
        <f>+'Exhibit I State'!K29</f>
        <v>25.8</v>
      </c>
      <c r="L30" s="991"/>
      <c r="M30" s="635">
        <f>+'Exhibit I State'!M29</f>
        <v>25.7</v>
      </c>
      <c r="N30" s="991"/>
      <c r="O30" s="635">
        <f>+'Exhibit I State'!O29</f>
        <v>25.700000000000006</v>
      </c>
      <c r="P30" s="991"/>
      <c r="Q30" s="635">
        <f>+'Exhibit I State'!Q29</f>
        <v>25.799999999999979</v>
      </c>
      <c r="R30" s="991"/>
      <c r="S30" s="635">
        <f>+'Exhibit I State'!S29</f>
        <v>25.700000000000035</v>
      </c>
      <c r="T30" s="635"/>
      <c r="U30" s="635"/>
      <c r="V30" s="635"/>
      <c r="W30" s="635"/>
      <c r="X30" s="635"/>
      <c r="Y30" s="635"/>
      <c r="Z30" s="635"/>
      <c r="AA30" s="635"/>
      <c r="AB30" s="635"/>
      <c r="AC30" s="635">
        <v>0</v>
      </c>
      <c r="AD30" s="2051"/>
      <c r="AE30" s="991"/>
      <c r="AF30" s="325">
        <f>ROUND(SUM(E30:AC30),1)</f>
        <v>154.4</v>
      </c>
      <c r="AG30" s="2052"/>
      <c r="AH30" s="1234"/>
      <c r="AI30" s="1316">
        <f>+'Exhibit I State'!AG29</f>
        <v>154.4</v>
      </c>
      <c r="AJ30" s="1235"/>
      <c r="AK30" s="1236"/>
      <c r="AL30" s="1316">
        <f>ROUND(SUM(AF30-AI30),1)</f>
        <v>0</v>
      </c>
      <c r="AM30" s="991"/>
      <c r="AN30" s="327">
        <f>ROUND(IF(AI30=0,0,AL30/ABS(AI30)),3)</f>
        <v>0</v>
      </c>
      <c r="AO30" s="262"/>
      <c r="AP30" s="115"/>
      <c r="AQ30" s="115"/>
      <c r="AR30" s="115"/>
    </row>
    <row r="31" spans="1:46">
      <c r="A31" s="353"/>
      <c r="B31" s="118" t="s">
        <v>593</v>
      </c>
      <c r="C31" s="353"/>
      <c r="D31" s="353"/>
      <c r="E31" s="100">
        <f>ROUND(SUM(E30:E30),1)</f>
        <v>0</v>
      </c>
      <c r="F31" s="16"/>
      <c r="G31" s="100">
        <f>ROUND(SUM(G30:G30),1)</f>
        <v>0</v>
      </c>
      <c r="H31" s="16"/>
      <c r="I31" s="100">
        <f>ROUND(SUM(I30:I30),1)</f>
        <v>25.7</v>
      </c>
      <c r="J31" s="16"/>
      <c r="K31" s="100">
        <f>ROUND(SUM(K30:K30),1)</f>
        <v>25.8</v>
      </c>
      <c r="L31" s="991"/>
      <c r="M31" s="100">
        <f>ROUND(SUM(M30:M30),1)</f>
        <v>25.7</v>
      </c>
      <c r="N31" s="991"/>
      <c r="O31" s="100">
        <f>ROUND(SUM(O30:O30),1)</f>
        <v>25.7</v>
      </c>
      <c r="P31" s="991"/>
      <c r="Q31" s="100">
        <f>ROUND(SUM(Q30:Q30),1)</f>
        <v>25.8</v>
      </c>
      <c r="R31" s="991"/>
      <c r="S31" s="100">
        <f>ROUND(SUM(S30:S30),1)</f>
        <v>25.7</v>
      </c>
      <c r="T31" s="991"/>
      <c r="U31" s="100">
        <f>ROUND(SUM(U30:U30),1)</f>
        <v>0</v>
      </c>
      <c r="V31" s="991"/>
      <c r="W31" s="100">
        <f>ROUND(SUM(W30:W30),1)</f>
        <v>0</v>
      </c>
      <c r="X31" s="991"/>
      <c r="Y31" s="100">
        <f>ROUND(SUM(Y30:Y30),1)</f>
        <v>0</v>
      </c>
      <c r="Z31" s="991"/>
      <c r="AA31" s="100">
        <f>ROUND(SUM(AA30:AA30),1)</f>
        <v>0</v>
      </c>
      <c r="AB31" s="16"/>
      <c r="AC31" s="100">
        <f>ROUND(SUM(AC30:AC30),1)</f>
        <v>0</v>
      </c>
      <c r="AD31" s="2051"/>
      <c r="AE31" s="991"/>
      <c r="AF31" s="100">
        <f>ROUND(SUM(AF30:AF30),1)</f>
        <v>154.4</v>
      </c>
      <c r="AG31" s="2052"/>
      <c r="AH31" s="1234"/>
      <c r="AI31" s="100">
        <f>ROUND(SUM(AI30:AI30),1)</f>
        <v>154.4</v>
      </c>
      <c r="AJ31" s="1235"/>
      <c r="AK31" s="1236"/>
      <c r="AL31" s="1682">
        <f>ROUND(SUM(AF31-AI31),1)</f>
        <v>0</v>
      </c>
      <c r="AM31" s="118"/>
      <c r="AN31" s="665">
        <f>ROUND(IF(AI31=0,0,AL31/ABS(AI31)),3)</f>
        <v>0</v>
      </c>
      <c r="AO31" s="262"/>
      <c r="AP31" s="115"/>
      <c r="AQ31" s="115"/>
      <c r="AR31" s="115"/>
    </row>
    <row r="32" spans="1:46">
      <c r="A32" s="353"/>
      <c r="B32" s="118"/>
      <c r="C32" s="353"/>
      <c r="D32" s="353"/>
      <c r="E32" s="100"/>
      <c r="F32" s="16"/>
      <c r="G32" s="100"/>
      <c r="H32" s="16"/>
      <c r="I32" s="100"/>
      <c r="J32" s="16"/>
      <c r="K32" s="100"/>
      <c r="L32" s="991"/>
      <c r="M32" s="100"/>
      <c r="N32" s="991"/>
      <c r="O32" s="100"/>
      <c r="P32" s="991"/>
      <c r="Q32" s="100"/>
      <c r="R32" s="991"/>
      <c r="S32" s="100"/>
      <c r="T32" s="991"/>
      <c r="U32" s="100"/>
      <c r="V32" s="991"/>
      <c r="W32" s="100"/>
      <c r="X32" s="991"/>
      <c r="Y32" s="100"/>
      <c r="Z32" s="991"/>
      <c r="AA32" s="100"/>
      <c r="AB32" s="16"/>
      <c r="AC32" s="100"/>
      <c r="AD32" s="2051"/>
      <c r="AE32" s="991"/>
      <c r="AF32" s="100"/>
      <c r="AG32" s="2052"/>
      <c r="AH32" s="1234"/>
      <c r="AI32" s="1234"/>
      <c r="AJ32" s="1235"/>
      <c r="AK32" s="1236"/>
      <c r="AL32" s="1234"/>
      <c r="AM32" s="991"/>
      <c r="AN32" s="991"/>
      <c r="AO32" s="262"/>
      <c r="AP32" s="115"/>
      <c r="AQ32" s="115"/>
      <c r="AR32" s="115"/>
    </row>
    <row r="33" spans="1:44">
      <c r="A33" s="353"/>
      <c r="B33" s="118" t="s">
        <v>411</v>
      </c>
      <c r="C33" s="353"/>
      <c r="D33" s="353"/>
      <c r="E33" s="1690">
        <f>ROUND(SUM(E11+E28+E23+E31),1)</f>
        <v>101</v>
      </c>
      <c r="F33" s="325"/>
      <c r="G33" s="1690">
        <f>ROUND(SUM(G11+G28+G23+G31),1)</f>
        <v>100.8</v>
      </c>
      <c r="H33" s="325"/>
      <c r="I33" s="1690">
        <f>ROUND(SUM(I11+I28+I23+I31),1)</f>
        <v>142.9</v>
      </c>
      <c r="J33" s="325"/>
      <c r="K33" s="1690">
        <f>ROUND(SUM(K11+K28+K23+K31),1)</f>
        <v>126.4</v>
      </c>
      <c r="L33" s="991"/>
      <c r="M33" s="1690">
        <f>ROUND(SUM(M11+M28+M23+M31),1)</f>
        <v>121.5</v>
      </c>
      <c r="N33" s="991"/>
      <c r="O33" s="1690">
        <f>ROUND(SUM(O11+O28+O23+O31),1)</f>
        <v>168.2</v>
      </c>
      <c r="P33" s="991"/>
      <c r="Q33" s="1690">
        <f>ROUND(SUM(Q11+Q28+Q23+Q31),1)</f>
        <v>127.2</v>
      </c>
      <c r="R33" s="991"/>
      <c r="S33" s="1691">
        <f>ROUND(SUM(S11+S28+S23+S31),1)</f>
        <v>122.1</v>
      </c>
      <c r="T33" s="991"/>
      <c r="U33" s="1691">
        <f>ROUND(SUM(U11+U28+U23+U31),1)</f>
        <v>0</v>
      </c>
      <c r="V33" s="991"/>
      <c r="W33" s="1691">
        <f>ROUND(SUM(W11+W28+W23+W31),1)</f>
        <v>0</v>
      </c>
      <c r="X33" s="991"/>
      <c r="Y33" s="1691">
        <f>ROUND(SUM(Y11+Y28+Y23+Y31),1)</f>
        <v>0</v>
      </c>
      <c r="Z33" s="991"/>
      <c r="AA33" s="1691">
        <f>ROUND(SUM(AA11+AA28+AA23+AA31),1)</f>
        <v>0</v>
      </c>
      <c r="AB33" s="527"/>
      <c r="AC33" s="1691">
        <f>ROUND(SUM(AC15+AC28+AC23+AC31),1)</f>
        <v>0</v>
      </c>
      <c r="AD33" s="2051"/>
      <c r="AE33" s="991"/>
      <c r="AF33" s="1691">
        <f>ROUND(SUM(AF28+AF23+AF31),1)</f>
        <v>1010.1</v>
      </c>
      <c r="AG33" s="2052"/>
      <c r="AH33" s="1234"/>
      <c r="AI33" s="1691">
        <f>ROUND(SUM(AI28+AI23+AI31),1)</f>
        <v>781.9</v>
      </c>
      <c r="AJ33" s="1235"/>
      <c r="AK33" s="1236"/>
      <c r="AL33" s="1682">
        <f>ROUND(SUM(AF33-AI33),1)</f>
        <v>228.2</v>
      </c>
      <c r="AM33" s="118"/>
      <c r="AN33" s="665">
        <f>ROUND(IF(AI33=0,0,AL33/ABS(AI33)),3)</f>
        <v>0.29199999999999998</v>
      </c>
      <c r="AO33" s="262"/>
      <c r="AP33" s="115"/>
      <c r="AQ33" s="115"/>
      <c r="AR33" s="115"/>
    </row>
    <row r="34" spans="1:44">
      <c r="A34" s="353"/>
      <c r="B34" s="118"/>
      <c r="C34" s="353"/>
      <c r="D34" s="353"/>
      <c r="E34" s="774"/>
      <c r="F34" s="325"/>
      <c r="G34" s="774"/>
      <c r="H34" s="325"/>
      <c r="I34" s="774"/>
      <c r="J34" s="325"/>
      <c r="K34" s="774"/>
      <c r="L34" s="991"/>
      <c r="M34" s="774"/>
      <c r="N34" s="991"/>
      <c r="O34" s="774"/>
      <c r="P34" s="991"/>
      <c r="Q34" s="774"/>
      <c r="R34" s="991"/>
      <c r="S34" s="527"/>
      <c r="T34" s="991"/>
      <c r="U34" s="527"/>
      <c r="V34" s="991"/>
      <c r="W34" s="527"/>
      <c r="X34" s="991"/>
      <c r="Y34" s="527"/>
      <c r="Z34" s="991"/>
      <c r="AA34" s="527"/>
      <c r="AB34" s="527"/>
      <c r="AC34" s="527"/>
      <c r="AD34" s="2051"/>
      <c r="AE34" s="991"/>
      <c r="AF34" s="527"/>
      <c r="AG34" s="2052"/>
      <c r="AH34" s="1234"/>
      <c r="AI34" s="527"/>
      <c r="AJ34" s="1235"/>
      <c r="AK34" s="1236"/>
      <c r="AL34" s="526"/>
      <c r="AM34" s="118"/>
      <c r="AN34" s="342"/>
      <c r="AO34" s="262"/>
      <c r="AP34" s="115"/>
      <c r="AQ34" s="115"/>
      <c r="AR34" s="115"/>
    </row>
    <row r="35" spans="1:44">
      <c r="A35" s="353"/>
      <c r="B35" s="2006" t="s">
        <v>412</v>
      </c>
      <c r="C35" s="353"/>
      <c r="D35" s="353"/>
      <c r="E35" s="336"/>
      <c r="F35" s="325"/>
      <c r="G35" s="336"/>
      <c r="H35" s="325"/>
      <c r="I35" s="336"/>
      <c r="J35" s="325"/>
      <c r="K35" s="336"/>
      <c r="L35" s="325"/>
      <c r="M35" s="336"/>
      <c r="N35" s="325"/>
      <c r="O35" s="336"/>
      <c r="P35" s="325"/>
      <c r="Q35" s="336"/>
      <c r="R35" s="325"/>
      <c r="S35" s="336"/>
      <c r="T35" s="325"/>
      <c r="U35" s="336"/>
      <c r="V35" s="325"/>
      <c r="W35" s="336"/>
      <c r="X35" s="325"/>
      <c r="Y35" s="336"/>
      <c r="Z35" s="325"/>
      <c r="AA35" s="336"/>
      <c r="AB35" s="336"/>
      <c r="AC35" s="336"/>
      <c r="AD35" s="325"/>
      <c r="AE35" s="647"/>
      <c r="AF35" s="351"/>
      <c r="AG35" s="2057"/>
      <c r="AH35" s="469"/>
      <c r="AI35" s="1203"/>
      <c r="AJ35" s="348"/>
      <c r="AK35" s="132"/>
      <c r="AL35" s="15"/>
      <c r="AM35" s="130"/>
      <c r="AN35" s="327"/>
    </row>
    <row r="36" spans="1:44">
      <c r="A36" s="353"/>
      <c r="B36" s="427" t="s">
        <v>413</v>
      </c>
      <c r="C36" s="353"/>
      <c r="D36" s="353"/>
      <c r="E36" s="336"/>
      <c r="F36" s="325"/>
      <c r="G36" s="336"/>
      <c r="H36" s="325"/>
      <c r="I36" s="336"/>
      <c r="J36" s="325"/>
      <c r="K36" s="336"/>
      <c r="L36" s="325"/>
      <c r="M36" s="336"/>
      <c r="N36" s="325"/>
      <c r="O36" s="336"/>
      <c r="P36" s="325"/>
      <c r="Q36" s="336"/>
      <c r="R36" s="325"/>
      <c r="S36" s="336"/>
      <c r="T36" s="325"/>
      <c r="U36" s="336"/>
      <c r="V36" s="325"/>
      <c r="W36" s="336"/>
      <c r="X36" s="325"/>
      <c r="Y36" s="336"/>
      <c r="Z36" s="325"/>
      <c r="AA36" s="336"/>
      <c r="AB36" s="336"/>
      <c r="AC36" s="336"/>
      <c r="AD36" s="325"/>
      <c r="AE36" s="647"/>
      <c r="AF36" s="351"/>
      <c r="AG36" s="2057"/>
      <c r="AH36" s="469"/>
      <c r="AI36" s="1203"/>
      <c r="AJ36" s="348"/>
      <c r="AK36" s="132"/>
      <c r="AL36" s="15"/>
      <c r="AM36" s="130"/>
      <c r="AN36" s="327"/>
    </row>
    <row r="37" spans="1:44">
      <c r="A37" s="353"/>
      <c r="B37" s="427" t="s">
        <v>594</v>
      </c>
      <c r="C37" s="353"/>
      <c r="D37" s="353"/>
      <c r="E37" s="336">
        <f>+'Exhibit I State'!E36+'Exhibit I Federal'!E19</f>
        <v>0</v>
      </c>
      <c r="F37" s="336"/>
      <c r="G37" s="336">
        <f>+'Exhibit I State'!G36+'Exhibit I Federal'!G19</f>
        <v>0</v>
      </c>
      <c r="H37" s="336"/>
      <c r="I37" s="336">
        <f>+'Exhibit I State'!I36+'Exhibit I Federal'!I19</f>
        <v>23</v>
      </c>
      <c r="J37" s="325"/>
      <c r="K37" s="336">
        <f>+'Exhibit I State'!K36+'Exhibit I Federal'!K19</f>
        <v>0</v>
      </c>
      <c r="L37" s="325"/>
      <c r="M37" s="336">
        <f>+'Exhibit I State'!M36+'Exhibit I Federal'!M19</f>
        <v>0</v>
      </c>
      <c r="N37" s="325"/>
      <c r="O37" s="336">
        <f>+'Exhibit I State'!O36+'Exhibit I Federal'!O19</f>
        <v>0</v>
      </c>
      <c r="P37" s="325"/>
      <c r="Q37" s="336">
        <f>+'Exhibit I State'!Q36+'Exhibit I Federal'!Q19</f>
        <v>0</v>
      </c>
      <c r="R37" s="325"/>
      <c r="S37" s="336">
        <f>+'Exhibit I State'!S36+'Exhibit I Federal'!S19</f>
        <v>0</v>
      </c>
      <c r="T37" s="336"/>
      <c r="U37" s="336"/>
      <c r="V37" s="336"/>
      <c r="W37" s="336"/>
      <c r="X37" s="336"/>
      <c r="Y37" s="336"/>
      <c r="Z37" s="336"/>
      <c r="AA37" s="336"/>
      <c r="AB37" s="336"/>
      <c r="AC37" s="336">
        <v>0</v>
      </c>
      <c r="AD37" s="325"/>
      <c r="AE37" s="647"/>
      <c r="AF37" s="351">
        <f>ROUND(SUM(E37:AC37),1)</f>
        <v>23</v>
      </c>
      <c r="AG37" s="2057"/>
      <c r="AH37" s="469"/>
      <c r="AI37" s="1203">
        <f>+'Exhibit I State'!AG36+'Exhibit I Federal'!AG19</f>
        <v>23</v>
      </c>
      <c r="AJ37" s="348"/>
      <c r="AK37" s="132"/>
      <c r="AL37" s="15">
        <f t="shared" ref="AL37:AL60" si="1">ROUND(SUM(+AF37-AI37),1)</f>
        <v>0</v>
      </c>
      <c r="AM37" s="130"/>
      <c r="AN37" s="327">
        <f>ROUND(IF(AI37=0,0,AL37/ABS(AI37)),3)</f>
        <v>0</v>
      </c>
    </row>
    <row r="38" spans="1:44">
      <c r="A38" s="353"/>
      <c r="B38" s="427" t="s">
        <v>416</v>
      </c>
      <c r="C38" s="353"/>
      <c r="D38" s="353"/>
      <c r="E38" s="336"/>
      <c r="F38" s="336"/>
      <c r="G38" s="336"/>
      <c r="H38" s="336"/>
      <c r="I38" s="336"/>
      <c r="J38" s="325"/>
      <c r="K38" s="336"/>
      <c r="L38" s="325"/>
      <c r="M38" s="336"/>
      <c r="N38" s="325"/>
      <c r="O38" s="336"/>
      <c r="P38" s="325"/>
      <c r="Q38" s="336"/>
      <c r="R38" s="325"/>
      <c r="S38" s="336"/>
      <c r="T38" s="336"/>
      <c r="U38" s="336"/>
      <c r="V38" s="336"/>
      <c r="W38" s="336"/>
      <c r="X38" s="336"/>
      <c r="Y38" s="336"/>
      <c r="Z38" s="336"/>
      <c r="AA38" s="336"/>
      <c r="AB38" s="336"/>
      <c r="AC38" s="336"/>
      <c r="AD38" s="325"/>
      <c r="AE38" s="647"/>
      <c r="AF38" s="351"/>
      <c r="AG38" s="2057"/>
      <c r="AH38" s="469"/>
      <c r="AI38" s="1203"/>
      <c r="AJ38" s="348"/>
      <c r="AK38" s="132"/>
      <c r="AL38" s="15"/>
      <c r="AM38" s="130"/>
      <c r="AN38" s="327"/>
    </row>
    <row r="39" spans="1:44">
      <c r="A39" s="353"/>
      <c r="B39" s="427" t="s">
        <v>514</v>
      </c>
      <c r="C39" s="353"/>
      <c r="D39" s="353"/>
      <c r="E39" s="336">
        <f>+'Exhibit I State'!E38+'Exhibit I Federal'!E21</f>
        <v>6.6999999999999993</v>
      </c>
      <c r="F39" s="336"/>
      <c r="G39" s="336">
        <f>+'Exhibit I State'!G38+'Exhibit I Federal'!G21</f>
        <v>5.5</v>
      </c>
      <c r="H39" s="336"/>
      <c r="I39" s="336">
        <f>+'Exhibit I State'!I38+'Exhibit I Federal'!I21</f>
        <v>5.9000000000000021</v>
      </c>
      <c r="J39" s="325"/>
      <c r="K39" s="336">
        <f>+'Exhibit I State'!K38+'Exhibit I Federal'!K21</f>
        <v>5.3999999999999986</v>
      </c>
      <c r="L39" s="325"/>
      <c r="M39" s="336">
        <f>+'Exhibit I State'!M38+'Exhibit I Federal'!M21</f>
        <v>5.1999999999999993</v>
      </c>
      <c r="N39" s="325"/>
      <c r="O39" s="336">
        <f>+'Exhibit I State'!O38+'Exhibit I Federal'!O21</f>
        <v>5.5000000000000036</v>
      </c>
      <c r="P39" s="325"/>
      <c r="Q39" s="336">
        <f>+'Exhibit I State'!Q38+'Exhibit I Federal'!Q21</f>
        <v>5.4999999999999964</v>
      </c>
      <c r="R39" s="325"/>
      <c r="S39" s="336">
        <f>+'Exhibit I State'!S38+'Exhibit I Federal'!S21</f>
        <v>5.2999999999999972</v>
      </c>
      <c r="T39" s="336"/>
      <c r="U39" s="336"/>
      <c r="V39" s="336"/>
      <c r="W39" s="336"/>
      <c r="X39" s="336"/>
      <c r="Y39" s="336"/>
      <c r="Z39" s="336"/>
      <c r="AA39" s="336"/>
      <c r="AB39" s="336"/>
      <c r="AC39" s="336">
        <v>0</v>
      </c>
      <c r="AD39" s="325"/>
      <c r="AE39" s="647"/>
      <c r="AF39" s="351">
        <f>ROUND(SUM(E39:AC39),1)</f>
        <v>45</v>
      </c>
      <c r="AG39" s="2057"/>
      <c r="AH39" s="469"/>
      <c r="AI39" s="1203">
        <f>+'Exhibit I State'!AG38+'Exhibit I Federal'!AG21</f>
        <v>45.8</v>
      </c>
      <c r="AJ39" s="348"/>
      <c r="AK39" s="132"/>
      <c r="AL39" s="15">
        <f t="shared" si="1"/>
        <v>-0.8</v>
      </c>
      <c r="AM39" s="130"/>
      <c r="AN39" s="327">
        <f>ROUND(IF(AI39=0,0,AL39/ABS(AI39)),3)</f>
        <v>-1.7000000000000001E-2</v>
      </c>
    </row>
    <row r="40" spans="1:44">
      <c r="A40" s="353"/>
      <c r="B40" s="427" t="s">
        <v>421</v>
      </c>
      <c r="C40" s="353"/>
      <c r="D40" s="353"/>
      <c r="E40" s="336"/>
      <c r="F40" s="336"/>
      <c r="G40" s="336"/>
      <c r="H40" s="336"/>
      <c r="I40" s="336"/>
      <c r="J40" s="325"/>
      <c r="K40" s="336"/>
      <c r="L40" s="325"/>
      <c r="M40" s="336"/>
      <c r="N40" s="325"/>
      <c r="O40" s="336"/>
      <c r="P40" s="325"/>
      <c r="Q40" s="336"/>
      <c r="R40" s="325"/>
      <c r="S40" s="336"/>
      <c r="T40" s="336"/>
      <c r="U40" s="336"/>
      <c r="V40" s="336"/>
      <c r="W40" s="336"/>
      <c r="X40" s="336"/>
      <c r="Y40" s="336"/>
      <c r="Z40" s="336"/>
      <c r="AA40" s="336"/>
      <c r="AB40" s="336"/>
      <c r="AC40" s="336"/>
      <c r="AD40" s="325"/>
      <c r="AE40" s="647"/>
      <c r="AF40" s="351"/>
      <c r="AG40" s="2057"/>
      <c r="AH40" s="469"/>
      <c r="AI40" s="1203"/>
      <c r="AJ40" s="348"/>
      <c r="AK40" s="132"/>
      <c r="AL40" s="15"/>
      <c r="AM40" s="130"/>
      <c r="AN40" s="327"/>
    </row>
    <row r="41" spans="1:44">
      <c r="A41" s="353"/>
      <c r="B41" s="427" t="s">
        <v>517</v>
      </c>
      <c r="C41" s="353"/>
      <c r="D41" s="353"/>
      <c r="E41" s="336">
        <f>+'Exhibit I State'!E40+'Exhibit I Federal'!E23</f>
        <v>1.4000000000000001</v>
      </c>
      <c r="F41" s="336"/>
      <c r="G41" s="336">
        <f>+'Exhibit I State'!G40+'Exhibit I Federal'!G23</f>
        <v>3.1999999999999993</v>
      </c>
      <c r="H41" s="336"/>
      <c r="I41" s="336">
        <f>+'Exhibit I State'!I40+'Exhibit I Federal'!I23</f>
        <v>1.8000000000000007</v>
      </c>
      <c r="J41" s="325"/>
      <c r="K41" s="336">
        <f>+'Exhibit I State'!K40+'Exhibit I Federal'!K23</f>
        <v>1.9000000000000004</v>
      </c>
      <c r="L41" s="325"/>
      <c r="M41" s="336">
        <f>+'Exhibit I State'!M40+'Exhibit I Federal'!M23</f>
        <v>8.5</v>
      </c>
      <c r="N41" s="325"/>
      <c r="O41" s="336">
        <f>+'Exhibit I State'!O40+'Exhibit I Federal'!O23</f>
        <v>3.5000000000000018</v>
      </c>
      <c r="P41" s="325"/>
      <c r="Q41" s="336">
        <f>+'Exhibit I State'!Q40+'Exhibit I Federal'!Q23</f>
        <v>5.3000000000000025</v>
      </c>
      <c r="R41" s="325"/>
      <c r="S41" s="336">
        <f>+'Exhibit I State'!S40+'Exhibit I Federal'!S23</f>
        <v>4.1999999999999957</v>
      </c>
      <c r="T41" s="336"/>
      <c r="U41" s="336"/>
      <c r="V41" s="336"/>
      <c r="W41" s="336"/>
      <c r="X41" s="336"/>
      <c r="Y41" s="336"/>
      <c r="Z41" s="336"/>
      <c r="AA41" s="336"/>
      <c r="AB41" s="336"/>
      <c r="AC41" s="336">
        <v>0</v>
      </c>
      <c r="AD41" s="325"/>
      <c r="AE41" s="647"/>
      <c r="AF41" s="351">
        <f t="shared" ref="AF41:AF44" si="2">ROUND(SUM(E41:AC41),1)</f>
        <v>29.8</v>
      </c>
      <c r="AG41" s="2057"/>
      <c r="AH41" s="469"/>
      <c r="AI41" s="1203">
        <f>+'Exhibit I State'!AG40+'Exhibit I Federal'!AG23</f>
        <v>21.7</v>
      </c>
      <c r="AJ41" s="348"/>
      <c r="AK41" s="132"/>
      <c r="AL41" s="15">
        <f t="shared" si="1"/>
        <v>8.1</v>
      </c>
      <c r="AM41" s="130"/>
      <c r="AN41" s="327">
        <f>ROUND(IF(AI41=0,0,AL41/ABS(AI41)),3)</f>
        <v>0.373</v>
      </c>
    </row>
    <row r="42" spans="1:44">
      <c r="A42" s="353"/>
      <c r="B42" s="427" t="s">
        <v>595</v>
      </c>
      <c r="C42" s="353"/>
      <c r="D42" s="353"/>
      <c r="E42" s="336">
        <f>+'Exhibit I State'!E41+'Exhibit I Federal'!E24</f>
        <v>0</v>
      </c>
      <c r="F42" s="336"/>
      <c r="G42" s="336">
        <f>+'Exhibit I State'!G41+'Exhibit I Federal'!G24</f>
        <v>0</v>
      </c>
      <c r="H42" s="336"/>
      <c r="I42" s="336">
        <f>+'Exhibit I State'!I41+'Exhibit I Federal'!I24</f>
        <v>0</v>
      </c>
      <c r="J42" s="325"/>
      <c r="K42" s="336">
        <f>+'Exhibit I State'!K41+'Exhibit I Federal'!K24</f>
        <v>0</v>
      </c>
      <c r="L42" s="325"/>
      <c r="M42" s="336">
        <f>+'Exhibit I State'!M41+'Exhibit I Federal'!M24</f>
        <v>0</v>
      </c>
      <c r="N42" s="325"/>
      <c r="O42" s="336">
        <f>+'Exhibit I State'!O41+'Exhibit I Federal'!O24</f>
        <v>0</v>
      </c>
      <c r="P42" s="325"/>
      <c r="Q42" s="336">
        <f>+'Exhibit I State'!Q41+'Exhibit I Federal'!Q24</f>
        <v>0</v>
      </c>
      <c r="R42" s="325"/>
      <c r="S42" s="336">
        <f>+'Exhibit I State'!S41+'Exhibit I Federal'!S24</f>
        <v>0</v>
      </c>
      <c r="T42" s="336"/>
      <c r="U42" s="336"/>
      <c r="V42" s="336"/>
      <c r="W42" s="336"/>
      <c r="X42" s="336"/>
      <c r="Y42" s="336"/>
      <c r="Z42" s="336"/>
      <c r="AA42" s="336"/>
      <c r="AB42" s="336"/>
      <c r="AC42" s="336">
        <v>0</v>
      </c>
      <c r="AD42" s="325"/>
      <c r="AE42" s="647"/>
      <c r="AF42" s="351">
        <f t="shared" si="2"/>
        <v>0</v>
      </c>
      <c r="AG42" s="2057"/>
      <c r="AH42" s="469"/>
      <c r="AI42" s="1203">
        <f>+'Exhibit I State'!AG41+'Exhibit I Federal'!AG24</f>
        <v>0</v>
      </c>
      <c r="AJ42" s="348"/>
      <c r="AK42" s="132"/>
      <c r="AL42" s="15">
        <f>ROUND(SUM(+AF42-AI42),1)</f>
        <v>0</v>
      </c>
      <c r="AM42" s="130"/>
      <c r="AN42" s="327">
        <f>ROUND(IF(AI42=0,0,AL42/ABS(AI42)),3)</f>
        <v>0</v>
      </c>
    </row>
    <row r="43" spans="1:44">
      <c r="A43" s="353"/>
      <c r="B43" s="427" t="s">
        <v>520</v>
      </c>
      <c r="C43" s="353"/>
      <c r="D43" s="353"/>
      <c r="E43" s="336">
        <f>+'Exhibit I State'!E42+'Exhibit I Federal'!E25</f>
        <v>63.8</v>
      </c>
      <c r="F43" s="336"/>
      <c r="G43" s="336">
        <f>+'Exhibit I State'!G42+'Exhibit I Federal'!G25</f>
        <v>61.600000000000009</v>
      </c>
      <c r="H43" s="336"/>
      <c r="I43" s="336">
        <f>+'Exhibit I State'!I42+'Exhibit I Federal'!I25</f>
        <v>63.900000000000006</v>
      </c>
      <c r="J43" s="325"/>
      <c r="K43" s="336">
        <f>+'Exhibit I State'!K42+'Exhibit I Federal'!K25</f>
        <v>52.199999999999974</v>
      </c>
      <c r="L43" s="325"/>
      <c r="M43" s="336">
        <f>+'Exhibit I State'!M42+'Exhibit I Federal'!M25</f>
        <v>55.600000000000009</v>
      </c>
      <c r="N43" s="325"/>
      <c r="O43" s="336">
        <f>+'Exhibit I State'!O42+'Exhibit I Federal'!O25</f>
        <v>64.899999999999977</v>
      </c>
      <c r="P43" s="325"/>
      <c r="Q43" s="336">
        <f>+'Exhibit I State'!Q42+'Exhibit I Federal'!Q25</f>
        <v>51.399999999999991</v>
      </c>
      <c r="R43" s="325"/>
      <c r="S43" s="336">
        <f>+'Exhibit I State'!S42+'Exhibit I Federal'!S25</f>
        <v>52.3</v>
      </c>
      <c r="T43" s="336"/>
      <c r="U43" s="336"/>
      <c r="V43" s="336"/>
      <c r="W43" s="336"/>
      <c r="X43" s="336"/>
      <c r="Y43" s="336"/>
      <c r="Z43" s="336"/>
      <c r="AA43" s="336"/>
      <c r="AB43" s="336"/>
      <c r="AC43" s="336">
        <v>0</v>
      </c>
      <c r="AD43" s="325"/>
      <c r="AE43" s="647"/>
      <c r="AF43" s="351">
        <f>ROUND(SUM(E43:AC43),1)</f>
        <v>465.7</v>
      </c>
      <c r="AG43" s="2057"/>
      <c r="AH43" s="469"/>
      <c r="AI43" s="1203">
        <f>+'Exhibit I State'!AG42+'Exhibit I Federal'!AG25</f>
        <v>445.1</v>
      </c>
      <c r="AJ43" s="348"/>
      <c r="AK43" s="132"/>
      <c r="AL43" s="15">
        <f t="shared" si="1"/>
        <v>20.6</v>
      </c>
      <c r="AM43" s="130"/>
      <c r="AN43" s="327">
        <f>ROUND(IF(AI43=0,0,AL43/ABS(AI43)),3)</f>
        <v>4.5999999999999999E-2</v>
      </c>
    </row>
    <row r="44" spans="1:44">
      <c r="A44" s="353"/>
      <c r="B44" s="427" t="s">
        <v>521</v>
      </c>
      <c r="C44" s="353"/>
      <c r="D44" s="353"/>
      <c r="E44" s="336">
        <f>+'Exhibit I State'!E43+'Exhibit I Federal'!E26</f>
        <v>0.2</v>
      </c>
      <c r="F44" s="336"/>
      <c r="G44" s="336">
        <f>+'Exhibit I State'!G43+'Exhibit I Federal'!G26</f>
        <v>0.3</v>
      </c>
      <c r="H44" s="336"/>
      <c r="I44" s="336">
        <f>+'Exhibit I State'!I43+'Exhibit I Federal'!I26</f>
        <v>1.5</v>
      </c>
      <c r="J44" s="325"/>
      <c r="K44" s="336">
        <f>+'Exhibit I State'!K43+'Exhibit I Federal'!K26</f>
        <v>6.3000000000000016</v>
      </c>
      <c r="L44" s="325"/>
      <c r="M44" s="336">
        <f>+'Exhibit I State'!M43+'Exhibit I Federal'!M26</f>
        <v>0.59999999999999876</v>
      </c>
      <c r="N44" s="325"/>
      <c r="O44" s="336">
        <f>+'Exhibit I State'!O43+'Exhibit I Federal'!O26</f>
        <v>1.2999999999999989</v>
      </c>
      <c r="P44" s="325"/>
      <c r="Q44" s="336">
        <f>+'Exhibit I State'!Q43+'Exhibit I Federal'!Q26</f>
        <v>0</v>
      </c>
      <c r="R44" s="325"/>
      <c r="S44" s="336">
        <f>+'Exhibit I State'!S43+'Exhibit I Federal'!S26</f>
        <v>14.000000000000002</v>
      </c>
      <c r="T44" s="336"/>
      <c r="U44" s="336"/>
      <c r="V44" s="336"/>
      <c r="W44" s="336"/>
      <c r="X44" s="336"/>
      <c r="Y44" s="336"/>
      <c r="Z44" s="336"/>
      <c r="AA44" s="336"/>
      <c r="AB44" s="336"/>
      <c r="AC44" s="336">
        <v>0</v>
      </c>
      <c r="AD44" s="325"/>
      <c r="AE44" s="647"/>
      <c r="AF44" s="351">
        <f t="shared" si="2"/>
        <v>24.2</v>
      </c>
      <c r="AG44" s="2057"/>
      <c r="AH44" s="469"/>
      <c r="AI44" s="1203">
        <f>+'Exhibit I State'!AG43+'Exhibit I Federal'!AG26</f>
        <v>24.9</v>
      </c>
      <c r="AJ44" s="348"/>
      <c r="AK44" s="132"/>
      <c r="AL44" s="325">
        <f>ROUND(SUM(+AF44-AI44),1)</f>
        <v>-0.7</v>
      </c>
      <c r="AM44" s="325"/>
      <c r="AN44" s="670">
        <f>ROUND(IF(AI44=0,1,AL44/ABS(AI44)),3)</f>
        <v>-2.8000000000000001E-2</v>
      </c>
    </row>
    <row r="45" spans="1:44">
      <c r="A45" s="353"/>
      <c r="B45" s="427" t="s">
        <v>429</v>
      </c>
      <c r="C45" s="353"/>
      <c r="D45" s="353"/>
      <c r="E45" s="336">
        <f>+'Exhibit I State'!E44+'Exhibit I Federal'!E27</f>
        <v>2.4</v>
      </c>
      <c r="F45" s="336"/>
      <c r="G45" s="336">
        <f>+'Exhibit I State'!G44+'Exhibit I Federal'!G27</f>
        <v>2.4</v>
      </c>
      <c r="H45" s="336"/>
      <c r="I45" s="336">
        <f>+'Exhibit I State'!I44+'Exhibit I Federal'!I27</f>
        <v>5.0999999999999996</v>
      </c>
      <c r="J45" s="325"/>
      <c r="K45" s="336">
        <f>+'Exhibit I State'!K44+'Exhibit I Federal'!K27</f>
        <v>4.1999999999999993</v>
      </c>
      <c r="L45" s="325"/>
      <c r="M45" s="336">
        <f>+'Exhibit I State'!M44+'Exhibit I Federal'!M27</f>
        <v>2.0000000000000018</v>
      </c>
      <c r="N45" s="325"/>
      <c r="O45" s="336">
        <f>+'Exhibit I State'!O44+'Exhibit I Federal'!O27</f>
        <v>3.0999999999999996</v>
      </c>
      <c r="P45" s="325"/>
      <c r="Q45" s="336">
        <f>+'Exhibit I State'!Q44+'Exhibit I Federal'!Q27</f>
        <v>3.7000000000000011</v>
      </c>
      <c r="R45" s="325"/>
      <c r="S45" s="336">
        <f>+'Exhibit I State'!S44+'Exhibit I Federal'!S27</f>
        <v>2.4000000000000021</v>
      </c>
      <c r="T45" s="336"/>
      <c r="U45" s="336"/>
      <c r="V45" s="336"/>
      <c r="W45" s="336"/>
      <c r="X45" s="336"/>
      <c r="Y45" s="336"/>
      <c r="Z45" s="336"/>
      <c r="AA45" s="336"/>
      <c r="AB45" s="336"/>
      <c r="AC45" s="336">
        <v>0</v>
      </c>
      <c r="AD45" s="325"/>
      <c r="AE45" s="647"/>
      <c r="AF45" s="351">
        <f>ROUND(SUM(E45:AC45),1)</f>
        <v>25.3</v>
      </c>
      <c r="AG45" s="2057"/>
      <c r="AH45" s="469"/>
      <c r="AI45" s="1203">
        <f>+'Exhibit I State'!AG44+'Exhibit I Federal'!AG27</f>
        <v>15.1</v>
      </c>
      <c r="AJ45" s="348"/>
      <c r="AK45" s="132"/>
      <c r="AL45" s="15">
        <f t="shared" si="1"/>
        <v>10.199999999999999</v>
      </c>
      <c r="AM45" s="130"/>
      <c r="AN45" s="670">
        <f>ROUND(IF(AI45=0,1,AL45/ABS(AI45)),3)</f>
        <v>0.67500000000000004</v>
      </c>
    </row>
    <row r="46" spans="1:44">
      <c r="A46" s="353"/>
      <c r="B46" s="427" t="s">
        <v>435</v>
      </c>
      <c r="C46" s="353"/>
      <c r="D46" s="353"/>
      <c r="E46" s="336">
        <f>+'Exhibit I State'!E45+'Exhibit I Federal'!E28</f>
        <v>2.4</v>
      </c>
      <c r="F46" s="336"/>
      <c r="G46" s="336">
        <f>+'Exhibit I State'!G45+'Exhibit I Federal'!G28</f>
        <v>2.6999999999999997</v>
      </c>
      <c r="H46" s="336"/>
      <c r="I46" s="336">
        <f>+'Exhibit I State'!I45+'Exhibit I Federal'!I28</f>
        <v>2.9999999999999996</v>
      </c>
      <c r="J46" s="325"/>
      <c r="K46" s="336">
        <f>+'Exhibit I State'!K45+'Exhibit I Federal'!K28</f>
        <v>3.2000000000000015</v>
      </c>
      <c r="L46" s="325"/>
      <c r="M46" s="336">
        <f>+'Exhibit I State'!M45+'Exhibit I Federal'!M28</f>
        <v>3.5999999999999992</v>
      </c>
      <c r="N46" s="325"/>
      <c r="O46" s="336">
        <f>+'Exhibit I State'!O45+'Exhibit I Federal'!O28</f>
        <v>3.6000000000000019</v>
      </c>
      <c r="P46" s="325"/>
      <c r="Q46" s="336">
        <f>+'Exhibit I State'!Q45+'Exhibit I Federal'!Q28</f>
        <v>3.4999999999999996</v>
      </c>
      <c r="R46" s="325"/>
      <c r="S46" s="336">
        <f>+'Exhibit I State'!S45+'Exhibit I Federal'!S28</f>
        <v>3.6999999999999997</v>
      </c>
      <c r="T46" s="336"/>
      <c r="U46" s="336"/>
      <c r="V46" s="336"/>
      <c r="W46" s="336"/>
      <c r="X46" s="336"/>
      <c r="Y46" s="336"/>
      <c r="Z46" s="336"/>
      <c r="AA46" s="336"/>
      <c r="AB46" s="336"/>
      <c r="AC46" s="336">
        <v>0</v>
      </c>
      <c r="AD46" s="325"/>
      <c r="AE46" s="647"/>
      <c r="AF46" s="351">
        <f>ROUND(SUM(E46:AC46),1)</f>
        <v>25.7</v>
      </c>
      <c r="AG46" s="2057"/>
      <c r="AH46" s="469"/>
      <c r="AI46" s="1203">
        <f>+'Exhibit I State'!AG45+'Exhibit I Federal'!AG28</f>
        <v>4.9000000000000004</v>
      </c>
      <c r="AJ46" s="348"/>
      <c r="AK46" s="132"/>
      <c r="AL46" s="15">
        <f>ROUND(SUM(+AF46-AI46),1)</f>
        <v>20.8</v>
      </c>
      <c r="AM46" s="130"/>
      <c r="AN46" s="1289">
        <f>ROUND(IF(AI46=0,1,AL46/ABS(AI46)),3)</f>
        <v>4.2450000000000001</v>
      </c>
    </row>
    <row r="47" spans="1:44">
      <c r="A47" s="353"/>
      <c r="B47" s="427" t="s">
        <v>436</v>
      </c>
      <c r="C47" s="353"/>
      <c r="D47" s="353"/>
      <c r="E47" s="336">
        <f>+'Exhibit I State'!E46+'Exhibit I Federal'!E29</f>
        <v>0</v>
      </c>
      <c r="F47" s="336"/>
      <c r="G47" s="336">
        <f>+'Exhibit I State'!G46+'Exhibit I Federal'!G29</f>
        <v>0</v>
      </c>
      <c r="H47" s="336"/>
      <c r="I47" s="336">
        <f>+'Exhibit I State'!I46+'Exhibit I Federal'!I29</f>
        <v>0</v>
      </c>
      <c r="J47" s="325"/>
      <c r="K47" s="336">
        <f>+'Exhibit I State'!K46+'Exhibit I Federal'!K29</f>
        <v>0</v>
      </c>
      <c r="L47" s="325"/>
      <c r="M47" s="336">
        <f>+'Exhibit I State'!M46+'Exhibit I Federal'!M29</f>
        <v>0</v>
      </c>
      <c r="N47" s="325"/>
      <c r="O47" s="336">
        <f>+'Exhibit I State'!O46+'Exhibit I Federal'!O29</f>
        <v>0</v>
      </c>
      <c r="P47" s="325"/>
      <c r="Q47" s="336">
        <f>+'Exhibit I State'!Q46+'Exhibit I Federal'!Q29</f>
        <v>0</v>
      </c>
      <c r="R47" s="325"/>
      <c r="S47" s="336">
        <f>+'Exhibit I State'!S46+'Exhibit I Federal'!S29</f>
        <v>0</v>
      </c>
      <c r="T47" s="336"/>
      <c r="U47" s="336"/>
      <c r="V47" s="336"/>
      <c r="W47" s="336"/>
      <c r="X47" s="336"/>
      <c r="Y47" s="336"/>
      <c r="Z47" s="336"/>
      <c r="AA47" s="336"/>
      <c r="AB47" s="336"/>
      <c r="AC47" s="336">
        <v>0</v>
      </c>
      <c r="AD47" s="325"/>
      <c r="AE47" s="647"/>
      <c r="AF47" s="351">
        <f>ROUND(SUM(E47:AC47),1)</f>
        <v>0</v>
      </c>
      <c r="AG47" s="2057"/>
      <c r="AH47" s="469"/>
      <c r="AI47" s="1203">
        <f>+'Exhibit I State'!AG46+'Exhibit I Federal'!AG29</f>
        <v>0.6</v>
      </c>
      <c r="AJ47" s="348"/>
      <c r="AK47" s="132"/>
      <c r="AL47" s="15">
        <f>ROUND(SUM(+AF47-AI47),1)</f>
        <v>-0.6</v>
      </c>
      <c r="AM47" s="130"/>
      <c r="AN47" s="477">
        <f>ROUND(IF(AI47=0,0,AL47/ABS(AI47)),3)</f>
        <v>-1</v>
      </c>
    </row>
    <row r="48" spans="1:44">
      <c r="A48" s="353"/>
      <c r="B48" s="427" t="s">
        <v>437</v>
      </c>
      <c r="C48" s="353"/>
      <c r="D48" s="353"/>
      <c r="E48" s="336"/>
      <c r="F48" s="336"/>
      <c r="G48" s="336"/>
      <c r="H48" s="336"/>
      <c r="I48" s="336"/>
      <c r="J48" s="325"/>
      <c r="K48" s="336"/>
      <c r="L48" s="325"/>
      <c r="M48" s="336"/>
      <c r="N48" s="325"/>
      <c r="O48" s="336"/>
      <c r="P48" s="325"/>
      <c r="Q48" s="336"/>
      <c r="R48" s="325"/>
      <c r="S48" s="336"/>
      <c r="T48" s="336"/>
      <c r="U48" s="336"/>
      <c r="V48" s="336"/>
      <c r="W48" s="336"/>
      <c r="X48" s="336"/>
      <c r="Y48" s="336"/>
      <c r="Z48" s="336"/>
      <c r="AA48" s="336"/>
      <c r="AB48" s="336"/>
      <c r="AC48" s="336"/>
      <c r="AD48" s="325"/>
      <c r="AE48" s="647"/>
      <c r="AF48" s="351"/>
      <c r="AG48" s="2057"/>
      <c r="AH48" s="469"/>
      <c r="AI48" s="1203"/>
      <c r="AJ48" s="348"/>
      <c r="AK48" s="132"/>
      <c r="AL48" s="15"/>
      <c r="AM48" s="130"/>
      <c r="AN48" s="477"/>
    </row>
    <row r="49" spans="1:40">
      <c r="A49" s="353"/>
      <c r="B49" s="427" t="s">
        <v>525</v>
      </c>
      <c r="C49" s="353"/>
      <c r="D49" s="353"/>
      <c r="E49" s="336">
        <f>+'Exhibit I State'!E48+'Exhibit I Federal'!E31</f>
        <v>189.2</v>
      </c>
      <c r="F49" s="336"/>
      <c r="G49" s="336">
        <f>+'Exhibit I State'!G48+'Exhibit I Federal'!G31</f>
        <v>559.5</v>
      </c>
      <c r="H49" s="336"/>
      <c r="I49" s="336">
        <f>+'Exhibit I State'!I48+'Exhibit I Federal'!I31</f>
        <v>323</v>
      </c>
      <c r="J49" s="325"/>
      <c r="K49" s="336">
        <f>+'Exhibit I State'!K48+'Exhibit I Federal'!K31</f>
        <v>725.89999999999986</v>
      </c>
      <c r="L49" s="325"/>
      <c r="M49" s="336">
        <f>+'Exhibit I State'!M48+'Exhibit I Federal'!M31</f>
        <v>336.90000000000009</v>
      </c>
      <c r="N49" s="325"/>
      <c r="O49" s="336">
        <f>+'Exhibit I State'!O48+'Exhibit I Federal'!O31</f>
        <v>695.60000000000014</v>
      </c>
      <c r="P49" s="325"/>
      <c r="Q49" s="336">
        <f>+'Exhibit I State'!Q48+'Exhibit I Federal'!Q31</f>
        <v>56.700000000000273</v>
      </c>
      <c r="R49" s="325"/>
      <c r="S49" s="336">
        <f>+'Exhibit I State'!S48+'Exhibit I Federal'!S31</f>
        <v>3.2999999999997272</v>
      </c>
      <c r="T49" s="336"/>
      <c r="U49" s="336"/>
      <c r="V49" s="336"/>
      <c r="W49" s="336"/>
      <c r="X49" s="336"/>
      <c r="Y49" s="336"/>
      <c r="Z49" s="336"/>
      <c r="AA49" s="336"/>
      <c r="AB49" s="336"/>
      <c r="AC49" s="336">
        <v>0</v>
      </c>
      <c r="AD49" s="325"/>
      <c r="AE49" s="647"/>
      <c r="AF49" s="351">
        <f>ROUND(SUM(E49:AC49),1)</f>
        <v>2890.1</v>
      </c>
      <c r="AG49" s="2057"/>
      <c r="AH49" s="469"/>
      <c r="AI49" s="1203">
        <f>+'Exhibit I State'!AG48+'Exhibit I Federal'!AG31</f>
        <v>4213.8999999999996</v>
      </c>
      <c r="AJ49" s="348"/>
      <c r="AK49" s="132"/>
      <c r="AL49" s="15">
        <f t="shared" si="1"/>
        <v>-1323.8</v>
      </c>
      <c r="AM49" s="130"/>
      <c r="AN49" s="684">
        <f>ROUND(IF(AI49=0,1,AL49/ABS(AI49)),3)</f>
        <v>-0.314</v>
      </c>
    </row>
    <row r="50" spans="1:40">
      <c r="A50" s="353"/>
      <c r="B50" s="427" t="s">
        <v>527</v>
      </c>
      <c r="C50" s="353"/>
      <c r="D50" s="353"/>
      <c r="E50" s="336">
        <f>+'Exhibit I State'!E49+'Exhibit I Federal'!E32</f>
        <v>0</v>
      </c>
      <c r="F50" s="336"/>
      <c r="G50" s="336">
        <f>+'Exhibit I State'!G49+'Exhibit I Federal'!G32</f>
        <v>0</v>
      </c>
      <c r="H50" s="336"/>
      <c r="I50" s="336">
        <f>+'Exhibit I State'!I49+'Exhibit I Federal'!I32</f>
        <v>0</v>
      </c>
      <c r="J50" s="336"/>
      <c r="K50" s="336">
        <f>+'Exhibit I State'!K49+'Exhibit I Federal'!K32</f>
        <v>0</v>
      </c>
      <c r="L50" s="336"/>
      <c r="M50" s="336">
        <f>+'Exhibit I State'!M49+'Exhibit I Federal'!M32</f>
        <v>0</v>
      </c>
      <c r="N50" s="336"/>
      <c r="O50" s="336">
        <f>+'Exhibit I State'!O49+'Exhibit I Federal'!O32</f>
        <v>0</v>
      </c>
      <c r="P50" s="336"/>
      <c r="Q50" s="336">
        <f>+'Exhibit I State'!Q49+'Exhibit I Federal'!Q32</f>
        <v>0</v>
      </c>
      <c r="R50" s="325"/>
      <c r="S50" s="336">
        <f>+'Exhibit I State'!S49+'Exhibit I Federal'!S32</f>
        <v>0</v>
      </c>
      <c r="T50" s="336"/>
      <c r="U50" s="336"/>
      <c r="V50" s="336"/>
      <c r="W50" s="336"/>
      <c r="X50" s="336"/>
      <c r="Y50" s="336"/>
      <c r="Z50" s="336"/>
      <c r="AA50" s="336"/>
      <c r="AB50" s="336"/>
      <c r="AC50" s="336">
        <v>0</v>
      </c>
      <c r="AD50" s="325"/>
      <c r="AE50" s="647"/>
      <c r="AF50" s="351">
        <f>ROUND(SUM(E50:AC50),1)</f>
        <v>0</v>
      </c>
      <c r="AG50" s="2057"/>
      <c r="AH50" s="469"/>
      <c r="AI50" s="1203">
        <f>+'Exhibit I State'!AG49+'Exhibit I Federal'!AG32</f>
        <v>0</v>
      </c>
      <c r="AJ50" s="348"/>
      <c r="AK50" s="132"/>
      <c r="AL50" s="15">
        <f t="shared" si="1"/>
        <v>0</v>
      </c>
      <c r="AM50" s="130"/>
      <c r="AN50" s="327">
        <f>ROUND(IF(AI50=0,0,AL50/ABS(AI50)),3)</f>
        <v>0</v>
      </c>
    </row>
    <row r="51" spans="1:40">
      <c r="A51" s="353"/>
      <c r="B51" s="427" t="s">
        <v>528</v>
      </c>
      <c r="C51" s="353"/>
      <c r="D51" s="353"/>
      <c r="E51" s="336">
        <f>+'Exhibit I State'!E50+'Exhibit I Federal'!E33</f>
        <v>1.3</v>
      </c>
      <c r="F51" s="336"/>
      <c r="G51" s="336">
        <f>+'Exhibit I State'!G50+'Exhibit I Federal'!G33</f>
        <v>0.5</v>
      </c>
      <c r="H51" s="336"/>
      <c r="I51" s="336">
        <f>+'Exhibit I State'!I50+'Exhibit I Federal'!I33</f>
        <v>0.40000000000000013</v>
      </c>
      <c r="J51" s="325"/>
      <c r="K51" s="336">
        <f>+'Exhibit I State'!K50+'Exhibit I Federal'!K33</f>
        <v>0</v>
      </c>
      <c r="L51" s="325"/>
      <c r="M51" s="336">
        <f>+'Exhibit I State'!M50+'Exhibit I Federal'!M33</f>
        <v>0</v>
      </c>
      <c r="N51" s="325"/>
      <c r="O51" s="336">
        <f>+'Exhibit I State'!O50+'Exhibit I Federal'!O33</f>
        <v>0.19999999999999973</v>
      </c>
      <c r="P51" s="325"/>
      <c r="Q51" s="336">
        <f>+'Exhibit I State'!Q50+'Exhibit I Federal'!Q33</f>
        <v>0</v>
      </c>
      <c r="R51" s="325"/>
      <c r="S51" s="336">
        <f>+'Exhibit I State'!S50+'Exhibit I Federal'!S33</f>
        <v>1.2</v>
      </c>
      <c r="T51" s="336"/>
      <c r="U51" s="336"/>
      <c r="V51" s="336"/>
      <c r="W51" s="336"/>
      <c r="X51" s="336"/>
      <c r="Y51" s="336"/>
      <c r="Z51" s="336"/>
      <c r="AA51" s="336"/>
      <c r="AB51" s="336"/>
      <c r="AC51" s="336">
        <v>0</v>
      </c>
      <c r="AD51" s="325"/>
      <c r="AE51" s="647"/>
      <c r="AF51" s="351">
        <f>ROUND(SUM(E51:AC51),1)</f>
        <v>3.6</v>
      </c>
      <c r="AG51" s="2057"/>
      <c r="AH51" s="469"/>
      <c r="AI51" s="1203">
        <f>+'Exhibit I State'!AG50+'Exhibit I Federal'!AG33</f>
        <v>2</v>
      </c>
      <c r="AJ51" s="348"/>
      <c r="AK51" s="132"/>
      <c r="AL51" s="15">
        <f t="shared" si="1"/>
        <v>1.6</v>
      </c>
      <c r="AM51" s="130"/>
      <c r="AN51" s="700">
        <f>ROUND(IF(AI51=0,1,AL51/ABS(AI51)),3)</f>
        <v>0.8</v>
      </c>
    </row>
    <row r="52" spans="1:40">
      <c r="A52" s="353"/>
      <c r="B52" s="427" t="s">
        <v>442</v>
      </c>
      <c r="C52" s="353"/>
      <c r="D52" s="353"/>
      <c r="E52" s="336">
        <f>+'Exhibit I State'!E51+'Exhibit I Federal'!E34</f>
        <v>0.7</v>
      </c>
      <c r="F52" s="336"/>
      <c r="G52" s="336">
        <f>+'Exhibit I State'!G51+'Exhibit I Federal'!G34</f>
        <v>2.0999999999999996</v>
      </c>
      <c r="H52" s="336"/>
      <c r="I52" s="336">
        <f>+'Exhibit I State'!I51+'Exhibit I Federal'!I34</f>
        <v>0.70000000000000018</v>
      </c>
      <c r="J52" s="325"/>
      <c r="K52" s="336">
        <f>+'Exhibit I State'!K51+'Exhibit I Federal'!K34</f>
        <v>0.29999999999999982</v>
      </c>
      <c r="L52" s="325"/>
      <c r="M52" s="336">
        <f>+'Exhibit I State'!M51+'Exhibit I Federal'!M34</f>
        <v>1.6000000000000005</v>
      </c>
      <c r="N52" s="325"/>
      <c r="O52" s="336">
        <f>+'Exhibit I State'!O51+'Exhibit I Federal'!O34</f>
        <v>0.79999999999999982</v>
      </c>
      <c r="P52" s="325"/>
      <c r="Q52" s="336">
        <f>+'Exhibit I State'!Q51+'Exhibit I Federal'!Q34</f>
        <v>0.89999999999999947</v>
      </c>
      <c r="R52" s="325"/>
      <c r="S52" s="336">
        <f>+'Exhibit I State'!S51+'Exhibit I Federal'!S34</f>
        <v>1.8000000000000016</v>
      </c>
      <c r="T52" s="336"/>
      <c r="U52" s="336"/>
      <c r="V52" s="336"/>
      <c r="W52" s="336"/>
      <c r="X52" s="336"/>
      <c r="Y52" s="336"/>
      <c r="Z52" s="336"/>
      <c r="AA52" s="336"/>
      <c r="AB52" s="336"/>
      <c r="AC52" s="336">
        <v>0</v>
      </c>
      <c r="AD52" s="325"/>
      <c r="AE52" s="647"/>
      <c r="AF52" s="351">
        <f>ROUND(SUM(E52:AC52),1)</f>
        <v>8.9</v>
      </c>
      <c r="AG52" s="2057"/>
      <c r="AH52" s="469"/>
      <c r="AI52" s="1204">
        <f>+'Exhibit I State'!AG51+'Exhibit I Federal'!AG34</f>
        <v>24.7</v>
      </c>
      <c r="AJ52" s="348"/>
      <c r="AK52" s="132"/>
      <c r="AL52" s="15">
        <f t="shared" si="1"/>
        <v>-15.8</v>
      </c>
      <c r="AM52" s="130"/>
      <c r="AN52" s="477">
        <f>ROUND(IF(AI52=0,0,AL52/ABS(AI52)),3)</f>
        <v>-0.64</v>
      </c>
    </row>
    <row r="53" spans="1:40">
      <c r="A53" s="353"/>
      <c r="B53" s="427" t="s">
        <v>443</v>
      </c>
      <c r="C53" s="353"/>
      <c r="D53" s="353"/>
      <c r="E53" s="336"/>
      <c r="F53" s="336"/>
      <c r="G53" s="336"/>
      <c r="H53" s="336"/>
      <c r="I53" s="336"/>
      <c r="J53" s="325"/>
      <c r="K53" s="336"/>
      <c r="L53" s="325"/>
      <c r="M53" s="336"/>
      <c r="N53" s="325"/>
      <c r="O53" s="336"/>
      <c r="P53" s="325"/>
      <c r="Q53" s="336"/>
      <c r="R53" s="325"/>
      <c r="S53" s="336"/>
      <c r="T53" s="336"/>
      <c r="U53" s="336"/>
      <c r="V53" s="336"/>
      <c r="W53" s="336"/>
      <c r="X53" s="336"/>
      <c r="Y53" s="336"/>
      <c r="Z53" s="336"/>
      <c r="AA53" s="336"/>
      <c r="AB53" s="336"/>
      <c r="AC53" s="336" t="s">
        <v>104</v>
      </c>
      <c r="AD53" s="325"/>
      <c r="AE53" s="647"/>
      <c r="AF53" s="351"/>
      <c r="AG53" s="2057"/>
      <c r="AH53" s="469"/>
      <c r="AI53" s="1203"/>
      <c r="AJ53" s="348"/>
      <c r="AK53" s="132"/>
      <c r="AL53" s="15"/>
      <c r="AM53" s="130"/>
      <c r="AN53" s="477"/>
    </row>
    <row r="54" spans="1:40">
      <c r="A54" s="353"/>
      <c r="B54" s="427" t="s">
        <v>529</v>
      </c>
      <c r="C54" s="353"/>
      <c r="D54" s="353"/>
      <c r="E54" s="336">
        <f>+'Exhibit I State'!E53+'Exhibit I Federal'!E36</f>
        <v>0</v>
      </c>
      <c r="F54" s="336"/>
      <c r="G54" s="336">
        <f>+'Exhibit I State'!G53+'Exhibit I Federal'!G36</f>
        <v>0</v>
      </c>
      <c r="H54" s="336"/>
      <c r="I54" s="336">
        <f>+'Exhibit I State'!I53+'Exhibit I Federal'!I36</f>
        <v>0</v>
      </c>
      <c r="J54" s="325"/>
      <c r="K54" s="336">
        <f>+'Exhibit I State'!K53+'Exhibit I Federal'!K36</f>
        <v>0</v>
      </c>
      <c r="L54" s="325"/>
      <c r="M54" s="336">
        <f>+'Exhibit I State'!M53+'Exhibit I Federal'!M36</f>
        <v>0</v>
      </c>
      <c r="N54" s="325"/>
      <c r="O54" s="336">
        <f>+'Exhibit I State'!O53+'Exhibit I Federal'!O36</f>
        <v>0</v>
      </c>
      <c r="P54" s="325"/>
      <c r="Q54" s="336">
        <f>+'Exhibit I State'!Q53+'Exhibit I Federal'!Q36</f>
        <v>0</v>
      </c>
      <c r="R54" s="325"/>
      <c r="S54" s="336">
        <f>+'Exhibit I State'!S53+'Exhibit I Federal'!S36</f>
        <v>0</v>
      </c>
      <c r="T54" s="336"/>
      <c r="U54" s="336"/>
      <c r="V54" s="336"/>
      <c r="W54" s="336"/>
      <c r="X54" s="336"/>
      <c r="Y54" s="336"/>
      <c r="Z54" s="336"/>
      <c r="AA54" s="336"/>
      <c r="AB54" s="336"/>
      <c r="AC54" s="336">
        <v>0</v>
      </c>
      <c r="AD54" s="325"/>
      <c r="AE54" s="647"/>
      <c r="AF54" s="351">
        <f t="shared" ref="AF54:AF58" si="3">ROUND(SUM(E54:AC54),1)</f>
        <v>0</v>
      </c>
      <c r="AG54" s="2057"/>
      <c r="AH54" s="469"/>
      <c r="AI54" s="1203">
        <f>+'Exhibit I State'!AG53+'Exhibit I Federal'!AG36</f>
        <v>0</v>
      </c>
      <c r="AJ54" s="348"/>
      <c r="AK54" s="132"/>
      <c r="AL54" s="325">
        <f>ROUND(SUM(+AF54-AI54),1)</f>
        <v>0</v>
      </c>
      <c r="AM54" s="325"/>
      <c r="AN54" s="327">
        <f>ROUND(IF(AI54=0,0,AL54/ABS(AI54)),3)</f>
        <v>0</v>
      </c>
    </row>
    <row r="55" spans="1:40">
      <c r="A55" s="353"/>
      <c r="B55" s="427" t="s">
        <v>531</v>
      </c>
      <c r="C55" s="353"/>
      <c r="D55" s="353"/>
      <c r="E55" s="336">
        <f>+'Exhibit I State'!E54+'Exhibit I Federal'!E37</f>
        <v>3</v>
      </c>
      <c r="F55" s="336"/>
      <c r="G55" s="336">
        <f>+'Exhibit I State'!G54+'Exhibit I Federal'!G37</f>
        <v>0.5</v>
      </c>
      <c r="H55" s="336"/>
      <c r="I55" s="336">
        <f>+'Exhibit I State'!I54+'Exhibit I Federal'!I37</f>
        <v>0.59999999999999964</v>
      </c>
      <c r="J55" s="325"/>
      <c r="K55" s="336">
        <f>+'Exhibit I State'!K54+'Exhibit I Federal'!K37</f>
        <v>0.40000000000000036</v>
      </c>
      <c r="L55" s="325"/>
      <c r="M55" s="336">
        <f>+'Exhibit I State'!M54+'Exhibit I Federal'!M37</f>
        <v>1.0999999999999996</v>
      </c>
      <c r="N55" s="325"/>
      <c r="O55" s="336">
        <f>+'Exhibit I State'!O54+'Exhibit I Federal'!O37</f>
        <v>1.8000000000000007</v>
      </c>
      <c r="P55" s="325"/>
      <c r="Q55" s="336">
        <f>+'Exhibit I State'!Q54+'Exhibit I Federal'!Q37</f>
        <v>0</v>
      </c>
      <c r="R55" s="325"/>
      <c r="S55" s="336">
        <f>+'Exhibit I State'!S54+'Exhibit I Federal'!S37</f>
        <v>0.59999999999999964</v>
      </c>
      <c r="T55" s="336"/>
      <c r="U55" s="336"/>
      <c r="V55" s="336"/>
      <c r="W55" s="336"/>
      <c r="X55" s="336"/>
      <c r="Y55" s="336"/>
      <c r="Z55" s="336"/>
      <c r="AA55" s="336"/>
      <c r="AB55" s="336"/>
      <c r="AC55" s="336">
        <v>0</v>
      </c>
      <c r="AD55" s="325"/>
      <c r="AE55" s="647"/>
      <c r="AF55" s="351">
        <f t="shared" si="3"/>
        <v>8</v>
      </c>
      <c r="AG55" s="2057"/>
      <c r="AH55" s="469"/>
      <c r="AI55" s="1203">
        <f>+'Exhibit I State'!AG54+'Exhibit I Federal'!AG37</f>
        <v>8.6</v>
      </c>
      <c r="AJ55" s="348"/>
      <c r="AK55" s="132"/>
      <c r="AL55" s="325">
        <f>ROUND(SUM(+AF55-AI55),1)</f>
        <v>-0.6</v>
      </c>
      <c r="AM55" s="325"/>
      <c r="AN55" s="670">
        <f>ROUND(IF(AI55=0,1,AL55/ABS(AI55)),3)</f>
        <v>-7.0000000000000007E-2</v>
      </c>
    </row>
    <row r="56" spans="1:40">
      <c r="A56" s="353"/>
      <c r="B56" s="427" t="s">
        <v>532</v>
      </c>
      <c r="C56" s="353"/>
      <c r="D56" s="353"/>
      <c r="E56" s="336">
        <f>+'Exhibit I State'!E55+'Exhibit I Federal'!E38</f>
        <v>5.6</v>
      </c>
      <c r="F56" s="336"/>
      <c r="G56" s="336">
        <f>+'Exhibit I State'!G55+'Exhibit I Federal'!G38</f>
        <v>16.399999999999999</v>
      </c>
      <c r="H56" s="336"/>
      <c r="I56" s="336">
        <f>+'Exhibit I State'!I55+'Exhibit I Federal'!I38</f>
        <v>11</v>
      </c>
      <c r="J56" s="325"/>
      <c r="K56" s="336">
        <f>+'Exhibit I State'!K55+'Exhibit I Federal'!K38</f>
        <v>5.7000000000000028</v>
      </c>
      <c r="L56" s="325"/>
      <c r="M56" s="336">
        <f>+'Exhibit I State'!M55+'Exhibit I Federal'!M38</f>
        <v>9.7999999999999972</v>
      </c>
      <c r="N56" s="325"/>
      <c r="O56" s="336">
        <f>+'Exhibit I State'!O55+'Exhibit I Federal'!O38</f>
        <v>4.7999999999999972</v>
      </c>
      <c r="P56" s="325"/>
      <c r="Q56" s="336">
        <f>+'Exhibit I State'!Q55+'Exhibit I Federal'!Q38</f>
        <v>6.6000000000000014</v>
      </c>
      <c r="R56" s="325"/>
      <c r="S56" s="336">
        <f>+'Exhibit I State'!S55+'Exhibit I Federal'!S38</f>
        <v>9.1999999999999957</v>
      </c>
      <c r="T56" s="336"/>
      <c r="U56" s="336"/>
      <c r="V56" s="336"/>
      <c r="W56" s="336"/>
      <c r="X56" s="336"/>
      <c r="Y56" s="336"/>
      <c r="Z56" s="336"/>
      <c r="AA56" s="336"/>
      <c r="AB56" s="336"/>
      <c r="AC56" s="336">
        <v>0</v>
      </c>
      <c r="AD56" s="325"/>
      <c r="AE56" s="647"/>
      <c r="AF56" s="351">
        <f t="shared" si="3"/>
        <v>69.099999999999994</v>
      </c>
      <c r="AG56" s="2057"/>
      <c r="AH56" s="469"/>
      <c r="AI56" s="1203">
        <f>+'Exhibit I State'!AG55+'Exhibit I Federal'!AG38</f>
        <v>56.6</v>
      </c>
      <c r="AJ56" s="348"/>
      <c r="AK56" s="132"/>
      <c r="AL56" s="325">
        <f>ROUND(SUM(+AF56-AI56),1)</f>
        <v>12.5</v>
      </c>
      <c r="AM56" s="325"/>
      <c r="AN56" s="327">
        <f>ROUND(IF(AI56=0,1,AL56/ABS(AI56)),3)</f>
        <v>0.221</v>
      </c>
    </row>
    <row r="57" spans="1:40">
      <c r="A57" s="353"/>
      <c r="B57" s="427" t="s">
        <v>534</v>
      </c>
      <c r="C57" s="353"/>
      <c r="D57" s="353"/>
      <c r="E57" s="336">
        <f>+'Exhibit I State'!E56</f>
        <v>0</v>
      </c>
      <c r="F57" s="336"/>
      <c r="G57" s="336">
        <f>+'Exhibit I State'!G56</f>
        <v>0</v>
      </c>
      <c r="H57" s="336"/>
      <c r="I57" s="336">
        <f>+'Exhibit I State'!I56</f>
        <v>0</v>
      </c>
      <c r="J57" s="325"/>
      <c r="K57" s="336">
        <f>+'Exhibit I State'!K56</f>
        <v>0</v>
      </c>
      <c r="L57" s="325"/>
      <c r="M57" s="336">
        <f>+'Exhibit I State'!M56</f>
        <v>0</v>
      </c>
      <c r="N57" s="325"/>
      <c r="O57" s="336">
        <f>+'Exhibit I State'!O56</f>
        <v>0</v>
      </c>
      <c r="P57" s="325"/>
      <c r="Q57" s="336">
        <f>+'Exhibit I State'!Q56</f>
        <v>0</v>
      </c>
      <c r="R57" s="325"/>
      <c r="S57" s="336">
        <f>+'Exhibit I State'!S56</f>
        <v>0</v>
      </c>
      <c r="T57" s="336"/>
      <c r="U57" s="336"/>
      <c r="V57" s="336"/>
      <c r="W57" s="336"/>
      <c r="X57" s="336"/>
      <c r="Y57" s="336"/>
      <c r="Z57" s="336"/>
      <c r="AA57" s="336"/>
      <c r="AB57" s="336"/>
      <c r="AC57" s="336">
        <v>0</v>
      </c>
      <c r="AD57" s="325"/>
      <c r="AE57" s="647"/>
      <c r="AF57" s="351">
        <f t="shared" si="3"/>
        <v>0</v>
      </c>
      <c r="AG57" s="2057"/>
      <c r="AH57" s="469"/>
      <c r="AI57" s="1203">
        <f>+'Exhibit I State'!AG56</f>
        <v>0</v>
      </c>
      <c r="AJ57" s="348"/>
      <c r="AK57" s="132"/>
      <c r="AL57" s="325">
        <f>ROUND(SUM(+AF57-AI57),1)</f>
        <v>0</v>
      </c>
      <c r="AM57" s="325"/>
      <c r="AN57" s="327">
        <f>ROUND(IF(AI57=0,0,AL57/ABS(AI57)),3)</f>
        <v>0</v>
      </c>
    </row>
    <row r="58" spans="1:40">
      <c r="A58" s="353"/>
      <c r="B58" s="427" t="s">
        <v>535</v>
      </c>
      <c r="C58" s="353"/>
      <c r="D58" s="353"/>
      <c r="E58" s="336">
        <f>+'Exhibit I State'!E57+'Exhibit I Federal'!E39</f>
        <v>0.3</v>
      </c>
      <c r="F58" s="336"/>
      <c r="G58" s="336">
        <f>+'Exhibit I State'!G57+'Exhibit I Federal'!G39</f>
        <v>0.39999999999999997</v>
      </c>
      <c r="H58" s="336"/>
      <c r="I58" s="336">
        <f>+'Exhibit I State'!I57+'Exhibit I Federal'!I39</f>
        <v>0.3</v>
      </c>
      <c r="J58" s="325"/>
      <c r="K58" s="336">
        <f>+'Exhibit I State'!K57+'Exhibit I Federal'!K39</f>
        <v>10.199999999999998</v>
      </c>
      <c r="L58" s="325"/>
      <c r="M58" s="336">
        <f>+'Exhibit I State'!M57+'Exhibit I Federal'!M39</f>
        <v>0.20000000000000107</v>
      </c>
      <c r="N58" s="325"/>
      <c r="O58" s="336">
        <f>+'Exhibit I State'!O57+'Exhibit I Federal'!O39</f>
        <v>0</v>
      </c>
      <c r="P58" s="325"/>
      <c r="Q58" s="336">
        <f>+'Exhibit I State'!Q57+'Exhibit I Federal'!Q39</f>
        <v>0.29999999999999893</v>
      </c>
      <c r="R58" s="325"/>
      <c r="S58" s="336">
        <f>+'Exhibit I State'!S57+'Exhibit I Federal'!S39</f>
        <v>1.8000000000000007</v>
      </c>
      <c r="T58" s="336"/>
      <c r="U58" s="336"/>
      <c r="V58" s="336"/>
      <c r="W58" s="336"/>
      <c r="X58" s="336"/>
      <c r="Y58" s="336"/>
      <c r="Z58" s="336"/>
      <c r="AA58" s="336"/>
      <c r="AB58" s="336"/>
      <c r="AC58" s="336">
        <v>0</v>
      </c>
      <c r="AD58" s="325"/>
      <c r="AE58" s="647"/>
      <c r="AF58" s="351">
        <f t="shared" si="3"/>
        <v>13.5</v>
      </c>
      <c r="AG58" s="2057"/>
      <c r="AH58" s="469"/>
      <c r="AI58" s="1203">
        <f>+'Exhibit I State'!AG57+'Exhibit I Federal'!AG39</f>
        <v>9.1</v>
      </c>
      <c r="AJ58" s="348"/>
      <c r="AK58" s="132"/>
      <c r="AL58" s="15">
        <f t="shared" si="1"/>
        <v>4.4000000000000004</v>
      </c>
      <c r="AM58" s="130"/>
      <c r="AN58" s="684">
        <f>ROUND(IF(AI58=0,1,AL58/ABS(AI58)),3)</f>
        <v>0.48399999999999999</v>
      </c>
    </row>
    <row r="59" spans="1:40">
      <c r="A59" s="353"/>
      <c r="B59" s="427" t="s">
        <v>536</v>
      </c>
      <c r="C59" s="353"/>
      <c r="D59" s="353"/>
      <c r="E59" s="336">
        <f>+'Exhibit I State'!E58+'Exhibit I Federal'!E40</f>
        <v>5.5</v>
      </c>
      <c r="F59" s="336"/>
      <c r="G59" s="336">
        <f>+'Exhibit I State'!G58+'Exhibit I Federal'!G40</f>
        <v>2.0999999999999996</v>
      </c>
      <c r="H59" s="336"/>
      <c r="I59" s="336">
        <f>+'Exhibit I State'!I58+'Exhibit I Federal'!I40</f>
        <v>20.299999999999997</v>
      </c>
      <c r="J59" s="325"/>
      <c r="K59" s="336">
        <f>+'Exhibit I State'!K58+'Exhibit I Federal'!K40</f>
        <v>7.3000000000000043</v>
      </c>
      <c r="L59" s="325"/>
      <c r="M59" s="336">
        <f>+'Exhibit I State'!M58+'Exhibit I Federal'!M40</f>
        <v>1.3999999999999986</v>
      </c>
      <c r="N59" s="325"/>
      <c r="O59" s="336">
        <f>+'Exhibit I State'!O58+'Exhibit I Federal'!O40</f>
        <v>4.3999999999999986</v>
      </c>
      <c r="P59" s="325"/>
      <c r="Q59" s="336">
        <f>+'Exhibit I State'!Q58+'Exhibit I Federal'!Q40</f>
        <v>6.1000000000000014</v>
      </c>
      <c r="R59" s="325"/>
      <c r="S59" s="336">
        <f>+'Exhibit I State'!S58+'Exhibit I Federal'!S40</f>
        <v>16.999999999999993</v>
      </c>
      <c r="T59" s="336"/>
      <c r="U59" s="336"/>
      <c r="V59" s="336"/>
      <c r="W59" s="336"/>
      <c r="X59" s="336"/>
      <c r="Y59" s="336"/>
      <c r="Z59" s="336"/>
      <c r="AA59" s="336"/>
      <c r="AB59" s="336"/>
      <c r="AC59" s="336">
        <v>0</v>
      </c>
      <c r="AD59" s="325"/>
      <c r="AE59" s="647"/>
      <c r="AF59" s="351">
        <f>ROUND(SUM(E59:AC59),1)</f>
        <v>64.099999999999994</v>
      </c>
      <c r="AG59" s="2057"/>
      <c r="AH59" s="469"/>
      <c r="AI59" s="1204">
        <f>+'Exhibit I State'!AG58+'Exhibit I Federal'!AG40</f>
        <v>20.2</v>
      </c>
      <c r="AJ59" s="348"/>
      <c r="AK59" s="132"/>
      <c r="AL59" s="15">
        <f t="shared" si="1"/>
        <v>43.9</v>
      </c>
      <c r="AM59" s="130"/>
      <c r="AN59" s="1173">
        <f>ROUND(IF(AI59=0,0,AL59/ABS(AI59)),3)</f>
        <v>2.173</v>
      </c>
    </row>
    <row r="60" spans="1:40">
      <c r="A60" s="353"/>
      <c r="B60" s="427" t="s">
        <v>454</v>
      </c>
      <c r="C60" s="353"/>
      <c r="D60" s="353"/>
      <c r="E60" s="336">
        <f>+'Exhibit I State'!E59+'Exhibit I Federal'!E41</f>
        <v>0</v>
      </c>
      <c r="F60" s="336"/>
      <c r="G60" s="336">
        <f>+'Exhibit I State'!G59+'Exhibit I Federal'!G41</f>
        <v>0.2</v>
      </c>
      <c r="H60" s="336"/>
      <c r="I60" s="336">
        <f>+'Exhibit I State'!I59+'Exhibit I Federal'!I41</f>
        <v>9.9999999999999978E-2</v>
      </c>
      <c r="J60" s="325"/>
      <c r="K60" s="336">
        <f>+'Exhibit I State'!K59+'Exhibit I Federal'!K41</f>
        <v>0</v>
      </c>
      <c r="L60" s="325"/>
      <c r="M60" s="336">
        <f>+'Exhibit I State'!M59+'Exhibit I Federal'!M41</f>
        <v>0</v>
      </c>
      <c r="N60" s="325"/>
      <c r="O60" s="336">
        <f>+'Exhibit I State'!O59+'Exhibit I Federal'!O41</f>
        <v>0</v>
      </c>
      <c r="P60" s="325"/>
      <c r="Q60" s="336">
        <f>+'Exhibit I State'!Q59+'Exhibit I Federal'!Q41</f>
        <v>0.10000000000000003</v>
      </c>
      <c r="R60" s="325"/>
      <c r="S60" s="336">
        <f>+'Exhibit I State'!S59+'Exhibit I Federal'!S41</f>
        <v>0.19999999999999996</v>
      </c>
      <c r="T60" s="336"/>
      <c r="U60" s="336"/>
      <c r="V60" s="336"/>
      <c r="W60" s="336"/>
      <c r="X60" s="336"/>
      <c r="Y60" s="336"/>
      <c r="Z60" s="336"/>
      <c r="AA60" s="336"/>
      <c r="AB60" s="336"/>
      <c r="AC60" s="336">
        <v>0</v>
      </c>
      <c r="AD60" s="325"/>
      <c r="AE60" s="647"/>
      <c r="AF60" s="351">
        <f>ROUND(SUM(E60:AC60),1)</f>
        <v>0.6</v>
      </c>
      <c r="AG60" s="2057"/>
      <c r="AH60" s="469"/>
      <c r="AI60" s="1203">
        <f>+'Exhibit I State'!AG59+'Exhibit I Federal'!AG41</f>
        <v>0.3</v>
      </c>
      <c r="AJ60" s="348"/>
      <c r="AK60" s="132"/>
      <c r="AL60" s="15">
        <f t="shared" si="1"/>
        <v>0.3</v>
      </c>
      <c r="AM60" s="130"/>
      <c r="AN60" s="670">
        <f>ROUND(IF(AI60=0,0,AL60/ABS(AI60)),3)</f>
        <v>1</v>
      </c>
    </row>
    <row r="61" spans="1:40" s="6" customFormat="1">
      <c r="B61" s="118" t="s">
        <v>558</v>
      </c>
      <c r="E61" s="100">
        <f>ROUND(SUM(E37:E60),1)</f>
        <v>282.5</v>
      </c>
      <c r="F61" s="16"/>
      <c r="G61" s="100">
        <f>ROUND(SUM(G37:G60),1)</f>
        <v>657.4</v>
      </c>
      <c r="H61" s="499"/>
      <c r="I61" s="100">
        <f>ROUND(SUM(I37:I60),1)</f>
        <v>460.6</v>
      </c>
      <c r="J61" s="16"/>
      <c r="K61" s="100">
        <f>ROUND(SUM(K37:K60),1)</f>
        <v>823</v>
      </c>
      <c r="L61" s="16"/>
      <c r="M61" s="100">
        <f>ROUND(SUM(M37:M60),1)</f>
        <v>426.5</v>
      </c>
      <c r="N61" s="16"/>
      <c r="O61" s="100">
        <f>ROUND(SUM(O37:O60),1)</f>
        <v>789.5</v>
      </c>
      <c r="P61" s="16"/>
      <c r="Q61" s="100">
        <f>ROUND(SUM(Q37:Q60),1)</f>
        <v>140.1</v>
      </c>
      <c r="R61" s="16"/>
      <c r="S61" s="100">
        <f>ROUND(SUM(S37:S60),1)</f>
        <v>117</v>
      </c>
      <c r="T61" s="16"/>
      <c r="U61" s="100">
        <f>ROUND(SUM(U37:U60),1)</f>
        <v>0</v>
      </c>
      <c r="V61" s="16"/>
      <c r="W61" s="100">
        <f>ROUND(SUM(W37:W60),1)</f>
        <v>0</v>
      </c>
      <c r="X61" s="16"/>
      <c r="Y61" s="100">
        <f>ROUND(SUM(Y37:Y60),1)</f>
        <v>0</v>
      </c>
      <c r="Z61" s="16"/>
      <c r="AA61" s="100">
        <f>ROUND(SUM(AA37:AA60),1)</f>
        <v>0</v>
      </c>
      <c r="AB61" s="16"/>
      <c r="AC61" s="100">
        <f>ROUND(SUM(AC37:AC60),1)</f>
        <v>0</v>
      </c>
      <c r="AD61" s="16"/>
      <c r="AE61" s="18"/>
      <c r="AF61" s="100">
        <f>ROUND(SUM(AF37:AF60),1)</f>
        <v>3696.6</v>
      </c>
      <c r="AG61" s="2048"/>
      <c r="AH61" s="16"/>
      <c r="AI61" s="100">
        <f>ROUND(SUM(AI37:AI60),1)</f>
        <v>4916.5</v>
      </c>
      <c r="AJ61" s="23"/>
      <c r="AK61" s="132"/>
      <c r="AL61" s="100">
        <f>ROUND(SUM(AL37:AL60),1)</f>
        <v>-1219.9000000000001</v>
      </c>
      <c r="AM61" s="51"/>
      <c r="AN61" s="529">
        <f>ROUND(SUM(AL61/AI61),3)</f>
        <v>-0.248</v>
      </c>
    </row>
    <row r="62" spans="1:40">
      <c r="A62" s="353"/>
      <c r="B62" s="118"/>
      <c r="C62" s="353"/>
      <c r="D62" s="353"/>
      <c r="E62" s="325"/>
      <c r="F62" s="325"/>
      <c r="G62" s="325"/>
      <c r="H62" s="351"/>
      <c r="I62" s="325"/>
      <c r="J62" s="325"/>
      <c r="K62" s="325"/>
      <c r="L62" s="325"/>
      <c r="M62" s="325"/>
      <c r="N62" s="325"/>
      <c r="O62" s="325"/>
      <c r="P62" s="325"/>
      <c r="Q62" s="325"/>
      <c r="R62" s="325"/>
      <c r="S62" s="325"/>
      <c r="T62" s="325"/>
      <c r="U62" s="325"/>
      <c r="V62" s="325"/>
      <c r="W62" s="325"/>
      <c r="X62" s="325"/>
      <c r="Y62" s="325"/>
      <c r="Z62" s="325"/>
      <c r="AA62" s="325"/>
      <c r="AB62" s="325"/>
      <c r="AC62" s="325"/>
      <c r="AD62" s="325"/>
      <c r="AE62" s="647"/>
      <c r="AF62" s="351"/>
      <c r="AG62" s="2045"/>
      <c r="AH62" s="325"/>
      <c r="AI62" s="325"/>
      <c r="AJ62" s="348"/>
      <c r="AK62" s="132"/>
      <c r="AL62" s="15"/>
      <c r="AM62" s="52"/>
      <c r="AN62" s="131"/>
    </row>
    <row r="63" spans="1:40">
      <c r="A63" s="353"/>
      <c r="B63" s="353" t="s">
        <v>538</v>
      </c>
      <c r="C63" s="353"/>
      <c r="D63" s="353"/>
      <c r="E63" s="351">
        <f>+'Exhibit I State'!E62+'Exhibit I Federal'!E44</f>
        <v>219.5</v>
      </c>
      <c r="F63" s="351"/>
      <c r="G63" s="351">
        <f>+'Exhibit I State'!G62+'Exhibit I Federal'!G44</f>
        <v>258.8</v>
      </c>
      <c r="H63" s="15"/>
      <c r="I63" s="351">
        <f>+'Exhibit I State'!I62+'Exhibit I Federal'!I44</f>
        <v>190.4</v>
      </c>
      <c r="J63" s="325"/>
      <c r="K63" s="351">
        <f>+'Exhibit I State'!K62+'Exhibit I Federal'!K44</f>
        <v>352.4</v>
      </c>
      <c r="L63" s="325"/>
      <c r="M63" s="351">
        <f>+'Exhibit I State'!M62+'Exhibit I Federal'!M44</f>
        <v>220.2000000000001</v>
      </c>
      <c r="N63" s="325"/>
      <c r="O63" s="351">
        <f>+'Exhibit I State'!O62+'Exhibit I Federal'!O44</f>
        <v>191.70000000000005</v>
      </c>
      <c r="P63" s="325"/>
      <c r="Q63" s="351">
        <f>+'Exhibit I State'!Q62+'Exhibit I Federal'!Q44</f>
        <v>186.49999999999986</v>
      </c>
      <c r="R63" s="325"/>
      <c r="S63" s="351">
        <f>+'Exhibit I State'!S62+'Exhibit I Federal'!S44</f>
        <v>268.40000000000009</v>
      </c>
      <c r="T63" s="351"/>
      <c r="U63" s="351"/>
      <c r="V63" s="351"/>
      <c r="W63" s="351"/>
      <c r="X63" s="351"/>
      <c r="Y63" s="351"/>
      <c r="Z63" s="351"/>
      <c r="AA63" s="351"/>
      <c r="AB63" s="351"/>
      <c r="AC63" s="351">
        <v>0</v>
      </c>
      <c r="AD63" s="325"/>
      <c r="AE63" s="647"/>
      <c r="AF63" s="325">
        <f>ROUND(SUM(E63:AC63),1)</f>
        <v>1887.9</v>
      </c>
      <c r="AG63" s="2045"/>
      <c r="AH63" s="325"/>
      <c r="AI63" s="325">
        <f>+'Exhibit I State'!AG62+'Exhibit I Federal'!AG44</f>
        <v>1770.1</v>
      </c>
      <c r="AJ63" s="348"/>
      <c r="AK63" s="133"/>
      <c r="AL63" s="1564">
        <f>ROUND(SUM(+AF63-AI63),1)</f>
        <v>117.8</v>
      </c>
      <c r="AM63" s="52"/>
      <c r="AN63" s="1565">
        <f>ROUND(SUM(AL63/AI63),3)</f>
        <v>6.7000000000000004E-2</v>
      </c>
    </row>
    <row r="64" spans="1:40">
      <c r="A64" s="353"/>
      <c r="B64" s="353"/>
      <c r="C64" s="353"/>
      <c r="D64" s="353"/>
      <c r="E64" s="783"/>
      <c r="F64" s="325"/>
      <c r="G64" s="783"/>
      <c r="H64" s="325"/>
      <c r="I64" s="783"/>
      <c r="J64" s="325"/>
      <c r="K64" s="783"/>
      <c r="L64" s="325"/>
      <c r="M64" s="783"/>
      <c r="N64" s="325"/>
      <c r="O64" s="783"/>
      <c r="P64" s="325"/>
      <c r="Q64" s="783"/>
      <c r="R64" s="325"/>
      <c r="S64" s="783"/>
      <c r="T64" s="325"/>
      <c r="U64" s="783"/>
      <c r="V64" s="325"/>
      <c r="W64" s="783"/>
      <c r="X64" s="325"/>
      <c r="Y64" s="783"/>
      <c r="Z64" s="325"/>
      <c r="AA64" s="783"/>
      <c r="AB64" s="325"/>
      <c r="AC64" s="783"/>
      <c r="AD64" s="325"/>
      <c r="AE64" s="647"/>
      <c r="AF64" s="783"/>
      <c r="AG64" s="2045"/>
      <c r="AH64" s="325"/>
      <c r="AI64" s="783"/>
      <c r="AJ64" s="325"/>
      <c r="AK64" s="133"/>
      <c r="AL64" s="15"/>
      <c r="AN64" s="131"/>
    </row>
    <row r="65" spans="1:44">
      <c r="A65" s="353"/>
      <c r="B65" s="6" t="s">
        <v>596</v>
      </c>
      <c r="C65" s="353"/>
      <c r="D65" s="353"/>
      <c r="E65" s="773">
        <f>ROUND(SUM(+E61+E63+E33),1)</f>
        <v>603</v>
      </c>
      <c r="F65" s="16"/>
      <c r="G65" s="773">
        <f>ROUND(SUM(+G61+G63+G33),1)</f>
        <v>1017</v>
      </c>
      <c r="H65" s="16"/>
      <c r="I65" s="773">
        <f>ROUND(SUM(+I61+I63+I33),1)</f>
        <v>793.9</v>
      </c>
      <c r="J65" s="16"/>
      <c r="K65" s="773">
        <f>ROUND(SUM(+K61+K63+K33),1)</f>
        <v>1301.8</v>
      </c>
      <c r="L65" s="16"/>
      <c r="M65" s="773">
        <f>ROUND(SUM(+M61+M63+M33),1)</f>
        <v>768.2</v>
      </c>
      <c r="N65" s="16"/>
      <c r="O65" s="773">
        <f>ROUND(SUM(+O61+O63+O33),1)</f>
        <v>1149.4000000000001</v>
      </c>
      <c r="P65" s="16"/>
      <c r="Q65" s="773">
        <f>ROUND(SUM(+Q61+Q63+Q33),1)</f>
        <v>453.8</v>
      </c>
      <c r="R65" s="16"/>
      <c r="S65" s="1561">
        <f>ROUND(SUM(+S61+S63+S33),1)</f>
        <v>507.5</v>
      </c>
      <c r="T65" s="16"/>
      <c r="U65" s="1561">
        <f>ROUND(SUM(+U61+U63+U33),1)</f>
        <v>0</v>
      </c>
      <c r="V65" s="16"/>
      <c r="W65" s="1561">
        <f>ROUND(SUM(+W61+W63+W33),1)</f>
        <v>0</v>
      </c>
      <c r="X65" s="16"/>
      <c r="Y65" s="1561">
        <f>ROUND(SUM(+Y61+Y63+Y33),1)</f>
        <v>0</v>
      </c>
      <c r="Z65" s="16"/>
      <c r="AA65" s="1561">
        <f>ROUND(SUM(+AA61+AA63+AA33),1)</f>
        <v>0</v>
      </c>
      <c r="AB65" s="526"/>
      <c r="AC65" s="1561">
        <f>ROUND(SUM(+AC61+AC63+AC33),1)</f>
        <v>0</v>
      </c>
      <c r="AD65" s="16"/>
      <c r="AE65" s="18"/>
      <c r="AF65" s="1561">
        <f>ROUND(SUM(+AF61+AF63+AF33),1)</f>
        <v>6594.6</v>
      </c>
      <c r="AG65" s="2048"/>
      <c r="AH65" s="16"/>
      <c r="AI65" s="1561">
        <f>ROUND(SUM(+AI61+AI63+AI33),1)</f>
        <v>7468.5</v>
      </c>
      <c r="AJ65" s="23"/>
      <c r="AK65" s="133"/>
      <c r="AL65" s="1561">
        <f>ROUND(SUM(+AL61+AL63+AL33),1)</f>
        <v>-873.9</v>
      </c>
      <c r="AM65" s="51"/>
      <c r="AN65" s="470">
        <f>ROUND(SUM(AL65/AI65),3)</f>
        <v>-0.11700000000000001</v>
      </c>
      <c r="AO65" s="6"/>
      <c r="AP65" s="51"/>
      <c r="AQ65" s="6"/>
      <c r="AR65" s="6"/>
    </row>
    <row r="66" spans="1:44">
      <c r="A66" s="353"/>
      <c r="B66" s="353"/>
      <c r="C66" s="353"/>
      <c r="D66" s="353"/>
      <c r="E66" s="783"/>
      <c r="F66" s="325"/>
      <c r="G66" s="783"/>
      <c r="H66" s="325"/>
      <c r="I66" s="783"/>
      <c r="J66" s="325"/>
      <c r="K66" s="783"/>
      <c r="L66" s="325"/>
      <c r="M66" s="783"/>
      <c r="N66" s="325"/>
      <c r="O66" s="783"/>
      <c r="P66" s="325"/>
      <c r="Q66" s="783"/>
      <c r="R66" s="325"/>
      <c r="S66" s="783"/>
      <c r="T66" s="325"/>
      <c r="U66" s="783"/>
      <c r="V66" s="325"/>
      <c r="W66" s="783"/>
      <c r="X66" s="325"/>
      <c r="Y66" s="783"/>
      <c r="Z66" s="325"/>
      <c r="AA66" s="783"/>
      <c r="AB66" s="325"/>
      <c r="AC66" s="783"/>
      <c r="AD66" s="325"/>
      <c r="AE66" s="647"/>
      <c r="AF66" s="783"/>
      <c r="AG66" s="2045"/>
      <c r="AH66" s="325"/>
      <c r="AI66" s="783"/>
      <c r="AJ66" s="325"/>
      <c r="AK66" s="133"/>
      <c r="AL66" s="15"/>
      <c r="AN66" s="131"/>
    </row>
    <row r="67" spans="1:44">
      <c r="A67" s="353"/>
      <c r="B67" s="6" t="s">
        <v>123</v>
      </c>
      <c r="C67" s="353"/>
      <c r="D67" s="353"/>
      <c r="E67" s="325"/>
      <c r="F67" s="325"/>
      <c r="G67" s="325"/>
      <c r="H67" s="325"/>
      <c r="I67" s="325"/>
      <c r="J67" s="325"/>
      <c r="K67" s="325"/>
      <c r="L67" s="325"/>
      <c r="M67" s="325"/>
      <c r="N67" s="325"/>
      <c r="O67" s="325"/>
      <c r="P67" s="325"/>
      <c r="Q67" s="325"/>
      <c r="R67" s="325"/>
      <c r="S67" s="325"/>
      <c r="T67" s="325"/>
      <c r="U67" s="325"/>
      <c r="V67" s="325"/>
      <c r="W67" s="325"/>
      <c r="X67" s="325"/>
      <c r="Y67" s="325"/>
      <c r="Z67" s="325"/>
      <c r="AA67" s="325"/>
      <c r="AB67" s="325"/>
      <c r="AC67" s="325"/>
      <c r="AD67" s="325"/>
      <c r="AE67" s="647"/>
      <c r="AF67" s="325"/>
      <c r="AG67" s="2045"/>
      <c r="AH67" s="325"/>
      <c r="AI67" s="325"/>
      <c r="AJ67" s="325"/>
      <c r="AK67" s="133"/>
      <c r="AL67" s="15"/>
      <c r="AN67" s="131"/>
    </row>
    <row r="68" spans="1:44">
      <c r="A68" s="353"/>
      <c r="B68" s="353" t="s">
        <v>481</v>
      </c>
      <c r="C68" s="353"/>
      <c r="D68" s="353"/>
      <c r="E68" s="325"/>
      <c r="F68" s="325"/>
      <c r="G68" s="325"/>
      <c r="H68" s="325"/>
      <c r="I68" s="325"/>
      <c r="J68" s="325"/>
      <c r="K68" s="325"/>
      <c r="L68" s="325"/>
      <c r="M68" s="325"/>
      <c r="N68" s="325"/>
      <c r="O68" s="325"/>
      <c r="P68" s="325"/>
      <c r="Q68" s="325"/>
      <c r="R68" s="325"/>
      <c r="S68" s="325"/>
      <c r="T68" s="325"/>
      <c r="U68" s="325"/>
      <c r="V68" s="325"/>
      <c r="W68" s="325"/>
      <c r="X68" s="325"/>
      <c r="Y68" s="325"/>
      <c r="Z68" s="325"/>
      <c r="AA68" s="325" t="s">
        <v>104</v>
      </c>
      <c r="AB68" s="325"/>
      <c r="AC68" s="325"/>
      <c r="AD68" s="325"/>
      <c r="AE68" s="647"/>
      <c r="AF68" s="348"/>
      <c r="AG68" s="2045"/>
      <c r="AH68" s="325"/>
      <c r="AI68" s="325"/>
      <c r="AJ68" s="325"/>
      <c r="AK68" s="133"/>
      <c r="AL68" s="15"/>
      <c r="AN68" s="131"/>
    </row>
    <row r="69" spans="1:44">
      <c r="A69" s="353"/>
      <c r="B69" s="353" t="s">
        <v>125</v>
      </c>
      <c r="C69" s="353"/>
      <c r="D69" s="353"/>
      <c r="E69" s="351">
        <f>+'Exhibit I State'!E68+'Exhibit I Federal'!E50</f>
        <v>7</v>
      </c>
      <c r="F69" s="351"/>
      <c r="G69" s="351">
        <f>+'Exhibit I State'!G68+'Exhibit I Federal'!G50</f>
        <v>26.9</v>
      </c>
      <c r="H69" s="351"/>
      <c r="I69" s="351">
        <f>+'Exhibit I State'!I68+'Exhibit I Federal'!I50</f>
        <v>10.600000000000001</v>
      </c>
      <c r="J69" s="325"/>
      <c r="K69" s="351">
        <f>+'Exhibit I State'!K68+'Exhibit I Federal'!K50</f>
        <v>18.100000000000001</v>
      </c>
      <c r="L69" s="325"/>
      <c r="M69" s="351">
        <f>+'Exhibit I State'!M68+'Exhibit I Federal'!M50</f>
        <v>3.3000000000000043</v>
      </c>
      <c r="N69" s="325"/>
      <c r="O69" s="351">
        <f>+'Exhibit I State'!O68+'Exhibit I Federal'!O50</f>
        <v>39.199999999999982</v>
      </c>
      <c r="P69" s="325"/>
      <c r="Q69" s="351">
        <f>+'Exhibit I State'!Q68+'Exhibit I Federal'!Q50</f>
        <v>230.5</v>
      </c>
      <c r="R69" s="325"/>
      <c r="S69" s="351">
        <f>+'Exhibit I State'!S68+'Exhibit I Federal'!S50</f>
        <v>5.0999999999999659</v>
      </c>
      <c r="T69" s="351"/>
      <c r="U69" s="351"/>
      <c r="V69" s="351"/>
      <c r="W69" s="351"/>
      <c r="X69" s="351"/>
      <c r="Y69" s="351"/>
      <c r="Z69" s="351"/>
      <c r="AA69" s="351"/>
      <c r="AB69" s="351"/>
      <c r="AC69" s="351">
        <v>0</v>
      </c>
      <c r="AD69" s="325"/>
      <c r="AE69" s="647"/>
      <c r="AF69" s="325">
        <f>ROUND(SUM(E69:AC69),1)</f>
        <v>340.7</v>
      </c>
      <c r="AG69" s="2045"/>
      <c r="AH69" s="325"/>
      <c r="AI69" s="325">
        <f>+'Exhibit I State'!AG68+'Exhibit I Federal'!AG50</f>
        <v>73.2</v>
      </c>
      <c r="AJ69" s="348"/>
      <c r="AK69" s="132"/>
      <c r="AL69" s="15">
        <f>ROUND(SUM(+AF69-AI69),1)</f>
        <v>267.5</v>
      </c>
      <c r="AM69" s="52"/>
      <c r="AN69" s="684">
        <f>ROUND(IF(AI69=0,1,AL69/ABS(AI69)),3)</f>
        <v>3.6539999999999999</v>
      </c>
    </row>
    <row r="70" spans="1:44">
      <c r="A70" s="353"/>
      <c r="B70" s="353" t="s">
        <v>126</v>
      </c>
      <c r="C70" s="353"/>
      <c r="D70" s="353"/>
      <c r="E70" s="351">
        <f>+'Exhibit I State'!E69+'Exhibit I Federal'!E51</f>
        <v>82.3</v>
      </c>
      <c r="F70" s="351"/>
      <c r="G70" s="351">
        <f>+'Exhibit I State'!G69+'Exhibit I Federal'!G51</f>
        <v>13.200000000000006</v>
      </c>
      <c r="H70" s="351"/>
      <c r="I70" s="351">
        <f>+'Exhibit I State'!I69+'Exhibit I Federal'!I51</f>
        <v>12</v>
      </c>
      <c r="J70" s="325"/>
      <c r="K70" s="351">
        <f>+'Exhibit I State'!K69+'Exhibit I Federal'!K51</f>
        <v>204.2</v>
      </c>
      <c r="L70" s="325"/>
      <c r="M70" s="351">
        <f>+'Exhibit I State'!M69+'Exhibit I Federal'!M51</f>
        <v>55.599999999999994</v>
      </c>
      <c r="N70" s="325"/>
      <c r="O70" s="351">
        <f>+'Exhibit I State'!O69+'Exhibit I Federal'!O51</f>
        <v>12.600000000000009</v>
      </c>
      <c r="P70" s="325"/>
      <c r="Q70" s="351">
        <f>+'Exhibit I State'!Q69+'Exhibit I Federal'!Q51</f>
        <v>72.7</v>
      </c>
      <c r="R70" s="325"/>
      <c r="S70" s="351">
        <f>+'Exhibit I State'!S69+'Exhibit I Federal'!S51</f>
        <v>58.099999999999994</v>
      </c>
      <c r="T70" s="351"/>
      <c r="U70" s="351"/>
      <c r="V70" s="351"/>
      <c r="W70" s="351"/>
      <c r="X70" s="351"/>
      <c r="Y70" s="351"/>
      <c r="Z70" s="351"/>
      <c r="AA70" s="351"/>
      <c r="AB70" s="351"/>
      <c r="AC70" s="351">
        <v>0</v>
      </c>
      <c r="AD70" s="325"/>
      <c r="AE70" s="647"/>
      <c r="AF70" s="325">
        <f>ROUND(SUM(E70:AC70),1)</f>
        <v>510.7</v>
      </c>
      <c r="AG70" s="2045"/>
      <c r="AH70" s="325"/>
      <c r="AI70" s="325">
        <f>+'Exhibit I State'!AG69+'Exhibit I Federal'!AG51</f>
        <v>217.2</v>
      </c>
      <c r="AJ70" s="348"/>
      <c r="AK70" s="132"/>
      <c r="AL70" s="15">
        <f t="shared" ref="AL70:AL77" si="4">ROUND(SUM(+AF70-AI70),1)</f>
        <v>293.5</v>
      </c>
      <c r="AM70" s="52"/>
      <c r="AN70" s="670">
        <f>ROUND(IF(AI70=0,0,AL70/ABS(AI70)),3)</f>
        <v>1.351</v>
      </c>
    </row>
    <row r="71" spans="1:44">
      <c r="A71" s="353"/>
      <c r="B71" s="353" t="s">
        <v>127</v>
      </c>
      <c r="C71" s="353"/>
      <c r="D71" s="353"/>
      <c r="E71" s="351">
        <f>+'Exhibit I State'!E70+'Exhibit I Federal'!E52</f>
        <v>35.799999999999997</v>
      </c>
      <c r="F71" s="351"/>
      <c r="G71" s="351">
        <f>+'Exhibit I State'!G70+'Exhibit I Federal'!G52</f>
        <v>46.100000000000009</v>
      </c>
      <c r="H71" s="351"/>
      <c r="I71" s="351">
        <f>+'Exhibit I State'!I70+'Exhibit I Federal'!I52</f>
        <v>52.199999999999989</v>
      </c>
      <c r="J71" s="325"/>
      <c r="K71" s="351">
        <f>+'Exhibit I State'!K70+'Exhibit I Federal'!K52</f>
        <v>15.599999999999994</v>
      </c>
      <c r="L71" s="325"/>
      <c r="M71" s="351">
        <f>+'Exhibit I State'!M70+'Exhibit I Federal'!M52</f>
        <v>26.40000000000002</v>
      </c>
      <c r="N71" s="325"/>
      <c r="O71" s="351">
        <f>+'Exhibit I State'!O70+'Exhibit I Federal'!O52</f>
        <v>93.899999999999963</v>
      </c>
      <c r="P71" s="325"/>
      <c r="Q71" s="351">
        <f>+'Exhibit I State'!Q70+'Exhibit I Federal'!Q52</f>
        <v>49.899999999999991</v>
      </c>
      <c r="R71" s="325"/>
      <c r="S71" s="351">
        <f>+'Exhibit I State'!S70+'Exhibit I Federal'!S52</f>
        <v>26.600000000000023</v>
      </c>
      <c r="T71" s="351"/>
      <c r="U71" s="351"/>
      <c r="V71" s="351"/>
      <c r="W71" s="351"/>
      <c r="X71" s="351"/>
      <c r="Y71" s="351"/>
      <c r="Z71" s="351"/>
      <c r="AA71" s="351"/>
      <c r="AB71" s="351" t="s">
        <v>254</v>
      </c>
      <c r="AC71" s="351">
        <v>0</v>
      </c>
      <c r="AD71" s="325"/>
      <c r="AE71" s="647"/>
      <c r="AF71" s="325">
        <f>ROUND(SUM(E71:AC71),1)</f>
        <v>346.5</v>
      </c>
      <c r="AG71" s="2045"/>
      <c r="AH71" s="325"/>
      <c r="AI71" s="325">
        <f>+'Exhibit I State'!AG70+'Exhibit I Federal'!AG52</f>
        <v>388.3</v>
      </c>
      <c r="AJ71" s="348"/>
      <c r="AK71" s="132"/>
      <c r="AL71" s="15">
        <f t="shared" si="4"/>
        <v>-41.8</v>
      </c>
      <c r="AM71" s="52"/>
      <c r="AN71" s="327">
        <f>ROUND(IF(AI71=0,0,AL71/ABS(AI71)),3)</f>
        <v>-0.108</v>
      </c>
    </row>
    <row r="72" spans="1:44">
      <c r="A72" s="353"/>
      <c r="B72" s="353" t="s">
        <v>128</v>
      </c>
      <c r="C72" s="353"/>
      <c r="D72" s="353"/>
      <c r="E72" s="351"/>
      <c r="F72" s="351"/>
      <c r="G72" s="351"/>
      <c r="H72" s="351"/>
      <c r="I72" s="351"/>
      <c r="J72" s="325"/>
      <c r="K72" s="351"/>
      <c r="L72" s="325"/>
      <c r="M72" s="351"/>
      <c r="N72" s="325"/>
      <c r="O72" s="351"/>
      <c r="P72" s="325"/>
      <c r="Q72" s="351"/>
      <c r="R72" s="325"/>
      <c r="S72" s="351"/>
      <c r="T72" s="351"/>
      <c r="U72" s="351"/>
      <c r="V72" s="351"/>
      <c r="W72" s="351"/>
      <c r="X72" s="351"/>
      <c r="Y72" s="351"/>
      <c r="Z72" s="351"/>
      <c r="AA72" s="351"/>
      <c r="AB72" s="351"/>
      <c r="AC72" s="351"/>
      <c r="AD72" s="325"/>
      <c r="AE72" s="647"/>
      <c r="AF72" s="325" t="s">
        <v>104</v>
      </c>
      <c r="AG72" s="2045"/>
      <c r="AH72" s="325"/>
      <c r="AI72" s="469"/>
      <c r="AJ72" s="325"/>
      <c r="AK72" s="133"/>
      <c r="AL72" s="15" t="s">
        <v>104</v>
      </c>
      <c r="AM72" s="52"/>
      <c r="AN72" s="134" t="s">
        <v>104</v>
      </c>
    </row>
    <row r="73" spans="1:44">
      <c r="A73" s="353"/>
      <c r="B73" s="353" t="s">
        <v>129</v>
      </c>
      <c r="C73" s="6"/>
      <c r="D73" s="353"/>
      <c r="E73" s="351">
        <f>+'Exhibit I State'!E72+'Exhibit I Federal'!E54</f>
        <v>0</v>
      </c>
      <c r="F73" s="351"/>
      <c r="G73" s="351">
        <f>+'Exhibit I State'!G72+'Exhibit I Federal'!G54</f>
        <v>0</v>
      </c>
      <c r="H73" s="351"/>
      <c r="I73" s="351">
        <f>+'Exhibit I State'!I72+'Exhibit I Federal'!I54</f>
        <v>0</v>
      </c>
      <c r="J73" s="325"/>
      <c r="K73" s="351">
        <f>+'Exhibit I State'!K72+'Exhibit I Federal'!K54</f>
        <v>0</v>
      </c>
      <c r="L73" s="325"/>
      <c r="M73" s="351">
        <f>+'Exhibit I State'!M72+'Exhibit I Federal'!M54</f>
        <v>0</v>
      </c>
      <c r="N73" s="325"/>
      <c r="O73" s="351">
        <f>+'Exhibit I State'!O72+'Exhibit I Federal'!O54</f>
        <v>0</v>
      </c>
      <c r="P73" s="325"/>
      <c r="Q73" s="351">
        <f>+'Exhibit I State'!Q72+'Exhibit I Federal'!Q54</f>
        <v>0</v>
      </c>
      <c r="R73" s="325"/>
      <c r="S73" s="351">
        <f>+'Exhibit I State'!S72+'Exhibit I Federal'!S54</f>
        <v>0</v>
      </c>
      <c r="T73" s="351"/>
      <c r="U73" s="351"/>
      <c r="V73" s="351"/>
      <c r="W73" s="351"/>
      <c r="X73" s="351"/>
      <c r="Y73" s="351"/>
      <c r="Z73" s="351"/>
      <c r="AA73" s="351"/>
      <c r="AB73" s="351"/>
      <c r="AC73" s="351">
        <v>0</v>
      </c>
      <c r="AD73" s="325"/>
      <c r="AE73" s="647"/>
      <c r="AF73" s="325">
        <f t="shared" ref="AF73:AF77" si="5">ROUND(SUM(E73:AC73),1)</f>
        <v>0</v>
      </c>
      <c r="AG73" s="2045"/>
      <c r="AH73" s="325"/>
      <c r="AI73" s="469">
        <f>+'Exhibit I State'!AG72+'Exhibit I Federal'!AG54</f>
        <v>0</v>
      </c>
      <c r="AJ73" s="325"/>
      <c r="AK73" s="133"/>
      <c r="AL73" s="15">
        <f t="shared" si="4"/>
        <v>0</v>
      </c>
      <c r="AM73" s="52"/>
      <c r="AN73" s="477">
        <f>ROUND(IF(AI73=0,0,AL73/ABS(AI73)),3)</f>
        <v>0</v>
      </c>
    </row>
    <row r="74" spans="1:44">
      <c r="A74" s="353"/>
      <c r="B74" s="353" t="s">
        <v>130</v>
      </c>
      <c r="C74" s="353"/>
      <c r="D74" s="353"/>
      <c r="E74" s="351">
        <f>+'Exhibit I State'!E73+'Exhibit I Federal'!E55</f>
        <v>7.9</v>
      </c>
      <c r="F74" s="351"/>
      <c r="G74" s="351">
        <f>+'Exhibit I State'!G73+'Exhibit I Federal'!G55</f>
        <v>113.5</v>
      </c>
      <c r="H74" s="351"/>
      <c r="I74" s="351">
        <f>+'Exhibit I State'!I73+'Exhibit I Federal'!I55</f>
        <v>20.699999999999996</v>
      </c>
      <c r="J74" s="325"/>
      <c r="K74" s="351">
        <f>+'Exhibit I State'!K73+'Exhibit I Federal'!K55</f>
        <v>51.299999999999976</v>
      </c>
      <c r="L74" s="325"/>
      <c r="M74" s="351">
        <f>+'Exhibit I State'!M73+'Exhibit I Federal'!M55</f>
        <v>25.500000000000007</v>
      </c>
      <c r="N74" s="325"/>
      <c r="O74" s="351">
        <f>+'Exhibit I State'!O73+'Exhibit I Federal'!O55</f>
        <v>17.600000000000023</v>
      </c>
      <c r="P74" s="325"/>
      <c r="Q74" s="351">
        <f>+'Exhibit I State'!Q73+'Exhibit I Federal'!Q55</f>
        <v>79.09999999999998</v>
      </c>
      <c r="R74" s="325"/>
      <c r="S74" s="351">
        <f>+'Exhibit I State'!S73+'Exhibit I Federal'!S55</f>
        <v>34.500000000000085</v>
      </c>
      <c r="T74" s="351"/>
      <c r="U74" s="351"/>
      <c r="V74" s="351"/>
      <c r="W74" s="351"/>
      <c r="X74" s="351"/>
      <c r="Y74" s="351"/>
      <c r="Z74" s="351"/>
      <c r="AA74" s="351"/>
      <c r="AB74" s="351"/>
      <c r="AC74" s="351">
        <v>0</v>
      </c>
      <c r="AD74" s="325"/>
      <c r="AE74" s="647"/>
      <c r="AF74" s="325">
        <f t="shared" si="5"/>
        <v>350.1</v>
      </c>
      <c r="AG74" s="2045"/>
      <c r="AH74" s="325"/>
      <c r="AI74" s="469">
        <f>+'Exhibit I State'!AG73+'Exhibit I Federal'!AG55</f>
        <v>301.89999999999998</v>
      </c>
      <c r="AJ74" s="348"/>
      <c r="AK74" s="132"/>
      <c r="AL74" s="15">
        <f t="shared" si="4"/>
        <v>48.2</v>
      </c>
      <c r="AM74" s="52"/>
      <c r="AN74" s="477">
        <f>ROUND(IF(AI74=0,0,AL74/ABS(AI74)),3)</f>
        <v>0.16</v>
      </c>
    </row>
    <row r="75" spans="1:44">
      <c r="A75" s="353"/>
      <c r="B75" s="353" t="s">
        <v>131</v>
      </c>
      <c r="C75" s="353"/>
      <c r="D75" s="353"/>
      <c r="E75" s="351">
        <f>+'Exhibit I State'!E74+'Exhibit I Federal'!E56</f>
        <v>1</v>
      </c>
      <c r="F75" s="351"/>
      <c r="G75" s="351">
        <f>+'Exhibit I State'!G74+'Exhibit I Federal'!G56</f>
        <v>1</v>
      </c>
      <c r="H75" s="351"/>
      <c r="I75" s="351">
        <f>+'Exhibit I State'!I74+'Exhibit I Federal'!I56</f>
        <v>1.9</v>
      </c>
      <c r="J75" s="325"/>
      <c r="K75" s="351">
        <f>+'Exhibit I State'!K74+'Exhibit I Federal'!K56</f>
        <v>0.80000000000000027</v>
      </c>
      <c r="L75" s="325"/>
      <c r="M75" s="351">
        <f>+'Exhibit I State'!M74+'Exhibit I Federal'!M56</f>
        <v>4.6999999999999993</v>
      </c>
      <c r="N75" s="325"/>
      <c r="O75" s="351">
        <f>+'Exhibit I State'!O74+'Exhibit I Federal'!O56</f>
        <v>1</v>
      </c>
      <c r="P75" s="325"/>
      <c r="Q75" s="351">
        <f>+'Exhibit I State'!Q74+'Exhibit I Federal'!Q56</f>
        <v>1.6999999999999993</v>
      </c>
      <c r="R75" s="325"/>
      <c r="S75" s="351">
        <f>+'Exhibit I State'!S74+'Exhibit I Federal'!S56</f>
        <v>3.4000000000000004</v>
      </c>
      <c r="T75" s="351"/>
      <c r="U75" s="351"/>
      <c r="V75" s="351"/>
      <c r="W75" s="351"/>
      <c r="X75" s="351"/>
      <c r="Y75" s="351"/>
      <c r="Z75" s="351"/>
      <c r="AA75" s="351"/>
      <c r="AB75" s="351"/>
      <c r="AC75" s="351">
        <v>0</v>
      </c>
      <c r="AD75" s="325"/>
      <c r="AE75" s="647"/>
      <c r="AF75" s="325">
        <f>ROUND(SUM(E75:AC75),1)</f>
        <v>15.5</v>
      </c>
      <c r="AG75" s="2045"/>
      <c r="AH75" s="325"/>
      <c r="AI75" s="469">
        <f>+'Exhibit I State'!AG74+'Exhibit I Federal'!AG56</f>
        <v>122.10000000000001</v>
      </c>
      <c r="AJ75" s="348"/>
      <c r="AK75" s="132"/>
      <c r="AL75" s="15">
        <f t="shared" si="4"/>
        <v>-106.6</v>
      </c>
      <c r="AM75" s="52"/>
      <c r="AN75" s="670">
        <f>ROUND(IF(AI75=0,1,AL75/ABS(AI75)),3)</f>
        <v>-0.873</v>
      </c>
    </row>
    <row r="76" spans="1:44">
      <c r="A76" s="353"/>
      <c r="B76" s="353" t="s">
        <v>132</v>
      </c>
      <c r="C76" s="353"/>
      <c r="D76" s="353"/>
      <c r="E76" s="351">
        <f>+'Exhibit I State'!E75+'Exhibit I Federal'!E57</f>
        <v>76.099999999999994</v>
      </c>
      <c r="F76" s="351"/>
      <c r="G76" s="351">
        <f>+'Exhibit I State'!G75+'Exhibit I Federal'!G57</f>
        <v>29.5</v>
      </c>
      <c r="H76" s="351"/>
      <c r="I76" s="351">
        <f>+'Exhibit I State'!I75+'Exhibit I Federal'!I57</f>
        <v>175.79999999999998</v>
      </c>
      <c r="J76" s="325"/>
      <c r="K76" s="351">
        <f>+'Exhibit I State'!K75+'Exhibit I Federal'!K57</f>
        <v>37.700000000000045</v>
      </c>
      <c r="L76" s="325"/>
      <c r="M76" s="351">
        <f>+'Exhibit I State'!M75+'Exhibit I Federal'!M57</f>
        <v>91.6</v>
      </c>
      <c r="N76" s="325"/>
      <c r="O76" s="351">
        <f>+'Exhibit I State'!O75+'Exhibit I Federal'!O57</f>
        <v>59.799999999999955</v>
      </c>
      <c r="P76" s="325"/>
      <c r="Q76" s="351">
        <f>+'Exhibit I State'!Q75+'Exhibit I Federal'!Q57</f>
        <v>123.60000000000005</v>
      </c>
      <c r="R76" s="325"/>
      <c r="S76" s="351">
        <f>+'Exhibit I State'!S75+'Exhibit I Federal'!S57</f>
        <v>123.1</v>
      </c>
      <c r="T76" s="351"/>
      <c r="U76" s="351"/>
      <c r="V76" s="351"/>
      <c r="W76" s="351"/>
      <c r="X76" s="351"/>
      <c r="Y76" s="351"/>
      <c r="Z76" s="351"/>
      <c r="AA76" s="351"/>
      <c r="AB76" s="351"/>
      <c r="AC76" s="351">
        <v>0</v>
      </c>
      <c r="AD76" s="325"/>
      <c r="AE76" s="647"/>
      <c r="AF76" s="325">
        <f t="shared" si="5"/>
        <v>717.2</v>
      </c>
      <c r="AG76" s="2045"/>
      <c r="AH76" s="325"/>
      <c r="AI76" s="469">
        <f>+'Exhibit I State'!AG75+'Exhibit I Federal'!AG57</f>
        <v>406.7</v>
      </c>
      <c r="AJ76" s="325"/>
      <c r="AK76" s="133"/>
      <c r="AL76" s="15">
        <f t="shared" si="4"/>
        <v>310.5</v>
      </c>
      <c r="AM76" s="52"/>
      <c r="AN76" s="700">
        <f>ROUND(IF(AI76=0,1,AL76/ABS(AI76)),3)</f>
        <v>0.76300000000000001</v>
      </c>
    </row>
    <row r="77" spans="1:44">
      <c r="A77" s="353"/>
      <c r="B77" s="353" t="s">
        <v>133</v>
      </c>
      <c r="C77" s="6"/>
      <c r="D77" s="353"/>
      <c r="E77" s="351">
        <f>+'Exhibit I State'!E76+'Exhibit I Federal'!E58</f>
        <v>29.5</v>
      </c>
      <c r="F77" s="351"/>
      <c r="G77" s="351">
        <f>+'Exhibit I State'!G76+'Exhibit I Federal'!G58</f>
        <v>17.2</v>
      </c>
      <c r="H77" s="351"/>
      <c r="I77" s="351">
        <f>+'Exhibit I State'!I76+'Exhibit I Federal'!I58</f>
        <v>78.099999999999994</v>
      </c>
      <c r="J77" s="325"/>
      <c r="K77" s="351">
        <f>+'Exhibit I State'!K76+'Exhibit I Federal'!K58</f>
        <v>165.8</v>
      </c>
      <c r="L77" s="325"/>
      <c r="M77" s="351">
        <f>+'Exhibit I State'!M76+'Exhibit I Federal'!M58</f>
        <v>48.499999999999986</v>
      </c>
      <c r="N77" s="325"/>
      <c r="O77" s="351">
        <f>+'Exhibit I State'!O76+'Exhibit I Federal'!O58</f>
        <v>70.300000000000068</v>
      </c>
      <c r="P77" s="325"/>
      <c r="Q77" s="351">
        <f>+'Exhibit I State'!Q76+'Exhibit I Federal'!Q58</f>
        <v>89.499999999999886</v>
      </c>
      <c r="R77" s="325"/>
      <c r="S77" s="351">
        <f>+'Exhibit I State'!S76+'Exhibit I Federal'!S58</f>
        <v>55.30000000000004</v>
      </c>
      <c r="T77" s="351"/>
      <c r="U77" s="351"/>
      <c r="V77" s="351"/>
      <c r="W77" s="351"/>
      <c r="X77" s="351"/>
      <c r="Y77" s="351"/>
      <c r="Z77" s="351"/>
      <c r="AA77" s="351"/>
      <c r="AB77" s="351"/>
      <c r="AC77" s="351">
        <v>0</v>
      </c>
      <c r="AD77" s="325"/>
      <c r="AE77" s="647"/>
      <c r="AF77" s="325">
        <f t="shared" si="5"/>
        <v>554.20000000000005</v>
      </c>
      <c r="AG77" s="2045"/>
      <c r="AH77" s="325"/>
      <c r="AI77" s="469">
        <f>+'Exhibit I State'!AG76+'Exhibit I Federal'!AG58</f>
        <v>341.3</v>
      </c>
      <c r="AJ77" s="325"/>
      <c r="AK77" s="133"/>
      <c r="AL77" s="15">
        <f t="shared" si="4"/>
        <v>212.9</v>
      </c>
      <c r="AM77" s="52"/>
      <c r="AN77" s="700">
        <f>ROUND(IF(AI77=0,0,AL77/ABS(AI77)),3)</f>
        <v>0.624</v>
      </c>
    </row>
    <row r="78" spans="1:44">
      <c r="A78" s="353"/>
      <c r="B78" s="353" t="s">
        <v>134</v>
      </c>
      <c r="C78" s="353"/>
      <c r="D78" s="353"/>
      <c r="E78" s="351">
        <f>+'Exhibit I State'!E77+'Exhibit I Federal'!E59</f>
        <v>36.9</v>
      </c>
      <c r="F78" s="351"/>
      <c r="G78" s="351">
        <f>+'Exhibit I State'!G77+'Exhibit I Federal'!G59</f>
        <v>29.1</v>
      </c>
      <c r="H78" s="351"/>
      <c r="I78" s="351">
        <f>+'Exhibit I State'!I77+'Exhibit I Federal'!I59</f>
        <v>121.9</v>
      </c>
      <c r="J78" s="325"/>
      <c r="K78" s="351">
        <f>+'Exhibit I State'!K77+'Exhibit I Federal'!K59</f>
        <v>50.600000000000009</v>
      </c>
      <c r="L78" s="325"/>
      <c r="M78" s="351">
        <f>+'Exhibit I State'!M77+'Exhibit I Federal'!M59</f>
        <v>52.499999999999986</v>
      </c>
      <c r="N78" s="325"/>
      <c r="O78" s="351">
        <f>+'Exhibit I State'!O77+'Exhibit I Federal'!O59</f>
        <v>167.39999999999995</v>
      </c>
      <c r="P78" s="325"/>
      <c r="Q78" s="351">
        <f>+'Exhibit I State'!Q77+'Exhibit I Federal'!Q59</f>
        <v>299.59999999999985</v>
      </c>
      <c r="R78" s="325"/>
      <c r="S78" s="351">
        <f>+'Exhibit I State'!S77+'Exhibit I Federal'!S59</f>
        <v>36.500000000000057</v>
      </c>
      <c r="T78" s="351"/>
      <c r="U78" s="351"/>
      <c r="V78" s="351"/>
      <c r="W78" s="351"/>
      <c r="X78" s="351"/>
      <c r="Y78" s="351"/>
      <c r="Z78" s="351"/>
      <c r="AA78" s="351"/>
      <c r="AB78" s="351"/>
      <c r="AC78" s="351">
        <v>0</v>
      </c>
      <c r="AD78" s="325"/>
      <c r="AE78" s="647"/>
      <c r="AF78" s="325">
        <f>ROUND(SUM(E78:AC78),1)</f>
        <v>794.5</v>
      </c>
      <c r="AG78" s="2045"/>
      <c r="AH78" s="325"/>
      <c r="AI78" s="469">
        <f>+'Exhibit I State'!AG77+'Exhibit I Federal'!AG59</f>
        <v>546.20000000000005</v>
      </c>
      <c r="AJ78" s="325"/>
      <c r="AK78" s="133"/>
      <c r="AL78" s="15">
        <f>ROUND(SUM(+AF78-AI78),1)</f>
        <v>248.3</v>
      </c>
      <c r="AN78" s="1177">
        <f>ROUND(IF(AI78=0,0,AL78/ABS(AI78)),3)</f>
        <v>0.45500000000000002</v>
      </c>
    </row>
    <row r="79" spans="1:44">
      <c r="A79" s="353"/>
      <c r="B79" s="6" t="s">
        <v>597</v>
      </c>
      <c r="C79" s="353"/>
      <c r="D79" s="353"/>
      <c r="E79" s="784">
        <f>ROUND(SUM(E69:E78),1)</f>
        <v>276.5</v>
      </c>
      <c r="F79" s="16"/>
      <c r="G79" s="784">
        <f>ROUND(SUM(G69:G78),1)</f>
        <v>276.5</v>
      </c>
      <c r="H79" s="16"/>
      <c r="I79" s="784">
        <f>ROUND(SUM(I69:I78),1)</f>
        <v>473.2</v>
      </c>
      <c r="J79" s="16"/>
      <c r="K79" s="784">
        <f>ROUND(SUM(K69:K78),1)</f>
        <v>544.1</v>
      </c>
      <c r="L79" s="16"/>
      <c r="M79" s="784">
        <f>ROUND(SUM(M69:M78),1)</f>
        <v>308.10000000000002</v>
      </c>
      <c r="N79" s="16"/>
      <c r="O79" s="784">
        <f>ROUND(SUM(O69:O78),1)</f>
        <v>461.8</v>
      </c>
      <c r="P79" s="16"/>
      <c r="Q79" s="784">
        <f>ROUND(SUM(Q69:Q78),1)</f>
        <v>946.6</v>
      </c>
      <c r="R79" s="16"/>
      <c r="S79" s="784">
        <f>ROUND(SUM(S69:S78),1)</f>
        <v>342.6</v>
      </c>
      <c r="T79" s="16"/>
      <c r="U79" s="784">
        <f>ROUND(SUM(U69:U78),1)</f>
        <v>0</v>
      </c>
      <c r="V79" s="16"/>
      <c r="W79" s="784">
        <f>ROUND(SUM(W69:W78),1)</f>
        <v>0</v>
      </c>
      <c r="X79" s="16"/>
      <c r="Y79" s="784">
        <f>ROUND(SUM(Y69:Y78),1)</f>
        <v>0</v>
      </c>
      <c r="Z79" s="16"/>
      <c r="AA79" s="784">
        <f>ROUND(SUM(AA69:AA78),1)</f>
        <v>0</v>
      </c>
      <c r="AB79" s="16"/>
      <c r="AC79" s="784">
        <f>ROUND(SUM(AC69:AC78),1)</f>
        <v>0</v>
      </c>
      <c r="AD79" s="16"/>
      <c r="AE79" s="18"/>
      <c r="AF79" s="784">
        <f>ROUND(SUM(AF69:AF78),1)</f>
        <v>3629.4</v>
      </c>
      <c r="AG79" s="2048"/>
      <c r="AH79" s="16"/>
      <c r="AI79" s="784">
        <f>ROUND(SUM(AI69:AI78),1)</f>
        <v>2396.9</v>
      </c>
      <c r="AJ79" s="16"/>
      <c r="AK79" s="133"/>
      <c r="AL79" s="784">
        <f>ROUND(SUM(AL69:AL78),1)</f>
        <v>1232.5</v>
      </c>
      <c r="AM79" s="6"/>
      <c r="AN79" s="470">
        <f>ROUND(SUM(AL79/AI79),3)</f>
        <v>0.51400000000000001</v>
      </c>
      <c r="AO79" s="6"/>
      <c r="AP79" s="51"/>
      <c r="AQ79" s="6"/>
      <c r="AR79" s="6"/>
    </row>
    <row r="80" spans="1:44">
      <c r="A80" s="353"/>
      <c r="B80" s="353" t="s">
        <v>598</v>
      </c>
      <c r="C80" s="353"/>
      <c r="D80" s="353"/>
      <c r="E80" s="325"/>
      <c r="F80" s="325"/>
      <c r="G80" s="325"/>
      <c r="H80" s="325"/>
      <c r="I80" s="325"/>
      <c r="J80" s="325"/>
      <c r="K80" s="325"/>
      <c r="L80" s="325"/>
      <c r="M80" s="325"/>
      <c r="N80" s="325"/>
      <c r="O80" s="325"/>
      <c r="P80" s="325"/>
      <c r="Q80" s="325"/>
      <c r="R80" s="325"/>
      <c r="S80" s="325"/>
      <c r="T80" s="325"/>
      <c r="U80" s="325"/>
      <c r="V80" s="325"/>
      <c r="W80" s="325"/>
      <c r="X80" s="325"/>
      <c r="Y80" s="325"/>
      <c r="Z80" s="325"/>
      <c r="AA80" s="325"/>
      <c r="AB80" s="325"/>
      <c r="AC80" s="325"/>
      <c r="AD80" s="325"/>
      <c r="AE80" s="647"/>
      <c r="AF80" s="325"/>
      <c r="AG80" s="2045"/>
      <c r="AH80" s="325"/>
      <c r="AI80" s="325"/>
      <c r="AJ80" s="325"/>
      <c r="AK80" s="133"/>
      <c r="AL80" s="15"/>
      <c r="AN80" s="131"/>
    </row>
    <row r="81" spans="1:44">
      <c r="A81" s="353"/>
      <c r="B81" s="353" t="s">
        <v>599</v>
      </c>
      <c r="C81" s="353"/>
      <c r="D81" s="353"/>
      <c r="E81" s="351">
        <f>+'Exhibit I State'!E80+'Exhibit I Federal'!E62</f>
        <v>0</v>
      </c>
      <c r="F81" s="351"/>
      <c r="G81" s="351">
        <f>+'Exhibit I State'!G80+'Exhibit I Federal'!G62</f>
        <v>0</v>
      </c>
      <c r="H81" s="351"/>
      <c r="I81" s="351">
        <f>+'Exhibit I State'!I80+'Exhibit I Federal'!I62</f>
        <v>0</v>
      </c>
      <c r="J81" s="325"/>
      <c r="K81" s="351">
        <f>+'Exhibit I State'!K80+'Exhibit I Federal'!K62</f>
        <v>0</v>
      </c>
      <c r="L81" s="325"/>
      <c r="M81" s="351">
        <f>+'Exhibit I State'!M80+'Exhibit I Federal'!M62</f>
        <v>0</v>
      </c>
      <c r="N81" s="325"/>
      <c r="O81" s="351">
        <f>+'Exhibit I State'!O80+'Exhibit I Federal'!O62</f>
        <v>0</v>
      </c>
      <c r="P81" s="325"/>
      <c r="Q81" s="351">
        <f>+'Exhibit I State'!Q80+'Exhibit I Federal'!Q62</f>
        <v>0</v>
      </c>
      <c r="R81" s="325"/>
      <c r="S81" s="351">
        <f>+'Exhibit I State'!S80+'Exhibit I Federal'!S62</f>
        <v>0</v>
      </c>
      <c r="T81" s="351"/>
      <c r="U81" s="351"/>
      <c r="V81" s="351"/>
      <c r="W81" s="351"/>
      <c r="X81" s="351"/>
      <c r="Y81" s="351"/>
      <c r="Z81" s="351"/>
      <c r="AA81" s="351"/>
      <c r="AB81" s="351"/>
      <c r="AC81" s="351">
        <v>0</v>
      </c>
      <c r="AD81" s="325"/>
      <c r="AE81" s="647"/>
      <c r="AF81" s="348">
        <f>ROUND(SUM(E81:AC81),1)</f>
        <v>0</v>
      </c>
      <c r="AG81" s="2045"/>
      <c r="AH81" s="325"/>
      <c r="AI81" s="336">
        <f>+'Exhibit I State'!AG80+'Exhibit I Federal'!AG62</f>
        <v>0</v>
      </c>
      <c r="AJ81" s="469"/>
      <c r="AK81" s="135"/>
      <c r="AL81" s="325">
        <f>ROUND(SUM(+AF81-AI81),1)</f>
        <v>0</v>
      </c>
      <c r="AN81" s="477">
        <f>ROUND(IF(AI81=0,0,AL81/ABS(AI81)),3)</f>
        <v>0</v>
      </c>
    </row>
    <row r="82" spans="1:44">
      <c r="A82" s="353"/>
      <c r="B82" s="353" t="s">
        <v>600</v>
      </c>
      <c r="C82" s="353"/>
      <c r="D82" s="353"/>
      <c r="E82" s="351">
        <f>+'Exhibit I State'!E81+'Exhibit I Federal'!E63</f>
        <v>0</v>
      </c>
      <c r="F82" s="351"/>
      <c r="G82" s="351">
        <f>+'Exhibit I State'!G81+'Exhibit I Federal'!G63</f>
        <v>0</v>
      </c>
      <c r="H82" s="351"/>
      <c r="I82" s="351">
        <f>+'Exhibit I State'!I81+'Exhibit I Federal'!I63</f>
        <v>0</v>
      </c>
      <c r="J82" s="325"/>
      <c r="K82" s="351">
        <f>+'Exhibit I State'!K81+'Exhibit I Federal'!K63</f>
        <v>0</v>
      </c>
      <c r="L82" s="325"/>
      <c r="M82" s="351">
        <f>+'Exhibit I State'!M81+'Exhibit I Federal'!M63</f>
        <v>0</v>
      </c>
      <c r="N82" s="325"/>
      <c r="O82" s="351">
        <f>+'Exhibit I State'!O81+'Exhibit I Federal'!O63</f>
        <v>0</v>
      </c>
      <c r="P82" s="325"/>
      <c r="Q82" s="351">
        <f>+'Exhibit I State'!Q81+'Exhibit I Federal'!Q63</f>
        <v>0</v>
      </c>
      <c r="R82" s="325"/>
      <c r="S82" s="351">
        <f>+'Exhibit I State'!S81+'Exhibit I Federal'!S63</f>
        <v>0</v>
      </c>
      <c r="T82" s="351"/>
      <c r="U82" s="351"/>
      <c r="V82" s="351"/>
      <c r="W82" s="351"/>
      <c r="X82" s="351"/>
      <c r="Y82" s="351"/>
      <c r="Z82" s="351"/>
      <c r="AA82" s="351"/>
      <c r="AB82" s="351"/>
      <c r="AC82" s="351">
        <v>0</v>
      </c>
      <c r="AD82" s="325"/>
      <c r="AE82" s="647"/>
      <c r="AF82" s="1975">
        <f>ROUND(SUM(E82:AC82),1)</f>
        <v>0</v>
      </c>
      <c r="AG82" s="2045"/>
      <c r="AH82" s="325"/>
      <c r="AI82" s="336">
        <f>+'Exhibit I State'!AG81+'Exhibit I Federal'!AG63</f>
        <v>0</v>
      </c>
      <c r="AJ82" s="469"/>
      <c r="AK82" s="135"/>
      <c r="AL82" s="325">
        <f>ROUND(SUM(+AF82-AI82),1)</f>
        <v>0</v>
      </c>
      <c r="AN82" s="477">
        <f>ROUND(IF(AI82=0,0,AL82/ABS(AI82)),3)</f>
        <v>0</v>
      </c>
    </row>
    <row r="83" spans="1:44">
      <c r="A83" s="353"/>
      <c r="B83" s="353" t="s">
        <v>601</v>
      </c>
      <c r="C83" s="353"/>
      <c r="D83" s="353"/>
      <c r="E83" s="351">
        <f>+'Exhibit I State'!E82+'Exhibit I Federal'!E64</f>
        <v>0</v>
      </c>
      <c r="F83" s="351"/>
      <c r="G83" s="351">
        <f>+'Exhibit I State'!G82+'Exhibit I Federal'!G64</f>
        <v>0</v>
      </c>
      <c r="H83" s="351"/>
      <c r="I83" s="351">
        <f>+'Exhibit I State'!I82+'Exhibit I Federal'!I64</f>
        <v>0</v>
      </c>
      <c r="J83" s="325"/>
      <c r="K83" s="351">
        <f>+'Exhibit I State'!K82+'Exhibit I Federal'!K64</f>
        <v>0</v>
      </c>
      <c r="L83" s="325"/>
      <c r="M83" s="351">
        <f>+'Exhibit I State'!M82+'Exhibit I Federal'!M64</f>
        <v>0</v>
      </c>
      <c r="N83" s="325"/>
      <c r="O83" s="351">
        <f>+'Exhibit I State'!O82+'Exhibit I Federal'!O64</f>
        <v>0</v>
      </c>
      <c r="P83" s="325"/>
      <c r="Q83" s="351">
        <f>+'Exhibit I State'!Q82+'Exhibit I Federal'!Q64</f>
        <v>0</v>
      </c>
      <c r="R83" s="325"/>
      <c r="S83" s="351">
        <f>+'Exhibit I State'!S82+'Exhibit I Federal'!S64</f>
        <v>0</v>
      </c>
      <c r="T83" s="351"/>
      <c r="U83" s="351"/>
      <c r="V83" s="351"/>
      <c r="W83" s="351"/>
      <c r="X83" s="351"/>
      <c r="Y83" s="351"/>
      <c r="Z83" s="351"/>
      <c r="AA83" s="351"/>
      <c r="AB83" s="351"/>
      <c r="AC83" s="351">
        <v>0</v>
      </c>
      <c r="AD83" s="1566"/>
      <c r="AE83" s="1567"/>
      <c r="AF83" s="348">
        <f>ROUND(SUM(E83:AC83),1)</f>
        <v>0</v>
      </c>
      <c r="AG83" s="2045"/>
      <c r="AH83" s="325"/>
      <c r="AI83" s="336">
        <f>+'Exhibit I State'!AG82+'Exhibit I Federal'!AG64</f>
        <v>0</v>
      </c>
      <c r="AJ83" s="469"/>
      <c r="AK83" s="135"/>
      <c r="AL83" s="325">
        <f>ROUND(SUM(+AF83-AI83),1)</f>
        <v>0</v>
      </c>
      <c r="AN83" s="477">
        <f>ROUND(IF(AI83=0,0,AL83/ABS(AI83)),3)</f>
        <v>0</v>
      </c>
    </row>
    <row r="84" spans="1:44">
      <c r="A84" s="353"/>
      <c r="B84" s="525" t="s">
        <v>545</v>
      </c>
      <c r="C84" s="353"/>
      <c r="D84" s="353"/>
      <c r="E84" s="351">
        <f>+'Exhibit I State'!E83+'Exhibit I Federal'!E65</f>
        <v>410.1</v>
      </c>
      <c r="F84" s="351"/>
      <c r="G84" s="351">
        <f>+'Exhibit I State'!G83+'Exhibit I Federal'!G65</f>
        <v>744.3</v>
      </c>
      <c r="H84" s="351"/>
      <c r="I84" s="351">
        <f>+'Exhibit I State'!I83+'Exhibit I Federal'!I65</f>
        <v>816.9</v>
      </c>
      <c r="J84" s="336"/>
      <c r="K84" s="351">
        <f>+'Exhibit I State'!K83+'Exhibit I Federal'!K65</f>
        <v>614.69999999999993</v>
      </c>
      <c r="L84" s="325"/>
      <c r="M84" s="351">
        <f>+'Exhibit I State'!M83+'Exhibit I Federal'!M65</f>
        <v>878.60000000000025</v>
      </c>
      <c r="N84" s="325"/>
      <c r="O84" s="351">
        <f>+'Exhibit I State'!O83+'Exhibit I Federal'!O65</f>
        <v>732.3</v>
      </c>
      <c r="P84" s="325"/>
      <c r="Q84" s="351">
        <f>+'Exhibit I State'!Q83+'Exhibit I Federal'!Q65</f>
        <v>717.00000000000011</v>
      </c>
      <c r="R84" s="325"/>
      <c r="S84" s="351">
        <f>+'Exhibit I State'!S83+'Exhibit I Federal'!S65</f>
        <v>816.39999999999895</v>
      </c>
      <c r="T84" s="351"/>
      <c r="U84" s="351"/>
      <c r="V84" s="351"/>
      <c r="W84" s="351"/>
      <c r="X84" s="351"/>
      <c r="Y84" s="351"/>
      <c r="Z84" s="351"/>
      <c r="AA84" s="351"/>
      <c r="AB84" s="351"/>
      <c r="AC84" s="351">
        <v>0</v>
      </c>
      <c r="AD84" s="325"/>
      <c r="AE84" s="647"/>
      <c r="AF84" s="348">
        <f>ROUND(SUM(E84:AC84),1)</f>
        <v>5730.3</v>
      </c>
      <c r="AG84" s="2045"/>
      <c r="AH84" s="325"/>
      <c r="AI84" s="1205">
        <f>+'Exhibit I State'!AG83+'Exhibit I Federal'!AG65</f>
        <v>5439.5</v>
      </c>
      <c r="AJ84" s="348"/>
      <c r="AK84" s="132"/>
      <c r="AL84" s="1564">
        <f>ROUND(SUM(+AF84-AI84),1)</f>
        <v>290.8</v>
      </c>
      <c r="AN84" s="1177">
        <f>ROUND(IF(AI84=0,1,AL84/ABS(AI84)),3)</f>
        <v>5.2999999999999999E-2</v>
      </c>
    </row>
    <row r="85" spans="1:44">
      <c r="A85" s="353"/>
      <c r="B85" s="353"/>
      <c r="C85" s="353"/>
      <c r="D85" s="353"/>
      <c r="E85" s="783"/>
      <c r="F85" s="325"/>
      <c r="G85" s="783"/>
      <c r="H85" s="325"/>
      <c r="I85" s="783"/>
      <c r="J85" s="325"/>
      <c r="K85" s="783"/>
      <c r="L85" s="325"/>
      <c r="M85" s="783"/>
      <c r="N85" s="325"/>
      <c r="O85" s="783"/>
      <c r="P85" s="325"/>
      <c r="Q85" s="783"/>
      <c r="R85" s="325"/>
      <c r="S85" s="783"/>
      <c r="T85" s="325"/>
      <c r="U85" s="783"/>
      <c r="V85" s="325"/>
      <c r="W85" s="783"/>
      <c r="X85" s="325"/>
      <c r="Y85" s="783"/>
      <c r="Z85" s="325"/>
      <c r="AA85" s="783"/>
      <c r="AB85" s="325"/>
      <c r="AC85" s="783"/>
      <c r="AD85" s="325"/>
      <c r="AE85" s="647"/>
      <c r="AF85" s="783"/>
      <c r="AG85" s="2045"/>
      <c r="AH85" s="325"/>
      <c r="AI85" s="15"/>
      <c r="AJ85" s="15"/>
      <c r="AK85" s="133"/>
      <c r="AL85" s="15"/>
      <c r="AN85" s="131"/>
    </row>
    <row r="86" spans="1:44">
      <c r="A86" s="353"/>
      <c r="B86" s="6" t="s">
        <v>602</v>
      </c>
      <c r="C86" s="353"/>
      <c r="D86" s="353"/>
      <c r="E86" s="16">
        <f>ROUND(SUM(+E84+E79),1)</f>
        <v>686.6</v>
      </c>
      <c r="F86" s="16"/>
      <c r="G86" s="16">
        <f>ROUND(SUM(G79:G84),1)</f>
        <v>1020.8</v>
      </c>
      <c r="H86" s="16"/>
      <c r="I86" s="16">
        <f>ROUND(SUM(I79:I84),1)</f>
        <v>1290.0999999999999</v>
      </c>
      <c r="J86" s="16"/>
      <c r="K86" s="16">
        <f>ROUND(SUM(+K84+K79),1)</f>
        <v>1158.8</v>
      </c>
      <c r="L86" s="16"/>
      <c r="M86" s="16">
        <f>ROUND(SUM(+M84+M79),1)</f>
        <v>1186.7</v>
      </c>
      <c r="N86" s="16"/>
      <c r="O86" s="16">
        <f>ROUND(SUM(+O84+O79),1)</f>
        <v>1194.0999999999999</v>
      </c>
      <c r="P86" s="16"/>
      <c r="Q86" s="16">
        <f>ROUND(SUM(+Q84+Q79),1)</f>
        <v>1663.6</v>
      </c>
      <c r="R86" s="16"/>
      <c r="S86" s="16">
        <f>ROUND(SUM(+S84+S79),1)</f>
        <v>1159</v>
      </c>
      <c r="T86" s="16"/>
      <c r="U86" s="16">
        <f>ROUND(SUM(+U84+U79),1)</f>
        <v>0</v>
      </c>
      <c r="V86" s="16"/>
      <c r="W86" s="16">
        <f>ROUND(SUM(+W84+W79),1)</f>
        <v>0</v>
      </c>
      <c r="X86" s="16"/>
      <c r="Y86" s="16">
        <f>ROUND(SUM(+Y84+Y79),1)</f>
        <v>0</v>
      </c>
      <c r="Z86" s="16"/>
      <c r="AA86" s="16">
        <f>ROUND(SUM(+AA84+AA79),1)</f>
        <v>0</v>
      </c>
      <c r="AB86" s="16"/>
      <c r="AC86" s="16">
        <f>ROUND(SUM(+AC84+AC79),1)</f>
        <v>0</v>
      </c>
      <c r="AD86" s="16"/>
      <c r="AE86" s="18"/>
      <c r="AF86" s="1976">
        <f>ROUND(SUM(+AF84+AF79+AF81+AF82+AF83),1)</f>
        <v>9359.7000000000007</v>
      </c>
      <c r="AG86" s="2048"/>
      <c r="AH86" s="16"/>
      <c r="AI86" s="16">
        <f>ROUND(SUM(+AI84+AI79+AI81+AI82+AI83),1)</f>
        <v>7836.4</v>
      </c>
      <c r="AJ86" s="16"/>
      <c r="AK86" s="133"/>
      <c r="AL86" s="434">
        <f>ROUND(SUM(AL79+AL84+AL81+AL82+AL83),1)</f>
        <v>1523.3</v>
      </c>
      <c r="AM86" s="6"/>
      <c r="AN86" s="470">
        <f>ROUND(SUM(AL86/AI86),3)</f>
        <v>0.19400000000000001</v>
      </c>
      <c r="AO86" s="6"/>
      <c r="AP86" s="51"/>
      <c r="AQ86" s="6"/>
      <c r="AR86" s="6"/>
    </row>
    <row r="87" spans="1:44">
      <c r="A87" s="353"/>
      <c r="B87" s="353"/>
      <c r="C87" s="353"/>
      <c r="D87" s="353"/>
      <c r="E87" s="783"/>
      <c r="F87" s="325"/>
      <c r="G87" s="783"/>
      <c r="H87" s="325"/>
      <c r="I87" s="783"/>
      <c r="J87" s="325"/>
      <c r="K87" s="783"/>
      <c r="L87" s="325"/>
      <c r="M87" s="783"/>
      <c r="N87" s="325"/>
      <c r="O87" s="783"/>
      <c r="P87" s="325"/>
      <c r="Q87" s="783"/>
      <c r="R87" s="325"/>
      <c r="S87" s="783"/>
      <c r="T87" s="325"/>
      <c r="U87" s="783"/>
      <c r="V87" s="325"/>
      <c r="W87" s="783"/>
      <c r="X87" s="325"/>
      <c r="Y87" s="783"/>
      <c r="Z87" s="325"/>
      <c r="AA87" s="783"/>
      <c r="AB87" s="325"/>
      <c r="AC87" s="783"/>
      <c r="AD87" s="325"/>
      <c r="AE87" s="647"/>
      <c r="AF87" s="783"/>
      <c r="AG87" s="2045"/>
      <c r="AH87" s="325"/>
      <c r="AI87" s="783"/>
      <c r="AJ87" s="325"/>
      <c r="AK87" s="133"/>
      <c r="AL87" s="15"/>
      <c r="AN87" s="131"/>
    </row>
    <row r="88" spans="1:44">
      <c r="A88" s="353"/>
      <c r="B88" s="6" t="s">
        <v>603</v>
      </c>
      <c r="C88" s="353"/>
      <c r="D88" s="353"/>
      <c r="E88" s="325"/>
      <c r="F88" s="325"/>
      <c r="G88" s="325"/>
      <c r="H88" s="325"/>
      <c r="I88" s="325"/>
      <c r="J88" s="325"/>
      <c r="K88" s="325"/>
      <c r="L88" s="325"/>
      <c r="M88" s="325"/>
      <c r="N88" s="325"/>
      <c r="O88" s="325"/>
      <c r="P88" s="325"/>
      <c r="Q88" s="325"/>
      <c r="R88" s="325"/>
      <c r="S88" s="325"/>
      <c r="T88" s="325"/>
      <c r="U88" s="325"/>
      <c r="V88" s="325"/>
      <c r="W88" s="325"/>
      <c r="X88" s="325"/>
      <c r="Y88" s="325"/>
      <c r="Z88" s="325"/>
      <c r="AA88" s="325"/>
      <c r="AB88" s="325"/>
      <c r="AC88" s="325"/>
      <c r="AD88" s="325"/>
      <c r="AE88" s="647"/>
      <c r="AF88" s="15"/>
      <c r="AG88" s="2045"/>
      <c r="AH88" s="325"/>
      <c r="AI88" s="15"/>
      <c r="AJ88" s="15"/>
      <c r="AK88" s="133"/>
      <c r="AL88" s="15"/>
      <c r="AN88" s="131"/>
    </row>
    <row r="89" spans="1:44">
      <c r="A89" s="353"/>
      <c r="B89" s="6" t="s">
        <v>604</v>
      </c>
      <c r="C89" s="353"/>
      <c r="D89" s="353"/>
      <c r="E89" s="16">
        <f>ROUND(SUM(E65-E86),1)</f>
        <v>-83.6</v>
      </c>
      <c r="F89" s="16"/>
      <c r="G89" s="16">
        <f>ROUND(SUM(G65-G86),1)</f>
        <v>-3.8</v>
      </c>
      <c r="H89" s="16"/>
      <c r="I89" s="16">
        <f>ROUND(SUM(I65-I86),1)</f>
        <v>-496.2</v>
      </c>
      <c r="J89" s="16"/>
      <c r="K89" s="16">
        <f>ROUND(SUM(K65-K86),1)</f>
        <v>143</v>
      </c>
      <c r="L89" s="16"/>
      <c r="M89" s="16">
        <f>ROUND(SUM(M65-M86),1)</f>
        <v>-418.5</v>
      </c>
      <c r="N89" s="16"/>
      <c r="O89" s="16">
        <f>ROUND(SUM(O65-O86),1)</f>
        <v>-44.7</v>
      </c>
      <c r="P89" s="16"/>
      <c r="Q89" s="16">
        <f>ROUND(SUM(Q65-Q86),1)</f>
        <v>-1209.8</v>
      </c>
      <c r="R89" s="16"/>
      <c r="S89" s="16">
        <f>ROUND(SUM(S65-S86),1)</f>
        <v>-651.5</v>
      </c>
      <c r="T89" s="16"/>
      <c r="U89" s="16">
        <f>ROUND(SUM(U65-U86),1)</f>
        <v>0</v>
      </c>
      <c r="V89" s="16"/>
      <c r="W89" s="16">
        <f>ROUND(SUM(W65-W86),1)</f>
        <v>0</v>
      </c>
      <c r="X89" s="16"/>
      <c r="Y89" s="16">
        <f>ROUND(SUM(Y65-Y86),1)</f>
        <v>0</v>
      </c>
      <c r="Z89" s="16"/>
      <c r="AA89" s="16">
        <f>ROUND(SUM(AA65-AA86),1)</f>
        <v>0</v>
      </c>
      <c r="AB89" s="16"/>
      <c r="AC89" s="16">
        <f>ROUND(SUM(AC65-AC86),1)</f>
        <v>0</v>
      </c>
      <c r="AD89" s="16"/>
      <c r="AE89" s="18"/>
      <c r="AF89" s="16">
        <f>ROUND(SUM(AF65-AF86),1)</f>
        <v>-2765.1</v>
      </c>
      <c r="AG89" s="2048"/>
      <c r="AH89" s="16"/>
      <c r="AI89" s="16">
        <f>ROUND(SUM(AI65-AI86),1)</f>
        <v>-367.9</v>
      </c>
      <c r="AJ89" s="16"/>
      <c r="AK89" s="133"/>
      <c r="AL89" s="434">
        <f>ROUND(SUM(AL65-AL86),1)</f>
        <v>-2397.1999999999998</v>
      </c>
      <c r="AM89" s="6"/>
      <c r="AN89" s="779">
        <f>ROUND(IF(AI89=0,0,AL89/ABS(AI89)),3)</f>
        <v>-6.516</v>
      </c>
      <c r="AO89" s="6"/>
      <c r="AP89" s="6"/>
      <c r="AQ89" s="6"/>
      <c r="AR89" s="6"/>
    </row>
    <row r="90" spans="1:44">
      <c r="A90" s="353"/>
      <c r="B90" s="353"/>
      <c r="C90" s="353"/>
      <c r="D90" s="353"/>
      <c r="E90" s="783"/>
      <c r="F90" s="325"/>
      <c r="G90" s="783"/>
      <c r="H90" s="325"/>
      <c r="I90" s="783"/>
      <c r="J90" s="325"/>
      <c r="K90" s="783"/>
      <c r="L90" s="325"/>
      <c r="M90" s="783"/>
      <c r="N90" s="325"/>
      <c r="O90" s="783"/>
      <c r="P90" s="325"/>
      <c r="Q90" s="783"/>
      <c r="R90" s="325"/>
      <c r="S90" s="783"/>
      <c r="T90" s="325"/>
      <c r="U90" s="783"/>
      <c r="V90" s="325"/>
      <c r="W90" s="783"/>
      <c r="X90" s="325"/>
      <c r="Y90" s="783"/>
      <c r="Z90" s="325"/>
      <c r="AA90" s="783"/>
      <c r="AB90" s="325"/>
      <c r="AC90" s="783"/>
      <c r="AD90" s="325"/>
      <c r="AE90" s="647"/>
      <c r="AF90" s="783"/>
      <c r="AG90" s="2045"/>
      <c r="AH90" s="325"/>
      <c r="AI90" s="783"/>
      <c r="AJ90" s="325"/>
      <c r="AK90" s="133"/>
      <c r="AL90" s="15"/>
      <c r="AN90" s="131"/>
    </row>
    <row r="91" spans="1:44">
      <c r="A91" s="353"/>
      <c r="B91" s="6" t="s">
        <v>605</v>
      </c>
      <c r="C91" s="353"/>
      <c r="D91" s="353"/>
      <c r="E91" s="325"/>
      <c r="F91" s="325"/>
      <c r="G91" s="325"/>
      <c r="H91" s="325"/>
      <c r="I91" s="325"/>
      <c r="J91" s="325"/>
      <c r="K91" s="325"/>
      <c r="L91" s="325"/>
      <c r="M91" s="325"/>
      <c r="N91" s="325"/>
      <c r="O91" s="325"/>
      <c r="P91" s="325"/>
      <c r="Q91" s="325"/>
      <c r="R91" s="325"/>
      <c r="S91" s="325"/>
      <c r="T91" s="325"/>
      <c r="U91" s="325"/>
      <c r="V91" s="325"/>
      <c r="W91" s="325"/>
      <c r="X91" s="325"/>
      <c r="Y91" s="325"/>
      <c r="Z91" s="325"/>
      <c r="AA91" s="325"/>
      <c r="AB91" s="325"/>
      <c r="AC91" s="325"/>
      <c r="AD91" s="325"/>
      <c r="AE91" s="647"/>
      <c r="AF91" s="325"/>
      <c r="AG91" s="2045"/>
      <c r="AH91" s="325"/>
      <c r="AI91" s="469"/>
      <c r="AJ91" s="469"/>
      <c r="AK91" s="135"/>
      <c r="AL91" s="15"/>
      <c r="AN91" s="131"/>
    </row>
    <row r="92" spans="1:44">
      <c r="A92" s="353"/>
      <c r="B92" s="353" t="s">
        <v>606</v>
      </c>
      <c r="C92" s="353"/>
      <c r="D92" s="353"/>
      <c r="E92" s="351">
        <f>+'Exhibit I State'!E91</f>
        <v>0</v>
      </c>
      <c r="F92" s="351"/>
      <c r="G92" s="351">
        <f>+'Exhibit I State'!G91</f>
        <v>0</v>
      </c>
      <c r="H92" s="351"/>
      <c r="I92" s="351">
        <f>+'Exhibit I State'!I91</f>
        <v>0</v>
      </c>
      <c r="J92" s="325"/>
      <c r="K92" s="351">
        <f>+'Exhibit I State'!K91</f>
        <v>0</v>
      </c>
      <c r="L92" s="325"/>
      <c r="M92" s="351">
        <f>+'Exhibit I State'!M91</f>
        <v>0</v>
      </c>
      <c r="N92" s="336"/>
      <c r="O92" s="351">
        <f>+'Exhibit I State'!O91</f>
        <v>0</v>
      </c>
      <c r="P92" s="325"/>
      <c r="Q92" s="351">
        <f>+'Exhibit I State'!Q91</f>
        <v>505</v>
      </c>
      <c r="R92" s="325"/>
      <c r="S92" s="351">
        <f>+'Exhibit I State'!S91</f>
        <v>0</v>
      </c>
      <c r="T92" s="351"/>
      <c r="U92" s="351"/>
      <c r="V92" s="351"/>
      <c r="W92" s="351"/>
      <c r="X92" s="351"/>
      <c r="Y92" s="351"/>
      <c r="Z92" s="351"/>
      <c r="AA92" s="351"/>
      <c r="AB92" s="351"/>
      <c r="AC92" s="351">
        <v>0</v>
      </c>
      <c r="AD92" s="325"/>
      <c r="AE92" s="647"/>
      <c r="AF92" s="348">
        <f>ROUND(SUM(E92:AC92),1)</f>
        <v>505</v>
      </c>
      <c r="AG92" s="2045"/>
      <c r="AH92" s="325"/>
      <c r="AI92" s="469">
        <f>+'Exhibit I State'!AG91</f>
        <v>0</v>
      </c>
      <c r="AJ92" s="469"/>
      <c r="AK92" s="135"/>
      <c r="AL92" s="325">
        <f>ROUND(SUM(+AF92-AI92),1)</f>
        <v>505</v>
      </c>
      <c r="AM92" s="52"/>
      <c r="AN92" s="327">
        <f>ROUND(IF(AI92=0,1,AL92/ABS(AI92)),3)</f>
        <v>1</v>
      </c>
      <c r="AP92" s="15"/>
    </row>
    <row r="93" spans="1:44">
      <c r="A93" s="353"/>
      <c r="B93" s="525" t="s">
        <v>547</v>
      </c>
      <c r="C93" s="353"/>
      <c r="D93" s="353"/>
      <c r="E93" s="351">
        <f>+'Exhibit I State'!E92+'Exhibit I Federal'!E73</f>
        <v>107.2</v>
      </c>
      <c r="F93" s="351"/>
      <c r="G93" s="351">
        <f>+'Exhibit I State'!G92+'Exhibit I Federal'!G73</f>
        <v>-38.799999999999997</v>
      </c>
      <c r="H93" s="351"/>
      <c r="I93" s="351">
        <f>+'Exhibit I State'!I92+'Exhibit I Federal'!I73</f>
        <v>308.70000000000005</v>
      </c>
      <c r="J93" s="325"/>
      <c r="K93" s="351">
        <f>+'Exhibit I State'!K92+'Exhibit I Federal'!K73</f>
        <v>-236.60000000000005</v>
      </c>
      <c r="L93" s="325"/>
      <c r="M93" s="351">
        <f>+'Exhibit I State'!M92+'Exhibit I Federal'!M73</f>
        <v>402.70000000000005</v>
      </c>
      <c r="N93" s="325"/>
      <c r="O93" s="351">
        <f>+'Exhibit I State'!O92+'Exhibit I Federal'!O73</f>
        <v>40.599999999999909</v>
      </c>
      <c r="P93" s="325"/>
      <c r="Q93" s="351">
        <f>+'Exhibit I State'!Q92+'Exhibit I Federal'!Q73</f>
        <v>856.2</v>
      </c>
      <c r="R93" s="325"/>
      <c r="S93" s="351">
        <f>+'Exhibit I State'!S92+'Exhibit I Federal'!S73</f>
        <v>477.90000000000009</v>
      </c>
      <c r="T93" s="351"/>
      <c r="U93" s="351"/>
      <c r="V93" s="351"/>
      <c r="W93" s="351"/>
      <c r="X93" s="351"/>
      <c r="Y93" s="351"/>
      <c r="Z93" s="351"/>
      <c r="AA93" s="351"/>
      <c r="AB93" s="1568"/>
      <c r="AC93" s="635"/>
      <c r="AD93" s="325"/>
      <c r="AE93" s="647"/>
      <c r="AF93" s="348">
        <f>ROUND(SUM(E93:AC93),1)</f>
        <v>1917.9</v>
      </c>
      <c r="AG93" s="2045"/>
      <c r="AH93" s="325"/>
      <c r="AI93" s="325">
        <f>'Exhibit I State'!AG92+'Exhibit I Federal'!AG73</f>
        <v>904.9</v>
      </c>
      <c r="AJ93" s="348"/>
      <c r="AK93" s="132"/>
      <c r="AL93" s="325">
        <f>ROUND(SUM(+AF93-AI93),1)</f>
        <v>1013</v>
      </c>
      <c r="AN93" s="700">
        <f>ROUND(IF(AI93=0,0,AL93/ABS(AI93)),3)</f>
        <v>1.119</v>
      </c>
      <c r="AP93" s="52"/>
    </row>
    <row r="94" spans="1:44">
      <c r="A94" s="353"/>
      <c r="B94" s="525" t="s">
        <v>607</v>
      </c>
      <c r="C94" s="353"/>
      <c r="D94" s="353"/>
      <c r="E94" s="351">
        <f>+'Exhibit I State'!E93+'Exhibit I Federal'!E74</f>
        <v>-5.6</v>
      </c>
      <c r="F94" s="351"/>
      <c r="G94" s="351">
        <f>+'Exhibit I State'!G93+'Exhibit I Federal'!G74</f>
        <v>-6.5</v>
      </c>
      <c r="H94" s="351"/>
      <c r="I94" s="351">
        <f>+'Exhibit I State'!I93+'Exhibit I Federal'!I74</f>
        <v>-6.1</v>
      </c>
      <c r="J94" s="325"/>
      <c r="K94" s="351">
        <f>+'Exhibit I State'!K93+'Exhibit I Federal'!K74</f>
        <v>-5.7999999999999989</v>
      </c>
      <c r="L94" s="325"/>
      <c r="M94" s="351">
        <f>+'Exhibit I State'!M93+'Exhibit I Federal'!M74</f>
        <v>-26.599999999999998</v>
      </c>
      <c r="N94" s="325"/>
      <c r="O94" s="351">
        <f>+'Exhibit I State'!O93+'Exhibit I Federal'!O74</f>
        <v>-4.6000000000000014</v>
      </c>
      <c r="P94" s="325"/>
      <c r="Q94" s="351">
        <f>+'Exhibit I State'!Q93+'Exhibit I Federal'!Q74</f>
        <v>-9.2999999999999972</v>
      </c>
      <c r="R94" s="325"/>
      <c r="S94" s="351">
        <f>+'Exhibit I State'!S93+'Exhibit I Federal'!S74</f>
        <v>-6.6000000000000156</v>
      </c>
      <c r="T94" s="351"/>
      <c r="U94" s="351"/>
      <c r="V94" s="351"/>
      <c r="W94" s="351"/>
      <c r="X94" s="351"/>
      <c r="Y94" s="351"/>
      <c r="Z94" s="351"/>
      <c r="AA94" s="351"/>
      <c r="AB94" s="1568"/>
      <c r="AC94" s="1542"/>
      <c r="AD94" s="325"/>
      <c r="AE94" s="647"/>
      <c r="AF94" s="348">
        <f>ROUND(SUM(E94:AC94),1)</f>
        <v>-71.099999999999994</v>
      </c>
      <c r="AG94" s="2045"/>
      <c r="AH94" s="325"/>
      <c r="AI94" s="2082">
        <f>'Exhibit I State'!AG93+'Exhibit I Federal'!AG74</f>
        <v>-268.8</v>
      </c>
      <c r="AJ94" s="325"/>
      <c r="AK94" s="133"/>
      <c r="AL94" s="486">
        <f>ROUND(-SUM(+AF94-AI94),1)</f>
        <v>-197.7</v>
      </c>
      <c r="AN94" s="1177">
        <f>ROUND(IF(AI94=0,0,AL94/ABS(AI94)),3)</f>
        <v>-0.73499999999999999</v>
      </c>
      <c r="AO94" s="15"/>
      <c r="AP94" s="52"/>
      <c r="AQ94" s="52"/>
    </row>
    <row r="95" spans="1:44">
      <c r="A95" s="353"/>
      <c r="B95" s="353"/>
      <c r="C95" s="353"/>
      <c r="D95" s="353"/>
      <c r="E95" s="783"/>
      <c r="F95" s="325"/>
      <c r="G95" s="783"/>
      <c r="H95" s="325"/>
      <c r="I95" s="783"/>
      <c r="J95" s="325"/>
      <c r="K95" s="783"/>
      <c r="L95" s="325"/>
      <c r="M95" s="783"/>
      <c r="N95" s="325"/>
      <c r="O95" s="783"/>
      <c r="P95" s="325"/>
      <c r="Q95" s="783"/>
      <c r="R95" s="325"/>
      <c r="S95" s="783"/>
      <c r="T95" s="325"/>
      <c r="U95" s="783"/>
      <c r="V95" s="325"/>
      <c r="W95" s="783"/>
      <c r="X95" s="325"/>
      <c r="Y95" s="783"/>
      <c r="Z95" s="325"/>
      <c r="AA95" s="783"/>
      <c r="AB95" s="325"/>
      <c r="AC95" s="325"/>
      <c r="AD95" s="325"/>
      <c r="AE95" s="647"/>
      <c r="AF95" s="783"/>
      <c r="AG95" s="2045"/>
      <c r="AH95" s="325"/>
      <c r="AI95" s="15"/>
      <c r="AJ95" s="15"/>
      <c r="AK95" s="133"/>
      <c r="AL95" s="15"/>
      <c r="AN95" s="131"/>
      <c r="AO95" s="52"/>
    </row>
    <row r="96" spans="1:44">
      <c r="A96" s="353"/>
      <c r="B96" s="6" t="s">
        <v>608</v>
      </c>
      <c r="C96" s="353"/>
      <c r="D96" s="353"/>
      <c r="E96" s="16">
        <f>ROUND(SUM(E92:E95),1)</f>
        <v>101.6</v>
      </c>
      <c r="F96" s="16"/>
      <c r="G96" s="16">
        <f>ROUND(SUM(G92:G95),1)</f>
        <v>-45.3</v>
      </c>
      <c r="H96" s="16"/>
      <c r="I96" s="16">
        <f>ROUND(SUM(I92:I95),1)</f>
        <v>302.60000000000002</v>
      </c>
      <c r="J96" s="16"/>
      <c r="K96" s="16">
        <f>ROUND(SUM(K92:K95),1)</f>
        <v>-242.4</v>
      </c>
      <c r="L96" s="16"/>
      <c r="M96" s="16">
        <f>ROUND(SUM(M92:M95),1)</f>
        <v>376.1</v>
      </c>
      <c r="N96" s="16"/>
      <c r="O96" s="16">
        <f>ROUND(SUM(O92:O95),1)</f>
        <v>36</v>
      </c>
      <c r="P96" s="16"/>
      <c r="Q96" s="16">
        <f>ROUND(SUM(Q92:Q95),1)</f>
        <v>1351.9</v>
      </c>
      <c r="R96" s="16"/>
      <c r="S96" s="16">
        <f>ROUND(SUM(S92:S95),1)</f>
        <v>471.3</v>
      </c>
      <c r="T96" s="16"/>
      <c r="U96" s="16">
        <f>ROUND(SUM(U92:U95),1)</f>
        <v>0</v>
      </c>
      <c r="V96" s="16"/>
      <c r="W96" s="16">
        <f>ROUND(SUM(W92:W95),1)</f>
        <v>0</v>
      </c>
      <c r="X96" s="16"/>
      <c r="Y96" s="16">
        <f>ROUND(SUM(Y92:Y95),1)</f>
        <v>0</v>
      </c>
      <c r="Z96" s="16"/>
      <c r="AA96" s="16">
        <f>ROUND(SUM(AA92:AA95),1)</f>
        <v>0</v>
      </c>
      <c r="AB96" s="16"/>
      <c r="AC96" s="16">
        <f>ROUND(SUM(AC92:AC95),1)</f>
        <v>0</v>
      </c>
      <c r="AD96" s="16"/>
      <c r="AE96" s="18"/>
      <c r="AF96" s="16">
        <f>ROUND(SUM(AF92:AF95),1)</f>
        <v>2351.8000000000002</v>
      </c>
      <c r="AG96" s="2048"/>
      <c r="AH96" s="16"/>
      <c r="AI96" s="16">
        <f>ROUND(SUM(AI92:AI95),1)</f>
        <v>636.1</v>
      </c>
      <c r="AJ96" s="16"/>
      <c r="AK96" s="133"/>
      <c r="AL96" s="434">
        <f>ROUND(SUM(AF96-AI96),1)</f>
        <v>1715.7</v>
      </c>
      <c r="AM96" s="6"/>
      <c r="AN96" s="779">
        <f>ROUND(SUM(AL96/ABS(AI96)),3)</f>
        <v>2.6970000000000001</v>
      </c>
      <c r="AO96" s="6"/>
      <c r="AP96" s="6"/>
      <c r="AQ96" s="6"/>
      <c r="AR96" s="6"/>
    </row>
    <row r="97" spans="1:55">
      <c r="A97" s="353"/>
      <c r="B97" s="353"/>
      <c r="C97" s="353"/>
      <c r="D97" s="353"/>
      <c r="E97" s="783"/>
      <c r="F97" s="325"/>
      <c r="G97" s="783"/>
      <c r="H97" s="325"/>
      <c r="I97" s="783"/>
      <c r="J97" s="325"/>
      <c r="K97" s="783"/>
      <c r="L97" s="325"/>
      <c r="M97" s="783"/>
      <c r="N97" s="325"/>
      <c r="O97" s="783"/>
      <c r="P97" s="325"/>
      <c r="Q97" s="783"/>
      <c r="R97" s="325"/>
      <c r="S97" s="783"/>
      <c r="T97" s="325"/>
      <c r="U97" s="783"/>
      <c r="V97" s="325"/>
      <c r="W97" s="783"/>
      <c r="X97" s="325"/>
      <c r="Y97" s="783"/>
      <c r="Z97" s="325"/>
      <c r="AA97" s="783"/>
      <c r="AB97" s="325"/>
      <c r="AC97" s="783"/>
      <c r="AD97" s="325"/>
      <c r="AE97" s="647"/>
      <c r="AF97" s="783"/>
      <c r="AG97" s="2045"/>
      <c r="AH97" s="325"/>
      <c r="AI97" s="783"/>
      <c r="AJ97" s="325"/>
      <c r="AK97" s="133"/>
      <c r="AL97" s="15"/>
      <c r="AN97" s="131"/>
    </row>
    <row r="98" spans="1:55">
      <c r="A98" s="353"/>
      <c r="B98" s="353"/>
      <c r="C98" s="353"/>
      <c r="D98" s="353"/>
      <c r="E98" s="325"/>
      <c r="F98" s="325"/>
      <c r="G98" s="325"/>
      <c r="H98" s="325"/>
      <c r="I98" s="325"/>
      <c r="J98" s="325"/>
      <c r="K98" s="325" t="s">
        <v>104</v>
      </c>
      <c r="L98" s="325"/>
      <c r="M98" s="325" t="s">
        <v>104</v>
      </c>
      <c r="N98" s="325"/>
      <c r="O98" s="325" t="s">
        <v>104</v>
      </c>
      <c r="P98" s="325"/>
      <c r="Q98" s="325" t="s">
        <v>104</v>
      </c>
      <c r="R98" s="325"/>
      <c r="S98" s="325" t="s">
        <v>104</v>
      </c>
      <c r="T98" s="325"/>
      <c r="U98" s="325" t="s">
        <v>104</v>
      </c>
      <c r="V98" s="325"/>
      <c r="W98" s="325" t="s">
        <v>104</v>
      </c>
      <c r="X98" s="325"/>
      <c r="Y98" s="325" t="s">
        <v>104</v>
      </c>
      <c r="Z98" s="325"/>
      <c r="AA98" s="325" t="s">
        <v>104</v>
      </c>
      <c r="AB98" s="325"/>
      <c r="AC98" s="325" t="s">
        <v>104</v>
      </c>
      <c r="AD98" s="325"/>
      <c r="AE98" s="647"/>
      <c r="AF98" s="325" t="s">
        <v>104</v>
      </c>
      <c r="AG98" s="2045"/>
      <c r="AH98" s="325"/>
      <c r="AI98" s="325" t="s">
        <v>104</v>
      </c>
      <c r="AJ98" s="325"/>
      <c r="AK98" s="133"/>
      <c r="AL98" s="15" t="s">
        <v>104</v>
      </c>
      <c r="AN98" s="131"/>
    </row>
    <row r="99" spans="1:55">
      <c r="A99" s="353"/>
      <c r="B99" s="6" t="s">
        <v>609</v>
      </c>
      <c r="C99" s="353"/>
      <c r="D99" s="353"/>
      <c r="E99" s="325"/>
      <c r="F99" s="325"/>
      <c r="G99" s="325"/>
      <c r="H99" s="325"/>
      <c r="I99" s="325"/>
      <c r="J99" s="325"/>
      <c r="K99" s="325" t="s">
        <v>104</v>
      </c>
      <c r="L99" s="325"/>
      <c r="M99" s="325" t="s">
        <v>104</v>
      </c>
      <c r="N99" s="325"/>
      <c r="O99" s="325" t="s">
        <v>104</v>
      </c>
      <c r="P99" s="325"/>
      <c r="Q99" s="325" t="s">
        <v>104</v>
      </c>
      <c r="R99" s="325"/>
      <c r="S99" s="325" t="s">
        <v>104</v>
      </c>
      <c r="T99" s="325"/>
      <c r="U99" s="325" t="s">
        <v>104</v>
      </c>
      <c r="V99" s="325"/>
      <c r="W99" s="325" t="s">
        <v>104</v>
      </c>
      <c r="X99" s="325"/>
      <c r="Y99" s="325" t="s">
        <v>104</v>
      </c>
      <c r="Z99" s="325"/>
      <c r="AA99" s="325" t="s">
        <v>104</v>
      </c>
      <c r="AB99" s="325"/>
      <c r="AC99" s="325" t="s">
        <v>104</v>
      </c>
      <c r="AD99" s="325"/>
      <c r="AE99" s="647"/>
      <c r="AF99" s="325"/>
      <c r="AG99" s="2045"/>
      <c r="AH99" s="325"/>
      <c r="AI99" s="325" t="s">
        <v>104</v>
      </c>
      <c r="AJ99" s="325"/>
      <c r="AK99" s="133"/>
      <c r="AL99" s="15"/>
      <c r="AN99" s="131"/>
    </row>
    <row r="100" spans="1:55">
      <c r="A100" s="353"/>
      <c r="B100" s="6" t="s">
        <v>610</v>
      </c>
      <c r="C100" s="353"/>
      <c r="D100" s="353"/>
      <c r="E100" s="16" t="s">
        <v>104</v>
      </c>
      <c r="F100" s="16"/>
      <c r="G100" s="16" t="s">
        <v>104</v>
      </c>
      <c r="H100" s="16"/>
      <c r="I100" s="16" t="s">
        <v>104</v>
      </c>
      <c r="J100" s="16"/>
      <c r="K100" s="16"/>
      <c r="L100" s="16"/>
      <c r="M100" s="16"/>
      <c r="N100" s="16"/>
      <c r="O100" s="16"/>
      <c r="P100" s="16"/>
      <c r="Q100" s="16"/>
      <c r="R100" s="16"/>
      <c r="S100" s="16"/>
      <c r="T100" s="16"/>
      <c r="U100" s="16"/>
      <c r="V100" s="16"/>
      <c r="W100" s="16"/>
      <c r="X100" s="16"/>
      <c r="Y100" s="16"/>
      <c r="Z100" s="16"/>
      <c r="AA100" s="16"/>
      <c r="AB100" s="16"/>
      <c r="AC100" s="16"/>
      <c r="AD100" s="16"/>
      <c r="AE100" s="18"/>
      <c r="AF100" s="16" t="s">
        <v>104</v>
      </c>
      <c r="AG100" s="2048"/>
      <c r="AH100" s="16"/>
      <c r="AI100" s="16"/>
      <c r="AJ100" s="16"/>
      <c r="AK100" s="133"/>
      <c r="AL100" s="16"/>
      <c r="AM100" s="6"/>
      <c r="AN100" s="107"/>
      <c r="AO100" s="6"/>
      <c r="AP100" s="6"/>
      <c r="AQ100" s="6"/>
      <c r="AR100" s="6"/>
      <c r="AS100" s="6"/>
      <c r="AT100" s="6"/>
      <c r="AU100" s="6"/>
      <c r="AV100" s="6"/>
      <c r="AW100" s="6"/>
      <c r="AX100" s="6"/>
      <c r="AY100" s="6"/>
    </row>
    <row r="101" spans="1:55">
      <c r="A101" s="353"/>
      <c r="B101" s="6" t="s">
        <v>550</v>
      </c>
      <c r="C101" s="353"/>
      <c r="D101" s="353"/>
      <c r="E101" s="1570">
        <f>ROUND(SUM(E89+E96),1)</f>
        <v>18</v>
      </c>
      <c r="F101" s="16"/>
      <c r="G101" s="1570">
        <f>ROUND(SUM(G89+G96),1)</f>
        <v>-49.1</v>
      </c>
      <c r="H101" s="16"/>
      <c r="I101" s="1570">
        <f>ROUND(SUM(I89+I96),1)</f>
        <v>-193.6</v>
      </c>
      <c r="J101" s="16"/>
      <c r="K101" s="1570">
        <f>ROUND(SUM(K89+K96),1)</f>
        <v>-99.4</v>
      </c>
      <c r="L101" s="16"/>
      <c r="M101" s="1570">
        <f>ROUND(SUM(M89+M96),1)</f>
        <v>-42.4</v>
      </c>
      <c r="N101" s="16"/>
      <c r="O101" s="1570">
        <f>ROUND(SUM(O89+O96),1)</f>
        <v>-8.6999999999999993</v>
      </c>
      <c r="P101" s="16"/>
      <c r="Q101" s="1570">
        <f>ROUND(SUM(Q89+Q96),1)</f>
        <v>142.1</v>
      </c>
      <c r="R101" s="16"/>
      <c r="S101" s="1570">
        <f>ROUND(SUM(S89+S96),1)</f>
        <v>-180.2</v>
      </c>
      <c r="T101" s="16"/>
      <c r="U101" s="1570">
        <f>ROUND(SUM(U89+U96),1)</f>
        <v>0</v>
      </c>
      <c r="V101" s="16"/>
      <c r="W101" s="1569">
        <f>ROUND(SUM(W89+W96),1)</f>
        <v>0</v>
      </c>
      <c r="X101" s="16"/>
      <c r="Y101" s="1569">
        <f>ROUND(SUM(Y89+Y96),1)</f>
        <v>0</v>
      </c>
      <c r="Z101" s="16"/>
      <c r="AA101" s="1569">
        <f>ROUND(SUM(AA89+AA96),1)</f>
        <v>0</v>
      </c>
      <c r="AB101" s="830"/>
      <c r="AC101" s="1569">
        <f>ROUND(SUM(AC89+AC96),1)</f>
        <v>0</v>
      </c>
      <c r="AD101" s="16"/>
      <c r="AE101" s="18"/>
      <c r="AF101" s="1570">
        <f>ROUND(AF89+AF96,1)</f>
        <v>-413.3</v>
      </c>
      <c r="AG101" s="2048"/>
      <c r="AH101" s="16"/>
      <c r="AI101" s="1570">
        <f>ROUND(SUM(AI89+AI96),1)</f>
        <v>268.2</v>
      </c>
      <c r="AJ101" s="16"/>
      <c r="AK101" s="133"/>
      <c r="AL101" s="1569">
        <f>ROUND(SUM(+AF101-AI101),1)</f>
        <v>-681.5</v>
      </c>
      <c r="AM101" s="6"/>
      <c r="AN101" s="718">
        <f>ROUND(IF(AI101=0,0,AL101/ABS(AI101)),3)</f>
        <v>-2.5409999999999999</v>
      </c>
      <c r="AO101" s="6"/>
      <c r="AP101" s="136"/>
      <c r="AQ101" s="6"/>
      <c r="AR101" s="6"/>
      <c r="AS101" s="6"/>
      <c r="AT101" s="6"/>
      <c r="AU101" s="6"/>
      <c r="AV101" s="6"/>
      <c r="AW101" s="6"/>
      <c r="AX101" s="6"/>
      <c r="AY101" s="6"/>
    </row>
    <row r="102" spans="1:55">
      <c r="A102" s="353"/>
      <c r="B102" s="353" t="s">
        <v>104</v>
      </c>
      <c r="C102" s="353"/>
      <c r="D102" s="353"/>
      <c r="E102" s="353"/>
      <c r="F102" s="353"/>
      <c r="G102" s="353"/>
      <c r="H102" s="353"/>
      <c r="I102" s="353"/>
      <c r="J102" s="353"/>
      <c r="K102" s="353"/>
      <c r="L102" s="353"/>
      <c r="M102" s="353"/>
      <c r="N102" s="353"/>
      <c r="O102" s="353"/>
      <c r="P102" s="353"/>
      <c r="Q102" s="353"/>
      <c r="R102" s="353"/>
      <c r="S102" s="513" t="s">
        <v>104</v>
      </c>
      <c r="T102" s="353"/>
      <c r="U102" s="513" t="s">
        <v>104</v>
      </c>
      <c r="V102" s="353"/>
      <c r="W102" s="513" t="s">
        <v>104</v>
      </c>
      <c r="X102" s="353"/>
      <c r="Y102" s="513" t="s">
        <v>104</v>
      </c>
      <c r="Z102" s="353"/>
      <c r="AA102" s="353"/>
      <c r="AB102" s="353"/>
      <c r="AC102" s="353"/>
      <c r="AD102" s="483"/>
      <c r="AE102" s="1571"/>
      <c r="AF102" s="353"/>
      <c r="AG102" s="483"/>
      <c r="AH102" s="1571"/>
      <c r="AI102" s="353" t="s">
        <v>611</v>
      </c>
      <c r="AJ102" s="1529"/>
      <c r="AK102" s="466"/>
      <c r="AN102" s="131"/>
    </row>
    <row r="103" spans="1:55" s="7" customFormat="1" ht="15" customHeight="1" thickBot="1">
      <c r="A103" s="353"/>
      <c r="B103" s="6" t="s">
        <v>564</v>
      </c>
      <c r="C103" s="353"/>
      <c r="D103" s="466"/>
      <c r="E103" s="102">
        <f>ROUND(SUM(+E101+E15),1)</f>
        <v>-1576.5</v>
      </c>
      <c r="F103" s="26"/>
      <c r="G103" s="102">
        <f>ROUND(SUM(+G101+G15),1)</f>
        <v>-1625.6</v>
      </c>
      <c r="H103" s="26"/>
      <c r="I103" s="102">
        <f>ROUND(SUM(+I101+I15),1)</f>
        <v>-1819.2</v>
      </c>
      <c r="J103" s="26"/>
      <c r="K103" s="102">
        <f>ROUND(SUM(+K101+K15),1)</f>
        <v>-1918.6</v>
      </c>
      <c r="L103" s="26"/>
      <c r="M103" s="102">
        <f>ROUND(SUM(+M101+M15),1)</f>
        <v>-1961</v>
      </c>
      <c r="N103" s="26"/>
      <c r="O103" s="102">
        <f>ROUND(SUM(+O101+O15),1)</f>
        <v>-1969.7</v>
      </c>
      <c r="P103" s="26"/>
      <c r="Q103" s="102">
        <f>ROUND(SUM(+Q101+Q15),1)</f>
        <v>-1827.6</v>
      </c>
      <c r="R103" s="26"/>
      <c r="S103" s="102">
        <f>ROUND(SUM(+S101+S15),1)</f>
        <v>-2007.8</v>
      </c>
      <c r="T103" s="26"/>
      <c r="U103" s="102">
        <f>ROUND(SUM(+U101+U15),1)</f>
        <v>0</v>
      </c>
      <c r="V103" s="26"/>
      <c r="W103" s="102">
        <f>ROUND(SUM(+W101+W15),1)</f>
        <v>0</v>
      </c>
      <c r="X103" s="26"/>
      <c r="Y103" s="102">
        <f>ROUND(SUM(+Y101+Y15),1)</f>
        <v>0</v>
      </c>
      <c r="Z103" s="26"/>
      <c r="AA103" s="102">
        <f>ROUND(SUM(+AA101+AA15),1)</f>
        <v>0</v>
      </c>
      <c r="AB103" s="26"/>
      <c r="AC103" s="102">
        <f>ROUND(SUM(+AC101+AC15),1)</f>
        <v>0</v>
      </c>
      <c r="AD103" s="26"/>
      <c r="AE103" s="27"/>
      <c r="AF103" s="102">
        <f>ROUND(SUM(+AF101+AF15),1)</f>
        <v>-2007.8</v>
      </c>
      <c r="AG103" s="26"/>
      <c r="AH103" s="27"/>
      <c r="AI103" s="102">
        <f>ROUND(SUM(+AI101+AI15),1)</f>
        <v>-1275.7</v>
      </c>
      <c r="AJ103" s="106"/>
      <c r="AK103" s="26"/>
      <c r="AL103" s="102">
        <f>ROUND(SUM(+AL101+AL15),1)</f>
        <v>-732.1</v>
      </c>
      <c r="AM103" s="56"/>
      <c r="AN103" s="110">
        <f>ROUND(SUM(-(+AF103-AI103)/AI103),3)</f>
        <v>-0.57399999999999995</v>
      </c>
      <c r="AO103" s="6"/>
      <c r="AP103" s="6"/>
      <c r="AQ103" s="6"/>
      <c r="AR103" s="6"/>
      <c r="AS103" s="513"/>
      <c r="AT103" s="513"/>
      <c r="AU103" s="513"/>
      <c r="AV103" s="513"/>
      <c r="AW103" s="513"/>
      <c r="AX103" s="513"/>
      <c r="AY103" s="513"/>
      <c r="AZ103" s="513"/>
      <c r="BA103" s="513"/>
      <c r="BB103" s="513"/>
      <c r="BC103" s="513"/>
    </row>
    <row r="104" spans="1:55" ht="16" thickTop="1">
      <c r="B104" s="1276"/>
    </row>
    <row r="105" spans="1:55">
      <c r="B105" s="543" t="s">
        <v>612</v>
      </c>
      <c r="C105" s="138"/>
      <c r="D105" s="138"/>
      <c r="E105" s="138"/>
      <c r="F105" s="138"/>
      <c r="G105" s="138"/>
      <c r="AI105" s="1206"/>
      <c r="AL105" s="52"/>
    </row>
    <row r="106" spans="1:55">
      <c r="B106" s="137"/>
      <c r="C106" s="138"/>
      <c r="D106" s="138"/>
      <c r="E106" s="138"/>
      <c r="F106" s="138"/>
      <c r="G106" s="138"/>
      <c r="AL106" s="52"/>
    </row>
    <row r="107" spans="1:55">
      <c r="B107" s="139"/>
      <c r="AC107" s="635"/>
      <c r="AL107" s="52"/>
    </row>
    <row r="108" spans="1:55">
      <c r="B108" s="139"/>
      <c r="AC108" s="635"/>
    </row>
    <row r="109" spans="1:55">
      <c r="B109" s="137"/>
    </row>
    <row r="110" spans="1:55">
      <c r="B110" s="139"/>
    </row>
    <row r="111" spans="1:55">
      <c r="B111" s="139"/>
    </row>
    <row r="112" spans="1:55">
      <c r="B112" s="137"/>
    </row>
  </sheetData>
  <mergeCells count="1">
    <mergeCell ref="AF11:AN11"/>
  </mergeCells>
  <pageMargins left="0.25" right="0.25" top="0.5" bottom="0.25" header="0" footer="0.25"/>
  <pageSetup scale="40" firstPageNumber="29" orientation="landscape" useFirstPageNumber="1" r:id="rId1"/>
  <headerFooter scaleWithDoc="0" alignWithMargins="0">
    <oddFooter>&amp;C&amp;8&amp;P</oddFooter>
  </headerFooter>
  <rowBreaks count="1" manualBreakCount="1">
    <brk id="66" min="1" max="39" man="1"/>
  </rowBreaks>
  <customProperties>
    <customPr name="SheetOptions" r:id="rId2"/>
  </customProperties>
  <ignoredErrors>
    <ignoredError sqref="AN40 AN29 AN32 AN34:AN36 AN90:AN91 AN20:AN21 AN93:AN95 AN23:AN25 AN85:AN88 AN79:AN83 AN72:AN74 AN65:AN68 AN47 AN69:AN71 AN75:AN78 AN84 AN49" unlockedFormula="1"/>
    <ignoredError sqref="AN26 AN48 AN50 AN51 AN56:AN57 AN60 AN54 AN63 AN61:AN62 AN64 AN52 AN53 AN58:AN59 AN55" formula="1" unlockedFormula="1"/>
  </ignoredError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2"/>
  <dimension ref="A1:AO109"/>
  <sheetViews>
    <sheetView showGridLines="0" zoomScale="90" zoomScaleNormal="80" workbookViewId="0"/>
  </sheetViews>
  <sheetFormatPr defaultColWidth="8.84375" defaultRowHeight="15.5"/>
  <cols>
    <col min="1" max="1" width="2.53515625" style="29" customWidth="1"/>
    <col min="2" max="2" width="14.07421875" style="29" customWidth="1"/>
    <col min="3" max="3" width="26.07421875" style="29" customWidth="1"/>
    <col min="4" max="4" width="2" style="29" customWidth="1"/>
    <col min="5" max="5" width="11.07421875" style="29" bestFit="1" customWidth="1"/>
    <col min="6" max="6" width="1.84375" style="29" customWidth="1"/>
    <col min="7" max="7" width="11.84375" style="29" customWidth="1"/>
    <col min="8" max="8" width="1.84375" style="29" customWidth="1"/>
    <col min="9" max="9" width="11.07421875" style="29" bestFit="1" customWidth="1"/>
    <col min="10" max="10" width="1.84375" style="29" customWidth="1"/>
    <col min="11" max="11" width="12" style="29" customWidth="1"/>
    <col min="12" max="12" width="1.07421875" style="29" customWidth="1"/>
    <col min="13" max="13" width="10.07421875" style="29" bestFit="1" customWidth="1"/>
    <col min="14" max="14" width="1.84375" style="29" customWidth="1"/>
    <col min="15" max="15" width="11.07421875" style="29" customWidth="1"/>
    <col min="16" max="16" width="1.84375" style="29" customWidth="1"/>
    <col min="17" max="17" width="12.84375" style="29" customWidth="1"/>
    <col min="18" max="18" width="1.84375" style="29" customWidth="1"/>
    <col min="19" max="19" width="10.53515625" style="29" customWidth="1"/>
    <col min="20" max="20" width="1.84375" style="29" customWidth="1"/>
    <col min="21" max="21" width="10.84375" style="29" customWidth="1"/>
    <col min="22" max="22" width="1.84375" style="29" customWidth="1"/>
    <col min="23" max="23" width="10.84375" style="29" customWidth="1"/>
    <col min="24" max="24" width="1.84375" style="29" customWidth="1"/>
    <col min="25" max="25" width="10.84375" style="29" customWidth="1"/>
    <col min="26" max="26" width="1.84375" style="29" customWidth="1"/>
    <col min="27" max="27" width="10.07421875" style="29" customWidth="1"/>
    <col min="28" max="29" width="1.84375" style="29" customWidth="1"/>
    <col min="30" max="30" width="11.07421875" style="29" bestFit="1" customWidth="1"/>
    <col min="31" max="32" width="1.07421875" style="29" customWidth="1"/>
    <col min="33" max="33" width="12.84375" style="29" customWidth="1"/>
    <col min="34" max="35" width="1" style="29" customWidth="1"/>
    <col min="36" max="36" width="13.4609375" style="29" bestFit="1" customWidth="1"/>
    <col min="37" max="37" width="1.07421875" style="29" customWidth="1"/>
    <col min="38" max="38" width="12.84375" style="29" customWidth="1"/>
    <col min="39" max="40" width="8.84375" style="29"/>
    <col min="41" max="41" width="19.84375" style="29" bestFit="1" customWidth="1"/>
    <col min="42" max="16384" width="8.84375" style="29"/>
  </cols>
  <sheetData>
    <row r="1" spans="1:39">
      <c r="B1" s="345" t="s">
        <v>98</v>
      </c>
    </row>
    <row r="2" spans="1:39">
      <c r="B2" s="466"/>
    </row>
    <row r="3" spans="1:39" ht="19.5" customHeight="1">
      <c r="A3" s="119"/>
      <c r="B3" s="62" t="s">
        <v>99</v>
      </c>
      <c r="C3" s="120"/>
      <c r="D3" s="120"/>
      <c r="E3" s="120"/>
      <c r="F3" s="121"/>
      <c r="G3" s="121"/>
      <c r="H3" s="121"/>
      <c r="I3" s="121"/>
      <c r="J3" s="121"/>
      <c r="K3" s="121"/>
      <c r="L3" s="121"/>
      <c r="M3" s="121"/>
      <c r="N3" s="121"/>
      <c r="O3" s="121"/>
      <c r="P3" s="121"/>
      <c r="Q3" s="121"/>
      <c r="R3" s="121"/>
      <c r="S3" s="121"/>
      <c r="T3" s="121"/>
      <c r="U3" s="121"/>
      <c r="V3" s="121"/>
      <c r="W3" s="121"/>
      <c r="X3" s="121"/>
      <c r="Y3" s="121"/>
      <c r="Z3" s="121"/>
      <c r="AA3" s="121"/>
      <c r="AB3" s="121"/>
      <c r="AC3" s="121"/>
      <c r="AD3" s="121"/>
      <c r="AE3" s="121"/>
      <c r="AF3" s="121"/>
      <c r="AG3" s="121"/>
      <c r="AH3" s="121"/>
      <c r="AI3" s="121"/>
      <c r="AL3" s="154" t="s">
        <v>586</v>
      </c>
    </row>
    <row r="4" spans="1:39" ht="19.5" customHeight="1">
      <c r="A4" s="119"/>
      <c r="B4" s="62" t="s">
        <v>613</v>
      </c>
      <c r="C4" s="120"/>
      <c r="D4" s="120"/>
      <c r="E4" s="120"/>
      <c r="F4" s="121"/>
      <c r="G4" s="121"/>
      <c r="H4" s="121"/>
      <c r="I4" s="121"/>
      <c r="J4" s="121"/>
      <c r="K4" s="121"/>
      <c r="L4" s="121"/>
      <c r="M4" s="121"/>
      <c r="N4" s="121"/>
      <c r="O4" s="121"/>
      <c r="P4" s="121"/>
      <c r="Q4" s="121"/>
      <c r="R4" s="121"/>
      <c r="S4" s="121"/>
      <c r="T4" s="121"/>
      <c r="U4" s="121"/>
      <c r="V4" s="121"/>
      <c r="W4" s="121"/>
      <c r="X4" s="121"/>
      <c r="Y4" s="121"/>
      <c r="Z4" s="121"/>
      <c r="AA4" s="121"/>
      <c r="AB4" s="121"/>
      <c r="AC4" s="121"/>
      <c r="AE4" s="122"/>
      <c r="AF4" s="122"/>
    </row>
    <row r="5" spans="1:39" ht="19.5" customHeight="1">
      <c r="A5" s="119"/>
      <c r="B5" s="668" t="s">
        <v>474</v>
      </c>
      <c r="C5" s="120"/>
      <c r="D5" s="120"/>
      <c r="E5" s="120"/>
      <c r="F5" s="121"/>
      <c r="G5" s="121"/>
      <c r="H5" s="121"/>
      <c r="I5" s="121"/>
      <c r="J5" s="121"/>
      <c r="K5" s="121"/>
      <c r="L5" s="121"/>
      <c r="M5" s="121"/>
      <c r="N5" s="121"/>
      <c r="O5" s="121"/>
      <c r="P5" s="121"/>
      <c r="Q5" s="121"/>
      <c r="R5" s="121"/>
      <c r="S5" s="121"/>
      <c r="T5" s="121"/>
      <c r="U5" s="121"/>
      <c r="V5" s="121"/>
      <c r="W5" s="121"/>
      <c r="X5" s="121"/>
      <c r="Y5" s="121"/>
      <c r="Z5" s="121"/>
      <c r="AA5" s="121"/>
      <c r="AB5" s="121"/>
      <c r="AC5" s="121"/>
      <c r="AD5" s="121"/>
      <c r="AE5" s="121"/>
      <c r="AF5" s="121"/>
      <c r="AG5" s="121"/>
      <c r="AH5" s="121"/>
      <c r="AI5" s="121"/>
      <c r="AL5" s="105"/>
    </row>
    <row r="6" spans="1:39" ht="19.5" customHeight="1">
      <c r="A6" s="119"/>
      <c r="B6" s="668" t="str">
        <f>'Cashflow Governmental'!A6</f>
        <v>FISCAL YEAR 2023-2024</v>
      </c>
      <c r="C6" s="120"/>
      <c r="D6" s="120"/>
      <c r="E6" s="120"/>
      <c r="F6" s="121"/>
      <c r="G6" s="121"/>
      <c r="H6" s="1747"/>
      <c r="I6" s="121"/>
      <c r="J6" s="121"/>
      <c r="K6" s="121"/>
      <c r="L6" s="121"/>
      <c r="M6" s="121"/>
      <c r="N6" s="121"/>
      <c r="O6" s="121"/>
      <c r="P6" s="121"/>
      <c r="Q6" s="121"/>
      <c r="R6" s="121"/>
      <c r="S6" s="121"/>
      <c r="T6" s="121"/>
      <c r="U6" s="121"/>
      <c r="V6" s="121"/>
      <c r="W6" s="121"/>
      <c r="X6" s="121"/>
      <c r="Y6" s="121"/>
      <c r="Z6" s="121"/>
      <c r="AA6" s="121"/>
      <c r="AB6" s="121"/>
      <c r="AC6" s="121"/>
      <c r="AD6" s="121"/>
      <c r="AE6" s="123"/>
      <c r="AF6" s="123"/>
      <c r="AG6" s="123"/>
      <c r="AH6" s="123"/>
      <c r="AI6" s="123"/>
    </row>
    <row r="7" spans="1:39" ht="19.5" customHeight="1">
      <c r="A7" s="119"/>
      <c r="B7" s="62" t="s">
        <v>250</v>
      </c>
      <c r="C7" s="120"/>
      <c r="D7" s="120"/>
      <c r="E7" s="120"/>
      <c r="F7" s="121"/>
      <c r="G7" s="121"/>
      <c r="H7" s="1747"/>
      <c r="I7" s="121"/>
      <c r="J7" s="121"/>
      <c r="K7" s="121"/>
      <c r="L7" s="121"/>
      <c r="M7" s="121"/>
      <c r="N7" s="121"/>
      <c r="O7" s="121"/>
      <c r="P7" s="121"/>
      <c r="Q7" s="121"/>
      <c r="R7" s="121"/>
      <c r="S7" s="121"/>
      <c r="T7" s="121"/>
      <c r="U7" s="121"/>
      <c r="V7" s="121"/>
      <c r="W7" s="121"/>
      <c r="X7" s="121"/>
      <c r="Y7" s="121"/>
      <c r="Z7" s="121"/>
      <c r="AA7" s="121"/>
      <c r="AB7" s="121"/>
      <c r="AC7" s="121"/>
      <c r="AD7" s="121"/>
      <c r="AE7" s="123"/>
      <c r="AF7" s="123"/>
      <c r="AG7" s="123"/>
      <c r="AH7" s="123"/>
      <c r="AI7" s="123"/>
    </row>
    <row r="8" spans="1:39" ht="19.5" customHeight="1">
      <c r="A8" s="119"/>
      <c r="C8" s="120"/>
      <c r="D8" s="120"/>
      <c r="E8" s="120"/>
      <c r="F8" s="121"/>
      <c r="G8" s="121"/>
      <c r="H8" s="121"/>
      <c r="I8" s="121"/>
      <c r="J8" s="121"/>
      <c r="K8" s="121"/>
      <c r="L8" s="121"/>
      <c r="M8" s="121"/>
      <c r="N8" s="121"/>
      <c r="O8" s="121"/>
      <c r="P8" s="121"/>
      <c r="Q8" s="121"/>
      <c r="R8" s="121"/>
      <c r="S8" s="121"/>
      <c r="T8" s="121"/>
      <c r="U8" s="121"/>
      <c r="V8" s="121"/>
      <c r="W8" s="121"/>
      <c r="X8" s="121"/>
      <c r="Y8" s="121"/>
      <c r="Z8" s="121"/>
      <c r="AA8" s="121"/>
      <c r="AB8" s="121"/>
      <c r="AC8" s="124"/>
    </row>
    <row r="9" spans="1:39" ht="15.75" customHeight="1">
      <c r="A9" s="119"/>
      <c r="B9" s="62"/>
      <c r="C9" s="120"/>
      <c r="D9" s="120"/>
      <c r="E9" s="120"/>
      <c r="F9" s="121"/>
      <c r="G9" s="121"/>
      <c r="H9" s="121"/>
      <c r="I9" s="121"/>
      <c r="J9" s="121"/>
      <c r="K9" s="121"/>
      <c r="L9" s="121"/>
      <c r="M9" s="121"/>
      <c r="N9" s="121"/>
      <c r="O9" s="121"/>
      <c r="P9" s="121"/>
      <c r="Q9" s="121"/>
      <c r="R9" s="121"/>
      <c r="S9" s="121"/>
      <c r="T9" s="121"/>
      <c r="U9" s="121"/>
      <c r="V9" s="121"/>
      <c r="W9" s="121"/>
      <c r="X9" s="121"/>
      <c r="Y9" s="121"/>
      <c r="Z9" s="121"/>
      <c r="AA9" s="121"/>
      <c r="AB9" s="121"/>
      <c r="AC9" s="124"/>
    </row>
    <row r="10" spans="1:39" ht="15.75" customHeight="1">
      <c r="A10" s="119"/>
      <c r="B10" s="125"/>
      <c r="C10" s="120"/>
      <c r="D10" s="120"/>
      <c r="E10" s="120"/>
      <c r="F10" s="121"/>
      <c r="G10" s="121"/>
      <c r="H10" s="121"/>
      <c r="I10" s="121"/>
      <c r="J10" s="121"/>
      <c r="K10" s="121"/>
      <c r="L10" s="121"/>
      <c r="M10" s="121"/>
      <c r="N10" s="121"/>
      <c r="O10" s="121"/>
      <c r="P10" s="121"/>
      <c r="Q10" s="121"/>
      <c r="R10" s="121"/>
      <c r="S10" s="121"/>
      <c r="T10" s="121"/>
      <c r="U10" s="121"/>
      <c r="V10" s="121"/>
      <c r="W10" s="121"/>
      <c r="X10" s="121"/>
      <c r="Y10" s="121"/>
      <c r="Z10" s="121"/>
      <c r="AA10" s="121"/>
      <c r="AB10" s="121"/>
      <c r="AC10" s="124"/>
      <c r="AD10" s="2229" t="s">
        <v>1590</v>
      </c>
      <c r="AE10" s="2228"/>
      <c r="AF10" s="2228"/>
      <c r="AG10" s="2228"/>
      <c r="AH10" s="2228"/>
      <c r="AI10" s="2228"/>
      <c r="AJ10" s="2228"/>
      <c r="AK10" s="2228"/>
      <c r="AL10" s="2228"/>
    </row>
    <row r="11" spans="1:39" ht="15.75" customHeight="1">
      <c r="A11" s="126"/>
      <c r="B11" s="126"/>
      <c r="C11" s="126"/>
      <c r="D11" s="126"/>
      <c r="E11" s="382" t="str">
        <f>'Cashflow Governmental'!C13</f>
        <v>2023</v>
      </c>
      <c r="F11" s="394"/>
      <c r="G11" s="394"/>
      <c r="H11" s="394"/>
      <c r="I11" s="394"/>
      <c r="J11" s="394"/>
      <c r="K11" s="394"/>
      <c r="L11" s="394"/>
      <c r="M11" s="394"/>
      <c r="N11" s="394"/>
      <c r="O11" s="394"/>
      <c r="P11" s="394"/>
      <c r="Q11" s="394"/>
      <c r="R11" s="394"/>
      <c r="S11" s="394"/>
      <c r="T11" s="394"/>
      <c r="U11" s="394"/>
      <c r="V11" s="394"/>
      <c r="W11" s="382">
        <f>'Cashflow Governmental'!U13</f>
        <v>2024</v>
      </c>
      <c r="X11" s="394"/>
      <c r="Y11" s="394"/>
      <c r="Z11" s="394"/>
      <c r="AA11" s="394"/>
      <c r="AB11" s="394"/>
      <c r="AC11" s="394"/>
      <c r="AD11" s="394"/>
      <c r="AE11" s="394"/>
      <c r="AF11" s="394"/>
      <c r="AG11" s="394"/>
      <c r="AH11" s="394"/>
      <c r="AI11" s="394"/>
      <c r="AJ11" s="390" t="s">
        <v>111</v>
      </c>
      <c r="AK11" s="390"/>
      <c r="AL11" s="388" t="s">
        <v>112</v>
      </c>
      <c r="AM11" s="6"/>
    </row>
    <row r="12" spans="1:39" ht="15.75" customHeight="1">
      <c r="A12" s="353"/>
      <c r="B12" s="353"/>
      <c r="C12" s="353"/>
      <c r="D12" s="353"/>
      <c r="E12" s="2007" t="s">
        <v>358</v>
      </c>
      <c r="F12" s="6"/>
      <c r="G12" s="2007" t="s">
        <v>359</v>
      </c>
      <c r="H12" s="6"/>
      <c r="I12" s="2007" t="s">
        <v>360</v>
      </c>
      <c r="J12" s="6"/>
      <c r="K12" s="2007" t="s">
        <v>361</v>
      </c>
      <c r="L12" s="6"/>
      <c r="M12" s="2007" t="s">
        <v>362</v>
      </c>
      <c r="N12" s="6"/>
      <c r="O12" s="2007" t="s">
        <v>475</v>
      </c>
      <c r="P12" s="6"/>
      <c r="Q12" s="2007" t="s">
        <v>476</v>
      </c>
      <c r="R12" s="6"/>
      <c r="S12" s="2007" t="s">
        <v>365</v>
      </c>
      <c r="T12" s="6"/>
      <c r="U12" s="2007" t="s">
        <v>366</v>
      </c>
      <c r="V12" s="6"/>
      <c r="W12" s="2007" t="s">
        <v>367</v>
      </c>
      <c r="X12" s="6"/>
      <c r="Y12" s="2007" t="s">
        <v>368</v>
      </c>
      <c r="Z12" s="6"/>
      <c r="AA12" s="2007" t="s">
        <v>477</v>
      </c>
      <c r="AB12" s="6"/>
      <c r="AC12" s="6"/>
      <c r="AD12" s="2007">
        <f>'Cashflow Governmental'!AB14</f>
        <v>2023</v>
      </c>
      <c r="AE12" s="6"/>
      <c r="AF12" s="6"/>
      <c r="AG12" s="2007">
        <f>'Cashflow Governmental'!AE14</f>
        <v>2022</v>
      </c>
      <c r="AH12" s="66"/>
      <c r="AI12" s="66"/>
      <c r="AJ12" s="528" t="s">
        <v>113</v>
      </c>
      <c r="AK12" s="390"/>
      <c r="AL12" s="528" t="s">
        <v>114</v>
      </c>
      <c r="AM12" s="6"/>
    </row>
    <row r="13" spans="1:39" ht="5.25" customHeight="1">
      <c r="A13" s="353"/>
      <c r="B13" s="6"/>
      <c r="C13" s="6"/>
      <c r="D13" s="353"/>
      <c r="E13" s="329"/>
      <c r="F13" s="329"/>
      <c r="G13" s="329"/>
      <c r="H13" s="329"/>
      <c r="I13" s="329"/>
      <c r="J13" s="329"/>
      <c r="K13" s="329"/>
      <c r="L13" s="329"/>
      <c r="M13" s="329"/>
      <c r="N13" s="329"/>
      <c r="O13" s="329"/>
      <c r="P13" s="329"/>
      <c r="Q13" s="329"/>
      <c r="R13" s="329"/>
      <c r="S13" s="329"/>
      <c r="T13" s="329"/>
      <c r="U13" s="329"/>
      <c r="V13" s="329"/>
      <c r="W13" s="329"/>
      <c r="X13" s="329"/>
      <c r="Y13" s="329"/>
      <c r="Z13" s="329"/>
      <c r="AA13" s="329"/>
      <c r="AB13" s="329"/>
      <c r="AC13" s="836"/>
      <c r="AD13" s="329"/>
      <c r="AE13" s="329"/>
      <c r="AF13" s="1543"/>
      <c r="AG13" s="329"/>
      <c r="AH13" s="329"/>
      <c r="AI13" s="127"/>
      <c r="AJ13" s="353"/>
      <c r="AK13" s="353"/>
      <c r="AL13" s="353"/>
    </row>
    <row r="14" spans="1:39">
      <c r="A14" s="353"/>
      <c r="B14" s="6" t="s">
        <v>555</v>
      </c>
      <c r="C14" s="6"/>
      <c r="D14" s="353"/>
      <c r="E14" s="117">
        <v>-1114.7</v>
      </c>
      <c r="F14" s="329"/>
      <c r="G14" s="26">
        <f>E102</f>
        <v>-1111.3</v>
      </c>
      <c r="H14" s="26"/>
      <c r="I14" s="26">
        <f t="shared" ref="I14:S14" si="0">G102</f>
        <v>-1160.0999999999999</v>
      </c>
      <c r="J14" s="335"/>
      <c r="K14" s="26">
        <f t="shared" si="0"/>
        <v>-1359</v>
      </c>
      <c r="L14" s="335"/>
      <c r="M14" s="26">
        <f t="shared" si="0"/>
        <v>-1458.6</v>
      </c>
      <c r="N14" s="329"/>
      <c r="O14" s="26">
        <f t="shared" si="0"/>
        <v>-1426.9</v>
      </c>
      <c r="P14" s="329"/>
      <c r="Q14" s="26">
        <f t="shared" si="0"/>
        <v>-1441.9</v>
      </c>
      <c r="R14" s="26"/>
      <c r="S14" s="26">
        <f t="shared" si="0"/>
        <v>-1243.5999999999999</v>
      </c>
      <c r="T14" s="26"/>
      <c r="U14" s="26"/>
      <c r="V14" s="26"/>
      <c r="W14" s="26"/>
      <c r="X14" s="26"/>
      <c r="Y14" s="26"/>
      <c r="Z14" s="26"/>
      <c r="AA14" s="26"/>
      <c r="AB14" s="329"/>
      <c r="AC14" s="836"/>
      <c r="AD14" s="26">
        <f>E14</f>
        <v>-1114.7</v>
      </c>
      <c r="AE14" s="329"/>
      <c r="AF14" s="1543"/>
      <c r="AG14" s="117">
        <v>-756.8</v>
      </c>
      <c r="AH14" s="329"/>
      <c r="AI14" s="127"/>
      <c r="AJ14" s="26">
        <f>ROUND(AD14-AG14,1)</f>
        <v>-357.9</v>
      </c>
      <c r="AK14" s="109"/>
      <c r="AL14" s="342">
        <f>ROUND(IF(AG14=0,0,AJ14/ABS(AG14)),3)</f>
        <v>-0.47299999999999998</v>
      </c>
    </row>
    <row r="15" spans="1:39">
      <c r="A15" s="353"/>
      <c r="B15" s="6"/>
      <c r="C15" s="6"/>
      <c r="D15" s="353"/>
      <c r="E15" s="329"/>
      <c r="F15" s="329"/>
      <c r="G15" s="329"/>
      <c r="H15" s="329"/>
      <c r="I15" s="329"/>
      <c r="J15" s="329"/>
      <c r="K15" s="329"/>
      <c r="L15" s="329"/>
      <c r="M15" s="329"/>
      <c r="N15" s="329"/>
      <c r="O15" s="329"/>
      <c r="P15" s="329"/>
      <c r="Q15" s="329"/>
      <c r="R15" s="329"/>
      <c r="S15" s="329"/>
      <c r="T15" s="329"/>
      <c r="U15" s="329"/>
      <c r="V15" s="329"/>
      <c r="W15" s="329"/>
      <c r="X15" s="329"/>
      <c r="Y15" s="329"/>
      <c r="Z15" s="329"/>
      <c r="AA15" s="329"/>
      <c r="AB15" s="329"/>
      <c r="AC15" s="836"/>
      <c r="AD15" s="329"/>
      <c r="AE15" s="329"/>
      <c r="AF15" s="1543"/>
      <c r="AG15" s="329"/>
      <c r="AH15" s="329"/>
      <c r="AI15" s="127"/>
      <c r="AJ15" s="353"/>
      <c r="AK15" s="353"/>
      <c r="AL15" s="353"/>
    </row>
    <row r="16" spans="1:39">
      <c r="A16" s="353"/>
      <c r="B16" s="6" t="s">
        <v>590</v>
      </c>
      <c r="C16" s="353"/>
      <c r="D16" s="353"/>
      <c r="E16" s="329"/>
      <c r="F16" s="329"/>
      <c r="G16" s="329"/>
      <c r="H16" s="329"/>
      <c r="I16" s="329"/>
      <c r="J16" s="329"/>
      <c r="K16" s="329"/>
      <c r="L16" s="329"/>
      <c r="M16" s="329"/>
      <c r="N16" s="329"/>
      <c r="O16" s="329"/>
      <c r="P16" s="329"/>
      <c r="Q16" s="329"/>
      <c r="R16" s="329"/>
      <c r="S16" s="329"/>
      <c r="T16" s="329"/>
      <c r="U16" s="329"/>
      <c r="V16" s="329"/>
      <c r="W16" s="329"/>
      <c r="X16" s="329"/>
      <c r="Y16" s="329"/>
      <c r="Z16" s="329"/>
      <c r="AA16" s="329"/>
      <c r="AB16" s="329"/>
      <c r="AC16" s="836"/>
      <c r="AD16" s="329"/>
      <c r="AE16" s="2056"/>
      <c r="AF16" s="329"/>
      <c r="AG16" s="329"/>
      <c r="AH16" s="329"/>
      <c r="AI16" s="127"/>
    </row>
    <row r="17" spans="1:38">
      <c r="A17" s="353"/>
      <c r="B17" s="2006" t="s">
        <v>371</v>
      </c>
      <c r="C17" s="353"/>
      <c r="D17" s="353"/>
      <c r="E17" s="329"/>
      <c r="F17" s="329"/>
      <c r="G17" s="329"/>
      <c r="H17" s="329"/>
      <c r="I17" s="329"/>
      <c r="J17" s="329"/>
      <c r="K17" s="329"/>
      <c r="L17" s="329"/>
      <c r="M17" s="329"/>
      <c r="N17" s="329"/>
      <c r="O17" s="329"/>
      <c r="P17" s="329"/>
      <c r="Q17" s="329"/>
      <c r="R17" s="329"/>
      <c r="S17" s="329"/>
      <c r="T17" s="329"/>
      <c r="U17" s="329"/>
      <c r="V17" s="329"/>
      <c r="W17" s="329"/>
      <c r="X17" s="329"/>
      <c r="Y17" s="329"/>
      <c r="Z17" s="329"/>
      <c r="AA17" s="329"/>
      <c r="AB17" s="329"/>
      <c r="AC17" s="836"/>
      <c r="AD17" s="329"/>
      <c r="AE17" s="2056"/>
      <c r="AF17" s="329"/>
      <c r="AG17" s="329"/>
      <c r="AH17" s="329"/>
      <c r="AI17" s="127"/>
    </row>
    <row r="18" spans="1:38">
      <c r="A18" s="353"/>
      <c r="B18" s="525" t="s">
        <v>614</v>
      </c>
      <c r="C18" s="353"/>
      <c r="D18" s="353"/>
      <c r="E18" s="1748"/>
      <c r="F18" s="329"/>
      <c r="G18" s="325"/>
      <c r="H18" s="325"/>
      <c r="I18" s="325"/>
      <c r="J18" s="325"/>
      <c r="K18" s="325"/>
      <c r="L18" s="325"/>
      <c r="M18" s="325"/>
      <c r="N18" s="325"/>
      <c r="O18" s="325"/>
      <c r="P18" s="325"/>
      <c r="Q18" s="325"/>
      <c r="R18" s="325"/>
      <c r="S18" s="325"/>
      <c r="T18" s="325"/>
      <c r="U18" s="325"/>
      <c r="V18" s="325"/>
      <c r="W18" s="325"/>
      <c r="X18" s="325"/>
      <c r="Y18" s="325"/>
      <c r="Z18" s="325"/>
      <c r="AA18" s="325"/>
      <c r="AB18" s="325"/>
      <c r="AC18" s="647"/>
      <c r="AD18" s="15" t="s">
        <v>104</v>
      </c>
      <c r="AE18" s="2045"/>
      <c r="AF18" s="325"/>
      <c r="AG18" s="325" t="s">
        <v>104</v>
      </c>
      <c r="AH18" s="325"/>
      <c r="AI18" s="133"/>
      <c r="AJ18" s="15"/>
    </row>
    <row r="19" spans="1:38">
      <c r="A19" s="353"/>
      <c r="B19" s="345" t="s">
        <v>385</v>
      </c>
      <c r="C19" s="353"/>
      <c r="D19" s="427" t="s">
        <v>104</v>
      </c>
      <c r="E19" s="325">
        <v>9.5</v>
      </c>
      <c r="F19" s="325"/>
      <c r="G19" s="325">
        <v>9.9999999999999645E-2</v>
      </c>
      <c r="H19" s="325"/>
      <c r="I19" s="325">
        <v>21.6</v>
      </c>
      <c r="J19" s="325"/>
      <c r="K19" s="325">
        <v>0.10000000000000142</v>
      </c>
      <c r="L19" s="690"/>
      <c r="M19" s="325">
        <v>0</v>
      </c>
      <c r="N19" s="763"/>
      <c r="O19" s="325">
        <v>30.299999999999997</v>
      </c>
      <c r="P19" s="763"/>
      <c r="Q19" s="325">
        <v>0</v>
      </c>
      <c r="R19" s="763"/>
      <c r="S19" s="325">
        <f>$AD19-$E19-$G19-$I19-$K19-$M19-$O19-$Q19</f>
        <v>0</v>
      </c>
      <c r="T19" s="325"/>
      <c r="U19" s="325"/>
      <c r="V19" s="325"/>
      <c r="W19" s="325"/>
      <c r="X19" s="325"/>
      <c r="Y19" s="325"/>
      <c r="Z19" s="325"/>
      <c r="AA19" s="325"/>
      <c r="AB19" s="325"/>
      <c r="AC19" s="647"/>
      <c r="AD19" s="325">
        <v>61.6</v>
      </c>
      <c r="AE19" s="2058"/>
      <c r="AF19" s="1749"/>
      <c r="AG19" s="325">
        <v>60.7</v>
      </c>
      <c r="AH19" s="965"/>
      <c r="AI19" s="966"/>
      <c r="AJ19" s="325">
        <f>ROUND(AD19-AG19,1)</f>
        <v>0.9</v>
      </c>
      <c r="AK19" s="487"/>
      <c r="AL19" s="670">
        <f>ROUND(IF(AG19=0,0,AJ19/ABS(AG19)),3)</f>
        <v>1.4999999999999999E-2</v>
      </c>
    </row>
    <row r="20" spans="1:38">
      <c r="A20" s="353"/>
      <c r="B20" s="345" t="s">
        <v>388</v>
      </c>
      <c r="C20" s="353"/>
      <c r="D20" s="353"/>
      <c r="E20" s="325">
        <v>28</v>
      </c>
      <c r="F20" s="325"/>
      <c r="G20" s="325">
        <v>34.4</v>
      </c>
      <c r="H20" s="325"/>
      <c r="I20" s="325">
        <v>30.300000000000004</v>
      </c>
      <c r="J20" s="325"/>
      <c r="K20" s="325">
        <v>34.199999999999996</v>
      </c>
      <c r="L20" s="689"/>
      <c r="M20" s="325">
        <v>34.199999999999982</v>
      </c>
      <c r="N20" s="689"/>
      <c r="O20" s="325">
        <v>35.400000000000013</v>
      </c>
      <c r="P20" s="689"/>
      <c r="Q20" s="325">
        <v>32.499999999999993</v>
      </c>
      <c r="R20" s="689"/>
      <c r="S20" s="325">
        <f t="shared" ref="S20:S21" si="1">$AD20-$E20-$G20-$I20-$K20-$M20-$O20-$Q20</f>
        <v>33.10000000000003</v>
      </c>
      <c r="T20" s="325"/>
      <c r="U20" s="325"/>
      <c r="V20" s="689"/>
      <c r="W20" s="325"/>
      <c r="X20" s="689"/>
      <c r="Y20" s="325"/>
      <c r="Z20" s="689"/>
      <c r="AA20" s="325"/>
      <c r="AB20" s="325"/>
      <c r="AC20" s="647"/>
      <c r="AD20" s="325">
        <v>262.10000000000002</v>
      </c>
      <c r="AE20" s="2045"/>
      <c r="AF20" s="325"/>
      <c r="AG20" s="325">
        <v>60.5</v>
      </c>
      <c r="AH20" s="325"/>
      <c r="AI20" s="133"/>
      <c r="AJ20" s="325">
        <f>ROUND(AD20-AG20,1)</f>
        <v>201.6</v>
      </c>
      <c r="AK20" s="52"/>
      <c r="AL20" s="327">
        <f>ROUND(IF(AG20=0,0,AJ20/ABS(AG20)),3)</f>
        <v>3.3319999999999999</v>
      </c>
    </row>
    <row r="21" spans="1:38">
      <c r="A21" s="353"/>
      <c r="B21" s="345" t="s">
        <v>391</v>
      </c>
      <c r="C21" s="353"/>
      <c r="D21" s="353"/>
      <c r="E21" s="325">
        <v>12.5</v>
      </c>
      <c r="F21" s="325"/>
      <c r="G21" s="325">
        <v>11.600000000000001</v>
      </c>
      <c r="H21" s="325"/>
      <c r="I21" s="325">
        <v>10</v>
      </c>
      <c r="J21" s="325"/>
      <c r="K21" s="325">
        <v>11.699999999999996</v>
      </c>
      <c r="L21" s="689"/>
      <c r="M21" s="325">
        <v>11.100000000000001</v>
      </c>
      <c r="N21" s="689"/>
      <c r="O21" s="325">
        <v>10.300000000000004</v>
      </c>
      <c r="P21" s="689"/>
      <c r="Q21" s="325">
        <v>13.299999999999997</v>
      </c>
      <c r="R21" s="689"/>
      <c r="S21" s="325">
        <f t="shared" si="1"/>
        <v>10.000000000000007</v>
      </c>
      <c r="T21" s="325"/>
      <c r="U21" s="325"/>
      <c r="V21" s="689"/>
      <c r="W21" s="325"/>
      <c r="X21" s="689"/>
      <c r="Y21" s="325"/>
      <c r="Z21" s="689"/>
      <c r="AA21" s="325"/>
      <c r="AB21" s="325"/>
      <c r="AC21" s="647"/>
      <c r="AD21" s="325">
        <v>90.5</v>
      </c>
      <c r="AE21" s="2045"/>
      <c r="AF21" s="325"/>
      <c r="AG21" s="325">
        <v>89.1</v>
      </c>
      <c r="AH21" s="325"/>
      <c r="AI21" s="133"/>
      <c r="AJ21" s="325">
        <f>ROUND(AD21-AG21,1)</f>
        <v>1.4</v>
      </c>
      <c r="AK21" s="52"/>
      <c r="AL21" s="670">
        <f>ROUND(IF(AG21=0,0,AJ21/ABS(AG21)),3)</f>
        <v>1.6E-2</v>
      </c>
    </row>
    <row r="22" spans="1:38">
      <c r="A22" s="353"/>
      <c r="B22" s="118" t="s">
        <v>591</v>
      </c>
      <c r="C22" s="353"/>
      <c r="D22" s="353"/>
      <c r="E22" s="100">
        <f>ROUND(SUM(E19:E21),1)</f>
        <v>50</v>
      </c>
      <c r="F22" s="325"/>
      <c r="G22" s="100">
        <f>ROUND(SUM(G19:G21),1)</f>
        <v>46.1</v>
      </c>
      <c r="H22" s="325"/>
      <c r="I22" s="100">
        <f>ROUND(SUM(I19:I21),1)</f>
        <v>61.9</v>
      </c>
      <c r="J22" s="325"/>
      <c r="K22" s="100">
        <f>ROUND(SUM(K19:K21),1)</f>
        <v>46</v>
      </c>
      <c r="L22" s="325"/>
      <c r="M22" s="100">
        <f>ROUND(SUM(M19:M21),1)</f>
        <v>45.3</v>
      </c>
      <c r="N22" s="325"/>
      <c r="O22" s="100">
        <f>ROUND(SUM(O19:O21),1)</f>
        <v>76</v>
      </c>
      <c r="P22" s="325"/>
      <c r="Q22" s="100">
        <f>ROUND(SUM(Q19:Q21),1)</f>
        <v>45.8</v>
      </c>
      <c r="R22" s="325"/>
      <c r="S22" s="100">
        <f>ROUND(SUM(S19:S21),1)</f>
        <v>43.1</v>
      </c>
      <c r="T22" s="16"/>
      <c r="U22" s="100">
        <f>ROUND(SUM(U19:U21),1)</f>
        <v>0</v>
      </c>
      <c r="V22" s="325"/>
      <c r="W22" s="100">
        <f>ROUND(SUM(W19:W21),1)</f>
        <v>0</v>
      </c>
      <c r="X22" s="325"/>
      <c r="Y22" s="100">
        <f>ROUND(SUM(Y19:Y21),1)</f>
        <v>0</v>
      </c>
      <c r="Z22" s="325"/>
      <c r="AA22" s="100">
        <f>ROUND(SUM(AA19:AA21),1)</f>
        <v>0</v>
      </c>
      <c r="AB22" s="325"/>
      <c r="AC22" s="647"/>
      <c r="AD22" s="100">
        <f>ROUND(SUM(AD19:AD21),1)</f>
        <v>414.2</v>
      </c>
      <c r="AE22" s="2045"/>
      <c r="AF22" s="325"/>
      <c r="AG22" s="100">
        <f>ROUND(SUM(AG19:AG21),1)</f>
        <v>210.3</v>
      </c>
      <c r="AH22" s="325"/>
      <c r="AI22" s="133"/>
      <c r="AJ22" s="100">
        <f>ROUND(SUM(AJ19:AJ21),1)</f>
        <v>203.9</v>
      </c>
      <c r="AK22" s="52"/>
      <c r="AL22" s="665">
        <f>ROUND(IF(AG22=0,0,AJ22/ABS(AG22)),3)</f>
        <v>0.97</v>
      </c>
    </row>
    <row r="23" spans="1:38">
      <c r="A23" s="353"/>
      <c r="B23" s="525" t="s">
        <v>556</v>
      </c>
      <c r="C23" s="353"/>
      <c r="D23" s="353"/>
      <c r="E23" s="325"/>
      <c r="F23" s="325"/>
      <c r="G23" s="325"/>
      <c r="H23" s="325"/>
      <c r="I23" s="325"/>
      <c r="J23" s="325"/>
      <c r="K23" s="325"/>
      <c r="L23" s="325"/>
      <c r="M23" s="325"/>
      <c r="N23" s="325"/>
      <c r="O23" s="325"/>
      <c r="P23" s="325"/>
      <c r="Q23" s="351"/>
      <c r="R23" s="325"/>
      <c r="S23" s="351"/>
      <c r="T23" s="325"/>
      <c r="U23" s="351"/>
      <c r="V23" s="325"/>
      <c r="W23" s="1750"/>
      <c r="X23" s="325"/>
      <c r="Y23" s="351"/>
      <c r="Z23" s="325"/>
      <c r="AA23" s="1750"/>
      <c r="AB23" s="325"/>
      <c r="AC23" s="647"/>
      <c r="AD23" s="348"/>
      <c r="AE23" s="2045"/>
      <c r="AF23" s="325"/>
      <c r="AG23" s="348"/>
      <c r="AH23" s="325"/>
      <c r="AI23" s="133"/>
      <c r="AJ23" s="348"/>
      <c r="AL23" s="131"/>
    </row>
    <row r="24" spans="1:38">
      <c r="A24" s="353"/>
      <c r="B24" s="345" t="s">
        <v>396</v>
      </c>
      <c r="C24" s="353"/>
      <c r="D24" s="353"/>
      <c r="E24" s="325">
        <v>0</v>
      </c>
      <c r="F24" s="325"/>
      <c r="G24" s="325">
        <v>0</v>
      </c>
      <c r="H24" s="325"/>
      <c r="I24" s="325">
        <v>0</v>
      </c>
      <c r="J24" s="325"/>
      <c r="K24" s="325">
        <v>0</v>
      </c>
      <c r="L24" s="689"/>
      <c r="M24" s="325">
        <v>0</v>
      </c>
      <c r="N24" s="689"/>
      <c r="O24" s="325">
        <v>0</v>
      </c>
      <c r="P24" s="689"/>
      <c r="Q24" s="325">
        <v>0</v>
      </c>
      <c r="R24" s="689"/>
      <c r="S24" s="325">
        <f t="shared" ref="S24:S26" si="2">$AD24-$E24-$G24-$I24-$K24-$M24-$O24-$Q24</f>
        <v>0</v>
      </c>
      <c r="T24" s="325"/>
      <c r="U24" s="325"/>
      <c r="V24" s="689"/>
      <c r="W24" s="325"/>
      <c r="X24" s="689"/>
      <c r="Y24" s="325"/>
      <c r="Z24" s="689"/>
      <c r="AA24" s="325"/>
      <c r="AB24" s="325"/>
      <c r="AC24" s="647"/>
      <c r="AD24" s="325">
        <v>0</v>
      </c>
      <c r="AE24" s="2045"/>
      <c r="AF24" s="325"/>
      <c r="AG24" s="325">
        <v>0</v>
      </c>
      <c r="AH24" s="325"/>
      <c r="AI24" s="133"/>
      <c r="AJ24" s="325">
        <f>ROUND(AD24-AG24,1)</f>
        <v>0</v>
      </c>
      <c r="AL24" s="327">
        <f>ROUND(IF(AG24=0,0,AJ24/ABS(AG24)),3)</f>
        <v>0</v>
      </c>
    </row>
    <row r="25" spans="1:38">
      <c r="A25" s="353"/>
      <c r="B25" s="345" t="s">
        <v>397</v>
      </c>
      <c r="C25" s="353"/>
      <c r="D25" s="353"/>
      <c r="E25" s="325">
        <v>5</v>
      </c>
      <c r="F25" s="325"/>
      <c r="G25" s="325">
        <v>0</v>
      </c>
      <c r="H25" s="325"/>
      <c r="I25" s="325">
        <v>1.5999999999999996</v>
      </c>
      <c r="J25" s="325"/>
      <c r="K25" s="325">
        <v>0</v>
      </c>
      <c r="L25" s="689"/>
      <c r="M25" s="325">
        <v>0.10000000000000053</v>
      </c>
      <c r="N25" s="689"/>
      <c r="O25" s="325">
        <v>1.7000000000000002</v>
      </c>
      <c r="P25" s="689"/>
      <c r="Q25" s="325">
        <v>0.29999999999999893</v>
      </c>
      <c r="R25" s="689"/>
      <c r="S25" s="325">
        <f t="shared" si="2"/>
        <v>0.40000000000000036</v>
      </c>
      <c r="T25" s="325"/>
      <c r="U25" s="325"/>
      <c r="V25" s="689"/>
      <c r="W25" s="325"/>
      <c r="X25" s="689"/>
      <c r="Y25" s="325"/>
      <c r="Z25" s="689"/>
      <c r="AA25" s="325"/>
      <c r="AB25" s="325"/>
      <c r="AC25" s="647"/>
      <c r="AD25" s="325">
        <v>9.1</v>
      </c>
      <c r="AE25" s="2045"/>
      <c r="AF25" s="325"/>
      <c r="AG25" s="325">
        <v>5.3999999999999995</v>
      </c>
      <c r="AH25" s="325"/>
      <c r="AI25" s="133"/>
      <c r="AJ25" s="325">
        <f>ROUND(AD25-AG25,1)</f>
        <v>3.7</v>
      </c>
      <c r="AL25" s="670">
        <f>ROUND(IF(AG25=0,1,AJ25/ABS(AG25)),3)</f>
        <v>0.68500000000000005</v>
      </c>
    </row>
    <row r="26" spans="1:38">
      <c r="A26" s="353"/>
      <c r="B26" s="345" t="s">
        <v>401</v>
      </c>
      <c r="C26" s="6"/>
      <c r="D26" s="353"/>
      <c r="E26" s="325">
        <v>46</v>
      </c>
      <c r="F26" s="325"/>
      <c r="G26" s="325">
        <v>54.7</v>
      </c>
      <c r="H26" s="325"/>
      <c r="I26" s="325">
        <v>53.7</v>
      </c>
      <c r="J26" s="325"/>
      <c r="K26" s="325">
        <v>54.599999999999994</v>
      </c>
      <c r="L26" s="689"/>
      <c r="M26" s="325">
        <v>50.399999999999991</v>
      </c>
      <c r="N26" s="689"/>
      <c r="O26" s="325">
        <v>64.800000000000026</v>
      </c>
      <c r="P26" s="689"/>
      <c r="Q26" s="325">
        <v>55.300000000000011</v>
      </c>
      <c r="R26" s="689"/>
      <c r="S26" s="325">
        <f t="shared" si="2"/>
        <v>52.899999999999963</v>
      </c>
      <c r="T26" s="325"/>
      <c r="U26" s="325"/>
      <c r="V26" s="689"/>
      <c r="W26" s="325"/>
      <c r="X26" s="689"/>
      <c r="Y26" s="325"/>
      <c r="Z26" s="689"/>
      <c r="AA26" s="325"/>
      <c r="AB26" s="325"/>
      <c r="AC26" s="647"/>
      <c r="AD26" s="325">
        <v>432.4</v>
      </c>
      <c r="AE26" s="2045"/>
      <c r="AF26" s="325"/>
      <c r="AG26" s="325">
        <v>411.8</v>
      </c>
      <c r="AH26" s="325"/>
      <c r="AI26" s="133"/>
      <c r="AJ26" s="325">
        <f>ROUND(AD26-AG26,1)</f>
        <v>20.6</v>
      </c>
      <c r="AK26" s="52"/>
      <c r="AL26" s="661">
        <f>ROUND(IF(AG26=0,0,AJ26/ABS(AG26)),3)</f>
        <v>0.05</v>
      </c>
    </row>
    <row r="27" spans="1:38">
      <c r="A27" s="353"/>
      <c r="B27" s="118" t="s">
        <v>592</v>
      </c>
      <c r="C27" s="6"/>
      <c r="D27" s="353"/>
      <c r="E27" s="100">
        <f>ROUND(SUM(E24:E26),1)</f>
        <v>51</v>
      </c>
      <c r="F27" s="325"/>
      <c r="G27" s="100">
        <f>ROUND(SUM(G24:G26),1)</f>
        <v>54.7</v>
      </c>
      <c r="H27" s="325"/>
      <c r="I27" s="100">
        <f>ROUND(SUM(I24:I26),1)</f>
        <v>55.3</v>
      </c>
      <c r="J27" s="325"/>
      <c r="K27" s="100">
        <f>ROUND(SUM(K24:K26),1)</f>
        <v>54.6</v>
      </c>
      <c r="L27" s="325"/>
      <c r="M27" s="100">
        <f>ROUND(SUM(M24:M26),1)</f>
        <v>50.5</v>
      </c>
      <c r="N27" s="325"/>
      <c r="O27" s="100">
        <f>ROUND(SUM(O24:O26),1)</f>
        <v>66.5</v>
      </c>
      <c r="P27" s="325"/>
      <c r="Q27" s="100">
        <f>ROUND(SUM(Q24:Q26),1)</f>
        <v>55.6</v>
      </c>
      <c r="R27" s="325"/>
      <c r="S27" s="100">
        <f>ROUND(SUM(S24:S26),1)</f>
        <v>53.3</v>
      </c>
      <c r="T27" s="16"/>
      <c r="U27" s="100">
        <f>ROUND(SUM(U24:U26),1)</f>
        <v>0</v>
      </c>
      <c r="V27" s="325"/>
      <c r="W27" s="100">
        <f>ROUND(SUM(W24:W26),1)</f>
        <v>0</v>
      </c>
      <c r="X27" s="325"/>
      <c r="Y27" s="100">
        <f>ROUND(SUM(Y24:Y26),1)</f>
        <v>0</v>
      </c>
      <c r="Z27" s="325"/>
      <c r="AA27" s="100">
        <f>ROUND(SUM(AA24:AA26),1)</f>
        <v>0</v>
      </c>
      <c r="AB27" s="325"/>
      <c r="AC27" s="647"/>
      <c r="AD27" s="100">
        <f>ROUND(SUM(AD24:AD26),1)</f>
        <v>441.5</v>
      </c>
      <c r="AE27" s="2045"/>
      <c r="AF27" s="325"/>
      <c r="AG27" s="100">
        <f>ROUND(SUM(AG24:AG26),1)</f>
        <v>417.2</v>
      </c>
      <c r="AH27" s="325"/>
      <c r="AI27" s="133"/>
      <c r="AJ27" s="100">
        <f>ROUND(SUM(AJ24:AJ26),1)</f>
        <v>24.3</v>
      </c>
      <c r="AK27" s="52"/>
      <c r="AL27" s="666">
        <f>ROUND(IF(AG27=0,0,AJ27/ABS(AG27)),3)</f>
        <v>5.8000000000000003E-2</v>
      </c>
    </row>
    <row r="28" spans="1:38">
      <c r="A28" s="353"/>
      <c r="B28" s="525" t="s">
        <v>615</v>
      </c>
      <c r="C28" s="353"/>
      <c r="D28" s="353"/>
      <c r="E28" s="336"/>
      <c r="F28" s="325"/>
      <c r="G28" s="336"/>
      <c r="H28" s="325"/>
      <c r="I28" s="351"/>
      <c r="J28" s="325"/>
      <c r="K28" s="351"/>
      <c r="L28" s="325"/>
      <c r="M28" s="325"/>
      <c r="N28" s="325"/>
      <c r="O28" s="325"/>
      <c r="P28" s="325"/>
      <c r="Q28" s="351"/>
      <c r="R28" s="325"/>
      <c r="S28" s="351"/>
      <c r="T28" s="325"/>
      <c r="U28" s="351"/>
      <c r="V28" s="325"/>
      <c r="W28" s="351"/>
      <c r="X28" s="325"/>
      <c r="Y28" s="351"/>
      <c r="Z28" s="325"/>
      <c r="AA28" s="351"/>
      <c r="AB28" s="325"/>
      <c r="AC28" s="647"/>
      <c r="AD28" s="325"/>
      <c r="AE28" s="2057"/>
      <c r="AF28" s="469"/>
      <c r="AG28" s="325"/>
      <c r="AH28" s="348"/>
      <c r="AI28" s="132"/>
      <c r="AJ28" s="348"/>
      <c r="AK28" s="130"/>
      <c r="AL28" s="327"/>
    </row>
    <row r="29" spans="1:38">
      <c r="A29" s="353"/>
      <c r="B29" s="345" t="s">
        <v>407</v>
      </c>
      <c r="C29" s="353"/>
      <c r="D29" s="353"/>
      <c r="E29" s="325">
        <v>0</v>
      </c>
      <c r="F29" s="325"/>
      <c r="G29" s="325">
        <v>0</v>
      </c>
      <c r="H29" s="325"/>
      <c r="I29" s="325">
        <v>25.7</v>
      </c>
      <c r="J29" s="325"/>
      <c r="K29" s="325">
        <v>25.8</v>
      </c>
      <c r="L29" s="689"/>
      <c r="M29" s="325">
        <v>25.7</v>
      </c>
      <c r="N29" s="689"/>
      <c r="O29" s="325">
        <v>25.700000000000006</v>
      </c>
      <c r="P29" s="689"/>
      <c r="Q29" s="325">
        <v>25.799999999999979</v>
      </c>
      <c r="R29" s="689"/>
      <c r="S29" s="325">
        <f t="shared" ref="S29" si="3">$AD29-$E29-$G29-$I29-$K29-$M29-$O29-$Q29</f>
        <v>25.700000000000035</v>
      </c>
      <c r="T29" s="689"/>
      <c r="U29" s="325"/>
      <c r="V29" s="689"/>
      <c r="W29" s="325"/>
      <c r="X29" s="689"/>
      <c r="Y29" s="325"/>
      <c r="Z29" s="689"/>
      <c r="AA29" s="325"/>
      <c r="AB29" s="325"/>
      <c r="AC29" s="647"/>
      <c r="AD29" s="325">
        <v>154.4</v>
      </c>
      <c r="AE29" s="2057"/>
      <c r="AF29" s="469"/>
      <c r="AG29" s="325">
        <v>154.4</v>
      </c>
      <c r="AH29" s="348"/>
      <c r="AI29" s="132"/>
      <c r="AJ29" s="325">
        <f>ROUND(AD29-AG29,1)</f>
        <v>0</v>
      </c>
      <c r="AK29" s="130"/>
      <c r="AL29" s="661">
        <f>ROUND(IF(AG29=0,0,AJ29/ABS(AG29)),3)</f>
        <v>0</v>
      </c>
    </row>
    <row r="30" spans="1:38">
      <c r="B30" s="118" t="s">
        <v>593</v>
      </c>
      <c r="C30" s="353"/>
      <c r="D30" s="353"/>
      <c r="E30" s="100">
        <f>ROUND(SUM(E29:E29),1)</f>
        <v>0</v>
      </c>
      <c r="F30" s="325"/>
      <c r="G30" s="100">
        <f>ROUND(SUM(G29:G29),1)</f>
        <v>0</v>
      </c>
      <c r="H30" s="325"/>
      <c r="I30" s="100">
        <f>ROUND(SUM(I29:I29),1)</f>
        <v>25.7</v>
      </c>
      <c r="J30" s="325"/>
      <c r="K30" s="100">
        <f>ROUND(SUM(K29:K29),1)</f>
        <v>25.8</v>
      </c>
      <c r="L30" s="325"/>
      <c r="M30" s="100">
        <f>ROUND(SUM(M29:M29),1)</f>
        <v>25.7</v>
      </c>
      <c r="N30" s="325"/>
      <c r="O30" s="100">
        <f>ROUND(SUM(O29:O29),1)</f>
        <v>25.7</v>
      </c>
      <c r="P30" s="325"/>
      <c r="Q30" s="100">
        <f>ROUND(SUM(Q29:Q29),1)</f>
        <v>25.8</v>
      </c>
      <c r="R30" s="325"/>
      <c r="S30" s="100">
        <f>ROUND(SUM(S29:S29),1)</f>
        <v>25.7</v>
      </c>
      <c r="T30" s="16"/>
      <c r="U30" s="100">
        <f>ROUND(SUM(U29:U29),1)</f>
        <v>0</v>
      </c>
      <c r="V30" s="325"/>
      <c r="W30" s="100">
        <f>ROUND(SUM(W29:W29),1)</f>
        <v>0</v>
      </c>
      <c r="X30" s="325"/>
      <c r="Y30" s="100">
        <f>ROUND(SUM(Y29:Y29),1)</f>
        <v>0</v>
      </c>
      <c r="Z30" s="325"/>
      <c r="AA30" s="100">
        <f>ROUND(SUM(AA29:AA29),1)</f>
        <v>0</v>
      </c>
      <c r="AB30" s="325"/>
      <c r="AC30" s="647"/>
      <c r="AD30" s="100">
        <f>ROUND(SUM(AD29:AD29),1)</f>
        <v>154.4</v>
      </c>
      <c r="AE30" s="2057"/>
      <c r="AF30" s="469"/>
      <c r="AG30" s="100">
        <f>ROUND(SUM(AG29:AG29),1)</f>
        <v>154.4</v>
      </c>
      <c r="AH30" s="348"/>
      <c r="AI30" s="132"/>
      <c r="AJ30" s="100">
        <f>ROUND(SUM(AJ29:AJ29),1)</f>
        <v>0</v>
      </c>
      <c r="AK30" s="130"/>
      <c r="AL30" s="665">
        <f>ROUND(IF(AG30=0,0,AJ30/ABS(AG30)),3)</f>
        <v>0</v>
      </c>
    </row>
    <row r="31" spans="1:38">
      <c r="A31" s="353"/>
      <c r="B31" s="6"/>
      <c r="C31" s="353"/>
      <c r="D31" s="353"/>
      <c r="E31" s="336"/>
      <c r="F31" s="325"/>
      <c r="G31" s="336"/>
      <c r="H31" s="325"/>
      <c r="I31" s="351"/>
      <c r="J31" s="325"/>
      <c r="K31" s="351"/>
      <c r="L31" s="325"/>
      <c r="M31" s="325"/>
      <c r="N31" s="325"/>
      <c r="O31" s="325"/>
      <c r="P31" s="325"/>
      <c r="Q31" s="351"/>
      <c r="R31" s="325"/>
      <c r="S31" s="351"/>
      <c r="T31" s="325"/>
      <c r="U31" s="351"/>
      <c r="V31" s="325"/>
      <c r="W31" s="351"/>
      <c r="X31" s="325"/>
      <c r="Y31" s="351"/>
      <c r="Z31" s="325"/>
      <c r="AA31" s="351"/>
      <c r="AB31" s="325"/>
      <c r="AC31" s="647"/>
      <c r="AD31" s="325"/>
      <c r="AE31" s="2057"/>
      <c r="AF31" s="469"/>
      <c r="AG31" s="325"/>
      <c r="AH31" s="348"/>
      <c r="AI31" s="132"/>
      <c r="AJ31" s="348"/>
      <c r="AK31" s="130"/>
      <c r="AL31" s="1572"/>
    </row>
    <row r="32" spans="1:38" s="6" customFormat="1">
      <c r="B32" s="118" t="s">
        <v>411</v>
      </c>
      <c r="E32" s="967">
        <f>ROUND(SUM(+E27+E22+E30),1)</f>
        <v>101</v>
      </c>
      <c r="F32" s="16"/>
      <c r="G32" s="967">
        <f>ROUND(SUM(+G27+G22+G30),1)</f>
        <v>100.8</v>
      </c>
      <c r="H32" s="16"/>
      <c r="I32" s="967">
        <f>ROUND(SUM(+I27+I22+I30),1)</f>
        <v>142.9</v>
      </c>
      <c r="J32" s="16"/>
      <c r="K32" s="967">
        <f>ROUND(SUM(+K27+K22+K30),1)</f>
        <v>126.4</v>
      </c>
      <c r="L32" s="16"/>
      <c r="M32" s="1573">
        <f>ROUND(SUM(+M27+M22+M30),1)</f>
        <v>121.5</v>
      </c>
      <c r="N32" s="16"/>
      <c r="O32" s="1573">
        <f>ROUND(SUM(+O27+O22+O30),1)</f>
        <v>168.2</v>
      </c>
      <c r="P32" s="16"/>
      <c r="Q32" s="1573">
        <f>ROUND(SUM(+Q27+Q22+Q30),1)</f>
        <v>127.2</v>
      </c>
      <c r="R32" s="16"/>
      <c r="S32" s="1573">
        <f>ROUND(SUM(+S27+S22+S30),1)</f>
        <v>122.1</v>
      </c>
      <c r="T32" s="839"/>
      <c r="U32" s="1573">
        <f>ROUND(SUM(+U27+U22+U30),1)</f>
        <v>0</v>
      </c>
      <c r="V32" s="16"/>
      <c r="W32" s="1573">
        <f>ROUND(SUM(+W27+W22+W30),1)</f>
        <v>0</v>
      </c>
      <c r="X32" s="16"/>
      <c r="Y32" s="1573">
        <f>ROUND(SUM(+Y27+Y22+Y30),1)</f>
        <v>0</v>
      </c>
      <c r="Z32" s="16"/>
      <c r="AA32" s="1573">
        <f>ROUND(SUM(+AA27+AA22+AA30),1)</f>
        <v>0</v>
      </c>
      <c r="AB32" s="16"/>
      <c r="AC32" s="18"/>
      <c r="AD32" s="1573">
        <f>ROUND(SUM(+AD27+AD22+AD30),1)</f>
        <v>1010.1</v>
      </c>
      <c r="AE32" s="2059"/>
      <c r="AF32" s="22"/>
      <c r="AG32" s="1573">
        <f>ROUND(SUM(+AG27+AG22+AG30),1)</f>
        <v>781.9</v>
      </c>
      <c r="AH32" s="23"/>
      <c r="AI32" s="132"/>
      <c r="AJ32" s="1573">
        <f>ROUND(SUM(+AJ27+AJ22+AJ30),1)</f>
        <v>228.2</v>
      </c>
      <c r="AK32" s="389"/>
      <c r="AL32" s="666">
        <f>ROUND(IF(AG32=0,1,AJ32/ABS(AG32)),3)</f>
        <v>0.29199999999999998</v>
      </c>
    </row>
    <row r="33" spans="1:38">
      <c r="A33" s="353"/>
      <c r="B33" s="353"/>
      <c r="C33" s="353"/>
      <c r="D33" s="353"/>
      <c r="E33" s="336"/>
      <c r="F33" s="325"/>
      <c r="G33" s="336"/>
      <c r="H33" s="325"/>
      <c r="I33" s="351"/>
      <c r="J33" s="325"/>
      <c r="K33" s="351"/>
      <c r="L33" s="325"/>
      <c r="M33" s="325"/>
      <c r="N33" s="325"/>
      <c r="O33" s="325"/>
      <c r="P33" s="325"/>
      <c r="Q33" s="351"/>
      <c r="R33" s="325"/>
      <c r="S33" s="351"/>
      <c r="T33" s="325"/>
      <c r="U33" s="351"/>
      <c r="V33" s="325"/>
      <c r="W33" s="351"/>
      <c r="X33" s="325"/>
      <c r="Y33" s="351"/>
      <c r="Z33" s="325"/>
      <c r="AA33" s="351"/>
      <c r="AB33" s="325"/>
      <c r="AC33" s="647"/>
      <c r="AD33" s="325"/>
      <c r="AE33" s="2057"/>
      <c r="AF33" s="469"/>
      <c r="AG33" s="325"/>
      <c r="AH33" s="348"/>
      <c r="AI33" s="132"/>
      <c r="AJ33" s="348"/>
      <c r="AK33" s="130"/>
      <c r="AL33" s="327"/>
    </row>
    <row r="34" spans="1:38">
      <c r="A34" s="353"/>
      <c r="B34" s="2006" t="s">
        <v>412</v>
      </c>
      <c r="C34" s="353"/>
      <c r="D34" s="353"/>
      <c r="E34" s="351"/>
      <c r="F34" s="325"/>
      <c r="G34" s="351"/>
      <c r="H34" s="325"/>
      <c r="I34" s="351"/>
      <c r="J34" s="325"/>
      <c r="K34" s="351"/>
      <c r="L34" s="325"/>
      <c r="M34" s="325"/>
      <c r="N34" s="325"/>
      <c r="O34" s="325"/>
      <c r="P34" s="325"/>
      <c r="Q34" s="351"/>
      <c r="R34" s="325"/>
      <c r="S34" s="351"/>
      <c r="T34" s="325"/>
      <c r="U34" s="351"/>
      <c r="V34" s="325"/>
      <c r="W34" s="351"/>
      <c r="X34" s="325"/>
      <c r="Y34" s="351"/>
      <c r="Z34" s="325"/>
      <c r="AA34" s="351"/>
      <c r="AB34" s="325"/>
      <c r="AC34" s="647"/>
      <c r="AD34" s="325"/>
      <c r="AE34" s="2045"/>
      <c r="AF34" s="325"/>
      <c r="AG34" s="325"/>
      <c r="AH34" s="348"/>
      <c r="AI34" s="132"/>
      <c r="AJ34" s="348"/>
      <c r="AK34" s="52"/>
      <c r="AL34" s="131"/>
    </row>
    <row r="35" spans="1:38">
      <c r="A35" s="353"/>
      <c r="B35" s="427" t="s">
        <v>413</v>
      </c>
      <c r="C35" s="353"/>
      <c r="D35" s="353"/>
      <c r="E35" s="351"/>
      <c r="F35" s="325"/>
      <c r="G35" s="351"/>
      <c r="H35" s="325"/>
      <c r="I35" s="351"/>
      <c r="J35" s="325"/>
      <c r="K35" s="351"/>
      <c r="L35" s="325"/>
      <c r="M35" s="325"/>
      <c r="N35" s="325"/>
      <c r="O35" s="325"/>
      <c r="P35" s="325"/>
      <c r="Q35" s="351"/>
      <c r="R35" s="325"/>
      <c r="S35" s="351"/>
      <c r="T35" s="325"/>
      <c r="U35" s="351"/>
      <c r="V35" s="325"/>
      <c r="W35" s="351"/>
      <c r="X35" s="325"/>
      <c r="Y35" s="351"/>
      <c r="Z35" s="325"/>
      <c r="AA35" s="351"/>
      <c r="AB35" s="325"/>
      <c r="AC35" s="647"/>
      <c r="AD35" s="325"/>
      <c r="AE35" s="2045"/>
      <c r="AF35" s="325"/>
      <c r="AG35" s="325"/>
      <c r="AH35" s="348"/>
      <c r="AI35" s="132"/>
      <c r="AJ35" s="348"/>
      <c r="AK35" s="52"/>
      <c r="AL35" s="131"/>
    </row>
    <row r="36" spans="1:38">
      <c r="A36" s="353"/>
      <c r="B36" s="427" t="s">
        <v>594</v>
      </c>
      <c r="C36" s="353"/>
      <c r="D36" s="353"/>
      <c r="E36" s="325">
        <v>0</v>
      </c>
      <c r="F36" s="325"/>
      <c r="G36" s="325">
        <v>0</v>
      </c>
      <c r="H36" s="325"/>
      <c r="I36" s="325">
        <v>23</v>
      </c>
      <c r="J36" s="325"/>
      <c r="K36" s="325">
        <v>0</v>
      </c>
      <c r="L36" s="689"/>
      <c r="M36" s="325">
        <v>0</v>
      </c>
      <c r="N36" s="689"/>
      <c r="O36" s="325">
        <v>0</v>
      </c>
      <c r="P36" s="689"/>
      <c r="Q36" s="325">
        <v>0</v>
      </c>
      <c r="R36" s="689"/>
      <c r="S36" s="325">
        <f t="shared" ref="S36" si="4">$AD36-$E36-$G36-$I36-$K36-$M36-$O36-$Q36</f>
        <v>0</v>
      </c>
      <c r="T36" s="689"/>
      <c r="U36" s="325"/>
      <c r="V36" s="689"/>
      <c r="W36" s="325"/>
      <c r="X36" s="689"/>
      <c r="Y36" s="325"/>
      <c r="Z36" s="689"/>
      <c r="AA36" s="325"/>
      <c r="AB36" s="325"/>
      <c r="AC36" s="647"/>
      <c r="AD36" s="325">
        <v>23</v>
      </c>
      <c r="AE36" s="2045"/>
      <c r="AF36" s="325"/>
      <c r="AG36" s="325">
        <v>23</v>
      </c>
      <c r="AH36" s="348"/>
      <c r="AI36" s="132"/>
      <c r="AJ36" s="325">
        <f t="shared" ref="AJ36:AJ59" si="5">ROUND(AD36-AG36,1)</f>
        <v>0</v>
      </c>
      <c r="AK36" s="52"/>
      <c r="AL36" s="327">
        <f>ROUND(IF(AG36=0,0,AJ36/ABS(AG36)),3)</f>
        <v>0</v>
      </c>
    </row>
    <row r="37" spans="1:38">
      <c r="A37" s="353"/>
      <c r="B37" s="427" t="s">
        <v>416</v>
      </c>
      <c r="C37" s="353"/>
      <c r="D37" s="353"/>
      <c r="E37" s="325" t="s">
        <v>104</v>
      </c>
      <c r="F37" s="325"/>
      <c r="G37" s="325"/>
      <c r="H37" s="325"/>
      <c r="I37" s="325"/>
      <c r="J37" s="325"/>
      <c r="K37" s="325" t="s">
        <v>104</v>
      </c>
      <c r="L37" s="689"/>
      <c r="M37" s="325"/>
      <c r="N37" s="689"/>
      <c r="O37" s="325"/>
      <c r="P37" s="689"/>
      <c r="Q37" s="325"/>
      <c r="R37" s="689"/>
      <c r="S37" s="325"/>
      <c r="T37" s="689"/>
      <c r="U37" s="325"/>
      <c r="V37" s="689"/>
      <c r="W37" s="325"/>
      <c r="X37" s="689"/>
      <c r="Y37" s="325"/>
      <c r="Z37" s="689"/>
      <c r="AA37" s="325"/>
      <c r="AB37" s="325"/>
      <c r="AC37" s="647"/>
      <c r="AD37" s="351" t="s">
        <v>104</v>
      </c>
      <c r="AE37" s="2045"/>
      <c r="AF37" s="325"/>
      <c r="AG37" s="351" t="s">
        <v>104</v>
      </c>
      <c r="AH37" s="348"/>
      <c r="AI37" s="132"/>
      <c r="AJ37" s="325"/>
      <c r="AK37" s="52"/>
      <c r="AL37" s="131"/>
    </row>
    <row r="38" spans="1:38">
      <c r="A38" s="353"/>
      <c r="B38" s="427" t="s">
        <v>514</v>
      </c>
      <c r="C38" s="353"/>
      <c r="D38" s="353"/>
      <c r="E38" s="325">
        <v>6.6999999999999993</v>
      </c>
      <c r="F38" s="325"/>
      <c r="G38" s="325">
        <v>5.5</v>
      </c>
      <c r="H38" s="325"/>
      <c r="I38" s="325">
        <v>5.9000000000000021</v>
      </c>
      <c r="J38" s="325"/>
      <c r="K38" s="325">
        <v>5.3999999999999986</v>
      </c>
      <c r="L38" s="689"/>
      <c r="M38" s="325">
        <v>5.1999999999999993</v>
      </c>
      <c r="N38" s="689"/>
      <c r="O38" s="325">
        <v>5.5000000000000036</v>
      </c>
      <c r="P38" s="689"/>
      <c r="Q38" s="325">
        <v>5.4999999999999964</v>
      </c>
      <c r="R38" s="689"/>
      <c r="S38" s="325">
        <f t="shared" ref="S38" si="6">$AD38-$E38-$G38-$I38-$K38-$M38-$O38-$Q38</f>
        <v>5.2999999999999972</v>
      </c>
      <c r="T38" s="689"/>
      <c r="U38" s="325"/>
      <c r="V38" s="689"/>
      <c r="W38" s="325"/>
      <c r="X38" s="689"/>
      <c r="Y38" s="325"/>
      <c r="Z38" s="689"/>
      <c r="AA38" s="325"/>
      <c r="AB38" s="325"/>
      <c r="AC38" s="647"/>
      <c r="AD38" s="325">
        <v>45</v>
      </c>
      <c r="AE38" s="2045"/>
      <c r="AF38" s="325"/>
      <c r="AG38" s="325">
        <v>45.8</v>
      </c>
      <c r="AH38" s="348"/>
      <c r="AI38" s="132"/>
      <c r="AJ38" s="325">
        <f t="shared" si="5"/>
        <v>-0.8</v>
      </c>
      <c r="AK38" s="52"/>
      <c r="AL38" s="327">
        <f>ROUND(IF(AG38=0,0,AJ38/ABS(AG38)),3)</f>
        <v>-1.7000000000000001E-2</v>
      </c>
    </row>
    <row r="39" spans="1:38">
      <c r="A39" s="353"/>
      <c r="B39" s="427" t="s">
        <v>421</v>
      </c>
      <c r="C39" s="353"/>
      <c r="D39" s="353"/>
      <c r="E39" s="325" t="s">
        <v>104</v>
      </c>
      <c r="F39" s="325"/>
      <c r="G39" s="325"/>
      <c r="H39" s="325"/>
      <c r="I39" s="325"/>
      <c r="J39" s="325"/>
      <c r="K39" s="325" t="s">
        <v>104</v>
      </c>
      <c r="L39" s="689"/>
      <c r="M39" s="325"/>
      <c r="N39" s="689"/>
      <c r="O39" s="325"/>
      <c r="P39" s="689"/>
      <c r="Q39" s="325"/>
      <c r="R39" s="689"/>
      <c r="S39" s="325"/>
      <c r="T39" s="689"/>
      <c r="U39" s="325"/>
      <c r="V39" s="689"/>
      <c r="W39" s="325"/>
      <c r="X39" s="689"/>
      <c r="Y39" s="325"/>
      <c r="Z39" s="689"/>
      <c r="AA39" s="325"/>
      <c r="AB39" s="325"/>
      <c r="AC39" s="647"/>
      <c r="AD39" s="351" t="s">
        <v>104</v>
      </c>
      <c r="AE39" s="2045"/>
      <c r="AF39" s="325"/>
      <c r="AG39" s="351" t="s">
        <v>104</v>
      </c>
      <c r="AH39" s="348"/>
      <c r="AI39" s="132"/>
      <c r="AJ39" s="325"/>
      <c r="AK39" s="52"/>
      <c r="AL39" s="131"/>
    </row>
    <row r="40" spans="1:38">
      <c r="A40" s="353"/>
      <c r="B40" s="427" t="s">
        <v>517</v>
      </c>
      <c r="C40" s="353"/>
      <c r="D40" s="353"/>
      <c r="E40" s="325">
        <v>1.4000000000000001</v>
      </c>
      <c r="F40" s="325"/>
      <c r="G40" s="325">
        <v>3.1999999999999993</v>
      </c>
      <c r="H40" s="325"/>
      <c r="I40" s="325">
        <v>1.8000000000000007</v>
      </c>
      <c r="J40" s="325"/>
      <c r="K40" s="325">
        <v>1.9000000000000004</v>
      </c>
      <c r="L40" s="689"/>
      <c r="M40" s="325">
        <v>8.5</v>
      </c>
      <c r="N40" s="689"/>
      <c r="O40" s="325">
        <v>3.5000000000000018</v>
      </c>
      <c r="P40" s="689"/>
      <c r="Q40" s="325">
        <v>5.3000000000000025</v>
      </c>
      <c r="R40" s="689"/>
      <c r="S40" s="325">
        <f t="shared" ref="S40:S59" si="7">$AD40-$E40-$G40-$I40-$K40-$M40-$O40-$Q40</f>
        <v>4.1999999999999957</v>
      </c>
      <c r="T40" s="689"/>
      <c r="U40" s="325"/>
      <c r="V40" s="689"/>
      <c r="W40" s="325"/>
      <c r="X40" s="689"/>
      <c r="Y40" s="325"/>
      <c r="Z40" s="689"/>
      <c r="AA40" s="325"/>
      <c r="AB40" s="325"/>
      <c r="AC40" s="647"/>
      <c r="AD40" s="325">
        <v>29.8</v>
      </c>
      <c r="AE40" s="2045"/>
      <c r="AF40" s="325"/>
      <c r="AG40" s="325">
        <v>21.7</v>
      </c>
      <c r="AH40" s="348"/>
      <c r="AI40" s="132"/>
      <c r="AJ40" s="325">
        <f t="shared" si="5"/>
        <v>8.1</v>
      </c>
      <c r="AK40" s="52"/>
      <c r="AL40" s="327">
        <f>ROUND(IF(AG40=0,0,AJ40/ABS(AG40)),3)</f>
        <v>0.373</v>
      </c>
    </row>
    <row r="41" spans="1:38">
      <c r="A41" s="353"/>
      <c r="B41" s="427" t="s">
        <v>595</v>
      </c>
      <c r="C41" s="353"/>
      <c r="D41" s="353"/>
      <c r="E41" s="325">
        <v>0</v>
      </c>
      <c r="F41" s="325"/>
      <c r="G41" s="325">
        <v>0</v>
      </c>
      <c r="H41" s="325"/>
      <c r="I41" s="325">
        <v>0</v>
      </c>
      <c r="J41" s="325"/>
      <c r="K41" s="325">
        <v>0</v>
      </c>
      <c r="L41" s="689"/>
      <c r="M41" s="325">
        <v>0</v>
      </c>
      <c r="N41" s="689"/>
      <c r="O41" s="325">
        <v>0</v>
      </c>
      <c r="P41" s="689"/>
      <c r="Q41" s="325">
        <v>0</v>
      </c>
      <c r="R41" s="689"/>
      <c r="S41" s="325">
        <f t="shared" si="7"/>
        <v>0</v>
      </c>
      <c r="T41" s="689"/>
      <c r="U41" s="325"/>
      <c r="V41" s="689"/>
      <c r="W41" s="325"/>
      <c r="X41" s="689"/>
      <c r="Y41" s="325"/>
      <c r="Z41" s="689"/>
      <c r="AA41" s="325"/>
      <c r="AB41" s="325"/>
      <c r="AC41" s="647"/>
      <c r="AD41" s="325">
        <v>0</v>
      </c>
      <c r="AE41" s="2045"/>
      <c r="AF41" s="325"/>
      <c r="AG41" s="325">
        <v>0</v>
      </c>
      <c r="AH41" s="348"/>
      <c r="AI41" s="132"/>
      <c r="AJ41" s="325">
        <f>ROUND(AD41-AG41,1)</f>
        <v>0</v>
      </c>
      <c r="AK41" s="52"/>
      <c r="AL41" s="327">
        <f>ROUND(IF(AG41=0,0,AJ41/ABS(AG41)),3)</f>
        <v>0</v>
      </c>
    </row>
    <row r="42" spans="1:38">
      <c r="A42" s="353"/>
      <c r="B42" s="427" t="s">
        <v>520</v>
      </c>
      <c r="C42" s="353"/>
      <c r="D42" s="353"/>
      <c r="E42" s="325">
        <v>63.8</v>
      </c>
      <c r="F42" s="325"/>
      <c r="G42" s="325">
        <v>61.600000000000009</v>
      </c>
      <c r="H42" s="325"/>
      <c r="I42" s="325">
        <v>63.900000000000006</v>
      </c>
      <c r="J42" s="325"/>
      <c r="K42" s="325">
        <v>52.199999999999974</v>
      </c>
      <c r="L42" s="689"/>
      <c r="M42" s="325">
        <v>55.600000000000009</v>
      </c>
      <c r="N42" s="689"/>
      <c r="O42" s="325">
        <v>64.899999999999977</v>
      </c>
      <c r="P42" s="689"/>
      <c r="Q42" s="325">
        <v>51.399999999999991</v>
      </c>
      <c r="R42" s="689"/>
      <c r="S42" s="325">
        <f t="shared" si="7"/>
        <v>52.3</v>
      </c>
      <c r="T42" s="689"/>
      <c r="U42" s="325"/>
      <c r="V42" s="689"/>
      <c r="W42" s="325"/>
      <c r="X42" s="689"/>
      <c r="Y42" s="325"/>
      <c r="Z42" s="689"/>
      <c r="AA42" s="325"/>
      <c r="AB42" s="325"/>
      <c r="AC42" s="647"/>
      <c r="AD42" s="325">
        <v>465.70000000000005</v>
      </c>
      <c r="AE42" s="2045"/>
      <c r="AF42" s="325"/>
      <c r="AG42" s="325">
        <v>445.1</v>
      </c>
      <c r="AH42" s="348"/>
      <c r="AI42" s="132"/>
      <c r="AJ42" s="325">
        <f t="shared" si="5"/>
        <v>20.6</v>
      </c>
      <c r="AK42" s="52"/>
      <c r="AL42" s="327">
        <f>ROUND(IF(AG42=0,0,AJ42/ABS(AG42)),3)</f>
        <v>4.5999999999999999E-2</v>
      </c>
    </row>
    <row r="43" spans="1:38">
      <c r="A43" s="353"/>
      <c r="B43" s="427" t="s">
        <v>521</v>
      </c>
      <c r="C43" s="353"/>
      <c r="D43" s="353"/>
      <c r="E43" s="325">
        <v>0.2</v>
      </c>
      <c r="F43" s="325"/>
      <c r="G43" s="325">
        <v>0.3</v>
      </c>
      <c r="H43" s="325"/>
      <c r="I43" s="325">
        <v>1.5</v>
      </c>
      <c r="J43" s="325"/>
      <c r="K43" s="325">
        <v>6.3000000000000016</v>
      </c>
      <c r="L43" s="689"/>
      <c r="M43" s="325">
        <v>0.59999999999999876</v>
      </c>
      <c r="N43" s="689"/>
      <c r="O43" s="325">
        <v>1.2999999999999989</v>
      </c>
      <c r="P43" s="689"/>
      <c r="Q43" s="325">
        <v>0</v>
      </c>
      <c r="R43" s="689"/>
      <c r="S43" s="325">
        <f t="shared" si="7"/>
        <v>14.000000000000002</v>
      </c>
      <c r="T43" s="689"/>
      <c r="U43" s="325"/>
      <c r="V43" s="689"/>
      <c r="W43" s="325"/>
      <c r="X43" s="689"/>
      <c r="Y43" s="325"/>
      <c r="Z43" s="689"/>
      <c r="AA43" s="325"/>
      <c r="AB43" s="325"/>
      <c r="AC43" s="647"/>
      <c r="AD43" s="325">
        <v>24.2</v>
      </c>
      <c r="AE43" s="2045"/>
      <c r="AF43" s="325"/>
      <c r="AG43" s="325">
        <v>24.9</v>
      </c>
      <c r="AH43" s="348"/>
      <c r="AI43" s="132"/>
      <c r="AJ43" s="325">
        <f t="shared" si="5"/>
        <v>-0.7</v>
      </c>
      <c r="AK43" s="52"/>
      <c r="AL43" s="670">
        <f>ROUND(IF(AG43=0,1,AJ43/ABS(AG43)),3)</f>
        <v>-2.8000000000000001E-2</v>
      </c>
    </row>
    <row r="44" spans="1:38">
      <c r="A44" s="353"/>
      <c r="B44" s="427" t="s">
        <v>429</v>
      </c>
      <c r="C44" s="353"/>
      <c r="D44" s="353"/>
      <c r="E44" s="325">
        <v>2.4</v>
      </c>
      <c r="F44" s="325"/>
      <c r="G44" s="325">
        <v>2.4</v>
      </c>
      <c r="H44" s="325"/>
      <c r="I44" s="325">
        <v>5.0999999999999996</v>
      </c>
      <c r="J44" s="325"/>
      <c r="K44" s="325">
        <v>4.1999999999999993</v>
      </c>
      <c r="L44" s="689"/>
      <c r="M44" s="325">
        <v>2.0000000000000018</v>
      </c>
      <c r="N44" s="689"/>
      <c r="O44" s="325">
        <v>3.0999999999999996</v>
      </c>
      <c r="P44" s="689"/>
      <c r="Q44" s="325">
        <v>3.7000000000000011</v>
      </c>
      <c r="R44" s="689"/>
      <c r="S44" s="325">
        <f t="shared" si="7"/>
        <v>2.4000000000000021</v>
      </c>
      <c r="T44" s="689"/>
      <c r="U44" s="325"/>
      <c r="V44" s="689"/>
      <c r="W44" s="325"/>
      <c r="X44" s="689"/>
      <c r="Y44" s="325"/>
      <c r="Z44" s="689"/>
      <c r="AA44" s="325"/>
      <c r="AB44" s="325"/>
      <c r="AC44" s="647"/>
      <c r="AD44" s="325">
        <v>25.3</v>
      </c>
      <c r="AE44" s="2045"/>
      <c r="AF44" s="325"/>
      <c r="AG44" s="325">
        <v>15.1</v>
      </c>
      <c r="AH44" s="348"/>
      <c r="AI44" s="132"/>
      <c r="AJ44" s="325">
        <f t="shared" si="5"/>
        <v>10.199999999999999</v>
      </c>
      <c r="AK44" s="52"/>
      <c r="AL44" s="670">
        <f>ROUND(IF(AG44=0,1,AJ44/ABS(AG44)),3)</f>
        <v>0.67500000000000004</v>
      </c>
    </row>
    <row r="45" spans="1:38">
      <c r="A45" s="353"/>
      <c r="B45" s="427" t="s">
        <v>435</v>
      </c>
      <c r="C45" s="353"/>
      <c r="D45" s="353"/>
      <c r="E45" s="325">
        <v>2.4</v>
      </c>
      <c r="F45" s="325"/>
      <c r="G45" s="325">
        <v>2.6999999999999997</v>
      </c>
      <c r="H45" s="325"/>
      <c r="I45" s="325">
        <v>2.9999999999999996</v>
      </c>
      <c r="J45" s="325"/>
      <c r="K45" s="325">
        <v>3.2000000000000015</v>
      </c>
      <c r="L45" s="689"/>
      <c r="M45" s="325">
        <v>3.5999999999999992</v>
      </c>
      <c r="N45" s="689"/>
      <c r="O45" s="325">
        <v>3.6000000000000019</v>
      </c>
      <c r="P45" s="689"/>
      <c r="Q45" s="325">
        <v>3.4999999999999996</v>
      </c>
      <c r="R45" s="689"/>
      <c r="S45" s="325">
        <f t="shared" si="7"/>
        <v>3.6999999999999997</v>
      </c>
      <c r="T45" s="689"/>
      <c r="U45" s="325"/>
      <c r="V45" s="689"/>
      <c r="W45" s="325"/>
      <c r="X45" s="689"/>
      <c r="Y45" s="325"/>
      <c r="Z45" s="689"/>
      <c r="AA45" s="325"/>
      <c r="AB45" s="325"/>
      <c r="AC45" s="647"/>
      <c r="AD45" s="325">
        <v>25.7</v>
      </c>
      <c r="AE45" s="2045"/>
      <c r="AF45" s="325"/>
      <c r="AG45" s="325">
        <v>4.9000000000000004</v>
      </c>
      <c r="AH45" s="348"/>
      <c r="AI45" s="132"/>
      <c r="AJ45" s="325">
        <f t="shared" si="5"/>
        <v>20.8</v>
      </c>
      <c r="AK45" s="52"/>
      <c r="AL45" s="1289">
        <f>ROUND(IF(AG45=0,1,AJ45/ABS(AG45)),3)</f>
        <v>4.2450000000000001</v>
      </c>
    </row>
    <row r="46" spans="1:38">
      <c r="A46" s="353"/>
      <c r="B46" s="427" t="s">
        <v>436</v>
      </c>
      <c r="C46" s="353"/>
      <c r="D46" s="353"/>
      <c r="E46" s="325">
        <v>0</v>
      </c>
      <c r="F46" s="325"/>
      <c r="G46" s="325">
        <v>0</v>
      </c>
      <c r="H46" s="325"/>
      <c r="I46" s="325">
        <v>0</v>
      </c>
      <c r="J46" s="325"/>
      <c r="K46" s="325">
        <v>0</v>
      </c>
      <c r="L46" s="689"/>
      <c r="M46" s="325">
        <v>0</v>
      </c>
      <c r="N46" s="689"/>
      <c r="O46" s="325">
        <v>0</v>
      </c>
      <c r="P46" s="689"/>
      <c r="Q46" s="325">
        <v>0</v>
      </c>
      <c r="R46" s="689"/>
      <c r="S46" s="325">
        <f t="shared" si="7"/>
        <v>0</v>
      </c>
      <c r="T46" s="689"/>
      <c r="U46" s="325"/>
      <c r="V46" s="689"/>
      <c r="W46" s="325"/>
      <c r="X46" s="689"/>
      <c r="Y46" s="325"/>
      <c r="Z46" s="689"/>
      <c r="AA46" s="325"/>
      <c r="AB46" s="325"/>
      <c r="AC46" s="647"/>
      <c r="AD46" s="325">
        <v>0</v>
      </c>
      <c r="AE46" s="2045"/>
      <c r="AF46" s="325"/>
      <c r="AG46" s="325">
        <v>0.6</v>
      </c>
      <c r="AH46" s="348"/>
      <c r="AI46" s="132"/>
      <c r="AJ46" s="325">
        <f>ROUND(AD46-AG46,1)</f>
        <v>-0.6</v>
      </c>
      <c r="AK46" s="52"/>
      <c r="AL46" s="327">
        <f>ROUND(IF(AG46=0,0,AJ46/ABS(AG46)),3)</f>
        <v>-1</v>
      </c>
    </row>
    <row r="47" spans="1:38">
      <c r="A47" s="353"/>
      <c r="B47" s="427" t="s">
        <v>437</v>
      </c>
      <c r="C47" s="353"/>
      <c r="D47" s="353"/>
      <c r="E47" s="325" t="s">
        <v>104</v>
      </c>
      <c r="F47" s="325"/>
      <c r="G47" s="325"/>
      <c r="H47" s="325"/>
      <c r="I47" s="325"/>
      <c r="J47" s="325"/>
      <c r="K47" s="325" t="s">
        <v>104</v>
      </c>
      <c r="L47" s="689"/>
      <c r="M47" s="325"/>
      <c r="N47" s="689"/>
      <c r="O47" s="325"/>
      <c r="P47" s="689"/>
      <c r="Q47" s="325"/>
      <c r="R47" s="689"/>
      <c r="S47" s="325"/>
      <c r="T47" s="689"/>
      <c r="U47" s="325"/>
      <c r="V47" s="689"/>
      <c r="W47" s="325"/>
      <c r="X47" s="689"/>
      <c r="Y47" s="325"/>
      <c r="Z47" s="689"/>
      <c r="AA47" s="325"/>
      <c r="AB47" s="325"/>
      <c r="AC47" s="647"/>
      <c r="AD47" s="351" t="s">
        <v>104</v>
      </c>
      <c r="AE47" s="2045"/>
      <c r="AF47" s="325"/>
      <c r="AG47" s="351" t="s">
        <v>104</v>
      </c>
      <c r="AH47" s="348"/>
      <c r="AI47" s="132"/>
      <c r="AJ47" s="325"/>
      <c r="AK47" s="52"/>
      <c r="AL47" s="131"/>
    </row>
    <row r="48" spans="1:38">
      <c r="A48" s="353"/>
      <c r="B48" s="427" t="s">
        <v>525</v>
      </c>
      <c r="C48" s="353"/>
      <c r="D48" s="353"/>
      <c r="E48" s="325">
        <v>189.2</v>
      </c>
      <c r="F48" s="325"/>
      <c r="G48" s="325">
        <v>559.5</v>
      </c>
      <c r="H48" s="325"/>
      <c r="I48" s="325">
        <v>323</v>
      </c>
      <c r="J48" s="325"/>
      <c r="K48" s="325">
        <v>725.89999999999986</v>
      </c>
      <c r="L48" s="689"/>
      <c r="M48" s="325">
        <v>336.90000000000009</v>
      </c>
      <c r="N48" s="689"/>
      <c r="O48" s="325">
        <v>695.60000000000014</v>
      </c>
      <c r="P48" s="689"/>
      <c r="Q48" s="325">
        <v>56.700000000000273</v>
      </c>
      <c r="R48" s="689"/>
      <c r="S48" s="325">
        <f t="shared" si="7"/>
        <v>3.2999999999997272</v>
      </c>
      <c r="T48" s="689"/>
      <c r="U48" s="325"/>
      <c r="V48" s="689"/>
      <c r="W48" s="325"/>
      <c r="X48" s="689"/>
      <c r="Y48" s="325"/>
      <c r="Z48" s="689"/>
      <c r="AA48" s="325"/>
      <c r="AB48" s="325"/>
      <c r="AC48" s="647"/>
      <c r="AD48" s="325">
        <v>2890.1</v>
      </c>
      <c r="AE48" s="2045"/>
      <c r="AF48" s="325"/>
      <c r="AG48" s="325">
        <v>4213.8999999999996</v>
      </c>
      <c r="AH48" s="348"/>
      <c r="AI48" s="132"/>
      <c r="AJ48" s="325">
        <f t="shared" si="5"/>
        <v>-1323.8</v>
      </c>
      <c r="AK48" s="52"/>
      <c r="AL48" s="1574">
        <f>ROUND(IF(AG48=0,0,AJ48/ABS(AG48)),3)</f>
        <v>-0.314</v>
      </c>
    </row>
    <row r="49" spans="1:41" s="474" customFormat="1">
      <c r="B49" s="427" t="s">
        <v>527</v>
      </c>
      <c r="C49" s="353"/>
      <c r="D49" s="353"/>
      <c r="E49" s="325">
        <v>0</v>
      </c>
      <c r="F49" s="351"/>
      <c r="G49" s="325">
        <v>0</v>
      </c>
      <c r="H49" s="351"/>
      <c r="I49" s="325">
        <v>0</v>
      </c>
      <c r="J49" s="351"/>
      <c r="K49" s="325">
        <v>0</v>
      </c>
      <c r="L49" s="689"/>
      <c r="M49" s="325">
        <v>0</v>
      </c>
      <c r="N49" s="689"/>
      <c r="O49" s="325">
        <v>0</v>
      </c>
      <c r="P49" s="689"/>
      <c r="Q49" s="325">
        <v>0</v>
      </c>
      <c r="R49" s="689"/>
      <c r="S49" s="325">
        <f t="shared" si="7"/>
        <v>0</v>
      </c>
      <c r="T49" s="689"/>
      <c r="U49" s="325"/>
      <c r="V49" s="689"/>
      <c r="W49" s="325"/>
      <c r="X49" s="689"/>
      <c r="Y49" s="325"/>
      <c r="Z49" s="689"/>
      <c r="AA49" s="325"/>
      <c r="AB49" s="325"/>
      <c r="AC49" s="647"/>
      <c r="AD49" s="325">
        <v>0</v>
      </c>
      <c r="AE49" s="2045"/>
      <c r="AF49" s="325"/>
      <c r="AG49" s="325">
        <v>0</v>
      </c>
      <c r="AH49" s="348"/>
      <c r="AI49" s="132"/>
      <c r="AJ49" s="325">
        <f t="shared" si="5"/>
        <v>0</v>
      </c>
      <c r="AK49" s="329"/>
      <c r="AL49" s="327">
        <f>ROUND(IF(AG49=0,0,AJ49/ABS(AG49)),3)</f>
        <v>0</v>
      </c>
    </row>
    <row r="50" spans="1:41">
      <c r="A50" s="353"/>
      <c r="B50" s="427" t="s">
        <v>528</v>
      </c>
      <c r="C50" s="353"/>
      <c r="D50" s="353"/>
      <c r="E50" s="325">
        <v>1.3</v>
      </c>
      <c r="F50" s="325"/>
      <c r="G50" s="325">
        <v>0.5</v>
      </c>
      <c r="H50" s="325"/>
      <c r="I50" s="325">
        <v>0.40000000000000013</v>
      </c>
      <c r="J50" s="325"/>
      <c r="K50" s="325">
        <v>0</v>
      </c>
      <c r="L50" s="689"/>
      <c r="M50" s="325">
        <v>0</v>
      </c>
      <c r="N50" s="689"/>
      <c r="O50" s="325">
        <v>0.19999999999999973</v>
      </c>
      <c r="P50" s="689"/>
      <c r="Q50" s="325">
        <v>0</v>
      </c>
      <c r="R50" s="689"/>
      <c r="S50" s="325">
        <f t="shared" si="7"/>
        <v>1.2</v>
      </c>
      <c r="T50" s="689"/>
      <c r="U50" s="325"/>
      <c r="V50" s="689"/>
      <c r="W50" s="325"/>
      <c r="X50" s="689"/>
      <c r="Y50" s="325"/>
      <c r="Z50" s="689"/>
      <c r="AA50" s="325"/>
      <c r="AB50" s="325"/>
      <c r="AC50" s="647"/>
      <c r="AD50" s="325">
        <v>3.6</v>
      </c>
      <c r="AE50" s="2045"/>
      <c r="AF50" s="325"/>
      <c r="AG50" s="325">
        <v>2</v>
      </c>
      <c r="AH50" s="348"/>
      <c r="AI50" s="132"/>
      <c r="AJ50" s="325">
        <f t="shared" si="5"/>
        <v>1.6</v>
      </c>
      <c r="AK50" s="52"/>
      <c r="AL50" s="670">
        <f>ROUND(IF(AG50=0,1,AJ50/ABS(AG50)),3)</f>
        <v>0.8</v>
      </c>
    </row>
    <row r="51" spans="1:41">
      <c r="A51" s="353"/>
      <c r="B51" s="427" t="s">
        <v>442</v>
      </c>
      <c r="C51" s="353"/>
      <c r="D51" s="353"/>
      <c r="E51" s="325">
        <v>0.7</v>
      </c>
      <c r="F51" s="325"/>
      <c r="G51" s="325">
        <v>2.0999999999999996</v>
      </c>
      <c r="H51" s="325"/>
      <c r="I51" s="325">
        <v>0.70000000000000018</v>
      </c>
      <c r="J51" s="325"/>
      <c r="K51" s="325">
        <v>0.29999999999999982</v>
      </c>
      <c r="L51" s="689"/>
      <c r="M51" s="325">
        <v>1.6000000000000005</v>
      </c>
      <c r="N51" s="689"/>
      <c r="O51" s="325">
        <v>0.79999999999999982</v>
      </c>
      <c r="P51" s="689"/>
      <c r="Q51" s="325">
        <v>0.89999999999999947</v>
      </c>
      <c r="R51" s="689"/>
      <c r="S51" s="325">
        <f t="shared" si="7"/>
        <v>1.8000000000000016</v>
      </c>
      <c r="T51" s="689"/>
      <c r="U51" s="325"/>
      <c r="V51" s="689"/>
      <c r="W51" s="325"/>
      <c r="X51" s="689"/>
      <c r="Y51" s="325"/>
      <c r="Z51" s="689"/>
      <c r="AA51" s="325"/>
      <c r="AB51" s="325"/>
      <c r="AC51" s="647"/>
      <c r="AD51" s="325">
        <v>8.9</v>
      </c>
      <c r="AE51" s="2045"/>
      <c r="AF51" s="325"/>
      <c r="AG51" s="325">
        <v>24.7</v>
      </c>
      <c r="AH51" s="348"/>
      <c r="AI51" s="132"/>
      <c r="AJ51" s="325">
        <f t="shared" si="5"/>
        <v>-15.8</v>
      </c>
      <c r="AK51" s="52"/>
      <c r="AL51" s="327">
        <f>ROUND(IF(AG51=0,0,AJ51/ABS(AG51)),3)</f>
        <v>-0.64</v>
      </c>
    </row>
    <row r="52" spans="1:41">
      <c r="A52" s="353"/>
      <c r="B52" s="427" t="s">
        <v>443</v>
      </c>
      <c r="C52" s="353"/>
      <c r="D52" s="353"/>
      <c r="E52" s="325" t="s">
        <v>104</v>
      </c>
      <c r="F52" s="325"/>
      <c r="G52" s="325"/>
      <c r="H52" s="325"/>
      <c r="I52" s="325"/>
      <c r="J52" s="325"/>
      <c r="K52" s="325" t="s">
        <v>104</v>
      </c>
      <c r="L52" s="689"/>
      <c r="M52" s="325"/>
      <c r="N52" s="689"/>
      <c r="O52" s="325"/>
      <c r="P52" s="689"/>
      <c r="Q52" s="325"/>
      <c r="R52" s="689"/>
      <c r="S52" s="325"/>
      <c r="T52" s="689"/>
      <c r="U52" s="325"/>
      <c r="V52" s="689"/>
      <c r="W52" s="325"/>
      <c r="X52" s="689"/>
      <c r="Y52" s="325"/>
      <c r="Z52" s="689"/>
      <c r="AA52" s="325"/>
      <c r="AB52" s="325"/>
      <c r="AC52" s="647"/>
      <c r="AD52" s="351" t="s">
        <v>104</v>
      </c>
      <c r="AE52" s="2045"/>
      <c r="AF52" s="325"/>
      <c r="AG52" s="351" t="s">
        <v>104</v>
      </c>
      <c r="AH52" s="348"/>
      <c r="AI52" s="132"/>
      <c r="AJ52" s="325"/>
      <c r="AK52" s="52"/>
      <c r="AL52" s="131"/>
    </row>
    <row r="53" spans="1:41">
      <c r="A53" s="353"/>
      <c r="B53" s="427" t="s">
        <v>529</v>
      </c>
      <c r="C53" s="353"/>
      <c r="D53" s="353"/>
      <c r="E53" s="325">
        <v>0</v>
      </c>
      <c r="F53" s="351"/>
      <c r="G53" s="325">
        <v>0</v>
      </c>
      <c r="H53" s="325"/>
      <c r="I53" s="325">
        <v>0</v>
      </c>
      <c r="J53" s="325"/>
      <c r="K53" s="325">
        <v>0</v>
      </c>
      <c r="L53" s="689"/>
      <c r="M53" s="325">
        <v>0</v>
      </c>
      <c r="N53" s="689"/>
      <c r="O53" s="325">
        <v>0</v>
      </c>
      <c r="P53" s="689"/>
      <c r="Q53" s="325">
        <v>0</v>
      </c>
      <c r="R53" s="689"/>
      <c r="S53" s="325">
        <f t="shared" si="7"/>
        <v>0</v>
      </c>
      <c r="T53" s="689"/>
      <c r="U53" s="325"/>
      <c r="V53" s="689"/>
      <c r="W53" s="325"/>
      <c r="X53" s="689"/>
      <c r="Y53" s="325"/>
      <c r="Z53" s="689"/>
      <c r="AA53" s="325"/>
      <c r="AB53" s="325"/>
      <c r="AC53" s="647"/>
      <c r="AD53" s="325">
        <v>0</v>
      </c>
      <c r="AE53" s="2045"/>
      <c r="AF53" s="325"/>
      <c r="AG53" s="325">
        <v>0</v>
      </c>
      <c r="AH53" s="348"/>
      <c r="AI53" s="132"/>
      <c r="AJ53" s="325">
        <f t="shared" si="5"/>
        <v>0</v>
      </c>
      <c r="AK53" s="52"/>
      <c r="AL53" s="327">
        <f>ROUND(IF(AG53=0,0,AJ53/ABS(AG53)),3)</f>
        <v>0</v>
      </c>
    </row>
    <row r="54" spans="1:41">
      <c r="A54" s="353"/>
      <c r="B54" s="427" t="s">
        <v>531</v>
      </c>
      <c r="C54" s="353"/>
      <c r="D54" s="353"/>
      <c r="E54" s="325">
        <v>3</v>
      </c>
      <c r="F54" s="351"/>
      <c r="G54" s="325">
        <v>0.5</v>
      </c>
      <c r="H54" s="325"/>
      <c r="I54" s="325">
        <v>0.59999999999999964</v>
      </c>
      <c r="J54" s="325"/>
      <c r="K54" s="325">
        <v>0.40000000000000036</v>
      </c>
      <c r="L54" s="689"/>
      <c r="M54" s="325">
        <v>1.0999999999999996</v>
      </c>
      <c r="N54" s="689"/>
      <c r="O54" s="325">
        <v>1.8000000000000007</v>
      </c>
      <c r="P54" s="689"/>
      <c r="Q54" s="325">
        <v>0</v>
      </c>
      <c r="R54" s="689"/>
      <c r="S54" s="325">
        <f t="shared" si="7"/>
        <v>0.59999999999999964</v>
      </c>
      <c r="T54" s="689"/>
      <c r="U54" s="325"/>
      <c r="V54" s="689"/>
      <c r="W54" s="325"/>
      <c r="X54" s="689"/>
      <c r="Y54" s="325"/>
      <c r="Z54" s="689"/>
      <c r="AA54" s="325"/>
      <c r="AB54" s="325"/>
      <c r="AC54" s="647"/>
      <c r="AD54" s="325">
        <v>8</v>
      </c>
      <c r="AE54" s="2045"/>
      <c r="AF54" s="325"/>
      <c r="AG54" s="325">
        <v>8.6</v>
      </c>
      <c r="AH54" s="348"/>
      <c r="AI54" s="132"/>
      <c r="AJ54" s="325">
        <f t="shared" si="5"/>
        <v>-0.6</v>
      </c>
      <c r="AK54" s="52"/>
      <c r="AL54" s="670">
        <f>ROUND(IF(AG54=0,1,AJ54/ABS(AG54)),3)</f>
        <v>-7.0000000000000007E-2</v>
      </c>
    </row>
    <row r="55" spans="1:41">
      <c r="A55" s="353"/>
      <c r="B55" s="427" t="s">
        <v>532</v>
      </c>
      <c r="C55" s="353"/>
      <c r="D55" s="353"/>
      <c r="E55" s="325">
        <v>5.6</v>
      </c>
      <c r="F55" s="351"/>
      <c r="G55" s="325">
        <v>16.399999999999999</v>
      </c>
      <c r="H55" s="325"/>
      <c r="I55" s="325">
        <v>11</v>
      </c>
      <c r="J55" s="325"/>
      <c r="K55" s="325">
        <v>5.7000000000000028</v>
      </c>
      <c r="L55" s="689"/>
      <c r="M55" s="325">
        <v>9.7999999999999972</v>
      </c>
      <c r="N55" s="689"/>
      <c r="O55" s="325">
        <v>4.7999999999999972</v>
      </c>
      <c r="P55" s="689"/>
      <c r="Q55" s="325">
        <v>6.6000000000000014</v>
      </c>
      <c r="R55" s="689"/>
      <c r="S55" s="325">
        <f t="shared" si="7"/>
        <v>9.1999999999999957</v>
      </c>
      <c r="T55" s="689"/>
      <c r="U55" s="325"/>
      <c r="V55" s="689"/>
      <c r="W55" s="325"/>
      <c r="X55" s="689"/>
      <c r="Y55" s="325"/>
      <c r="Z55" s="689"/>
      <c r="AA55" s="325"/>
      <c r="AB55" s="325"/>
      <c r="AC55" s="647"/>
      <c r="AD55" s="1200">
        <v>69.099999999999994</v>
      </c>
      <c r="AE55" s="2045"/>
      <c r="AF55" s="325"/>
      <c r="AG55" s="325">
        <v>56.6</v>
      </c>
      <c r="AH55" s="348"/>
      <c r="AI55" s="132"/>
      <c r="AJ55" s="325">
        <f t="shared" si="5"/>
        <v>12.5</v>
      </c>
      <c r="AK55" s="52"/>
      <c r="AL55" s="327">
        <f>ROUND(IF(AG55=0,1,AJ55/ABS(AG55)),3)</f>
        <v>0.221</v>
      </c>
    </row>
    <row r="56" spans="1:41">
      <c r="A56" s="353"/>
      <c r="B56" s="427" t="s">
        <v>534</v>
      </c>
      <c r="C56" s="353"/>
      <c r="D56" s="353"/>
      <c r="E56" s="325">
        <v>0</v>
      </c>
      <c r="F56" s="351"/>
      <c r="G56" s="325">
        <v>0</v>
      </c>
      <c r="H56" s="325"/>
      <c r="I56" s="325">
        <v>0</v>
      </c>
      <c r="J56" s="325"/>
      <c r="K56" s="325">
        <v>0</v>
      </c>
      <c r="L56" s="689"/>
      <c r="M56" s="325">
        <v>0</v>
      </c>
      <c r="N56" s="689"/>
      <c r="O56" s="325">
        <v>0</v>
      </c>
      <c r="P56" s="689"/>
      <c r="Q56" s="325">
        <v>0</v>
      </c>
      <c r="R56" s="689"/>
      <c r="S56" s="325">
        <f t="shared" si="7"/>
        <v>0</v>
      </c>
      <c r="T56" s="689"/>
      <c r="U56" s="325"/>
      <c r="V56" s="689"/>
      <c r="W56" s="325"/>
      <c r="X56" s="689"/>
      <c r="Y56" s="325"/>
      <c r="Z56" s="689"/>
      <c r="AA56" s="325"/>
      <c r="AB56" s="325"/>
      <c r="AC56" s="647"/>
      <c r="AD56" s="325">
        <v>0</v>
      </c>
      <c r="AE56" s="2045"/>
      <c r="AF56" s="325"/>
      <c r="AG56" s="325">
        <v>0</v>
      </c>
      <c r="AH56" s="348"/>
      <c r="AI56" s="132"/>
      <c r="AJ56" s="325">
        <f>ROUND(AD56-AG56,1)</f>
        <v>0</v>
      </c>
      <c r="AK56" s="52"/>
      <c r="AL56" s="327">
        <f>ROUND(IF(AG56=0,0,AJ56/ABS(AG56)),3)</f>
        <v>0</v>
      </c>
    </row>
    <row r="57" spans="1:41">
      <c r="A57" s="353"/>
      <c r="B57" s="427" t="s">
        <v>535</v>
      </c>
      <c r="C57" s="353"/>
      <c r="D57" s="353"/>
      <c r="E57" s="325">
        <v>0.3</v>
      </c>
      <c r="F57" s="351"/>
      <c r="G57" s="325">
        <v>0.39999999999999997</v>
      </c>
      <c r="H57" s="325"/>
      <c r="I57" s="325">
        <v>0.3</v>
      </c>
      <c r="J57" s="325"/>
      <c r="K57" s="325">
        <v>10.199999999999998</v>
      </c>
      <c r="L57" s="689"/>
      <c r="M57" s="325">
        <v>0.20000000000000107</v>
      </c>
      <c r="N57" s="689"/>
      <c r="O57" s="325">
        <v>0</v>
      </c>
      <c r="P57" s="689"/>
      <c r="Q57" s="325">
        <v>0.29999999999999893</v>
      </c>
      <c r="R57" s="689"/>
      <c r="S57" s="325">
        <f t="shared" si="7"/>
        <v>1.8000000000000007</v>
      </c>
      <c r="T57" s="689"/>
      <c r="U57" s="325"/>
      <c r="V57" s="689"/>
      <c r="W57" s="325"/>
      <c r="X57" s="689"/>
      <c r="Y57" s="325"/>
      <c r="Z57" s="689"/>
      <c r="AA57" s="325"/>
      <c r="AB57" s="325"/>
      <c r="AC57" s="647"/>
      <c r="AD57" s="325">
        <v>13.5</v>
      </c>
      <c r="AE57" s="2045"/>
      <c r="AF57" s="325"/>
      <c r="AG57" s="325">
        <v>9.1</v>
      </c>
      <c r="AH57" s="348"/>
      <c r="AI57" s="132"/>
      <c r="AJ57" s="325">
        <f t="shared" si="5"/>
        <v>4.4000000000000004</v>
      </c>
      <c r="AK57" s="52"/>
      <c r="AL57" s="1574">
        <f>ROUND(IF(AG57=0,1,AJ57/ABS(AG57)),3)</f>
        <v>0.48399999999999999</v>
      </c>
    </row>
    <row r="58" spans="1:41">
      <c r="A58" s="353"/>
      <c r="B58" s="427" t="s">
        <v>536</v>
      </c>
      <c r="C58" s="353"/>
      <c r="D58" s="353"/>
      <c r="E58" s="325">
        <v>5.5</v>
      </c>
      <c r="F58" s="351"/>
      <c r="G58" s="325">
        <v>2.0999999999999996</v>
      </c>
      <c r="H58" s="325"/>
      <c r="I58" s="325">
        <v>20.299999999999997</v>
      </c>
      <c r="J58" s="325"/>
      <c r="K58" s="325">
        <v>7.3000000000000043</v>
      </c>
      <c r="L58" s="689"/>
      <c r="M58" s="325">
        <v>1.3999999999999986</v>
      </c>
      <c r="N58" s="689"/>
      <c r="O58" s="325">
        <v>4.3999999999999986</v>
      </c>
      <c r="P58" s="689"/>
      <c r="Q58" s="325">
        <v>6.1000000000000014</v>
      </c>
      <c r="R58" s="689"/>
      <c r="S58" s="325">
        <f t="shared" si="7"/>
        <v>16.999999999999993</v>
      </c>
      <c r="T58" s="689"/>
      <c r="U58" s="325"/>
      <c r="V58" s="689"/>
      <c r="W58" s="325"/>
      <c r="X58" s="689"/>
      <c r="Y58" s="325"/>
      <c r="Z58" s="689"/>
      <c r="AA58" s="325"/>
      <c r="AB58" s="325"/>
      <c r="AC58" s="647"/>
      <c r="AD58" s="309">
        <v>64.099999999999994</v>
      </c>
      <c r="AE58" s="2045"/>
      <c r="AF58" s="325"/>
      <c r="AG58" s="309">
        <v>20.2</v>
      </c>
      <c r="AH58" s="348"/>
      <c r="AI58" s="132"/>
      <c r="AJ58" s="325">
        <f t="shared" si="5"/>
        <v>43.9</v>
      </c>
      <c r="AK58" s="52"/>
      <c r="AL58" s="670">
        <f>ROUND(IF(AG58=0,0,AJ58/ABS(AG58)),3)</f>
        <v>2.173</v>
      </c>
    </row>
    <row r="59" spans="1:41">
      <c r="A59" s="353"/>
      <c r="B59" s="427" t="s">
        <v>454</v>
      </c>
      <c r="C59" s="353"/>
      <c r="D59" s="353"/>
      <c r="E59" s="325">
        <v>0</v>
      </c>
      <c r="F59" s="351"/>
      <c r="G59" s="325">
        <v>0.2</v>
      </c>
      <c r="H59" s="325"/>
      <c r="I59" s="325">
        <v>9.9999999999999978E-2</v>
      </c>
      <c r="J59" s="325"/>
      <c r="K59" s="325">
        <v>0</v>
      </c>
      <c r="L59" s="689"/>
      <c r="M59" s="325">
        <v>0</v>
      </c>
      <c r="N59" s="689"/>
      <c r="O59" s="325">
        <v>0</v>
      </c>
      <c r="P59" s="689"/>
      <c r="Q59" s="325">
        <v>0.10000000000000003</v>
      </c>
      <c r="R59" s="689"/>
      <c r="S59" s="325">
        <f t="shared" si="7"/>
        <v>0.19999999999999996</v>
      </c>
      <c r="T59" s="689"/>
      <c r="U59" s="325"/>
      <c r="V59" s="689"/>
      <c r="W59" s="325"/>
      <c r="X59" s="689"/>
      <c r="Y59" s="325"/>
      <c r="Z59" s="689"/>
      <c r="AA59" s="325"/>
      <c r="AB59" s="325"/>
      <c r="AC59" s="647"/>
      <c r="AD59" s="309">
        <v>0.6</v>
      </c>
      <c r="AE59" s="2045"/>
      <c r="AF59" s="325"/>
      <c r="AG59" s="309">
        <v>0.3</v>
      </c>
      <c r="AH59" s="348"/>
      <c r="AI59" s="132"/>
      <c r="AJ59" s="325">
        <f t="shared" si="5"/>
        <v>0.3</v>
      </c>
      <c r="AK59" s="52"/>
      <c r="AL59" s="700">
        <f>ROUND(IF(AG59=0,0,AJ59/ABS(AG59)),3)</f>
        <v>1</v>
      </c>
      <c r="AN59" s="968"/>
    </row>
    <row r="60" spans="1:41" s="6" customFormat="1" collapsed="1">
      <c r="B60" s="118" t="s">
        <v>558</v>
      </c>
      <c r="E60" s="100">
        <f>ROUND(SUM(E34:E59),1)</f>
        <v>282.5</v>
      </c>
      <c r="F60" s="16"/>
      <c r="G60" s="100">
        <f>ROUND(SUM(G34:G59),1)</f>
        <v>657.4</v>
      </c>
      <c r="H60" s="499"/>
      <c r="I60" s="100">
        <f>ROUND(SUM(I34:I59),1)</f>
        <v>460.6</v>
      </c>
      <c r="J60" s="16"/>
      <c r="K60" s="100">
        <f>ROUND(SUM(K34:K59),1)</f>
        <v>823</v>
      </c>
      <c r="L60" s="325"/>
      <c r="M60" s="100">
        <f>ROUND(SUM(M34:M59),1)</f>
        <v>426.5</v>
      </c>
      <c r="N60" s="325"/>
      <c r="O60" s="100">
        <f>ROUND(SUM(O34:O59),1)</f>
        <v>789.5</v>
      </c>
      <c r="P60" s="325"/>
      <c r="Q60" s="100">
        <f>ROUND(SUM(Q34:Q59),1)</f>
        <v>140.1</v>
      </c>
      <c r="R60" s="325"/>
      <c r="S60" s="100">
        <f>ROUND(SUM(S34:S59),1)</f>
        <v>117</v>
      </c>
      <c r="T60" s="16"/>
      <c r="U60" s="100">
        <f>ROUND(SUM(U34:U59),1)</f>
        <v>0</v>
      </c>
      <c r="V60" s="325"/>
      <c r="W60" s="100">
        <f>ROUND(SUM(W34:W59),1)</f>
        <v>0</v>
      </c>
      <c r="X60" s="325"/>
      <c r="Y60" s="100">
        <f>ROUND(SUM(Y34:Y59),1)</f>
        <v>0</v>
      </c>
      <c r="Z60" s="325"/>
      <c r="AA60" s="100">
        <f>ROUND(SUM(AA34:AA59),1)</f>
        <v>0</v>
      </c>
      <c r="AB60" s="16"/>
      <c r="AC60" s="18"/>
      <c r="AD60" s="100">
        <f>ROUND(SUM(AD34:AD59),1)</f>
        <v>3696.6</v>
      </c>
      <c r="AE60" s="2048"/>
      <c r="AF60" s="16"/>
      <c r="AG60" s="100">
        <f>ROUND(SUM(AG34:AG59),1)</f>
        <v>4916.5</v>
      </c>
      <c r="AH60" s="23"/>
      <c r="AI60" s="132"/>
      <c r="AJ60" s="100">
        <f>ROUND(SUM(AJ34:AJ59),1)</f>
        <v>-1219.9000000000001</v>
      </c>
      <c r="AK60" s="51"/>
      <c r="AL60" s="665">
        <f>ROUND(IF(AG60=0,0,AJ60/ABS(AG60)),3)</f>
        <v>-0.248</v>
      </c>
    </row>
    <row r="61" spans="1:41" s="6" customFormat="1">
      <c r="B61" s="118"/>
      <c r="E61" s="16"/>
      <c r="F61" s="16"/>
      <c r="G61" s="16"/>
      <c r="H61" s="499"/>
      <c r="I61" s="16"/>
      <c r="J61" s="16"/>
      <c r="K61" s="16"/>
      <c r="L61" s="689"/>
      <c r="M61" s="635"/>
      <c r="N61" s="689"/>
      <c r="O61" s="635"/>
      <c r="P61" s="689"/>
      <c r="Q61" s="635"/>
      <c r="R61" s="689"/>
      <c r="S61" s="635"/>
      <c r="T61" s="689"/>
      <c r="U61" s="635"/>
      <c r="V61" s="689"/>
      <c r="W61" s="635"/>
      <c r="X61" s="689"/>
      <c r="Y61" s="635"/>
      <c r="Z61" s="689"/>
      <c r="AA61" s="635"/>
      <c r="AB61" s="16"/>
      <c r="AC61" s="18"/>
      <c r="AD61" s="16"/>
      <c r="AE61" s="2048"/>
      <c r="AF61" s="16"/>
      <c r="AG61" s="16"/>
      <c r="AH61" s="23"/>
      <c r="AI61" s="132"/>
      <c r="AJ61" s="16"/>
      <c r="AK61" s="51"/>
      <c r="AL61" s="107"/>
    </row>
    <row r="62" spans="1:41">
      <c r="A62" s="353"/>
      <c r="B62" s="353" t="s">
        <v>538</v>
      </c>
      <c r="C62" s="353"/>
      <c r="D62" s="353"/>
      <c r="E62" s="325">
        <v>0</v>
      </c>
      <c r="F62" s="325"/>
      <c r="G62" s="325">
        <v>0</v>
      </c>
      <c r="H62" s="325"/>
      <c r="I62" s="325">
        <v>0.1</v>
      </c>
      <c r="J62" s="325"/>
      <c r="K62" s="325">
        <v>0</v>
      </c>
      <c r="L62" s="309"/>
      <c r="M62" s="325">
        <v>2.1999999999999997</v>
      </c>
      <c r="N62" s="309"/>
      <c r="O62" s="325">
        <v>0</v>
      </c>
      <c r="P62" s="309"/>
      <c r="Q62" s="325">
        <v>0.10000000000000009</v>
      </c>
      <c r="R62" s="309"/>
      <c r="S62" s="325">
        <f t="shared" ref="S62" si="8">$AD62-$E62-$G62-$I62-$K62-$M62-$O62-$Q62</f>
        <v>0</v>
      </c>
      <c r="T62" s="1204"/>
      <c r="U62" s="325"/>
      <c r="V62" s="1204"/>
      <c r="W62" s="325"/>
      <c r="X62" s="1204"/>
      <c r="Y62" s="325"/>
      <c r="Z62" s="1204"/>
      <c r="AA62" s="325"/>
      <c r="AB62" s="353"/>
      <c r="AC62" s="647"/>
      <c r="AD62" s="325">
        <v>2.4</v>
      </c>
      <c r="AE62" s="2045"/>
      <c r="AF62" s="325"/>
      <c r="AG62" s="325">
        <v>2.2999999999999998</v>
      </c>
      <c r="AH62" s="348"/>
      <c r="AI62" s="133"/>
      <c r="AJ62" s="486">
        <f>ROUND(AD62-AG62,1)</f>
        <v>0.1</v>
      </c>
      <c r="AK62" s="52"/>
      <c r="AL62" s="1521">
        <f>ROUND(IF(AG62=0,1,AJ62/ABS(AG62)),3)</f>
        <v>4.2999999999999997E-2</v>
      </c>
    </row>
    <row r="63" spans="1:41">
      <c r="A63" s="353"/>
      <c r="B63" s="353"/>
      <c r="C63" s="353"/>
      <c r="D63" s="353"/>
      <c r="E63" s="783"/>
      <c r="F63" s="325"/>
      <c r="G63" s="783"/>
      <c r="H63" s="325"/>
      <c r="I63" s="783"/>
      <c r="J63" s="325"/>
      <c r="K63" s="783"/>
      <c r="L63" s="309"/>
      <c r="M63" s="783"/>
      <c r="N63" s="309"/>
      <c r="O63" s="783"/>
      <c r="P63" s="309"/>
      <c r="Q63" s="783"/>
      <c r="R63" s="309"/>
      <c r="S63" s="783"/>
      <c r="T63" s="309"/>
      <c r="U63" s="783"/>
      <c r="V63" s="309"/>
      <c r="W63" s="783"/>
      <c r="X63" s="309"/>
      <c r="Y63" s="783"/>
      <c r="Z63" s="309"/>
      <c r="AA63" s="783"/>
      <c r="AB63" s="353"/>
      <c r="AC63" s="647"/>
      <c r="AD63" s="783"/>
      <c r="AE63" s="2045"/>
      <c r="AF63" s="325"/>
      <c r="AG63" s="783"/>
      <c r="AH63" s="325"/>
      <c r="AI63" s="133"/>
      <c r="AJ63" s="325"/>
      <c r="AL63" s="327"/>
    </row>
    <row r="64" spans="1:41">
      <c r="A64" s="353"/>
      <c r="B64" s="6" t="s">
        <v>596</v>
      </c>
      <c r="C64" s="353"/>
      <c r="D64" s="353"/>
      <c r="E64" s="434">
        <f>ROUND(SUM(E32+E60+E62),1)</f>
        <v>383.5</v>
      </c>
      <c r="F64" s="16"/>
      <c r="G64" s="434">
        <f>ROUND(SUM(G32+G60+G62),1)</f>
        <v>758.2</v>
      </c>
      <c r="H64" s="16"/>
      <c r="I64" s="1751">
        <f>ROUND(SUM(I32+I60+I62),1)</f>
        <v>603.6</v>
      </c>
      <c r="J64" s="16"/>
      <c r="K64" s="1751">
        <f>ROUND(SUM(K32+K60+K62),1)</f>
        <v>949.4</v>
      </c>
      <c r="L64" s="16"/>
      <c r="M64" s="434">
        <f>ROUND(SUM(M32+M60+M62),1)</f>
        <v>550.20000000000005</v>
      </c>
      <c r="N64" s="16"/>
      <c r="O64" s="434">
        <f>ROUND(SUM(O32+O60+O62),1)</f>
        <v>957.7</v>
      </c>
      <c r="P64" s="16"/>
      <c r="Q64" s="434">
        <f>ROUND(SUM(Q32+Q60+Q62),1)</f>
        <v>267.39999999999998</v>
      </c>
      <c r="R64" s="16"/>
      <c r="S64" s="434">
        <f>ROUND(SUM(S32+S60+S62),1)</f>
        <v>239.1</v>
      </c>
      <c r="T64" s="16"/>
      <c r="U64" s="434">
        <f>ROUND(SUM(U32+U60+U62),1)</f>
        <v>0</v>
      </c>
      <c r="V64" s="16"/>
      <c r="W64" s="434">
        <f>ROUND(SUM(W32+W60+W62),1)</f>
        <v>0</v>
      </c>
      <c r="X64" s="16"/>
      <c r="Y64" s="434">
        <f>ROUND(SUM(Y32+Y60+Y62),1)</f>
        <v>0</v>
      </c>
      <c r="Z64" s="16"/>
      <c r="AA64" s="434">
        <f>ROUND(SUM(AA32+AA60+AA62),1)</f>
        <v>0</v>
      </c>
      <c r="AB64" s="16"/>
      <c r="AC64" s="18"/>
      <c r="AD64" s="434">
        <f>ROUND(SUM(AD32+AD60+AD62),1)</f>
        <v>4709.1000000000004</v>
      </c>
      <c r="AE64" s="2048"/>
      <c r="AF64" s="16"/>
      <c r="AG64" s="434">
        <f>ROUND(SUM(AG32+AG60+AG62),1)</f>
        <v>5700.7</v>
      </c>
      <c r="AH64" s="23"/>
      <c r="AI64" s="133"/>
      <c r="AJ64" s="434">
        <f>ROUND(SUM(AJ32+AJ60+AJ62),1)</f>
        <v>-991.6</v>
      </c>
      <c r="AK64" s="51"/>
      <c r="AL64" s="666">
        <f>ROUND(IF(AG64=0,0,AJ64/ABS(AG64)),3)</f>
        <v>-0.17399999999999999</v>
      </c>
      <c r="AM64" s="6"/>
      <c r="AO64" s="52"/>
    </row>
    <row r="65" spans="1:41">
      <c r="A65" s="353"/>
      <c r="B65" s="353"/>
      <c r="C65" s="353"/>
      <c r="D65" s="353"/>
      <c r="E65" s="325"/>
      <c r="F65" s="325"/>
      <c r="G65" s="783"/>
      <c r="H65" s="325"/>
      <c r="I65" s="783"/>
      <c r="J65" s="325"/>
      <c r="K65" s="783"/>
      <c r="L65" s="689"/>
      <c r="M65" s="635"/>
      <c r="N65" s="689"/>
      <c r="O65" s="635"/>
      <c r="P65" s="689"/>
      <c r="Q65" s="635"/>
      <c r="R65" s="689"/>
      <c r="S65" s="635"/>
      <c r="T65" s="689"/>
      <c r="U65" s="635"/>
      <c r="V65" s="689"/>
      <c r="W65" s="635"/>
      <c r="X65" s="689"/>
      <c r="Y65" s="635"/>
      <c r="Z65" s="689"/>
      <c r="AA65" s="635"/>
      <c r="AB65" s="2045"/>
      <c r="AC65" s="325"/>
      <c r="AD65" s="783"/>
      <c r="AE65" s="2045"/>
      <c r="AF65" s="325"/>
      <c r="AG65" s="783"/>
      <c r="AH65" s="325"/>
      <c r="AI65" s="133"/>
      <c r="AJ65" s="15"/>
      <c r="AL65" s="131"/>
    </row>
    <row r="66" spans="1:41">
      <c r="A66" s="353"/>
      <c r="B66" s="6" t="s">
        <v>123</v>
      </c>
      <c r="C66" s="353"/>
      <c r="D66" s="353"/>
      <c r="E66" s="325"/>
      <c r="F66" s="325"/>
      <c r="G66" s="325"/>
      <c r="H66" s="325"/>
      <c r="I66" s="325"/>
      <c r="J66" s="325"/>
      <c r="K66" s="325"/>
      <c r="L66" s="689"/>
      <c r="M66" s="635"/>
      <c r="N66" s="689"/>
      <c r="O66" s="635"/>
      <c r="P66" s="689"/>
      <c r="Q66" s="635"/>
      <c r="R66" s="689"/>
      <c r="S66" s="635"/>
      <c r="T66" s="689"/>
      <c r="U66" s="635"/>
      <c r="V66" s="689"/>
      <c r="W66" s="635"/>
      <c r="X66" s="689"/>
      <c r="Y66" s="635"/>
      <c r="Z66" s="689"/>
      <c r="AA66" s="635"/>
      <c r="AB66" s="2045"/>
      <c r="AC66" s="325"/>
      <c r="AD66" s="325"/>
      <c r="AE66" s="2045"/>
      <c r="AF66" s="325"/>
      <c r="AG66" s="325"/>
      <c r="AH66" s="325"/>
      <c r="AI66" s="133"/>
      <c r="AJ66" s="15"/>
      <c r="AL66" s="131"/>
    </row>
    <row r="67" spans="1:41">
      <c r="A67" s="353"/>
      <c r="B67" s="353" t="s">
        <v>481</v>
      </c>
      <c r="C67" s="353"/>
      <c r="D67" s="353"/>
      <c r="E67" s="325"/>
      <c r="F67" s="325"/>
      <c r="G67" s="325"/>
      <c r="H67" s="325"/>
      <c r="I67" s="325"/>
      <c r="J67" s="325"/>
      <c r="K67" s="325"/>
      <c r="L67" s="689"/>
      <c r="M67" s="635"/>
      <c r="N67" s="689"/>
      <c r="O67" s="635"/>
      <c r="P67" s="689"/>
      <c r="Q67" s="635"/>
      <c r="R67" s="689"/>
      <c r="S67" s="635"/>
      <c r="T67" s="689"/>
      <c r="U67" s="635"/>
      <c r="V67" s="689"/>
      <c r="W67" s="635"/>
      <c r="X67" s="689"/>
      <c r="Y67" s="635"/>
      <c r="Z67" s="689"/>
      <c r="AA67" s="635"/>
      <c r="AB67" s="325"/>
      <c r="AC67" s="647"/>
      <c r="AD67" s="325"/>
      <c r="AE67" s="2045"/>
      <c r="AF67" s="325"/>
      <c r="AG67" s="325"/>
      <c r="AH67" s="325"/>
      <c r="AI67" s="133"/>
      <c r="AJ67" s="15"/>
      <c r="AL67" s="131"/>
    </row>
    <row r="68" spans="1:41">
      <c r="A68" s="353"/>
      <c r="B68" s="353" t="s">
        <v>125</v>
      </c>
      <c r="C68" s="353"/>
      <c r="D68" s="353"/>
      <c r="E68" s="325">
        <v>7</v>
      </c>
      <c r="F68" s="325"/>
      <c r="G68" s="325">
        <v>26.9</v>
      </c>
      <c r="H68" s="325"/>
      <c r="I68" s="325">
        <v>10.600000000000001</v>
      </c>
      <c r="J68" s="325"/>
      <c r="K68" s="325">
        <v>18.100000000000001</v>
      </c>
      <c r="L68" s="689"/>
      <c r="M68" s="325">
        <v>3.3000000000000043</v>
      </c>
      <c r="N68" s="689"/>
      <c r="O68" s="325">
        <v>39.199999999999982</v>
      </c>
      <c r="P68" s="689"/>
      <c r="Q68" s="325">
        <v>230.5</v>
      </c>
      <c r="R68" s="689"/>
      <c r="S68" s="325">
        <f t="shared" ref="S68:S77" si="9">$AD68-$E68-$G68-$I68-$K68-$M68-$O68-$Q68</f>
        <v>5.0999999999999659</v>
      </c>
      <c r="T68" s="689"/>
      <c r="U68" s="325"/>
      <c r="V68" s="689"/>
      <c r="W68" s="325"/>
      <c r="X68" s="689"/>
      <c r="Y68" s="325"/>
      <c r="Z68" s="689"/>
      <c r="AA68" s="325"/>
      <c r="AB68" s="325"/>
      <c r="AC68" s="647"/>
      <c r="AD68" s="325">
        <v>340.7</v>
      </c>
      <c r="AE68" s="2045"/>
      <c r="AF68" s="325"/>
      <c r="AG68" s="325">
        <v>73.2</v>
      </c>
      <c r="AH68" s="348"/>
      <c r="AI68" s="132"/>
      <c r="AJ68" s="325">
        <f t="shared" ref="AJ68:AJ77" si="10">ROUND(AD68-AG68,1)</f>
        <v>267.5</v>
      </c>
      <c r="AK68" s="52"/>
      <c r="AL68" s="1574">
        <f>ROUND(IF(AG68=0,1,AJ68/ABS(AG68)),3)</f>
        <v>3.6539999999999999</v>
      </c>
    </row>
    <row r="69" spans="1:41">
      <c r="A69" s="353"/>
      <c r="B69" s="353" t="s">
        <v>126</v>
      </c>
      <c r="C69" s="353"/>
      <c r="D69" s="353"/>
      <c r="E69" s="325">
        <v>16.2</v>
      </c>
      <c r="F69" s="325"/>
      <c r="G69" s="325">
        <v>8.3000000000000007</v>
      </c>
      <c r="H69" s="325"/>
      <c r="I69" s="325">
        <v>12</v>
      </c>
      <c r="J69" s="325"/>
      <c r="K69" s="325">
        <v>29.5</v>
      </c>
      <c r="L69" s="689"/>
      <c r="M69" s="325">
        <v>37.099999999999994</v>
      </c>
      <c r="N69" s="689"/>
      <c r="O69" s="325">
        <v>12.600000000000009</v>
      </c>
      <c r="P69" s="689"/>
      <c r="Q69" s="325">
        <v>39.899999999999991</v>
      </c>
      <c r="R69" s="689"/>
      <c r="S69" s="325">
        <f t="shared" si="9"/>
        <v>40.400000000000006</v>
      </c>
      <c r="T69" s="689"/>
      <c r="U69" s="325"/>
      <c r="V69" s="689"/>
      <c r="W69" s="325"/>
      <c r="X69" s="689"/>
      <c r="Y69" s="325"/>
      <c r="Z69" s="689"/>
      <c r="AA69" s="325"/>
      <c r="AB69" s="325"/>
      <c r="AC69" s="647"/>
      <c r="AD69" s="1200">
        <v>196</v>
      </c>
      <c r="AE69" s="2045"/>
      <c r="AF69" s="325"/>
      <c r="AG69" s="325">
        <v>108.9</v>
      </c>
      <c r="AH69" s="348"/>
      <c r="AI69" s="132"/>
      <c r="AJ69" s="325">
        <f t="shared" si="10"/>
        <v>87.1</v>
      </c>
      <c r="AK69" s="52"/>
      <c r="AL69" s="327">
        <f>ROUND(IF(AG69=0,0,AJ69/ABS(AG69)),3)</f>
        <v>0.8</v>
      </c>
    </row>
    <row r="70" spans="1:41">
      <c r="A70" s="353"/>
      <c r="B70" s="353" t="s">
        <v>127</v>
      </c>
      <c r="C70" s="353"/>
      <c r="D70" s="353"/>
      <c r="E70" s="325">
        <v>35.799999999999997</v>
      </c>
      <c r="F70" s="325"/>
      <c r="G70" s="325">
        <v>46.100000000000009</v>
      </c>
      <c r="H70" s="325"/>
      <c r="I70" s="325">
        <v>52.199999999999989</v>
      </c>
      <c r="J70" s="325"/>
      <c r="K70" s="325">
        <v>15.599999999999994</v>
      </c>
      <c r="L70" s="689"/>
      <c r="M70" s="325">
        <v>26.40000000000002</v>
      </c>
      <c r="N70" s="689"/>
      <c r="O70" s="325">
        <v>93.899999999999963</v>
      </c>
      <c r="P70" s="689"/>
      <c r="Q70" s="325">
        <v>49.899999999999991</v>
      </c>
      <c r="R70" s="689"/>
      <c r="S70" s="325">
        <f t="shared" si="9"/>
        <v>26.600000000000023</v>
      </c>
      <c r="T70" s="689"/>
      <c r="U70" s="325"/>
      <c r="V70" s="689"/>
      <c r="W70" s="325"/>
      <c r="X70" s="689"/>
      <c r="Y70" s="325"/>
      <c r="Z70" s="689"/>
      <c r="AA70" s="325"/>
      <c r="AB70" s="325"/>
      <c r="AC70" s="647"/>
      <c r="AD70" s="1200">
        <v>346.5</v>
      </c>
      <c r="AE70" s="2045"/>
      <c r="AF70" s="325"/>
      <c r="AG70" s="325">
        <v>388.3</v>
      </c>
      <c r="AH70" s="348"/>
      <c r="AI70" s="132"/>
      <c r="AJ70" s="325">
        <f t="shared" si="10"/>
        <v>-41.8</v>
      </c>
      <c r="AK70" s="52"/>
      <c r="AL70" s="327">
        <f>ROUND(IF(AG70=0,0,AJ70/ABS(AG70)),3)</f>
        <v>-0.108</v>
      </c>
    </row>
    <row r="71" spans="1:41">
      <c r="A71" s="353"/>
      <c r="B71" s="353" t="s">
        <v>128</v>
      </c>
      <c r="C71" s="353"/>
      <c r="D71" s="353"/>
      <c r="E71" s="325" t="s">
        <v>104</v>
      </c>
      <c r="F71" s="325"/>
      <c r="G71" s="325"/>
      <c r="H71" s="325"/>
      <c r="I71" s="325"/>
      <c r="J71" s="325"/>
      <c r="K71" s="325" t="s">
        <v>104</v>
      </c>
      <c r="L71" s="689"/>
      <c r="M71" s="325"/>
      <c r="N71" s="689"/>
      <c r="O71" s="325"/>
      <c r="P71" s="689"/>
      <c r="Q71" s="325"/>
      <c r="R71" s="689"/>
      <c r="S71" s="325"/>
      <c r="T71" s="689"/>
      <c r="U71" s="325"/>
      <c r="V71" s="689"/>
      <c r="W71" s="325"/>
      <c r="X71" s="689"/>
      <c r="Y71" s="325"/>
      <c r="Z71" s="689"/>
      <c r="AA71" s="325"/>
      <c r="AB71" s="325"/>
      <c r="AC71" s="647"/>
      <c r="AD71" s="1200" t="s">
        <v>104</v>
      </c>
      <c r="AE71" s="2045"/>
      <c r="AF71" s="325"/>
      <c r="AG71" s="325" t="s">
        <v>104</v>
      </c>
      <c r="AH71" s="325"/>
      <c r="AI71" s="133"/>
      <c r="AJ71" s="325"/>
      <c r="AK71" s="52"/>
      <c r="AL71" s="131"/>
    </row>
    <row r="72" spans="1:41">
      <c r="A72" s="353"/>
      <c r="B72" s="353" t="s">
        <v>129</v>
      </c>
      <c r="C72" s="6"/>
      <c r="D72" s="353"/>
      <c r="E72" s="325">
        <v>0</v>
      </c>
      <c r="F72" s="325"/>
      <c r="G72" s="325">
        <v>0</v>
      </c>
      <c r="H72" s="325"/>
      <c r="I72" s="325">
        <v>0</v>
      </c>
      <c r="J72" s="325"/>
      <c r="K72" s="325">
        <v>0</v>
      </c>
      <c r="L72" s="689"/>
      <c r="M72" s="325">
        <v>0</v>
      </c>
      <c r="N72" s="689"/>
      <c r="O72" s="325">
        <v>0</v>
      </c>
      <c r="P72" s="689"/>
      <c r="Q72" s="325">
        <v>0</v>
      </c>
      <c r="R72" s="689"/>
      <c r="S72" s="325">
        <f t="shared" si="9"/>
        <v>0</v>
      </c>
      <c r="T72" s="689"/>
      <c r="U72" s="325"/>
      <c r="V72" s="689"/>
      <c r="W72" s="325"/>
      <c r="X72" s="689"/>
      <c r="Y72" s="325"/>
      <c r="Z72" s="689"/>
      <c r="AA72" s="325"/>
      <c r="AB72" s="325"/>
      <c r="AC72" s="647"/>
      <c r="AD72" s="1200">
        <v>0</v>
      </c>
      <c r="AE72" s="2045"/>
      <c r="AF72" s="325"/>
      <c r="AG72" s="325">
        <v>0</v>
      </c>
      <c r="AH72" s="325"/>
      <c r="AI72" s="133"/>
      <c r="AJ72" s="325">
        <f t="shared" si="10"/>
        <v>0</v>
      </c>
      <c r="AL72" s="670">
        <f>ROUND(IF(AG72=0,0,AJ72/ABS(AG72)),3)</f>
        <v>0</v>
      </c>
    </row>
    <row r="73" spans="1:41">
      <c r="A73" s="353"/>
      <c r="B73" s="353" t="s">
        <v>130</v>
      </c>
      <c r="C73" s="353"/>
      <c r="D73" s="353"/>
      <c r="E73" s="325">
        <v>7.9</v>
      </c>
      <c r="F73" s="325"/>
      <c r="G73" s="325">
        <v>49.4</v>
      </c>
      <c r="H73" s="325"/>
      <c r="I73" s="325">
        <v>20.699999999999996</v>
      </c>
      <c r="J73" s="325"/>
      <c r="K73" s="325">
        <v>51.199999999999982</v>
      </c>
      <c r="L73" s="689"/>
      <c r="M73" s="325">
        <v>25.500000000000007</v>
      </c>
      <c r="N73" s="689"/>
      <c r="O73" s="325">
        <v>17.600000000000023</v>
      </c>
      <c r="P73" s="689"/>
      <c r="Q73" s="325">
        <v>59.399999999999977</v>
      </c>
      <c r="R73" s="689"/>
      <c r="S73" s="325">
        <f t="shared" si="9"/>
        <v>34.500000000000085</v>
      </c>
      <c r="T73" s="689"/>
      <c r="U73" s="325"/>
      <c r="V73" s="689"/>
      <c r="W73" s="325"/>
      <c r="X73" s="689"/>
      <c r="Y73" s="325"/>
      <c r="Z73" s="689"/>
      <c r="AA73" s="325"/>
      <c r="AB73" s="325"/>
      <c r="AC73" s="647"/>
      <c r="AD73" s="1200">
        <v>266.20000000000005</v>
      </c>
      <c r="AE73" s="2045"/>
      <c r="AF73" s="325"/>
      <c r="AG73" s="325">
        <v>299.5</v>
      </c>
      <c r="AH73" s="348"/>
      <c r="AI73" s="132"/>
      <c r="AJ73" s="325">
        <f t="shared" si="10"/>
        <v>-33.299999999999997</v>
      </c>
      <c r="AK73" s="52"/>
      <c r="AL73" s="327">
        <f>ROUND(IF(AG73=0,0,AJ73/ABS(AG73)),3)</f>
        <v>-0.111</v>
      </c>
    </row>
    <row r="74" spans="1:41">
      <c r="A74" s="353"/>
      <c r="B74" s="353" t="s">
        <v>131</v>
      </c>
      <c r="C74" s="353"/>
      <c r="D74" s="353"/>
      <c r="E74" s="325">
        <v>1</v>
      </c>
      <c r="F74" s="325"/>
      <c r="G74" s="325">
        <v>1</v>
      </c>
      <c r="H74" s="325"/>
      <c r="I74" s="325">
        <v>1.9</v>
      </c>
      <c r="J74" s="325"/>
      <c r="K74" s="325">
        <v>0.80000000000000027</v>
      </c>
      <c r="L74" s="689"/>
      <c r="M74" s="325">
        <v>4.6999999999999993</v>
      </c>
      <c r="N74" s="689"/>
      <c r="O74" s="325">
        <v>1</v>
      </c>
      <c r="P74" s="689"/>
      <c r="Q74" s="325">
        <v>1.6999999999999993</v>
      </c>
      <c r="R74" s="689"/>
      <c r="S74" s="325">
        <f t="shared" si="9"/>
        <v>3.4000000000000004</v>
      </c>
      <c r="T74" s="689"/>
      <c r="U74" s="325"/>
      <c r="V74" s="689"/>
      <c r="W74" s="325"/>
      <c r="X74" s="689"/>
      <c r="Y74" s="325"/>
      <c r="Z74" s="689"/>
      <c r="AA74" s="325"/>
      <c r="AB74" s="325"/>
      <c r="AC74" s="647"/>
      <c r="AD74" s="1200">
        <v>15.5</v>
      </c>
      <c r="AE74" s="2045"/>
      <c r="AF74" s="325"/>
      <c r="AG74" s="325">
        <v>15.9</v>
      </c>
      <c r="AH74" s="348"/>
      <c r="AI74" s="132"/>
      <c r="AJ74" s="325">
        <f t="shared" si="10"/>
        <v>-0.4</v>
      </c>
      <c r="AK74" s="52"/>
      <c r="AL74" s="670">
        <f>ROUND(IF(AG74=0,1,AJ74/ABS(AG74)),3)</f>
        <v>-2.5000000000000001E-2</v>
      </c>
    </row>
    <row r="75" spans="1:41">
      <c r="A75" s="353"/>
      <c r="B75" s="353" t="s">
        <v>132</v>
      </c>
      <c r="C75" s="353"/>
      <c r="D75" s="353"/>
      <c r="E75" s="325">
        <v>76.099999999999994</v>
      </c>
      <c r="F75" s="325"/>
      <c r="G75" s="325">
        <v>29.5</v>
      </c>
      <c r="H75" s="325"/>
      <c r="I75" s="325">
        <v>175.79999999999998</v>
      </c>
      <c r="J75" s="325"/>
      <c r="K75" s="325">
        <v>37.700000000000045</v>
      </c>
      <c r="L75" s="689"/>
      <c r="M75" s="325">
        <v>91.6</v>
      </c>
      <c r="N75" s="689"/>
      <c r="O75" s="325">
        <v>59.799999999999955</v>
      </c>
      <c r="P75" s="689"/>
      <c r="Q75" s="325">
        <v>123.60000000000005</v>
      </c>
      <c r="R75" s="689"/>
      <c r="S75" s="325">
        <f t="shared" si="9"/>
        <v>123.1</v>
      </c>
      <c r="T75" s="689"/>
      <c r="U75" s="325"/>
      <c r="V75" s="689"/>
      <c r="W75" s="325"/>
      <c r="X75" s="689"/>
      <c r="Y75" s="325"/>
      <c r="Z75" s="689"/>
      <c r="AA75" s="325"/>
      <c r="AB75" s="325"/>
      <c r="AC75" s="647"/>
      <c r="AD75" s="1200">
        <v>717.2</v>
      </c>
      <c r="AE75" s="2045"/>
      <c r="AF75" s="325"/>
      <c r="AG75" s="325">
        <v>406.7</v>
      </c>
      <c r="AH75" s="325"/>
      <c r="AI75" s="133"/>
      <c r="AJ75" s="325">
        <f t="shared" si="10"/>
        <v>310.5</v>
      </c>
      <c r="AK75" s="52"/>
      <c r="AL75" s="700">
        <f>ROUND(IF(AG75=0,1,AJ75/ABS(AG75)),3)</f>
        <v>0.76300000000000001</v>
      </c>
    </row>
    <row r="76" spans="1:41">
      <c r="A76" s="353"/>
      <c r="B76" s="353" t="s">
        <v>133</v>
      </c>
      <c r="C76" s="6"/>
      <c r="D76" s="353"/>
      <c r="E76" s="325">
        <v>29.5</v>
      </c>
      <c r="F76" s="325"/>
      <c r="G76" s="325">
        <v>17</v>
      </c>
      <c r="H76" s="325"/>
      <c r="I76" s="325">
        <v>78.099999999999994</v>
      </c>
      <c r="J76" s="325"/>
      <c r="K76" s="325">
        <v>165.70000000000002</v>
      </c>
      <c r="L76" s="689"/>
      <c r="M76" s="325">
        <v>48.199999999999989</v>
      </c>
      <c r="N76" s="689"/>
      <c r="O76" s="325">
        <v>66.900000000000063</v>
      </c>
      <c r="P76" s="689"/>
      <c r="Q76" s="325">
        <v>89.499999999999886</v>
      </c>
      <c r="R76" s="689"/>
      <c r="S76" s="325">
        <f t="shared" si="9"/>
        <v>52.80000000000004</v>
      </c>
      <c r="T76" s="689"/>
      <c r="U76" s="325"/>
      <c r="V76" s="689"/>
      <c r="W76" s="325"/>
      <c r="X76" s="689"/>
      <c r="Y76" s="325"/>
      <c r="Z76" s="689"/>
      <c r="AA76" s="325"/>
      <c r="AB76" s="325"/>
      <c r="AC76" s="647"/>
      <c r="AD76" s="1200">
        <v>547.70000000000005</v>
      </c>
      <c r="AE76" s="2045"/>
      <c r="AF76" s="325"/>
      <c r="AG76" s="325">
        <v>341.3</v>
      </c>
      <c r="AH76" s="325"/>
      <c r="AI76" s="133"/>
      <c r="AJ76" s="325">
        <f t="shared" si="10"/>
        <v>206.4</v>
      </c>
      <c r="AL76" s="700">
        <f>ROUND(IF(AG76=0,0,AJ76/ABS(AG76)),3)</f>
        <v>0.60499999999999998</v>
      </c>
    </row>
    <row r="77" spans="1:41">
      <c r="A77" s="353"/>
      <c r="B77" s="353" t="s">
        <v>134</v>
      </c>
      <c r="C77" s="353"/>
      <c r="D77" s="353"/>
      <c r="E77" s="325">
        <v>3.1</v>
      </c>
      <c r="F77" s="325"/>
      <c r="G77" s="325">
        <v>2.6</v>
      </c>
      <c r="H77" s="325"/>
      <c r="I77" s="325">
        <v>98.600000000000009</v>
      </c>
      <c r="J77" s="325"/>
      <c r="K77" s="325">
        <v>15.600000000000009</v>
      </c>
      <c r="L77" s="689"/>
      <c r="M77" s="325">
        <v>5.0999999999999943</v>
      </c>
      <c r="N77" s="689"/>
      <c r="O77" s="325">
        <v>145.79999999999993</v>
      </c>
      <c r="P77" s="689"/>
      <c r="Q77" s="325">
        <v>273.49999999999989</v>
      </c>
      <c r="R77" s="689"/>
      <c r="S77" s="325">
        <f t="shared" si="9"/>
        <v>10.200000000000045</v>
      </c>
      <c r="T77" s="689"/>
      <c r="U77" s="325"/>
      <c r="V77" s="689"/>
      <c r="W77" s="325"/>
      <c r="X77" s="689"/>
      <c r="Y77" s="325"/>
      <c r="Z77" s="689"/>
      <c r="AA77" s="325"/>
      <c r="AB77" s="325"/>
      <c r="AC77" s="647"/>
      <c r="AD77" s="1200">
        <v>554.5</v>
      </c>
      <c r="AE77" s="2045"/>
      <c r="AF77" s="325"/>
      <c r="AG77" s="325">
        <v>282.5</v>
      </c>
      <c r="AH77" s="325"/>
      <c r="AI77" s="133"/>
      <c r="AJ77" s="325">
        <f t="shared" si="10"/>
        <v>272</v>
      </c>
      <c r="AK77" s="52"/>
      <c r="AL77" s="670">
        <f>ROUND(IF(AG77=0,0,AJ77/ABS(AG77)),3)</f>
        <v>0.96299999999999997</v>
      </c>
      <c r="AM77" s="29" t="s">
        <v>104</v>
      </c>
      <c r="AN77" s="29" t="s">
        <v>104</v>
      </c>
      <c r="AO77" s="29" t="s">
        <v>104</v>
      </c>
    </row>
    <row r="78" spans="1:41">
      <c r="A78" s="353"/>
      <c r="B78" s="6" t="s">
        <v>597</v>
      </c>
      <c r="C78" s="353"/>
      <c r="D78" s="353"/>
      <c r="E78" s="784">
        <f>ROUND(SUM(E68:E77),1)</f>
        <v>176.6</v>
      </c>
      <c r="F78" s="16"/>
      <c r="G78" s="784">
        <f>ROUND(SUM(G68:G77),1)</f>
        <v>180.8</v>
      </c>
      <c r="H78" s="16"/>
      <c r="I78" s="784">
        <f>ROUND(SUM(I68:I77),1)</f>
        <v>449.9</v>
      </c>
      <c r="J78" s="16"/>
      <c r="K78" s="784">
        <f>ROUND(SUM(K68:K77),1)</f>
        <v>334.2</v>
      </c>
      <c r="L78" s="16"/>
      <c r="M78" s="784">
        <f>ROUND(SUM(M68:M77),1)</f>
        <v>241.9</v>
      </c>
      <c r="N78" s="16"/>
      <c r="O78" s="784">
        <f>ROUND(SUM(O68:O77),1)</f>
        <v>436.8</v>
      </c>
      <c r="P78" s="16"/>
      <c r="Q78" s="784">
        <f>ROUND(SUM(Q68:Q77),1)</f>
        <v>868</v>
      </c>
      <c r="R78" s="16"/>
      <c r="S78" s="784">
        <f>ROUND(SUM(S68:S77),1)</f>
        <v>296.10000000000002</v>
      </c>
      <c r="T78" s="16"/>
      <c r="U78" s="784">
        <f>ROUND(SUM(U68:U77),1)</f>
        <v>0</v>
      </c>
      <c r="V78" s="16"/>
      <c r="W78" s="784">
        <f>ROUND(SUM(W68:W77),1)</f>
        <v>0</v>
      </c>
      <c r="X78" s="16"/>
      <c r="Y78" s="784">
        <f>ROUND(SUM(Y68:Y77),1)</f>
        <v>0</v>
      </c>
      <c r="Z78" s="16"/>
      <c r="AA78" s="784">
        <f>ROUND(SUM(AA68:AA77),1)</f>
        <v>0</v>
      </c>
      <c r="AB78" s="16"/>
      <c r="AC78" s="18"/>
      <c r="AD78" s="784">
        <f>ROUND(SUM(AD68:AD77),1)</f>
        <v>2984.3</v>
      </c>
      <c r="AE78" s="2048"/>
      <c r="AF78" s="16"/>
      <c r="AG78" s="784">
        <f>ROUND(SUM(AG68:AG77),1)</f>
        <v>1916.3</v>
      </c>
      <c r="AH78" s="16"/>
      <c r="AI78" s="133"/>
      <c r="AJ78" s="784">
        <f>ROUND(SUM(AJ68:AJ77),1)</f>
        <v>1068</v>
      </c>
      <c r="AK78" s="6"/>
      <c r="AL78" s="665">
        <f>ROUND(IF(AG78=0,0,AJ78/ABS(AG78)),3)</f>
        <v>0.55700000000000005</v>
      </c>
      <c r="AO78" s="52"/>
    </row>
    <row r="79" spans="1:41">
      <c r="A79" s="353"/>
      <c r="B79" s="353" t="s">
        <v>598</v>
      </c>
      <c r="C79" s="353"/>
      <c r="D79" s="353"/>
      <c r="E79" s="325"/>
      <c r="F79" s="325"/>
      <c r="G79" s="325"/>
      <c r="H79" s="325"/>
      <c r="I79" s="325"/>
      <c r="J79" s="325"/>
      <c r="K79" s="325"/>
      <c r="L79" s="325"/>
      <c r="M79" s="325"/>
      <c r="N79" s="325"/>
      <c r="O79" s="325"/>
      <c r="P79" s="325"/>
      <c r="Q79" s="325"/>
      <c r="R79" s="325"/>
      <c r="S79" s="325"/>
      <c r="T79" s="325"/>
      <c r="U79" s="325"/>
      <c r="V79" s="325"/>
      <c r="W79" s="325"/>
      <c r="X79" s="325"/>
      <c r="Y79" s="325"/>
      <c r="Z79" s="325"/>
      <c r="AA79" s="325"/>
      <c r="AB79" s="325"/>
      <c r="AC79" s="647"/>
      <c r="AD79" s="325"/>
      <c r="AE79" s="2045"/>
      <c r="AF79" s="325"/>
      <c r="AG79" s="325"/>
      <c r="AH79" s="325"/>
      <c r="AI79" s="133"/>
      <c r="AJ79" s="15"/>
      <c r="AL79" s="131"/>
    </row>
    <row r="80" spans="1:41">
      <c r="A80" s="353"/>
      <c r="B80" s="353" t="s">
        <v>599</v>
      </c>
      <c r="C80" s="353"/>
      <c r="D80" s="353"/>
      <c r="E80" s="325">
        <v>0</v>
      </c>
      <c r="F80" s="325"/>
      <c r="G80" s="325">
        <v>0</v>
      </c>
      <c r="H80" s="325"/>
      <c r="I80" s="325">
        <v>0</v>
      </c>
      <c r="J80" s="325"/>
      <c r="K80" s="325">
        <v>0</v>
      </c>
      <c r="L80" s="689"/>
      <c r="M80" s="325">
        <v>0</v>
      </c>
      <c r="N80" s="689"/>
      <c r="O80" s="325">
        <v>0</v>
      </c>
      <c r="P80" s="689"/>
      <c r="Q80" s="325">
        <v>0</v>
      </c>
      <c r="R80" s="689"/>
      <c r="S80" s="325">
        <f t="shared" ref="S80:S83" si="11">$AD80-$E80-$G80-$I80-$K80-$M80-$O80-$Q80</f>
        <v>0</v>
      </c>
      <c r="T80" s="689"/>
      <c r="U80" s="325"/>
      <c r="V80" s="689"/>
      <c r="W80" s="325"/>
      <c r="X80" s="689"/>
      <c r="Y80" s="325"/>
      <c r="Z80" s="689"/>
      <c r="AA80" s="325"/>
      <c r="AB80" s="325"/>
      <c r="AC80" s="647"/>
      <c r="AD80" s="325">
        <v>0</v>
      </c>
      <c r="AE80" s="2045"/>
      <c r="AF80" s="325"/>
      <c r="AG80" s="325">
        <v>0</v>
      </c>
      <c r="AH80" s="469"/>
      <c r="AI80" s="135"/>
      <c r="AJ80" s="325">
        <f>ROUND(AD80-AG80,1)</f>
        <v>0</v>
      </c>
      <c r="AL80" s="327">
        <f>ROUND(IF(AG80=0,0,AJ80/ABS(AG80)),3)</f>
        <v>0</v>
      </c>
    </row>
    <row r="81" spans="1:41">
      <c r="A81" s="353"/>
      <c r="B81" s="353" t="s">
        <v>600</v>
      </c>
      <c r="C81" s="353"/>
      <c r="D81" s="353"/>
      <c r="E81" s="325">
        <v>0</v>
      </c>
      <c r="F81" s="325"/>
      <c r="G81" s="325">
        <v>0</v>
      </c>
      <c r="H81" s="325"/>
      <c r="I81" s="325">
        <v>0</v>
      </c>
      <c r="J81" s="325"/>
      <c r="K81" s="325">
        <v>0</v>
      </c>
      <c r="L81" s="689"/>
      <c r="M81" s="325">
        <v>0</v>
      </c>
      <c r="N81" s="689"/>
      <c r="O81" s="325">
        <v>0</v>
      </c>
      <c r="P81" s="689"/>
      <c r="Q81" s="325">
        <v>0</v>
      </c>
      <c r="R81" s="689"/>
      <c r="S81" s="325">
        <f t="shared" si="11"/>
        <v>0</v>
      </c>
      <c r="T81" s="689"/>
      <c r="U81" s="325"/>
      <c r="V81" s="689"/>
      <c r="W81" s="325"/>
      <c r="X81" s="689"/>
      <c r="Y81" s="325"/>
      <c r="Z81" s="689"/>
      <c r="AA81" s="325"/>
      <c r="AB81" s="325"/>
      <c r="AC81" s="647"/>
      <c r="AD81" s="1200">
        <v>0</v>
      </c>
      <c r="AE81" s="2045"/>
      <c r="AF81" s="325"/>
      <c r="AG81" s="1200">
        <v>0</v>
      </c>
      <c r="AH81" s="469"/>
      <c r="AI81" s="135"/>
      <c r="AJ81" s="325">
        <f>ROUND(AD81-AG81,1)</f>
        <v>0</v>
      </c>
      <c r="AL81" s="327">
        <f>ROUND(IF(AG81=0,0,AJ81/ABS(AG81)),3)</f>
        <v>0</v>
      </c>
    </row>
    <row r="82" spans="1:41">
      <c r="A82" s="353"/>
      <c r="B82" s="353" t="s">
        <v>601</v>
      </c>
      <c r="C82" s="353"/>
      <c r="D82" s="353"/>
      <c r="E82" s="325">
        <v>0</v>
      </c>
      <c r="F82" s="325"/>
      <c r="G82" s="325">
        <v>0</v>
      </c>
      <c r="H82" s="325"/>
      <c r="I82" s="325">
        <v>0</v>
      </c>
      <c r="J82" s="325"/>
      <c r="K82" s="325">
        <v>0</v>
      </c>
      <c r="L82" s="689"/>
      <c r="M82" s="325">
        <v>0</v>
      </c>
      <c r="N82" s="689"/>
      <c r="O82" s="325">
        <v>0</v>
      </c>
      <c r="P82" s="689"/>
      <c r="Q82" s="325">
        <v>0</v>
      </c>
      <c r="R82" s="689"/>
      <c r="S82" s="325">
        <f t="shared" si="11"/>
        <v>0</v>
      </c>
      <c r="T82" s="689"/>
      <c r="U82" s="325"/>
      <c r="V82" s="689"/>
      <c r="W82" s="325"/>
      <c r="X82" s="689"/>
      <c r="Y82" s="325"/>
      <c r="Z82" s="689"/>
      <c r="AA82" s="325"/>
      <c r="AB82" s="1566"/>
      <c r="AC82" s="1567"/>
      <c r="AD82" s="325">
        <v>0</v>
      </c>
      <c r="AE82" s="2045"/>
      <c r="AF82" s="325"/>
      <c r="AG82" s="325">
        <v>0</v>
      </c>
      <c r="AH82" s="469"/>
      <c r="AI82" s="135"/>
      <c r="AJ82" s="325">
        <f>ROUND(AD82-AG82,1)</f>
        <v>0</v>
      </c>
      <c r="AL82" s="327">
        <f>ROUND(IF(AG82=0,0,AJ82/ABS(AG82)),3)</f>
        <v>0</v>
      </c>
    </row>
    <row r="83" spans="1:41">
      <c r="A83" s="353"/>
      <c r="B83" s="525" t="s">
        <v>545</v>
      </c>
      <c r="C83" s="353"/>
      <c r="D83" s="353"/>
      <c r="E83" s="325">
        <v>305.10000000000002</v>
      </c>
      <c r="F83" s="325"/>
      <c r="G83" s="325">
        <v>580.9</v>
      </c>
      <c r="H83" s="325"/>
      <c r="I83" s="325">
        <v>655.19999999999993</v>
      </c>
      <c r="J83" s="325"/>
      <c r="K83" s="325">
        <v>472.4</v>
      </c>
      <c r="L83" s="689"/>
      <c r="M83" s="325">
        <v>652.9000000000002</v>
      </c>
      <c r="N83" s="689"/>
      <c r="O83" s="325">
        <v>571.9</v>
      </c>
      <c r="P83" s="689"/>
      <c r="Q83" s="325">
        <v>553.00000000000011</v>
      </c>
      <c r="R83" s="689"/>
      <c r="S83" s="325">
        <f t="shared" si="11"/>
        <v>638.69999999999879</v>
      </c>
      <c r="T83" s="689"/>
      <c r="U83" s="325"/>
      <c r="V83" s="689"/>
      <c r="W83" s="325"/>
      <c r="X83" s="689"/>
      <c r="Y83" s="325"/>
      <c r="Z83" s="689"/>
      <c r="AA83" s="325"/>
      <c r="AB83" s="325"/>
      <c r="AC83" s="647"/>
      <c r="AD83" s="486">
        <v>4430.0999999999995</v>
      </c>
      <c r="AE83" s="2045"/>
      <c r="AF83" s="325"/>
      <c r="AG83" s="486">
        <v>4449.6000000000004</v>
      </c>
      <c r="AH83" s="348"/>
      <c r="AI83" s="132"/>
      <c r="AJ83" s="486">
        <f>ROUND(AD83-AG83,1)</f>
        <v>-19.5</v>
      </c>
      <c r="AL83" s="661">
        <f>ROUND(IF(AG83=0,0,AJ83/ABS(AG83)),3)</f>
        <v>-4.0000000000000001E-3</v>
      </c>
      <c r="AM83" s="29" t="s">
        <v>104</v>
      </c>
      <c r="AN83" s="15" t="s">
        <v>104</v>
      </c>
    </row>
    <row r="84" spans="1:41">
      <c r="A84" s="353"/>
      <c r="B84" s="353"/>
      <c r="C84" s="353"/>
      <c r="D84" s="353"/>
      <c r="E84" s="783"/>
      <c r="F84" s="325"/>
      <c r="G84" s="783"/>
      <c r="H84" s="325"/>
      <c r="I84" s="783"/>
      <c r="J84" s="325"/>
      <c r="K84" s="783"/>
      <c r="L84" s="325"/>
      <c r="M84" s="783"/>
      <c r="N84" s="325"/>
      <c r="O84" s="783"/>
      <c r="P84" s="325"/>
      <c r="Q84" s="783"/>
      <c r="R84" s="325"/>
      <c r="S84" s="783"/>
      <c r="T84" s="325"/>
      <c r="U84" s="783"/>
      <c r="V84" s="325"/>
      <c r="W84" s="783"/>
      <c r="X84" s="325"/>
      <c r="Y84" s="783"/>
      <c r="Z84" s="325"/>
      <c r="AA84" s="783"/>
      <c r="AB84" s="325"/>
      <c r="AC84" s="647"/>
      <c r="AD84" s="15"/>
      <c r="AE84" s="2045"/>
      <c r="AF84" s="325"/>
      <c r="AG84" s="15"/>
      <c r="AH84" s="15"/>
      <c r="AI84" s="133"/>
      <c r="AJ84" s="15"/>
      <c r="AL84" s="131"/>
    </row>
    <row r="85" spans="1:41">
      <c r="A85" s="353"/>
      <c r="B85" s="6" t="s">
        <v>602</v>
      </c>
      <c r="C85" s="353"/>
      <c r="D85" s="353"/>
      <c r="E85" s="16">
        <f>ROUND(SUM(E78:E83),1)</f>
        <v>481.7</v>
      </c>
      <c r="F85" s="16"/>
      <c r="G85" s="16">
        <f>ROUND(SUM(G78:G83),1)</f>
        <v>761.7</v>
      </c>
      <c r="H85" s="16"/>
      <c r="I85" s="16">
        <f>ROUND(SUM(I78:I83),1)</f>
        <v>1105.0999999999999</v>
      </c>
      <c r="J85" s="16"/>
      <c r="K85" s="16">
        <f>ROUND(SUM(K78:K83),1)</f>
        <v>806.6</v>
      </c>
      <c r="L85" s="16"/>
      <c r="M85" s="16">
        <f>ROUND(SUM(M78:M83),1)</f>
        <v>894.8</v>
      </c>
      <c r="N85" s="16"/>
      <c r="O85" s="16">
        <f>ROUND(SUM(O78:O83),1)</f>
        <v>1008.7</v>
      </c>
      <c r="P85" s="16"/>
      <c r="Q85" s="16">
        <f>ROUND(SUM(Q78:Q83),1)</f>
        <v>1421</v>
      </c>
      <c r="R85" s="16"/>
      <c r="S85" s="16">
        <f>ROUND(SUM(S78:S83),1)</f>
        <v>934.8</v>
      </c>
      <c r="T85" s="16"/>
      <c r="U85" s="16">
        <f>ROUND(SUM(U78:U83),1)</f>
        <v>0</v>
      </c>
      <c r="V85" s="16"/>
      <c r="W85" s="16">
        <f>ROUND(SUM(W78:W83),1)</f>
        <v>0</v>
      </c>
      <c r="X85" s="16"/>
      <c r="Y85" s="16">
        <f>ROUND(SUM(Y78:Y83),1)</f>
        <v>0</v>
      </c>
      <c r="Z85" s="16"/>
      <c r="AA85" s="16">
        <f>ROUND(SUM(AA78:AA83),1)</f>
        <v>0</v>
      </c>
      <c r="AB85" s="16"/>
      <c r="AC85" s="18"/>
      <c r="AD85" s="16">
        <f>ROUND(SUM(AD78:AD83),1)</f>
        <v>7414.4</v>
      </c>
      <c r="AE85" s="2048"/>
      <c r="AF85" s="16"/>
      <c r="AG85" s="16">
        <f>ROUND(SUM(AG78:AG83),1)</f>
        <v>6365.9</v>
      </c>
      <c r="AH85" s="16"/>
      <c r="AI85" s="133"/>
      <c r="AJ85" s="434">
        <f>ROUND(AD85-AG85,1)</f>
        <v>1048.5</v>
      </c>
      <c r="AK85" s="6"/>
      <c r="AL85" s="666">
        <f>ROUND(IF(AG85=0,0,AJ85/ABS(AG85)),3)</f>
        <v>0.16500000000000001</v>
      </c>
      <c r="AM85" s="6"/>
      <c r="AN85" s="6"/>
      <c r="AO85" s="6"/>
    </row>
    <row r="86" spans="1:41">
      <c r="A86" s="353"/>
      <c r="B86" s="353"/>
      <c r="C86" s="353"/>
      <c r="D86" s="353"/>
      <c r="E86" s="783"/>
      <c r="F86" s="325"/>
      <c r="G86" s="783"/>
      <c r="H86" s="325"/>
      <c r="I86" s="783"/>
      <c r="J86" s="325"/>
      <c r="K86" s="783"/>
      <c r="L86" s="325"/>
      <c r="M86" s="783"/>
      <c r="N86" s="325"/>
      <c r="O86" s="783"/>
      <c r="P86" s="325"/>
      <c r="Q86" s="783"/>
      <c r="R86" s="325"/>
      <c r="S86" s="783"/>
      <c r="T86" s="325"/>
      <c r="U86" s="783"/>
      <c r="V86" s="325"/>
      <c r="W86" s="783"/>
      <c r="X86" s="325"/>
      <c r="Y86" s="783"/>
      <c r="Z86" s="325"/>
      <c r="AA86" s="783"/>
      <c r="AB86" s="325"/>
      <c r="AC86" s="647"/>
      <c r="AD86" s="783"/>
      <c r="AE86" s="2045"/>
      <c r="AF86" s="325"/>
      <c r="AG86" s="783"/>
      <c r="AH86" s="325"/>
      <c r="AI86" s="133"/>
      <c r="AJ86" s="15"/>
      <c r="AL86" s="131"/>
    </row>
    <row r="87" spans="1:41">
      <c r="A87" s="353"/>
      <c r="B87" s="6" t="s">
        <v>603</v>
      </c>
      <c r="C87" s="353"/>
      <c r="D87" s="353"/>
      <c r="E87" s="325"/>
      <c r="F87" s="325"/>
      <c r="G87" s="325"/>
      <c r="H87" s="325"/>
      <c r="I87" s="325"/>
      <c r="J87" s="325"/>
      <c r="K87" s="325"/>
      <c r="L87" s="325"/>
      <c r="M87" s="325"/>
      <c r="N87" s="325"/>
      <c r="O87" s="325"/>
      <c r="P87" s="325"/>
      <c r="Q87" s="325"/>
      <c r="R87" s="325"/>
      <c r="S87" s="325"/>
      <c r="T87" s="325"/>
      <c r="U87" s="325"/>
      <c r="V87" s="325"/>
      <c r="W87" s="325"/>
      <c r="X87" s="325"/>
      <c r="Y87" s="325"/>
      <c r="Z87" s="325"/>
      <c r="AA87" s="325"/>
      <c r="AB87" s="325"/>
      <c r="AC87" s="647"/>
      <c r="AD87" s="15"/>
      <c r="AE87" s="2045"/>
      <c r="AF87" s="325"/>
      <c r="AG87" s="15"/>
      <c r="AH87" s="15"/>
      <c r="AI87" s="133"/>
      <c r="AJ87" s="15"/>
      <c r="AL87" s="131"/>
    </row>
    <row r="88" spans="1:41">
      <c r="A88" s="353"/>
      <c r="B88" s="6" t="s">
        <v>604</v>
      </c>
      <c r="C88" s="353"/>
      <c r="D88" s="353"/>
      <c r="E88" s="16">
        <f>ROUND(SUM(E64-E85),1)</f>
        <v>-98.2</v>
      </c>
      <c r="F88" s="16"/>
      <c r="G88" s="16">
        <f>ROUND(SUM(G64-G85),1)</f>
        <v>-3.5</v>
      </c>
      <c r="H88" s="16"/>
      <c r="I88" s="16">
        <f>ROUND(SUM(I64-I85),1)</f>
        <v>-501.5</v>
      </c>
      <c r="J88" s="16"/>
      <c r="K88" s="16">
        <f>ROUND(SUM(K64-K85),1)</f>
        <v>142.80000000000001</v>
      </c>
      <c r="L88" s="16"/>
      <c r="M88" s="16">
        <f>ROUND(SUM(M64-M85),1)</f>
        <v>-344.6</v>
      </c>
      <c r="N88" s="16"/>
      <c r="O88" s="16">
        <f>ROUND(SUM(O64-O85),1)</f>
        <v>-51</v>
      </c>
      <c r="P88" s="16"/>
      <c r="Q88" s="16">
        <f>ROUND(SUM(Q64-Q85),1)</f>
        <v>-1153.5999999999999</v>
      </c>
      <c r="R88" s="16"/>
      <c r="S88" s="16">
        <f>ROUND(SUM(S64-S85),1)</f>
        <v>-695.7</v>
      </c>
      <c r="T88" s="16"/>
      <c r="U88" s="16">
        <f>ROUND(SUM(U64-U85),1)</f>
        <v>0</v>
      </c>
      <c r="V88" s="16"/>
      <c r="W88" s="16">
        <f>ROUND(SUM(W64-W85),1)</f>
        <v>0</v>
      </c>
      <c r="X88" s="16"/>
      <c r="Y88" s="16">
        <f>ROUND(SUM(Y64-Y85),1)</f>
        <v>0</v>
      </c>
      <c r="Z88" s="16"/>
      <c r="AA88" s="16">
        <f>ROUND(SUM(AA64-AA85),1)</f>
        <v>0</v>
      </c>
      <c r="AB88" s="16"/>
      <c r="AC88" s="18"/>
      <c r="AD88" s="16">
        <f>ROUND(SUM(AD64-AD85),1)</f>
        <v>-2705.3</v>
      </c>
      <c r="AE88" s="2048"/>
      <c r="AF88" s="16"/>
      <c r="AG88" s="16">
        <f>ROUND(SUM(AG64-AG85),1)</f>
        <v>-665.2</v>
      </c>
      <c r="AH88" s="16"/>
      <c r="AI88" s="133"/>
      <c r="AJ88" s="434">
        <f>ROUND(AD88-AG88,1)</f>
        <v>-2040.1</v>
      </c>
      <c r="AK88" s="6"/>
      <c r="AL88" s="667">
        <f>ROUND(IF(AG88=0,0,AJ88/ABS(AG88)),3)</f>
        <v>-3.0670000000000002</v>
      </c>
      <c r="AM88" s="6"/>
      <c r="AN88" s="51"/>
    </row>
    <row r="89" spans="1:41">
      <c r="A89" s="353"/>
      <c r="B89" s="353"/>
      <c r="C89" s="353"/>
      <c r="D89" s="353"/>
      <c r="E89" s="783"/>
      <c r="F89" s="325"/>
      <c r="G89" s="783"/>
      <c r="H89" s="325"/>
      <c r="I89" s="783"/>
      <c r="J89" s="325"/>
      <c r="K89" s="783"/>
      <c r="L89" s="325"/>
      <c r="M89" s="783"/>
      <c r="N89" s="325"/>
      <c r="O89" s="783"/>
      <c r="P89" s="325"/>
      <c r="Q89" s="783"/>
      <c r="R89" s="325"/>
      <c r="S89" s="783"/>
      <c r="T89" s="325"/>
      <c r="U89" s="783"/>
      <c r="V89" s="325"/>
      <c r="W89" s="783"/>
      <c r="X89" s="325"/>
      <c r="Y89" s="783"/>
      <c r="Z89" s="325"/>
      <c r="AA89" s="783"/>
      <c r="AB89" s="325"/>
      <c r="AC89" s="647"/>
      <c r="AD89" s="783"/>
      <c r="AE89" s="2045"/>
      <c r="AF89" s="325"/>
      <c r="AG89" s="783"/>
      <c r="AH89" s="325"/>
      <c r="AI89" s="133"/>
      <c r="AJ89" s="15"/>
      <c r="AL89" s="131"/>
    </row>
    <row r="90" spans="1:41">
      <c r="A90" s="353"/>
      <c r="B90" s="6" t="s">
        <v>605</v>
      </c>
      <c r="C90" s="353"/>
      <c r="D90" s="353"/>
      <c r="E90" s="325"/>
      <c r="F90" s="325"/>
      <c r="G90" s="325"/>
      <c r="H90" s="325"/>
      <c r="I90" s="325"/>
      <c r="J90" s="325"/>
      <c r="K90" s="325"/>
      <c r="L90" s="325"/>
      <c r="M90" s="325"/>
      <c r="N90" s="325"/>
      <c r="O90" s="325"/>
      <c r="P90" s="325"/>
      <c r="Q90" s="325"/>
      <c r="R90" s="325"/>
      <c r="S90" s="325"/>
      <c r="T90" s="325"/>
      <c r="U90" s="325"/>
      <c r="V90" s="325"/>
      <c r="W90" s="325"/>
      <c r="X90" s="325"/>
      <c r="Y90" s="325"/>
      <c r="Z90" s="325"/>
      <c r="AA90" s="325"/>
      <c r="AB90" s="325"/>
      <c r="AC90" s="647"/>
      <c r="AD90" s="469"/>
      <c r="AE90" s="2045"/>
      <c r="AF90" s="325"/>
      <c r="AG90" s="469"/>
      <c r="AH90" s="469"/>
      <c r="AI90" s="135"/>
      <c r="AJ90" s="15"/>
      <c r="AL90" s="131"/>
    </row>
    <row r="91" spans="1:41">
      <c r="A91" s="353"/>
      <c r="B91" s="353" t="s">
        <v>606</v>
      </c>
      <c r="C91" s="353"/>
      <c r="D91" s="353"/>
      <c r="E91" s="325">
        <v>0</v>
      </c>
      <c r="F91" s="325"/>
      <c r="G91" s="325">
        <v>0</v>
      </c>
      <c r="H91" s="325"/>
      <c r="I91" s="325">
        <v>0</v>
      </c>
      <c r="J91" s="325"/>
      <c r="K91" s="325">
        <v>0</v>
      </c>
      <c r="L91" s="689"/>
      <c r="M91" s="325">
        <v>0</v>
      </c>
      <c r="N91" s="689"/>
      <c r="O91" s="325">
        <v>0</v>
      </c>
      <c r="P91" s="689"/>
      <c r="Q91" s="325">
        <v>505</v>
      </c>
      <c r="R91" s="689"/>
      <c r="S91" s="325">
        <f t="shared" ref="S91:S93" si="12">$AD91-$E91-$G91-$I91-$K91-$M91-$O91-$Q91</f>
        <v>0</v>
      </c>
      <c r="T91" s="689"/>
      <c r="U91" s="325"/>
      <c r="V91" s="689"/>
      <c r="W91" s="325"/>
      <c r="X91" s="689"/>
      <c r="Y91" s="325"/>
      <c r="Z91" s="689"/>
      <c r="AA91" s="325"/>
      <c r="AB91" s="325"/>
      <c r="AC91" s="647"/>
      <c r="AD91" s="325">
        <v>505</v>
      </c>
      <c r="AE91" s="2045"/>
      <c r="AF91" s="325"/>
      <c r="AG91" s="325">
        <v>0</v>
      </c>
      <c r="AH91" s="469"/>
      <c r="AI91" s="135"/>
      <c r="AJ91" s="325">
        <f>ROUND(AD91-AG91,1)</f>
        <v>505</v>
      </c>
      <c r="AK91" s="52"/>
      <c r="AL91" s="327">
        <f>ROUND(IF(AG91=0,1,AJ91/ABS(AG91)),3)</f>
        <v>1</v>
      </c>
    </row>
    <row r="92" spans="1:41">
      <c r="A92" s="353"/>
      <c r="B92" s="525" t="s">
        <v>547</v>
      </c>
      <c r="C92" s="353"/>
      <c r="D92" s="353"/>
      <c r="E92" s="325">
        <v>107.2</v>
      </c>
      <c r="F92" s="325"/>
      <c r="G92" s="325">
        <v>-38.799999999999997</v>
      </c>
      <c r="H92" s="325"/>
      <c r="I92" s="325">
        <v>308.70000000000005</v>
      </c>
      <c r="J92" s="325"/>
      <c r="K92" s="325">
        <v>-236.60000000000005</v>
      </c>
      <c r="L92" s="689"/>
      <c r="M92" s="325">
        <v>402.70000000000005</v>
      </c>
      <c r="N92" s="689"/>
      <c r="O92" s="325">
        <v>40.599999999999909</v>
      </c>
      <c r="P92" s="689"/>
      <c r="Q92" s="325">
        <v>856.2</v>
      </c>
      <c r="R92" s="689"/>
      <c r="S92" s="325">
        <f t="shared" si="12"/>
        <v>477.90000000000009</v>
      </c>
      <c r="T92" s="689"/>
      <c r="U92" s="325"/>
      <c r="V92" s="689"/>
      <c r="W92" s="325"/>
      <c r="X92" s="689"/>
      <c r="Y92" s="325"/>
      <c r="Z92" s="689"/>
      <c r="AA92" s="325"/>
      <c r="AB92" s="325"/>
      <c r="AC92" s="647"/>
      <c r="AD92" s="325">
        <v>1917.9</v>
      </c>
      <c r="AE92" s="2045"/>
      <c r="AF92" s="325"/>
      <c r="AG92" s="325">
        <v>904.9</v>
      </c>
      <c r="AH92" s="348"/>
      <c r="AI92" s="132"/>
      <c r="AJ92" s="325">
        <f>ROUND(AD92-AG92,1)</f>
        <v>1013</v>
      </c>
      <c r="AL92" s="670">
        <f>ROUND(IF(AG92=0,0,AJ92/ABS(AG92)),3)</f>
        <v>1.119</v>
      </c>
    </row>
    <row r="93" spans="1:41">
      <c r="A93" s="353"/>
      <c r="B93" s="525" t="s">
        <v>607</v>
      </c>
      <c r="C93" s="353"/>
      <c r="D93" s="353"/>
      <c r="E93" s="325">
        <v>-5.6</v>
      </c>
      <c r="F93" s="325"/>
      <c r="G93" s="325">
        <v>-6.5</v>
      </c>
      <c r="H93" s="325"/>
      <c r="I93" s="325">
        <v>-6.1</v>
      </c>
      <c r="J93" s="325"/>
      <c r="K93" s="325">
        <v>-5.7999999999999989</v>
      </c>
      <c r="L93" s="689"/>
      <c r="M93" s="325">
        <v>-26.4</v>
      </c>
      <c r="N93" s="689"/>
      <c r="O93" s="325">
        <v>-4.6000000000000014</v>
      </c>
      <c r="P93" s="689"/>
      <c r="Q93" s="325">
        <v>-9.2999999999999972</v>
      </c>
      <c r="R93" s="689"/>
      <c r="S93" s="325">
        <f t="shared" si="12"/>
        <v>-6.6000000000000156</v>
      </c>
      <c r="T93" s="689"/>
      <c r="U93" s="325"/>
      <c r="V93" s="689"/>
      <c r="W93" s="325"/>
      <c r="X93" s="689"/>
      <c r="Y93" s="325"/>
      <c r="Z93" s="689"/>
      <c r="AA93" s="325"/>
      <c r="AB93" s="325"/>
      <c r="AC93" s="647"/>
      <c r="AD93" s="486">
        <v>-70.900000000000006</v>
      </c>
      <c r="AE93" s="2045"/>
      <c r="AF93" s="325"/>
      <c r="AG93" s="486">
        <v>-268.60000000000002</v>
      </c>
      <c r="AH93" s="325"/>
      <c r="AI93" s="133"/>
      <c r="AJ93" s="486">
        <f>ROUND(-AD93+AG93,1)</f>
        <v>-197.7</v>
      </c>
      <c r="AL93" s="661">
        <f>ROUND(IF(AG93=0,0,AJ93/ABS(AG93)),3)</f>
        <v>-0.73599999999999999</v>
      </c>
    </row>
    <row r="94" spans="1:41">
      <c r="A94" s="353"/>
      <c r="B94" s="353"/>
      <c r="C94" s="353"/>
      <c r="D94" s="353"/>
      <c r="E94" s="783"/>
      <c r="F94" s="325"/>
      <c r="G94" s="783"/>
      <c r="H94" s="325"/>
      <c r="I94" s="783"/>
      <c r="J94" s="325"/>
      <c r="K94" s="783"/>
      <c r="L94" s="325"/>
      <c r="M94" s="783"/>
      <c r="N94" s="325"/>
      <c r="O94" s="783"/>
      <c r="P94" s="325"/>
      <c r="Q94" s="783"/>
      <c r="R94" s="325"/>
      <c r="S94" s="783"/>
      <c r="T94" s="325"/>
      <c r="U94" s="783"/>
      <c r="V94" s="325"/>
      <c r="W94" s="783"/>
      <c r="X94" s="325"/>
      <c r="Y94" s="783"/>
      <c r="Z94" s="325"/>
      <c r="AA94" s="783"/>
      <c r="AB94" s="325"/>
      <c r="AC94" s="647"/>
      <c r="AD94" s="15"/>
      <c r="AE94" s="2045"/>
      <c r="AF94" s="325"/>
      <c r="AG94" s="15"/>
      <c r="AH94" s="15"/>
      <c r="AI94" s="133"/>
      <c r="AJ94" s="15"/>
      <c r="AL94" s="131"/>
    </row>
    <row r="95" spans="1:41">
      <c r="A95" s="353"/>
      <c r="B95" s="6" t="s">
        <v>616</v>
      </c>
      <c r="C95" s="353"/>
      <c r="D95" s="353"/>
      <c r="E95" s="16">
        <f>ROUND(SUM(E91:E93),1)</f>
        <v>101.6</v>
      </c>
      <c r="F95" s="16"/>
      <c r="G95" s="16">
        <f>ROUND(SUM(G91:G93),1)</f>
        <v>-45.3</v>
      </c>
      <c r="H95" s="16"/>
      <c r="I95" s="16">
        <f>ROUND(SUM(I91:I93),1)</f>
        <v>302.60000000000002</v>
      </c>
      <c r="J95" s="16"/>
      <c r="K95" s="16">
        <f>ROUND(SUM(K91:K93),1)</f>
        <v>-242.4</v>
      </c>
      <c r="L95" s="16"/>
      <c r="M95" s="16">
        <f>ROUND(SUM(M91:M93),1)</f>
        <v>376.3</v>
      </c>
      <c r="N95" s="16"/>
      <c r="O95" s="16">
        <f>ROUND(SUM(O91:O93),1)</f>
        <v>36</v>
      </c>
      <c r="P95" s="16"/>
      <c r="Q95" s="16">
        <f>ROUND(SUM(Q91:Q93),1)</f>
        <v>1351.9</v>
      </c>
      <c r="R95" s="16"/>
      <c r="S95" s="16">
        <f>ROUND(SUM(S91:S93),1)</f>
        <v>471.3</v>
      </c>
      <c r="T95" s="16"/>
      <c r="U95" s="16">
        <f>ROUND(SUM(U91:U93),1)</f>
        <v>0</v>
      </c>
      <c r="V95" s="16"/>
      <c r="W95" s="16">
        <f>ROUND(SUM(W91:W93),1)</f>
        <v>0</v>
      </c>
      <c r="X95" s="16"/>
      <c r="Y95" s="16">
        <f>ROUND(SUM(Y91:Y93),1)</f>
        <v>0</v>
      </c>
      <c r="Z95" s="16"/>
      <c r="AA95" s="16">
        <f>ROUND(SUM(AA91:AA93),1)</f>
        <v>0</v>
      </c>
      <c r="AB95" s="16"/>
      <c r="AC95" s="18"/>
      <c r="AD95" s="16">
        <f>ROUND(SUM(AD91:AD93),1)</f>
        <v>2352</v>
      </c>
      <c r="AE95" s="2048"/>
      <c r="AF95" s="16"/>
      <c r="AG95" s="16">
        <f>ROUND(SUM(AG91:AG93),1)</f>
        <v>636.29999999999995</v>
      </c>
      <c r="AH95" s="16"/>
      <c r="AI95" s="133"/>
      <c r="AJ95" s="434">
        <f>ROUND(AD95-AG95,1)</f>
        <v>1715.7</v>
      </c>
      <c r="AK95" s="6"/>
      <c r="AL95" s="667">
        <f>ROUND(IF(AG95=0,0,AJ95/ABS(AG95)),3)</f>
        <v>2.6960000000000002</v>
      </c>
      <c r="AM95" s="6"/>
      <c r="AN95" s="6"/>
      <c r="AO95" s="51"/>
    </row>
    <row r="96" spans="1:41">
      <c r="A96" s="353"/>
      <c r="B96" s="353"/>
      <c r="C96" s="353"/>
      <c r="D96" s="353"/>
      <c r="E96" s="783"/>
      <c r="F96" s="325"/>
      <c r="G96" s="783"/>
      <c r="H96" s="325"/>
      <c r="I96" s="783"/>
      <c r="J96" s="325"/>
      <c r="K96" s="783"/>
      <c r="L96" s="325"/>
      <c r="M96" s="783"/>
      <c r="N96" s="325"/>
      <c r="O96" s="783"/>
      <c r="P96" s="325"/>
      <c r="Q96" s="783"/>
      <c r="R96" s="325"/>
      <c r="S96" s="783"/>
      <c r="T96" s="325"/>
      <c r="U96" s="783"/>
      <c r="V96" s="325"/>
      <c r="W96" s="783"/>
      <c r="X96" s="325"/>
      <c r="Y96" s="783"/>
      <c r="Z96" s="325"/>
      <c r="AA96" s="783"/>
      <c r="AB96" s="325"/>
      <c r="AC96" s="647"/>
      <c r="AD96" s="783"/>
      <c r="AE96" s="2045"/>
      <c r="AF96" s="325"/>
      <c r="AG96" s="783"/>
      <c r="AH96" s="325"/>
      <c r="AI96" s="133"/>
      <c r="AJ96" s="15"/>
      <c r="AL96" s="131"/>
      <c r="AO96" s="52"/>
    </row>
    <row r="97" spans="1:41">
      <c r="A97" s="353"/>
      <c r="B97" s="353"/>
      <c r="C97" s="353"/>
      <c r="D97" s="353"/>
      <c r="E97" s="325" t="s">
        <v>104</v>
      </c>
      <c r="F97" s="325" t="s">
        <v>104</v>
      </c>
      <c r="G97" s="325" t="s">
        <v>104</v>
      </c>
      <c r="H97" s="325"/>
      <c r="I97" s="325" t="s">
        <v>104</v>
      </c>
      <c r="J97" s="325"/>
      <c r="K97" s="325" t="s">
        <v>104</v>
      </c>
      <c r="L97" s="325"/>
      <c r="M97" s="325" t="s">
        <v>104</v>
      </c>
      <c r="N97" s="325"/>
      <c r="O97" s="325" t="s">
        <v>104</v>
      </c>
      <c r="P97" s="325"/>
      <c r="Q97" s="325" t="s">
        <v>104</v>
      </c>
      <c r="R97" s="325"/>
      <c r="S97" s="325" t="s">
        <v>104</v>
      </c>
      <c r="T97" s="325"/>
      <c r="U97" s="325" t="s">
        <v>104</v>
      </c>
      <c r="V97" s="325"/>
      <c r="W97" s="325" t="s">
        <v>104</v>
      </c>
      <c r="X97" s="325"/>
      <c r="Y97" s="325" t="s">
        <v>104</v>
      </c>
      <c r="Z97" s="325"/>
      <c r="AA97" s="325" t="s">
        <v>104</v>
      </c>
      <c r="AB97" s="325"/>
      <c r="AC97" s="647"/>
      <c r="AD97" s="325"/>
      <c r="AE97" s="2045"/>
      <c r="AF97" s="325"/>
      <c r="AG97" s="325"/>
      <c r="AH97" s="325"/>
      <c r="AI97" s="133"/>
      <c r="AJ97" s="15" t="s">
        <v>104</v>
      </c>
      <c r="AL97" s="131"/>
    </row>
    <row r="98" spans="1:41">
      <c r="A98" s="353"/>
      <c r="B98" s="6" t="s">
        <v>609</v>
      </c>
      <c r="C98" s="353"/>
      <c r="D98" s="353"/>
      <c r="E98" s="325"/>
      <c r="F98" s="325"/>
      <c r="G98" s="325" t="s">
        <v>104</v>
      </c>
      <c r="H98" s="325"/>
      <c r="I98" s="325" t="s">
        <v>104</v>
      </c>
      <c r="J98" s="325"/>
      <c r="K98" s="325" t="s">
        <v>104</v>
      </c>
      <c r="L98" s="325"/>
      <c r="M98" s="325" t="s">
        <v>104</v>
      </c>
      <c r="N98" s="325"/>
      <c r="O98" s="325" t="s">
        <v>104</v>
      </c>
      <c r="P98" s="325"/>
      <c r="Q98" s="325" t="s">
        <v>104</v>
      </c>
      <c r="R98" s="325"/>
      <c r="S98" s="325" t="s">
        <v>104</v>
      </c>
      <c r="T98" s="325"/>
      <c r="U98" s="325" t="s">
        <v>104</v>
      </c>
      <c r="V98" s="325"/>
      <c r="W98" s="325" t="s">
        <v>104</v>
      </c>
      <c r="X98" s="325"/>
      <c r="Y98" s="325" t="s">
        <v>104</v>
      </c>
      <c r="Z98" s="325"/>
      <c r="AA98" s="325" t="s">
        <v>104</v>
      </c>
      <c r="AB98" s="325"/>
      <c r="AC98" s="647"/>
      <c r="AD98" s="325"/>
      <c r="AE98" s="2045"/>
      <c r="AF98" s="325"/>
      <c r="AG98" s="325"/>
      <c r="AH98" s="325"/>
      <c r="AI98" s="133"/>
      <c r="AJ98" s="15"/>
      <c r="AL98" s="131"/>
    </row>
    <row r="99" spans="1:41">
      <c r="A99" s="353"/>
      <c r="B99" s="6" t="s">
        <v>610</v>
      </c>
      <c r="C99" s="353"/>
      <c r="D99" s="353"/>
      <c r="E99" s="325" t="s">
        <v>104</v>
      </c>
      <c r="F99" s="325"/>
      <c r="G99" s="325"/>
      <c r="H99" s="325"/>
      <c r="I99" s="325"/>
      <c r="J99" s="325"/>
      <c r="K99" s="325"/>
      <c r="L99" s="325"/>
      <c r="M99" s="325"/>
      <c r="N99" s="325"/>
      <c r="O99" s="325"/>
      <c r="P99" s="325"/>
      <c r="Q99" s="325"/>
      <c r="R99" s="325"/>
      <c r="S99" s="325"/>
      <c r="T99" s="325"/>
      <c r="U99" s="325"/>
      <c r="V99" s="325"/>
      <c r="W99" s="325"/>
      <c r="X99" s="325"/>
      <c r="Y99" s="325"/>
      <c r="Z99" s="325"/>
      <c r="AA99" s="325"/>
      <c r="AB99" s="325"/>
      <c r="AC99" s="647"/>
      <c r="AD99" s="15"/>
      <c r="AE99" s="2045"/>
      <c r="AF99" s="325"/>
      <c r="AG99" s="15"/>
      <c r="AH99" s="15"/>
      <c r="AI99" s="133"/>
      <c r="AJ99" s="15"/>
      <c r="AL99" s="131"/>
      <c r="AO99" s="1267"/>
    </row>
    <row r="100" spans="1:41" s="15" customFormat="1">
      <c r="A100" s="325"/>
      <c r="B100" s="16" t="s">
        <v>1512</v>
      </c>
      <c r="C100" s="325"/>
      <c r="D100" s="325"/>
      <c r="E100" s="969">
        <f>ROUND(SUM(E88+E95),1)</f>
        <v>3.4</v>
      </c>
      <c r="F100" s="970"/>
      <c r="G100" s="969">
        <f>ROUND(SUM(G88+G95),1)</f>
        <v>-48.8</v>
      </c>
      <c r="H100" s="970"/>
      <c r="I100" s="969">
        <f>ROUND(SUM(I88+I95),1)</f>
        <v>-198.9</v>
      </c>
      <c r="J100" s="970"/>
      <c r="K100" s="969">
        <f>ROUND(SUM(K88+K95),1)</f>
        <v>-99.6</v>
      </c>
      <c r="L100" s="970"/>
      <c r="M100" s="969">
        <f>ROUND(SUM(M88+M95),1)</f>
        <v>31.7</v>
      </c>
      <c r="N100" s="970"/>
      <c r="O100" s="969">
        <f>ROUND(SUM(O88+O95),1)</f>
        <v>-15</v>
      </c>
      <c r="P100" s="970"/>
      <c r="Q100" s="969">
        <f>ROUND(SUM(Q88+Q95),1)</f>
        <v>198.3</v>
      </c>
      <c r="R100" s="970"/>
      <c r="S100" s="969">
        <f>ROUND(SUM(S88+S95),1)</f>
        <v>-224.4</v>
      </c>
      <c r="T100" s="970"/>
      <c r="U100" s="969">
        <f>ROUND(SUM(U88+U95),1)</f>
        <v>0</v>
      </c>
      <c r="V100" s="970"/>
      <c r="W100" s="969">
        <f>ROUND(SUM(W88+W95),1)</f>
        <v>0</v>
      </c>
      <c r="X100" s="1268"/>
      <c r="Y100" s="969">
        <f>ROUND(SUM(Y88+Y95),1)</f>
        <v>0</v>
      </c>
      <c r="Z100" s="970"/>
      <c r="AA100" s="969">
        <f>ROUND(SUM(AA88+AA95),1)</f>
        <v>0</v>
      </c>
      <c r="AB100" s="970"/>
      <c r="AC100" s="971"/>
      <c r="AD100" s="969">
        <f>ROUND(SUM(AD88+AD95),1)</f>
        <v>-353.3</v>
      </c>
      <c r="AE100" s="2060"/>
      <c r="AF100" s="16"/>
      <c r="AG100" s="969">
        <f>ROUND(SUM(AG88+AG95),1)</f>
        <v>-28.9</v>
      </c>
      <c r="AH100" s="16"/>
      <c r="AI100" s="133"/>
      <c r="AJ100" s="969">
        <f>ROUND(SUM(AJ88+AJ95),1)</f>
        <v>-324.39999999999998</v>
      </c>
      <c r="AK100" s="16"/>
      <c r="AL100" s="667">
        <f>ROUND(IF(AG100=0,0,AJ100/ABS(AG100)),3)</f>
        <v>-11.225</v>
      </c>
      <c r="AM100" s="16"/>
    </row>
    <row r="101" spans="1:41">
      <c r="B101" s="1276"/>
      <c r="X101" s="1575"/>
      <c r="AC101" s="1752"/>
      <c r="AF101" s="1752"/>
      <c r="AI101" s="972"/>
    </row>
    <row r="102" spans="1:41" ht="16" thickBot="1">
      <c r="B102" s="6" t="s">
        <v>564</v>
      </c>
      <c r="C102" s="138"/>
      <c r="D102" s="138"/>
      <c r="E102" s="102">
        <f>ROUND(SUM(E14+E100),1)</f>
        <v>-1111.3</v>
      </c>
      <c r="F102" s="138"/>
      <c r="G102" s="102">
        <f>ROUND(SUM(G14+G100),1)</f>
        <v>-1160.0999999999999</v>
      </c>
      <c r="I102" s="102">
        <f>ROUND(SUM(I14+I100),1)</f>
        <v>-1359</v>
      </c>
      <c r="K102" s="102">
        <f>ROUND(SUM(K14+K100),1)</f>
        <v>-1458.6</v>
      </c>
      <c r="M102" s="102">
        <f>ROUND(SUM(M14+M100),1)</f>
        <v>-1426.9</v>
      </c>
      <c r="O102" s="102">
        <f>ROUND(SUM(O14+O100),1)</f>
        <v>-1441.9</v>
      </c>
      <c r="Q102" s="102">
        <f>ROUND(SUM(Q14+Q100),1)</f>
        <v>-1243.5999999999999</v>
      </c>
      <c r="S102" s="102">
        <f>ROUND(SUM(S14+S100),1)</f>
        <v>-1468</v>
      </c>
      <c r="U102" s="102">
        <f>ROUND(SUM(U14+U100),1)</f>
        <v>0</v>
      </c>
      <c r="W102" s="102">
        <f>ROUND(SUM(W14+W100),1)</f>
        <v>0</v>
      </c>
      <c r="Y102" s="102">
        <f>ROUND(SUM(Y14+Y100),1)</f>
        <v>0</v>
      </c>
      <c r="AA102" s="102">
        <f>ROUND(SUM(AA14+AA100),1)</f>
        <v>0</v>
      </c>
      <c r="AC102" s="1752"/>
      <c r="AD102" s="102">
        <f>ROUND(SUM(AD14+AD100),1)</f>
        <v>-1468</v>
      </c>
      <c r="AF102" s="1752"/>
      <c r="AG102" s="102">
        <f>ROUND(SUM(AG14+AG100),1)</f>
        <v>-785.7</v>
      </c>
      <c r="AI102" s="972"/>
      <c r="AJ102" s="102">
        <f>ROUND(SUM(AJ14+AJ100),1)</f>
        <v>-682.3</v>
      </c>
      <c r="AL102" s="110">
        <f>ROUND(IF(AG102=0,0,AJ102/ABS(AG102)),3)</f>
        <v>-0.86799999999999999</v>
      </c>
    </row>
    <row r="103" spans="1:41" ht="16" thickTop="1">
      <c r="B103" s="1269"/>
      <c r="C103" s="138"/>
      <c r="D103" s="138"/>
      <c r="E103" s="138"/>
      <c r="F103" s="138"/>
      <c r="G103" s="138"/>
      <c r="AG103" s="540"/>
      <c r="AJ103" s="52"/>
    </row>
    <row r="104" spans="1:41">
      <c r="B104" s="139"/>
    </row>
    <row r="105" spans="1:41">
      <c r="B105" s="139"/>
      <c r="AD105" s="15"/>
    </row>
    <row r="106" spans="1:41">
      <c r="B106" s="137"/>
    </row>
    <row r="107" spans="1:41">
      <c r="B107" s="139"/>
    </row>
    <row r="108" spans="1:41">
      <c r="B108" s="139"/>
    </row>
    <row r="109" spans="1:41">
      <c r="B109" s="137"/>
    </row>
  </sheetData>
  <mergeCells count="1">
    <mergeCell ref="AD10:AL10"/>
  </mergeCells>
  <pageMargins left="0.25" right="0.25" top="0.5" bottom="0.25" header="0" footer="0.25"/>
  <pageSetup scale="44" firstPageNumber="31" orientation="landscape" useFirstPageNumber="1" r:id="rId1"/>
  <headerFooter scaleWithDoc="0" alignWithMargins="0">
    <oddFooter>&amp;C&amp;8&amp;P</oddFooter>
  </headerFooter>
  <rowBreaks count="1" manualBreakCount="1">
    <brk id="65" min="1" max="37" man="1"/>
  </rowBreaks>
  <customProperties>
    <customPr name="SheetOptions" r:id="rId2"/>
  </customProperties>
  <ignoredErrors>
    <ignoredError sqref="AL39 AL32:AL35 AL37 AL94 AL96:AL100 AL89:AL90 AL86:AL87 AL92:AL93 AL79 AL84 AL85 AL80:AL83 AL76 AL23 AL31 AL28 AL20 AL29:AL30 AL24 AL26:AL27 AL22 AL78" unlockedFormula="1"/>
    <ignoredError sqref="AL47 AL64 AL72:AL73 AL69:AL70 AL71 AL65:AL67 AL61 AL52" formula="1" unlockedFormula="1"/>
    <ignoredError sqref="AL49:AL50 AL53:AL54 AL51 AL56:AL58 AL60" formula="1"/>
  </ignoredError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3"/>
  <dimension ref="A1:AO90"/>
  <sheetViews>
    <sheetView showGridLines="0" zoomScale="80" zoomScaleNormal="70" workbookViewId="0"/>
  </sheetViews>
  <sheetFormatPr defaultColWidth="8.84375" defaultRowHeight="15.5"/>
  <cols>
    <col min="1" max="1" width="2.53515625" style="29" customWidth="1"/>
    <col min="2" max="2" width="14.07421875" style="29" customWidth="1"/>
    <col min="3" max="3" width="26.53515625" style="29" customWidth="1"/>
    <col min="4" max="4" width="2.07421875" style="29" customWidth="1"/>
    <col min="5" max="5" width="11.07421875" style="29" customWidth="1"/>
    <col min="6" max="6" width="1.84375" style="29" customWidth="1"/>
    <col min="7" max="7" width="11" style="29" bestFit="1" customWidth="1"/>
    <col min="8" max="8" width="1.84375" style="29" customWidth="1"/>
    <col min="9" max="9" width="11" style="29" bestFit="1" customWidth="1"/>
    <col min="10" max="10" width="1.84375" style="29" customWidth="1"/>
    <col min="11" max="11" width="12.07421875" style="29" customWidth="1"/>
    <col min="12" max="12" width="1.84375" style="29" customWidth="1"/>
    <col min="13" max="13" width="11" style="29" customWidth="1"/>
    <col min="14" max="14" width="1.84375" style="29" customWidth="1"/>
    <col min="15" max="15" width="13.84375" style="29" customWidth="1"/>
    <col min="16" max="16" width="1.84375" style="29" customWidth="1"/>
    <col min="17" max="17" width="12.4609375" style="29" customWidth="1"/>
    <col min="18" max="18" width="1.84375" style="29" customWidth="1"/>
    <col min="19" max="19" width="12.53515625" style="29" customWidth="1"/>
    <col min="20" max="20" width="1.84375" style="29" customWidth="1"/>
    <col min="21" max="21" width="10.84375" style="29" customWidth="1"/>
    <col min="22" max="22" width="1.84375" style="29" customWidth="1"/>
    <col min="23" max="23" width="10.53515625" style="29" customWidth="1"/>
    <col min="24" max="24" width="1.84375" style="29" customWidth="1"/>
    <col min="25" max="25" width="10.84375" style="29" customWidth="1"/>
    <col min="26" max="26" width="1.84375" style="29" customWidth="1"/>
    <col min="27" max="27" width="11.84375" style="29" customWidth="1"/>
    <col min="28" max="29" width="1.84375" style="29" customWidth="1"/>
    <col min="30" max="30" width="10.53515625" style="29" customWidth="1"/>
    <col min="31" max="32" width="1" style="29" customWidth="1"/>
    <col min="33" max="33" width="12.84375" style="29" customWidth="1"/>
    <col min="34" max="35" width="1" style="29" customWidth="1"/>
    <col min="36" max="36" width="13.07421875" style="29" bestFit="1" customWidth="1"/>
    <col min="37" max="37" width="1.07421875" style="29" customWidth="1"/>
    <col min="38" max="38" width="11.53515625" style="29" customWidth="1"/>
    <col min="39" max="16384" width="8.84375" style="29"/>
  </cols>
  <sheetData>
    <row r="1" spans="1:39">
      <c r="B1" s="326" t="s">
        <v>98</v>
      </c>
    </row>
    <row r="2" spans="1:39">
      <c r="B2" s="431"/>
    </row>
    <row r="3" spans="1:39" ht="19.5" customHeight="1">
      <c r="A3" s="119"/>
      <c r="B3" s="62" t="s">
        <v>99</v>
      </c>
      <c r="C3" s="120"/>
      <c r="D3" s="120"/>
      <c r="E3" s="120"/>
      <c r="F3" s="121"/>
      <c r="G3" s="121"/>
      <c r="H3" s="121"/>
      <c r="I3" s="121"/>
      <c r="J3" s="121"/>
      <c r="K3" s="121"/>
      <c r="L3" s="121"/>
      <c r="M3" s="121"/>
      <c r="N3" s="121"/>
      <c r="O3" s="121"/>
      <c r="P3" s="121"/>
      <c r="Q3" s="121"/>
      <c r="R3" s="121"/>
      <c r="S3" s="1753"/>
      <c r="T3" s="121"/>
      <c r="U3" s="121"/>
      <c r="V3" s="121"/>
      <c r="W3" s="121"/>
      <c r="X3" s="121"/>
      <c r="Y3" s="121"/>
      <c r="Z3" s="121"/>
      <c r="AA3" s="121"/>
      <c r="AB3" s="121"/>
      <c r="AC3" s="121"/>
      <c r="AD3" s="121"/>
      <c r="AE3" s="121"/>
      <c r="AF3" s="121"/>
      <c r="AG3" s="121"/>
      <c r="AH3" s="121"/>
      <c r="AI3" s="121"/>
      <c r="AL3" s="105" t="s">
        <v>586</v>
      </c>
    </row>
    <row r="4" spans="1:39" ht="19.5" customHeight="1">
      <c r="A4" s="119"/>
      <c r="B4" s="62" t="s">
        <v>617</v>
      </c>
      <c r="C4" s="120"/>
      <c r="D4" s="120"/>
      <c r="E4" s="120"/>
      <c r="F4" s="121"/>
      <c r="G4" s="121"/>
      <c r="H4" s="121"/>
      <c r="I4" s="121"/>
      <c r="J4" s="121"/>
      <c r="K4" s="121"/>
      <c r="L4" s="121"/>
      <c r="M4" s="121"/>
      <c r="N4" s="121"/>
      <c r="O4" s="121"/>
      <c r="P4" s="121"/>
      <c r="Q4" s="121"/>
      <c r="R4" s="121"/>
      <c r="S4" s="121"/>
      <c r="T4" s="121"/>
      <c r="U4" s="121"/>
      <c r="V4" s="121"/>
      <c r="W4" s="121"/>
      <c r="X4" s="121"/>
      <c r="Y4" s="121"/>
      <c r="Z4" s="121"/>
      <c r="AA4" s="121"/>
      <c r="AB4" s="121"/>
      <c r="AC4" s="121"/>
      <c r="AE4" s="122"/>
      <c r="AF4" s="122"/>
    </row>
    <row r="5" spans="1:39" ht="19.5" customHeight="1">
      <c r="A5" s="119"/>
      <c r="B5" s="668" t="s">
        <v>474</v>
      </c>
      <c r="C5" s="120"/>
      <c r="D5" s="120"/>
      <c r="E5" s="120"/>
      <c r="F5" s="121"/>
      <c r="G5" s="121"/>
      <c r="H5" s="121"/>
      <c r="I5" s="121"/>
      <c r="J5" s="121"/>
      <c r="K5" s="121"/>
      <c r="L5" s="121"/>
      <c r="M5" s="121"/>
      <c r="N5" s="121"/>
      <c r="O5" s="121"/>
      <c r="P5" s="121"/>
      <c r="Q5" s="121"/>
      <c r="R5" s="121"/>
      <c r="S5" s="121"/>
      <c r="T5" s="121"/>
      <c r="U5" s="121"/>
      <c r="V5" s="121"/>
      <c r="W5" s="121"/>
      <c r="X5" s="121"/>
      <c r="Y5" s="121"/>
      <c r="Z5" s="121"/>
      <c r="AA5" s="121"/>
      <c r="AB5" s="121"/>
      <c r="AC5" s="121"/>
      <c r="AD5" s="121"/>
      <c r="AE5" s="121"/>
      <c r="AF5" s="121"/>
      <c r="AG5" s="121"/>
      <c r="AH5" s="121"/>
      <c r="AI5" s="121"/>
      <c r="AL5" s="105"/>
    </row>
    <row r="6" spans="1:39" ht="19.5" customHeight="1">
      <c r="A6" s="119"/>
      <c r="B6" s="668" t="str">
        <f>'Cashflow Governmental'!A6</f>
        <v>FISCAL YEAR 2023-2024</v>
      </c>
      <c r="C6" s="1275"/>
      <c r="D6" s="120"/>
      <c r="E6" s="120"/>
      <c r="F6" s="121"/>
      <c r="G6" s="121"/>
      <c r="H6" s="1747"/>
      <c r="I6" s="121"/>
      <c r="J6" s="121"/>
      <c r="K6" s="121"/>
      <c r="L6" s="121"/>
      <c r="M6" s="121"/>
      <c r="N6" s="121"/>
      <c r="O6" s="121"/>
      <c r="P6" s="121"/>
      <c r="Q6" s="121"/>
      <c r="R6" s="121"/>
      <c r="S6" s="121"/>
      <c r="T6" s="121"/>
      <c r="U6" s="121"/>
      <c r="V6" s="121"/>
      <c r="W6" s="121"/>
      <c r="X6" s="121"/>
      <c r="Y6" s="121"/>
      <c r="Z6" s="121"/>
      <c r="AA6" s="121"/>
      <c r="AB6" s="121"/>
      <c r="AC6" s="121"/>
      <c r="AD6" s="121"/>
      <c r="AE6" s="123"/>
      <c r="AF6" s="123"/>
      <c r="AG6" s="123"/>
      <c r="AH6" s="123"/>
      <c r="AI6" s="123"/>
    </row>
    <row r="7" spans="1:39" ht="19.5" customHeight="1">
      <c r="A7" s="119"/>
      <c r="B7" s="62" t="s">
        <v>250</v>
      </c>
      <c r="C7" s="120"/>
      <c r="D7" s="120"/>
      <c r="E7" s="120"/>
      <c r="F7" s="121"/>
      <c r="G7" s="121"/>
      <c r="H7" s="1747"/>
      <c r="I7" s="121"/>
      <c r="J7" s="121"/>
      <c r="K7" s="121"/>
      <c r="L7" s="121"/>
      <c r="M7" s="121"/>
      <c r="N7" s="121"/>
      <c r="O7" s="121"/>
      <c r="P7" s="121"/>
      <c r="Q7" s="121"/>
      <c r="R7" s="121"/>
      <c r="S7" s="121"/>
      <c r="T7" s="121"/>
      <c r="U7" s="121"/>
      <c r="V7" s="121"/>
      <c r="W7" s="121"/>
      <c r="X7" s="121"/>
      <c r="Y7" s="121"/>
      <c r="Z7" s="121"/>
      <c r="AA7" s="121"/>
      <c r="AB7" s="121"/>
      <c r="AC7" s="121"/>
      <c r="AD7" s="121"/>
      <c r="AE7" s="123"/>
      <c r="AF7" s="123"/>
      <c r="AG7" s="123"/>
      <c r="AH7" s="123"/>
      <c r="AI7" s="123"/>
    </row>
    <row r="8" spans="1:39" ht="19.5" customHeight="1">
      <c r="A8" s="119"/>
      <c r="B8" s="688"/>
      <c r="C8" s="120"/>
      <c r="D8" s="120"/>
      <c r="E8" s="120"/>
      <c r="F8" s="121"/>
      <c r="G8" s="121"/>
      <c r="H8" s="1747"/>
      <c r="I8" s="121"/>
      <c r="J8" s="121"/>
      <c r="K8" s="121"/>
      <c r="L8" s="121"/>
      <c r="M8" s="121"/>
      <c r="N8" s="121"/>
      <c r="O8" s="121"/>
      <c r="P8" s="121"/>
      <c r="Q8" s="121"/>
      <c r="R8" s="121"/>
      <c r="S8" s="121"/>
      <c r="T8" s="121"/>
      <c r="U8" s="121"/>
      <c r="V8" s="121"/>
      <c r="W8" s="121"/>
      <c r="X8" s="121"/>
      <c r="Y8" s="121"/>
      <c r="Z8" s="121"/>
      <c r="AA8" s="121"/>
      <c r="AB8" s="121"/>
      <c r="AC8" s="121"/>
      <c r="AD8" s="121"/>
      <c r="AE8" s="123"/>
      <c r="AF8" s="123"/>
      <c r="AG8" s="123"/>
      <c r="AH8" s="123"/>
      <c r="AI8" s="123"/>
    </row>
    <row r="9" spans="1:39" ht="15.75" customHeight="1">
      <c r="A9" s="119"/>
      <c r="B9" s="62"/>
      <c r="C9" s="120"/>
      <c r="D9" s="120"/>
      <c r="E9" s="120"/>
      <c r="F9" s="121"/>
      <c r="G9" s="121"/>
      <c r="H9" s="121"/>
      <c r="I9" s="121"/>
      <c r="J9" s="121"/>
      <c r="K9" s="121"/>
      <c r="L9" s="121"/>
      <c r="M9" s="121"/>
      <c r="N9" s="121"/>
      <c r="O9" s="121"/>
      <c r="P9" s="121"/>
      <c r="Q9" s="121"/>
      <c r="R9" s="121"/>
      <c r="S9" s="121"/>
      <c r="T9" s="121"/>
      <c r="U9" s="121"/>
      <c r="V9" s="121"/>
      <c r="W9" s="121"/>
      <c r="X9" s="121"/>
      <c r="Y9" s="121"/>
      <c r="Z9" s="121"/>
      <c r="AA9" s="121"/>
      <c r="AB9" s="121"/>
      <c r="AC9" s="124"/>
    </row>
    <row r="10" spans="1:39" ht="22.5">
      <c r="A10" s="119"/>
      <c r="B10" s="62"/>
      <c r="C10" s="120"/>
      <c r="D10" s="120"/>
      <c r="E10" s="120"/>
      <c r="F10" s="121"/>
      <c r="G10" s="121"/>
      <c r="H10" s="121"/>
      <c r="I10" s="121"/>
      <c r="J10" s="121"/>
      <c r="K10" s="121"/>
      <c r="L10" s="121"/>
      <c r="M10" s="121"/>
      <c r="N10" s="121"/>
      <c r="O10" s="121"/>
      <c r="P10" s="121"/>
      <c r="Q10" s="121"/>
      <c r="R10" s="121"/>
      <c r="S10" s="121"/>
      <c r="T10" s="121"/>
      <c r="U10" s="121"/>
      <c r="V10" s="121"/>
      <c r="W10" s="121"/>
      <c r="X10" s="121"/>
      <c r="Y10" s="121"/>
      <c r="Z10" s="121"/>
      <c r="AA10" s="121"/>
      <c r="AB10" s="121"/>
      <c r="AC10" s="124"/>
      <c r="AD10" s="2229" t="s">
        <v>1590</v>
      </c>
      <c r="AE10" s="2234"/>
      <c r="AF10" s="2234"/>
      <c r="AG10" s="2234"/>
      <c r="AH10" s="2234"/>
      <c r="AI10" s="2234"/>
      <c r="AJ10" s="2234"/>
      <c r="AK10" s="2234"/>
      <c r="AL10" s="2234"/>
    </row>
    <row r="11" spans="1:39">
      <c r="A11" s="126"/>
      <c r="B11" s="126"/>
      <c r="C11" s="126"/>
      <c r="D11" s="126"/>
      <c r="E11" s="382" t="str">
        <f>'Cashflow Governmental'!C13</f>
        <v>2023</v>
      </c>
      <c r="F11" s="394"/>
      <c r="G11" s="394"/>
      <c r="H11" s="394"/>
      <c r="I11" s="394"/>
      <c r="J11" s="394"/>
      <c r="K11" s="394"/>
      <c r="L11" s="394"/>
      <c r="M11" s="394"/>
      <c r="N11" s="394"/>
      <c r="O11" s="394"/>
      <c r="P11" s="394"/>
      <c r="Q11" s="394"/>
      <c r="R11" s="394"/>
      <c r="S11" s="394"/>
      <c r="T11" s="394"/>
      <c r="U11" s="394"/>
      <c r="V11" s="394"/>
      <c r="W11" s="382">
        <f>'Cashflow Governmental'!U13</f>
        <v>2024</v>
      </c>
      <c r="X11" s="394"/>
      <c r="Y11" s="394"/>
      <c r="Z11" s="394"/>
      <c r="AA11" s="394"/>
      <c r="AB11" s="394"/>
      <c r="AC11" s="394"/>
      <c r="AD11" s="394"/>
      <c r="AE11" s="394"/>
      <c r="AF11" s="394"/>
      <c r="AG11" s="394"/>
      <c r="AH11" s="394"/>
      <c r="AI11" s="394"/>
      <c r="AJ11" s="390" t="s">
        <v>111</v>
      </c>
      <c r="AK11" s="390"/>
      <c r="AL11" s="388" t="s">
        <v>112</v>
      </c>
      <c r="AM11" s="6"/>
    </row>
    <row r="12" spans="1:39">
      <c r="A12" s="353"/>
      <c r="B12" s="353"/>
      <c r="C12" s="353"/>
      <c r="D12" s="353"/>
      <c r="E12" s="2007" t="s">
        <v>358</v>
      </c>
      <c r="F12" s="6"/>
      <c r="G12" s="2007" t="s">
        <v>359</v>
      </c>
      <c r="H12" s="6"/>
      <c r="I12" s="2007" t="s">
        <v>360</v>
      </c>
      <c r="J12" s="6"/>
      <c r="K12" s="2007" t="s">
        <v>361</v>
      </c>
      <c r="L12" s="6"/>
      <c r="M12" s="2007" t="s">
        <v>362</v>
      </c>
      <c r="N12" s="6"/>
      <c r="O12" s="2007" t="s">
        <v>475</v>
      </c>
      <c r="P12" s="6"/>
      <c r="Q12" s="2007" t="s">
        <v>476</v>
      </c>
      <c r="R12" s="6"/>
      <c r="S12" s="2007" t="s">
        <v>365</v>
      </c>
      <c r="T12" s="6"/>
      <c r="U12" s="2007" t="s">
        <v>366</v>
      </c>
      <c r="V12" s="6"/>
      <c r="W12" s="2007" t="s">
        <v>367</v>
      </c>
      <c r="X12" s="6"/>
      <c r="Y12" s="2007" t="s">
        <v>368</v>
      </c>
      <c r="Z12" s="6"/>
      <c r="AA12" s="2007" t="s">
        <v>477</v>
      </c>
      <c r="AB12" s="6"/>
      <c r="AC12" s="6"/>
      <c r="AD12" s="2007">
        <f>'Cashflow Governmental'!AB14</f>
        <v>2023</v>
      </c>
      <c r="AE12" s="6" t="s">
        <v>104</v>
      </c>
      <c r="AF12" s="6"/>
      <c r="AG12" s="2007">
        <f>'Cashflow Governmental'!AE14</f>
        <v>2022</v>
      </c>
      <c r="AH12" s="66"/>
      <c r="AI12" s="66"/>
      <c r="AJ12" s="528" t="s">
        <v>113</v>
      </c>
      <c r="AK12" s="390"/>
      <c r="AL12" s="528" t="s">
        <v>114</v>
      </c>
      <c r="AM12" s="6"/>
    </row>
    <row r="13" spans="1:39" ht="5.25" customHeight="1">
      <c r="A13" s="353"/>
      <c r="B13" s="6"/>
      <c r="C13" s="6"/>
      <c r="D13" s="353"/>
      <c r="E13" s="329"/>
      <c r="F13" s="329"/>
      <c r="G13" s="329"/>
      <c r="H13" s="329"/>
      <c r="I13" s="329"/>
      <c r="J13" s="329"/>
      <c r="K13" s="329"/>
      <c r="L13" s="329"/>
      <c r="M13" s="329"/>
      <c r="N13" s="329"/>
      <c r="O13" s="329"/>
      <c r="P13" s="329"/>
      <c r="Q13" s="329"/>
      <c r="R13" s="329"/>
      <c r="S13" s="329"/>
      <c r="T13" s="329"/>
      <c r="U13" s="329"/>
      <c r="V13" s="329"/>
      <c r="W13" s="329"/>
      <c r="X13" s="329"/>
      <c r="Y13" s="329"/>
      <c r="Z13" s="329"/>
      <c r="AA13" s="329"/>
      <c r="AB13" s="329"/>
      <c r="AC13" s="836"/>
      <c r="AD13" s="329"/>
      <c r="AE13" s="329"/>
      <c r="AF13" s="1546"/>
      <c r="AG13" s="329"/>
      <c r="AH13" s="329"/>
      <c r="AI13" s="127"/>
    </row>
    <row r="14" spans="1:39">
      <c r="A14" s="353"/>
      <c r="B14" s="2006" t="s">
        <v>589</v>
      </c>
      <c r="C14" s="6"/>
      <c r="E14" s="117">
        <v>-479.8</v>
      </c>
      <c r="F14" s="329"/>
      <c r="G14" s="117">
        <f>E82</f>
        <v>-465.2</v>
      </c>
      <c r="H14" s="117"/>
      <c r="I14" s="117">
        <f t="shared" ref="I14:S14" si="0">G82</f>
        <v>-465.5</v>
      </c>
      <c r="J14" s="329"/>
      <c r="K14" s="117">
        <f t="shared" si="0"/>
        <v>-460.2</v>
      </c>
      <c r="L14" s="329"/>
      <c r="M14" s="117">
        <f t="shared" si="0"/>
        <v>-460</v>
      </c>
      <c r="N14" s="329"/>
      <c r="O14" s="117">
        <f t="shared" si="0"/>
        <v>-534.1</v>
      </c>
      <c r="P14" s="329"/>
      <c r="Q14" s="117">
        <f t="shared" si="0"/>
        <v>-527.79999999999995</v>
      </c>
      <c r="R14" s="335"/>
      <c r="S14" s="117">
        <f t="shared" si="0"/>
        <v>-584</v>
      </c>
      <c r="T14" s="26"/>
      <c r="U14" s="26"/>
      <c r="V14" s="26"/>
      <c r="W14" s="26"/>
      <c r="X14" s="26"/>
      <c r="Y14" s="26"/>
      <c r="Z14" s="26"/>
      <c r="AA14" s="26"/>
      <c r="AB14" s="329"/>
      <c r="AC14" s="836"/>
      <c r="AD14" s="777">
        <f>E14</f>
        <v>-479.8</v>
      </c>
      <c r="AE14" s="329"/>
      <c r="AF14" s="1546"/>
      <c r="AG14" s="777">
        <v>-787.1</v>
      </c>
      <c r="AH14" s="329"/>
      <c r="AI14" s="127"/>
      <c r="AJ14" s="777">
        <f>+AD14-AG14</f>
        <v>307.3</v>
      </c>
      <c r="AL14" s="107">
        <f>-ROUND((+AJ14/AG14),3)</f>
        <v>0.39</v>
      </c>
    </row>
    <row r="15" spans="1:39">
      <c r="A15" s="353"/>
      <c r="B15" s="6"/>
      <c r="C15" s="6"/>
      <c r="D15" s="353"/>
      <c r="E15" s="329"/>
      <c r="F15" s="329"/>
      <c r="G15" s="329"/>
      <c r="H15" s="329"/>
      <c r="I15" s="329"/>
      <c r="J15" s="329"/>
      <c r="K15" s="329"/>
      <c r="L15" s="329"/>
      <c r="M15" s="329"/>
      <c r="N15" s="329"/>
      <c r="O15" s="329"/>
      <c r="P15" s="329"/>
      <c r="Q15" s="329"/>
      <c r="R15" s="329"/>
      <c r="S15" s="329"/>
      <c r="T15" s="329"/>
      <c r="U15" s="329"/>
      <c r="V15" s="329"/>
      <c r="W15" s="329"/>
      <c r="X15" s="329"/>
      <c r="Y15" s="329"/>
      <c r="Z15" s="329"/>
      <c r="AA15" s="329"/>
      <c r="AB15" s="329"/>
      <c r="AC15" s="836"/>
      <c r="AD15" s="329"/>
      <c r="AE15" s="329"/>
      <c r="AF15" s="1546"/>
      <c r="AG15" s="329"/>
      <c r="AH15" s="329"/>
      <c r="AI15" s="127"/>
    </row>
    <row r="16" spans="1:39">
      <c r="A16" s="353"/>
      <c r="B16" s="6" t="s">
        <v>590</v>
      </c>
      <c r="C16" s="353"/>
      <c r="D16" s="353"/>
      <c r="E16" s="329"/>
      <c r="F16" s="329"/>
      <c r="G16" s="329"/>
      <c r="H16" s="329"/>
      <c r="I16" s="329"/>
      <c r="J16" s="329"/>
      <c r="K16" s="329"/>
      <c r="L16" s="329"/>
      <c r="M16" s="329"/>
      <c r="N16" s="329"/>
      <c r="O16" s="329"/>
      <c r="P16" s="329"/>
      <c r="Q16" s="329"/>
      <c r="R16" s="329"/>
      <c r="S16" s="329"/>
      <c r="T16" s="329"/>
      <c r="U16" s="329"/>
      <c r="V16" s="329"/>
      <c r="W16" s="329"/>
      <c r="X16" s="329"/>
      <c r="Y16" s="329"/>
      <c r="Z16" s="329"/>
      <c r="AA16" s="329"/>
      <c r="AB16" s="329"/>
      <c r="AC16" s="836"/>
      <c r="AD16" s="329"/>
      <c r="AE16" s="329"/>
      <c r="AF16" s="1546"/>
      <c r="AG16" s="329"/>
      <c r="AH16" s="329"/>
      <c r="AI16" s="127"/>
    </row>
    <row r="17" spans="1:38">
      <c r="A17" s="353"/>
      <c r="B17" s="427" t="s">
        <v>412</v>
      </c>
      <c r="C17" s="353"/>
      <c r="D17" s="353"/>
      <c r="E17" s="351"/>
      <c r="F17" s="325"/>
      <c r="G17" s="351"/>
      <c r="H17" s="325"/>
      <c r="I17" s="351"/>
      <c r="J17" s="325"/>
      <c r="K17" s="351"/>
      <c r="L17" s="325"/>
      <c r="M17" s="325"/>
      <c r="N17" s="325"/>
      <c r="O17" s="351"/>
      <c r="P17" s="325"/>
      <c r="Q17" s="351"/>
      <c r="R17" s="325"/>
      <c r="S17" s="351"/>
      <c r="T17" s="325"/>
      <c r="U17" s="351"/>
      <c r="V17" s="325"/>
      <c r="W17" s="351"/>
      <c r="X17" s="325"/>
      <c r="Y17" s="351"/>
      <c r="Z17" s="325"/>
      <c r="AA17" s="351"/>
      <c r="AB17" s="325"/>
      <c r="AC17" s="647"/>
      <c r="AD17" s="1754"/>
      <c r="AE17" s="2045"/>
      <c r="AF17" s="325"/>
      <c r="AG17" s="325"/>
      <c r="AH17" s="348"/>
      <c r="AI17" s="132"/>
      <c r="AJ17" s="348"/>
      <c r="AK17" s="52"/>
      <c r="AL17" s="131"/>
    </row>
    <row r="18" spans="1:38">
      <c r="A18" s="353"/>
      <c r="B18" s="427" t="s">
        <v>413</v>
      </c>
      <c r="C18" s="353"/>
      <c r="D18" s="353"/>
      <c r="E18" s="351"/>
      <c r="F18" s="325"/>
      <c r="G18" s="351"/>
      <c r="H18" s="325"/>
      <c r="I18" s="351"/>
      <c r="J18" s="325"/>
      <c r="K18" s="351"/>
      <c r="L18" s="325"/>
      <c r="M18" s="325"/>
      <c r="N18" s="325"/>
      <c r="O18" s="351"/>
      <c r="P18" s="325"/>
      <c r="Q18" s="351"/>
      <c r="R18" s="325"/>
      <c r="S18" s="351"/>
      <c r="T18" s="325"/>
      <c r="U18" s="351"/>
      <c r="V18" s="325"/>
      <c r="W18" s="351"/>
      <c r="X18" s="325"/>
      <c r="Y18" s="351"/>
      <c r="Z18" s="325"/>
      <c r="AA18" s="351"/>
      <c r="AB18" s="325"/>
      <c r="AC18" s="647"/>
      <c r="AD18" s="1754"/>
      <c r="AE18" s="2045"/>
      <c r="AF18" s="325"/>
      <c r="AG18" s="325"/>
      <c r="AH18" s="348"/>
      <c r="AI18" s="132"/>
      <c r="AJ18" s="348"/>
      <c r="AK18" s="52"/>
      <c r="AL18" s="477"/>
    </row>
    <row r="19" spans="1:38" s="353" customFormat="1">
      <c r="B19" s="427" t="s">
        <v>594</v>
      </c>
      <c r="E19" s="325">
        <v>0</v>
      </c>
      <c r="F19" s="351"/>
      <c r="G19" s="325">
        <v>0</v>
      </c>
      <c r="H19" s="351"/>
      <c r="I19" s="325">
        <v>0</v>
      </c>
      <c r="J19" s="325"/>
      <c r="K19" s="351">
        <v>0</v>
      </c>
      <c r="L19" s="325"/>
      <c r="M19" s="351">
        <v>0</v>
      </c>
      <c r="N19" s="325"/>
      <c r="O19" s="351">
        <v>0</v>
      </c>
      <c r="P19" s="325"/>
      <c r="Q19" s="351">
        <v>0</v>
      </c>
      <c r="R19" s="325"/>
      <c r="S19" s="351">
        <f>$AD19-$E19-$G19-$I19-$K19-$M19-$O19-$Q19</f>
        <v>0</v>
      </c>
      <c r="T19" s="351"/>
      <c r="U19" s="351"/>
      <c r="V19" s="351"/>
      <c r="W19" s="351"/>
      <c r="X19" s="351"/>
      <c r="Y19" s="351"/>
      <c r="Z19" s="351"/>
      <c r="AA19" s="351"/>
      <c r="AB19" s="325"/>
      <c r="AC19" s="647"/>
      <c r="AD19" s="325">
        <v>0</v>
      </c>
      <c r="AE19" s="2045"/>
      <c r="AF19" s="325"/>
      <c r="AG19" s="325">
        <v>0</v>
      </c>
      <c r="AH19" s="348"/>
      <c r="AI19" s="1755"/>
      <c r="AJ19" s="348">
        <f>ROUND(AD19-AG19,1)</f>
        <v>0</v>
      </c>
      <c r="AK19" s="329"/>
      <c r="AL19" s="327">
        <f>ROUND(IF(AG19=0,0,AJ19/ABS(AG19)),3)</f>
        <v>0</v>
      </c>
    </row>
    <row r="20" spans="1:38" s="353" customFormat="1">
      <c r="B20" s="427" t="s">
        <v>416</v>
      </c>
      <c r="E20" s="351" t="s">
        <v>104</v>
      </c>
      <c r="F20" s="325"/>
      <c r="G20" s="351" t="s">
        <v>104</v>
      </c>
      <c r="H20" s="325"/>
      <c r="I20" s="351" t="s">
        <v>104</v>
      </c>
      <c r="J20" s="325"/>
      <c r="K20" s="351" t="s">
        <v>104</v>
      </c>
      <c r="L20" s="325"/>
      <c r="M20" s="351"/>
      <c r="N20" s="325"/>
      <c r="O20" s="351"/>
      <c r="P20" s="325"/>
      <c r="Q20" s="351"/>
      <c r="R20" s="325"/>
      <c r="S20" s="351"/>
      <c r="T20" s="325"/>
      <c r="U20" s="351"/>
      <c r="V20" s="325"/>
      <c r="W20" s="351"/>
      <c r="X20" s="325"/>
      <c r="Y20" s="351"/>
      <c r="Z20" s="325"/>
      <c r="AA20" s="351"/>
      <c r="AB20" s="325"/>
      <c r="AC20" s="647"/>
      <c r="AD20" s="325" t="s">
        <v>104</v>
      </c>
      <c r="AE20" s="2045"/>
      <c r="AF20" s="325"/>
      <c r="AG20" s="325" t="s">
        <v>104</v>
      </c>
      <c r="AH20" s="348"/>
      <c r="AI20" s="132"/>
      <c r="AJ20" s="348" t="s">
        <v>104</v>
      </c>
      <c r="AK20" s="329"/>
      <c r="AL20" s="477" t="s">
        <v>104</v>
      </c>
    </row>
    <row r="21" spans="1:38" s="353" customFormat="1">
      <c r="B21" s="427" t="s">
        <v>514</v>
      </c>
      <c r="E21" s="325">
        <v>0</v>
      </c>
      <c r="F21" s="325"/>
      <c r="G21" s="325">
        <v>0</v>
      </c>
      <c r="H21" s="325"/>
      <c r="I21" s="325">
        <v>0</v>
      </c>
      <c r="J21" s="325"/>
      <c r="K21" s="351">
        <v>0</v>
      </c>
      <c r="L21" s="325"/>
      <c r="M21" s="351">
        <v>0</v>
      </c>
      <c r="N21" s="325"/>
      <c r="O21" s="351">
        <v>0</v>
      </c>
      <c r="P21" s="325"/>
      <c r="Q21" s="351">
        <v>0</v>
      </c>
      <c r="R21" s="325"/>
      <c r="S21" s="351">
        <f t="shared" ref="S21:S41" si="1">$AD21-$E21-$G21-$I21-$K21-$M21-$O21-$Q21</f>
        <v>0</v>
      </c>
      <c r="T21" s="351"/>
      <c r="U21" s="351"/>
      <c r="V21" s="325"/>
      <c r="W21" s="351"/>
      <c r="X21" s="325"/>
      <c r="Y21" s="351"/>
      <c r="Z21" s="325"/>
      <c r="AA21" s="351"/>
      <c r="AB21" s="325"/>
      <c r="AC21" s="647"/>
      <c r="AD21" s="325">
        <v>0</v>
      </c>
      <c r="AE21" s="2045"/>
      <c r="AF21" s="325"/>
      <c r="AG21" s="325">
        <v>0</v>
      </c>
      <c r="AH21" s="348"/>
      <c r="AI21" s="132"/>
      <c r="AJ21" s="348">
        <f t="shared" ref="AJ21:AJ41" si="2">ROUND(AD21-AG21,1)</f>
        <v>0</v>
      </c>
      <c r="AK21" s="329"/>
      <c r="AL21" s="477">
        <f>ROUND(IF(AG21=0,0,AJ21/ABS(AG21)),3)</f>
        <v>0</v>
      </c>
    </row>
    <row r="22" spans="1:38" s="353" customFormat="1">
      <c r="B22" s="427" t="s">
        <v>421</v>
      </c>
      <c r="E22" s="351" t="s">
        <v>104</v>
      </c>
      <c r="F22" s="325"/>
      <c r="G22" s="351" t="s">
        <v>104</v>
      </c>
      <c r="H22" s="325"/>
      <c r="I22" s="351" t="s">
        <v>104</v>
      </c>
      <c r="J22" s="325"/>
      <c r="K22" s="351" t="s">
        <v>104</v>
      </c>
      <c r="L22" s="325"/>
      <c r="M22" s="351"/>
      <c r="N22" s="325"/>
      <c r="O22" s="351"/>
      <c r="P22" s="325"/>
      <c r="Q22" s="351"/>
      <c r="R22" s="325"/>
      <c r="S22" s="351"/>
      <c r="T22" s="325"/>
      <c r="U22" s="351"/>
      <c r="V22" s="325"/>
      <c r="W22" s="351"/>
      <c r="X22" s="325"/>
      <c r="Y22" s="351"/>
      <c r="Z22" s="325"/>
      <c r="AA22" s="351"/>
      <c r="AB22" s="325"/>
      <c r="AC22" s="647"/>
      <c r="AD22" s="325" t="s">
        <v>104</v>
      </c>
      <c r="AE22" s="2045"/>
      <c r="AF22" s="325"/>
      <c r="AG22" s="325" t="s">
        <v>104</v>
      </c>
      <c r="AH22" s="348"/>
      <c r="AI22" s="132"/>
      <c r="AJ22" s="348" t="s">
        <v>104</v>
      </c>
      <c r="AK22" s="329"/>
      <c r="AL22" s="477" t="s">
        <v>104</v>
      </c>
    </row>
    <row r="23" spans="1:38" s="353" customFormat="1">
      <c r="B23" s="427" t="s">
        <v>517</v>
      </c>
      <c r="E23" s="325">
        <v>0</v>
      </c>
      <c r="F23" s="325"/>
      <c r="G23" s="325">
        <v>0</v>
      </c>
      <c r="H23" s="325"/>
      <c r="I23" s="325">
        <v>0</v>
      </c>
      <c r="J23" s="325"/>
      <c r="K23" s="351">
        <v>0</v>
      </c>
      <c r="L23" s="325"/>
      <c r="M23" s="351">
        <v>0</v>
      </c>
      <c r="N23" s="325"/>
      <c r="O23" s="351">
        <v>0</v>
      </c>
      <c r="P23" s="325"/>
      <c r="Q23" s="351">
        <v>0</v>
      </c>
      <c r="R23" s="325"/>
      <c r="S23" s="351">
        <f t="shared" si="1"/>
        <v>0</v>
      </c>
      <c r="T23" s="351"/>
      <c r="U23" s="351"/>
      <c r="V23" s="325"/>
      <c r="W23" s="351"/>
      <c r="X23" s="325"/>
      <c r="Y23" s="351"/>
      <c r="Z23" s="325"/>
      <c r="AA23" s="351"/>
      <c r="AB23" s="325"/>
      <c r="AC23" s="647"/>
      <c r="AD23" s="325">
        <v>0</v>
      </c>
      <c r="AE23" s="2045"/>
      <c r="AF23" s="325"/>
      <c r="AG23" s="325">
        <v>0</v>
      </c>
      <c r="AH23" s="348"/>
      <c r="AI23" s="132"/>
      <c r="AJ23" s="348">
        <f t="shared" si="2"/>
        <v>0</v>
      </c>
      <c r="AK23" s="329"/>
      <c r="AL23" s="477">
        <f t="shared" ref="AL23:AL28" si="3">ROUND(IF(AG23=0,0,AJ23/ABS(AG23)),3)</f>
        <v>0</v>
      </c>
    </row>
    <row r="24" spans="1:38" s="353" customFormat="1">
      <c r="B24" s="427" t="s">
        <v>595</v>
      </c>
      <c r="E24" s="325">
        <v>0</v>
      </c>
      <c r="F24" s="325"/>
      <c r="G24" s="325">
        <v>0</v>
      </c>
      <c r="H24" s="325"/>
      <c r="I24" s="325">
        <v>0</v>
      </c>
      <c r="J24" s="325"/>
      <c r="K24" s="351">
        <v>0</v>
      </c>
      <c r="L24" s="325"/>
      <c r="M24" s="351">
        <v>0</v>
      </c>
      <c r="N24" s="325"/>
      <c r="O24" s="351">
        <v>0</v>
      </c>
      <c r="P24" s="325"/>
      <c r="Q24" s="351">
        <v>0</v>
      </c>
      <c r="R24" s="325"/>
      <c r="S24" s="351">
        <f t="shared" si="1"/>
        <v>0</v>
      </c>
      <c r="T24" s="351"/>
      <c r="U24" s="351"/>
      <c r="V24" s="325"/>
      <c r="W24" s="351"/>
      <c r="X24" s="325"/>
      <c r="Y24" s="351"/>
      <c r="Z24" s="325"/>
      <c r="AA24" s="351"/>
      <c r="AB24" s="325"/>
      <c r="AC24" s="647"/>
      <c r="AD24" s="325">
        <v>0</v>
      </c>
      <c r="AE24" s="2045"/>
      <c r="AF24" s="325"/>
      <c r="AG24" s="325">
        <v>0</v>
      </c>
      <c r="AH24" s="348"/>
      <c r="AI24" s="132"/>
      <c r="AJ24" s="348">
        <f>ROUND(AD24-AG24,1)</f>
        <v>0</v>
      </c>
      <c r="AK24" s="329"/>
      <c r="AL24" s="477">
        <f t="shared" si="3"/>
        <v>0</v>
      </c>
    </row>
    <row r="25" spans="1:38" s="353" customFormat="1">
      <c r="B25" s="427" t="s">
        <v>520</v>
      </c>
      <c r="E25" s="325">
        <v>0</v>
      </c>
      <c r="F25" s="325"/>
      <c r="G25" s="325">
        <v>0</v>
      </c>
      <c r="H25" s="325"/>
      <c r="I25" s="325">
        <v>0</v>
      </c>
      <c r="J25" s="325"/>
      <c r="K25" s="351">
        <v>0</v>
      </c>
      <c r="L25" s="325"/>
      <c r="M25" s="351">
        <v>0</v>
      </c>
      <c r="N25" s="325"/>
      <c r="O25" s="351">
        <v>0</v>
      </c>
      <c r="P25" s="325"/>
      <c r="Q25" s="351">
        <v>0</v>
      </c>
      <c r="R25" s="325"/>
      <c r="S25" s="351">
        <f t="shared" si="1"/>
        <v>0</v>
      </c>
      <c r="T25" s="351"/>
      <c r="U25" s="351"/>
      <c r="V25" s="325"/>
      <c r="W25" s="351"/>
      <c r="X25" s="325"/>
      <c r="Y25" s="351"/>
      <c r="Z25" s="325"/>
      <c r="AA25" s="351"/>
      <c r="AB25" s="325"/>
      <c r="AC25" s="647"/>
      <c r="AD25" s="325">
        <v>0</v>
      </c>
      <c r="AE25" s="2045"/>
      <c r="AF25" s="325"/>
      <c r="AG25" s="325">
        <v>0</v>
      </c>
      <c r="AH25" s="348"/>
      <c r="AI25" s="132"/>
      <c r="AJ25" s="348">
        <f t="shared" si="2"/>
        <v>0</v>
      </c>
      <c r="AK25" s="329"/>
      <c r="AL25" s="477">
        <f t="shared" si="3"/>
        <v>0</v>
      </c>
    </row>
    <row r="26" spans="1:38" s="353" customFormat="1">
      <c r="B26" s="427" t="s">
        <v>521</v>
      </c>
      <c r="E26" s="325">
        <v>0</v>
      </c>
      <c r="F26" s="325"/>
      <c r="G26" s="325">
        <v>0</v>
      </c>
      <c r="H26" s="325"/>
      <c r="I26" s="325">
        <v>0</v>
      </c>
      <c r="J26" s="325"/>
      <c r="K26" s="351">
        <v>0</v>
      </c>
      <c r="L26" s="325"/>
      <c r="M26" s="351">
        <v>0</v>
      </c>
      <c r="N26" s="325"/>
      <c r="O26" s="351">
        <v>0</v>
      </c>
      <c r="P26" s="325"/>
      <c r="Q26" s="351">
        <v>0</v>
      </c>
      <c r="R26" s="325"/>
      <c r="S26" s="351">
        <f t="shared" si="1"/>
        <v>0</v>
      </c>
      <c r="T26" s="351"/>
      <c r="U26" s="351"/>
      <c r="V26" s="325"/>
      <c r="W26" s="351"/>
      <c r="X26" s="325"/>
      <c r="Y26" s="351"/>
      <c r="Z26" s="325"/>
      <c r="AA26" s="351"/>
      <c r="AB26" s="325"/>
      <c r="AC26" s="647"/>
      <c r="AD26" s="325">
        <v>0</v>
      </c>
      <c r="AE26" s="2045"/>
      <c r="AF26" s="325"/>
      <c r="AG26" s="325">
        <v>0</v>
      </c>
      <c r="AH26" s="348"/>
      <c r="AI26" s="132"/>
      <c r="AJ26" s="348">
        <f t="shared" si="2"/>
        <v>0</v>
      </c>
      <c r="AK26" s="329"/>
      <c r="AL26" s="477">
        <f t="shared" si="3"/>
        <v>0</v>
      </c>
    </row>
    <row r="27" spans="1:38" s="353" customFormat="1">
      <c r="B27" s="427" t="s">
        <v>429</v>
      </c>
      <c r="E27" s="325">
        <v>0</v>
      </c>
      <c r="F27" s="325"/>
      <c r="G27" s="325">
        <v>0</v>
      </c>
      <c r="H27" s="325"/>
      <c r="I27" s="325">
        <v>0</v>
      </c>
      <c r="J27" s="325"/>
      <c r="K27" s="351">
        <v>0</v>
      </c>
      <c r="L27" s="325"/>
      <c r="M27" s="351">
        <v>0</v>
      </c>
      <c r="N27" s="325"/>
      <c r="O27" s="351">
        <v>0</v>
      </c>
      <c r="P27" s="325"/>
      <c r="Q27" s="351">
        <v>0</v>
      </c>
      <c r="R27" s="325"/>
      <c r="S27" s="351">
        <f t="shared" si="1"/>
        <v>0</v>
      </c>
      <c r="T27" s="351"/>
      <c r="U27" s="351"/>
      <c r="V27" s="325"/>
      <c r="W27" s="351"/>
      <c r="X27" s="325"/>
      <c r="Y27" s="351"/>
      <c r="Z27" s="325"/>
      <c r="AA27" s="351"/>
      <c r="AB27" s="325"/>
      <c r="AC27" s="647"/>
      <c r="AD27" s="325">
        <v>0</v>
      </c>
      <c r="AE27" s="2045"/>
      <c r="AF27" s="325"/>
      <c r="AG27" s="325">
        <v>0</v>
      </c>
      <c r="AH27" s="348"/>
      <c r="AI27" s="132"/>
      <c r="AJ27" s="348">
        <f t="shared" si="2"/>
        <v>0</v>
      </c>
      <c r="AK27" s="329"/>
      <c r="AL27" s="477">
        <f t="shared" si="3"/>
        <v>0</v>
      </c>
    </row>
    <row r="28" spans="1:38" s="353" customFormat="1">
      <c r="B28" s="427" t="s">
        <v>435</v>
      </c>
      <c r="E28" s="325">
        <v>0</v>
      </c>
      <c r="F28" s="325"/>
      <c r="G28" s="325">
        <v>0</v>
      </c>
      <c r="H28" s="325"/>
      <c r="I28" s="325">
        <v>0</v>
      </c>
      <c r="J28" s="325"/>
      <c r="K28" s="351">
        <v>0</v>
      </c>
      <c r="L28" s="325"/>
      <c r="M28" s="351">
        <v>0</v>
      </c>
      <c r="N28" s="325"/>
      <c r="O28" s="351">
        <v>0</v>
      </c>
      <c r="P28" s="325"/>
      <c r="Q28" s="351">
        <v>0</v>
      </c>
      <c r="R28" s="325"/>
      <c r="S28" s="351">
        <f t="shared" si="1"/>
        <v>0</v>
      </c>
      <c r="T28" s="351"/>
      <c r="U28" s="351"/>
      <c r="V28" s="325"/>
      <c r="W28" s="351"/>
      <c r="X28" s="325"/>
      <c r="Y28" s="351"/>
      <c r="Z28" s="325"/>
      <c r="AA28" s="351"/>
      <c r="AB28" s="325"/>
      <c r="AC28" s="647"/>
      <c r="AD28" s="325">
        <v>0</v>
      </c>
      <c r="AE28" s="2045"/>
      <c r="AF28" s="325"/>
      <c r="AG28" s="325">
        <v>0</v>
      </c>
      <c r="AH28" s="348"/>
      <c r="AI28" s="132"/>
      <c r="AJ28" s="348">
        <f t="shared" si="2"/>
        <v>0</v>
      </c>
      <c r="AK28" s="329"/>
      <c r="AL28" s="477">
        <f t="shared" si="3"/>
        <v>0</v>
      </c>
    </row>
    <row r="29" spans="1:38">
      <c r="A29" s="353"/>
      <c r="B29" s="427" t="s">
        <v>436</v>
      </c>
      <c r="C29" s="353"/>
      <c r="D29" s="353"/>
      <c r="E29" s="325">
        <v>0</v>
      </c>
      <c r="F29" s="325"/>
      <c r="G29" s="325">
        <v>0</v>
      </c>
      <c r="H29" s="325"/>
      <c r="I29" s="325">
        <v>0</v>
      </c>
      <c r="J29" s="325"/>
      <c r="K29" s="351">
        <v>0</v>
      </c>
      <c r="L29" s="325"/>
      <c r="M29" s="351">
        <v>0</v>
      </c>
      <c r="N29" s="325"/>
      <c r="O29" s="351">
        <v>0</v>
      </c>
      <c r="P29" s="325"/>
      <c r="Q29" s="351">
        <v>0</v>
      </c>
      <c r="R29" s="325"/>
      <c r="S29" s="351">
        <f t="shared" si="1"/>
        <v>0</v>
      </c>
      <c r="T29" s="351"/>
      <c r="U29" s="351"/>
      <c r="V29" s="325"/>
      <c r="W29" s="351"/>
      <c r="X29" s="325"/>
      <c r="Y29" s="351"/>
      <c r="Z29" s="325"/>
      <c r="AA29" s="351"/>
      <c r="AB29" s="325"/>
      <c r="AC29" s="647"/>
      <c r="AD29" s="325">
        <v>0</v>
      </c>
      <c r="AE29" s="2045"/>
      <c r="AF29" s="325"/>
      <c r="AG29" s="325">
        <v>0</v>
      </c>
      <c r="AH29" s="348"/>
      <c r="AI29" s="132"/>
      <c r="AJ29" s="348">
        <f>ROUND(AD29-AG29,1)</f>
        <v>0</v>
      </c>
      <c r="AK29" s="52"/>
      <c r="AL29" s="477">
        <f>ROUND(IF(AG29=0,0,AJ29/ABS(AG29)),3)</f>
        <v>0</v>
      </c>
    </row>
    <row r="30" spans="1:38" s="353" customFormat="1">
      <c r="B30" s="427" t="s">
        <v>437</v>
      </c>
      <c r="E30" s="351" t="s">
        <v>104</v>
      </c>
      <c r="F30" s="325"/>
      <c r="G30" s="351" t="s">
        <v>104</v>
      </c>
      <c r="H30" s="325"/>
      <c r="I30" s="351" t="s">
        <v>104</v>
      </c>
      <c r="J30" s="325"/>
      <c r="K30" s="351" t="s">
        <v>104</v>
      </c>
      <c r="L30" s="325"/>
      <c r="M30" s="351"/>
      <c r="N30" s="325"/>
      <c r="O30" s="351"/>
      <c r="P30" s="325"/>
      <c r="Q30" s="351"/>
      <c r="R30" s="325"/>
      <c r="S30" s="351"/>
      <c r="T30" s="325"/>
      <c r="U30" s="351"/>
      <c r="V30" s="325"/>
      <c r="W30" s="351"/>
      <c r="X30" s="325"/>
      <c r="Y30" s="351"/>
      <c r="Z30" s="325"/>
      <c r="AA30" s="351"/>
      <c r="AB30" s="325"/>
      <c r="AC30" s="647"/>
      <c r="AD30" s="325" t="s">
        <v>104</v>
      </c>
      <c r="AE30" s="2045"/>
      <c r="AF30" s="325"/>
      <c r="AG30" s="325" t="s">
        <v>104</v>
      </c>
      <c r="AH30" s="348"/>
      <c r="AI30" s="132"/>
      <c r="AJ30" s="348" t="s">
        <v>104</v>
      </c>
      <c r="AK30" s="329"/>
      <c r="AL30" s="477" t="s">
        <v>104</v>
      </c>
    </row>
    <row r="31" spans="1:38" s="353" customFormat="1">
      <c r="B31" s="427" t="s">
        <v>525</v>
      </c>
      <c r="E31" s="325">
        <v>0</v>
      </c>
      <c r="F31" s="325"/>
      <c r="G31" s="325">
        <v>0</v>
      </c>
      <c r="H31" s="325"/>
      <c r="I31" s="325">
        <v>0</v>
      </c>
      <c r="J31" s="325"/>
      <c r="K31" s="351">
        <v>0</v>
      </c>
      <c r="L31" s="325"/>
      <c r="M31" s="351">
        <v>0</v>
      </c>
      <c r="N31" s="325"/>
      <c r="O31" s="351">
        <v>0</v>
      </c>
      <c r="P31" s="325"/>
      <c r="Q31" s="351">
        <v>0</v>
      </c>
      <c r="R31" s="325"/>
      <c r="S31" s="351">
        <f t="shared" si="1"/>
        <v>0</v>
      </c>
      <c r="T31" s="351"/>
      <c r="U31" s="351"/>
      <c r="V31" s="325"/>
      <c r="W31" s="351"/>
      <c r="X31" s="325"/>
      <c r="Y31" s="351"/>
      <c r="Z31" s="325"/>
      <c r="AA31" s="351"/>
      <c r="AB31" s="325"/>
      <c r="AC31" s="647"/>
      <c r="AD31" s="325">
        <v>0</v>
      </c>
      <c r="AE31" s="2045"/>
      <c r="AF31" s="325"/>
      <c r="AG31" s="325">
        <v>0</v>
      </c>
      <c r="AH31" s="348"/>
      <c r="AI31" s="132"/>
      <c r="AJ31" s="348">
        <f t="shared" si="2"/>
        <v>0</v>
      </c>
      <c r="AK31" s="329"/>
      <c r="AL31" s="477">
        <f>ROUND(IF(AG31=0,0,AJ31/ABS(AG31)),3)</f>
        <v>0</v>
      </c>
    </row>
    <row r="32" spans="1:38" s="353" customFormat="1">
      <c r="B32" s="427" t="s">
        <v>527</v>
      </c>
      <c r="E32" s="325">
        <v>0</v>
      </c>
      <c r="F32" s="351"/>
      <c r="G32" s="325">
        <v>0</v>
      </c>
      <c r="H32" s="351"/>
      <c r="I32" s="325">
        <v>0</v>
      </c>
      <c r="J32" s="351"/>
      <c r="K32" s="351">
        <v>0</v>
      </c>
      <c r="L32" s="351"/>
      <c r="M32" s="351">
        <v>0</v>
      </c>
      <c r="N32" s="325"/>
      <c r="O32" s="351">
        <v>0</v>
      </c>
      <c r="P32" s="325"/>
      <c r="Q32" s="351">
        <v>0</v>
      </c>
      <c r="R32" s="325"/>
      <c r="S32" s="351">
        <f t="shared" si="1"/>
        <v>0</v>
      </c>
      <c r="T32" s="351"/>
      <c r="U32" s="351"/>
      <c r="V32" s="325"/>
      <c r="W32" s="351"/>
      <c r="X32" s="325"/>
      <c r="Y32" s="351"/>
      <c r="Z32" s="325"/>
      <c r="AA32" s="351"/>
      <c r="AB32" s="325"/>
      <c r="AC32" s="647"/>
      <c r="AD32" s="325">
        <v>0</v>
      </c>
      <c r="AE32" s="2045"/>
      <c r="AF32" s="325"/>
      <c r="AG32" s="325">
        <v>0</v>
      </c>
      <c r="AH32" s="348"/>
      <c r="AI32" s="132"/>
      <c r="AJ32" s="348">
        <f t="shared" si="2"/>
        <v>0</v>
      </c>
      <c r="AK32" s="329"/>
      <c r="AL32" s="477">
        <f>ROUND(IF(AG32=0,0,AJ32/ABS(AG32)),3)</f>
        <v>0</v>
      </c>
    </row>
    <row r="33" spans="1:39" s="353" customFormat="1">
      <c r="B33" s="427" t="s">
        <v>528</v>
      </c>
      <c r="E33" s="325">
        <v>0</v>
      </c>
      <c r="F33" s="325"/>
      <c r="G33" s="325">
        <v>0</v>
      </c>
      <c r="H33" s="325"/>
      <c r="I33" s="325">
        <v>0</v>
      </c>
      <c r="J33" s="325"/>
      <c r="K33" s="351">
        <v>0</v>
      </c>
      <c r="L33" s="325"/>
      <c r="M33" s="351">
        <v>0</v>
      </c>
      <c r="N33" s="325"/>
      <c r="O33" s="351">
        <v>0</v>
      </c>
      <c r="P33" s="325"/>
      <c r="Q33" s="351">
        <v>0</v>
      </c>
      <c r="R33" s="325"/>
      <c r="S33" s="351">
        <f t="shared" si="1"/>
        <v>0</v>
      </c>
      <c r="T33" s="351"/>
      <c r="U33" s="351"/>
      <c r="V33" s="325"/>
      <c r="W33" s="351"/>
      <c r="X33" s="325"/>
      <c r="Y33" s="351"/>
      <c r="Z33" s="325"/>
      <c r="AA33" s="351"/>
      <c r="AB33" s="325"/>
      <c r="AC33" s="647"/>
      <c r="AD33" s="325">
        <v>0</v>
      </c>
      <c r="AE33" s="2045"/>
      <c r="AF33" s="325"/>
      <c r="AG33" s="325">
        <v>0</v>
      </c>
      <c r="AH33" s="348"/>
      <c r="AI33" s="132"/>
      <c r="AJ33" s="348">
        <f>ROUND(AD33-AG33,1)</f>
        <v>0</v>
      </c>
      <c r="AK33" s="329"/>
      <c r="AL33" s="477">
        <f>ROUND(IF(AG33=0,0,AJ33/ABS(AG33)),3)</f>
        <v>0</v>
      </c>
    </row>
    <row r="34" spans="1:39">
      <c r="A34" s="353"/>
      <c r="B34" s="427" t="s">
        <v>442</v>
      </c>
      <c r="C34" s="353"/>
      <c r="D34" s="353"/>
      <c r="E34" s="325">
        <v>0</v>
      </c>
      <c r="F34" s="325"/>
      <c r="G34" s="325">
        <v>0</v>
      </c>
      <c r="H34" s="325"/>
      <c r="I34" s="325">
        <v>0</v>
      </c>
      <c r="J34" s="325"/>
      <c r="K34" s="351">
        <v>0</v>
      </c>
      <c r="L34" s="325"/>
      <c r="M34" s="351">
        <v>0</v>
      </c>
      <c r="N34" s="325"/>
      <c r="O34" s="351">
        <v>0</v>
      </c>
      <c r="P34" s="325"/>
      <c r="Q34" s="351">
        <v>0</v>
      </c>
      <c r="R34" s="325"/>
      <c r="S34" s="351">
        <f t="shared" si="1"/>
        <v>0</v>
      </c>
      <c r="T34" s="351"/>
      <c r="U34" s="351"/>
      <c r="V34" s="325"/>
      <c r="W34" s="351"/>
      <c r="X34" s="325"/>
      <c r="Y34" s="351"/>
      <c r="Z34" s="325"/>
      <c r="AA34" s="351"/>
      <c r="AB34" s="325"/>
      <c r="AC34" s="647"/>
      <c r="AD34" s="325">
        <v>0</v>
      </c>
      <c r="AE34" s="2045"/>
      <c r="AF34" s="325"/>
      <c r="AG34" s="325">
        <v>0</v>
      </c>
      <c r="AH34" s="348"/>
      <c r="AI34" s="132"/>
      <c r="AJ34" s="348">
        <f t="shared" si="2"/>
        <v>0</v>
      </c>
      <c r="AK34" s="52"/>
      <c r="AL34" s="327">
        <f>ROUND(IF(AG34=0,0,AJ34/ABS(AG34)),3)</f>
        <v>0</v>
      </c>
    </row>
    <row r="35" spans="1:39">
      <c r="A35" s="353"/>
      <c r="B35" s="427" t="s">
        <v>443</v>
      </c>
      <c r="C35" s="353"/>
      <c r="D35" s="353"/>
      <c r="E35" s="351" t="s">
        <v>104</v>
      </c>
      <c r="F35" s="325"/>
      <c r="G35" s="351" t="s">
        <v>104</v>
      </c>
      <c r="H35" s="325"/>
      <c r="I35" s="351" t="s">
        <v>104</v>
      </c>
      <c r="J35" s="325"/>
      <c r="K35" s="351" t="s">
        <v>104</v>
      </c>
      <c r="L35" s="325"/>
      <c r="M35" s="351"/>
      <c r="N35" s="325"/>
      <c r="O35" s="351"/>
      <c r="P35" s="325"/>
      <c r="Q35" s="351"/>
      <c r="R35" s="325"/>
      <c r="S35" s="351"/>
      <c r="T35" s="325"/>
      <c r="U35" s="351"/>
      <c r="V35" s="325"/>
      <c r="W35" s="351"/>
      <c r="X35" s="325"/>
      <c r="Y35" s="351"/>
      <c r="Z35" s="325"/>
      <c r="AA35" s="351"/>
      <c r="AB35" s="325"/>
      <c r="AC35" s="647"/>
      <c r="AD35" s="325" t="s">
        <v>104</v>
      </c>
      <c r="AE35" s="2045"/>
      <c r="AF35" s="325"/>
      <c r="AG35" s="325" t="s">
        <v>104</v>
      </c>
      <c r="AH35" s="348"/>
      <c r="AI35" s="132"/>
      <c r="AJ35" s="348" t="s">
        <v>104</v>
      </c>
      <c r="AK35" s="52"/>
      <c r="AL35" s="477" t="s">
        <v>104</v>
      </c>
    </row>
    <row r="36" spans="1:39">
      <c r="A36" s="353"/>
      <c r="B36" s="427" t="s">
        <v>529</v>
      </c>
      <c r="C36" s="353"/>
      <c r="D36" s="353"/>
      <c r="E36" s="325">
        <v>0</v>
      </c>
      <c r="F36" s="325"/>
      <c r="G36" s="325">
        <v>0</v>
      </c>
      <c r="H36" s="325"/>
      <c r="I36" s="325">
        <v>0</v>
      </c>
      <c r="J36" s="325"/>
      <c r="K36" s="351">
        <v>0</v>
      </c>
      <c r="L36" s="325"/>
      <c r="M36" s="351">
        <v>0</v>
      </c>
      <c r="N36" s="325"/>
      <c r="O36" s="351">
        <v>0</v>
      </c>
      <c r="P36" s="325"/>
      <c r="Q36" s="351">
        <v>0</v>
      </c>
      <c r="R36" s="325"/>
      <c r="S36" s="351">
        <f t="shared" si="1"/>
        <v>0</v>
      </c>
      <c r="T36" s="351"/>
      <c r="U36" s="351"/>
      <c r="V36" s="325"/>
      <c r="W36" s="351"/>
      <c r="X36" s="325"/>
      <c r="Y36" s="351"/>
      <c r="Z36" s="325"/>
      <c r="AA36" s="351"/>
      <c r="AB36" s="325"/>
      <c r="AC36" s="647"/>
      <c r="AD36" s="325">
        <v>0</v>
      </c>
      <c r="AE36" s="2045"/>
      <c r="AF36" s="325"/>
      <c r="AG36" s="325">
        <v>0</v>
      </c>
      <c r="AH36" s="348"/>
      <c r="AI36" s="132"/>
      <c r="AJ36" s="348">
        <f t="shared" si="2"/>
        <v>0</v>
      </c>
      <c r="AK36" s="52"/>
      <c r="AL36" s="477">
        <f t="shared" ref="AL36:AL42" si="4">ROUND(IF(AG36=0,0,AJ36/ABS(AG36)),3)</f>
        <v>0</v>
      </c>
    </row>
    <row r="37" spans="1:39">
      <c r="A37" s="353"/>
      <c r="B37" s="427" t="s">
        <v>531</v>
      </c>
      <c r="C37" s="353"/>
      <c r="D37" s="353"/>
      <c r="E37" s="325">
        <v>0</v>
      </c>
      <c r="F37" s="325"/>
      <c r="G37" s="325">
        <v>0</v>
      </c>
      <c r="H37" s="325"/>
      <c r="I37" s="325">
        <v>0</v>
      </c>
      <c r="J37" s="325"/>
      <c r="K37" s="351">
        <v>0</v>
      </c>
      <c r="L37" s="325"/>
      <c r="M37" s="351">
        <v>0</v>
      </c>
      <c r="N37" s="325"/>
      <c r="O37" s="351">
        <v>0</v>
      </c>
      <c r="P37" s="325"/>
      <c r="Q37" s="351">
        <v>0</v>
      </c>
      <c r="R37" s="325"/>
      <c r="S37" s="351">
        <f t="shared" si="1"/>
        <v>0</v>
      </c>
      <c r="T37" s="351"/>
      <c r="U37" s="351"/>
      <c r="V37" s="325"/>
      <c r="W37" s="351"/>
      <c r="X37" s="325"/>
      <c r="Y37" s="351"/>
      <c r="Z37" s="325"/>
      <c r="AA37" s="351"/>
      <c r="AB37" s="325"/>
      <c r="AC37" s="647"/>
      <c r="AD37" s="325">
        <v>0</v>
      </c>
      <c r="AE37" s="2045"/>
      <c r="AF37" s="325"/>
      <c r="AG37" s="325">
        <v>0</v>
      </c>
      <c r="AH37" s="348"/>
      <c r="AI37" s="132"/>
      <c r="AJ37" s="348">
        <f t="shared" si="2"/>
        <v>0</v>
      </c>
      <c r="AK37" s="52"/>
      <c r="AL37" s="477">
        <f t="shared" si="4"/>
        <v>0</v>
      </c>
    </row>
    <row r="38" spans="1:39">
      <c r="A38" s="353"/>
      <c r="B38" s="427" t="s">
        <v>532</v>
      </c>
      <c r="C38" s="353"/>
      <c r="D38" s="353"/>
      <c r="E38" s="325">
        <v>0</v>
      </c>
      <c r="F38" s="325"/>
      <c r="G38" s="325">
        <v>0</v>
      </c>
      <c r="H38" s="325"/>
      <c r="I38" s="325">
        <v>0</v>
      </c>
      <c r="J38" s="325"/>
      <c r="K38" s="351">
        <v>0</v>
      </c>
      <c r="L38" s="325"/>
      <c r="M38" s="351">
        <v>0</v>
      </c>
      <c r="N38" s="325"/>
      <c r="O38" s="351">
        <v>0</v>
      </c>
      <c r="P38" s="325"/>
      <c r="Q38" s="351">
        <v>0</v>
      </c>
      <c r="R38" s="325"/>
      <c r="S38" s="351">
        <f t="shared" si="1"/>
        <v>0</v>
      </c>
      <c r="T38" s="351"/>
      <c r="U38" s="351"/>
      <c r="V38" s="325"/>
      <c r="W38" s="351"/>
      <c r="X38" s="325"/>
      <c r="Y38" s="351"/>
      <c r="Z38" s="325"/>
      <c r="AA38" s="351"/>
      <c r="AB38" s="325"/>
      <c r="AC38" s="647"/>
      <c r="AD38" s="325">
        <v>0</v>
      </c>
      <c r="AE38" s="2045"/>
      <c r="AF38" s="325"/>
      <c r="AG38" s="325">
        <v>0</v>
      </c>
      <c r="AH38" s="348"/>
      <c r="AI38" s="132"/>
      <c r="AJ38" s="348">
        <f t="shared" si="2"/>
        <v>0</v>
      </c>
      <c r="AK38" s="52"/>
      <c r="AL38" s="477">
        <f>ROUND(IF(AG38=0,0,AJ38/ABS(AG38)),3)</f>
        <v>0</v>
      </c>
    </row>
    <row r="39" spans="1:39">
      <c r="A39" s="353"/>
      <c r="B39" s="427" t="s">
        <v>535</v>
      </c>
      <c r="C39" s="353"/>
      <c r="D39" s="353"/>
      <c r="E39" s="325">
        <v>0</v>
      </c>
      <c r="F39" s="325"/>
      <c r="G39" s="325">
        <v>0</v>
      </c>
      <c r="H39" s="325"/>
      <c r="I39" s="325">
        <v>0</v>
      </c>
      <c r="J39" s="325"/>
      <c r="K39" s="351">
        <v>0</v>
      </c>
      <c r="L39" s="325"/>
      <c r="M39" s="351">
        <v>0</v>
      </c>
      <c r="N39" s="325"/>
      <c r="O39" s="351">
        <v>0</v>
      </c>
      <c r="P39" s="325"/>
      <c r="Q39" s="351">
        <v>0</v>
      </c>
      <c r="R39" s="325"/>
      <c r="S39" s="351">
        <f t="shared" si="1"/>
        <v>0</v>
      </c>
      <c r="T39" s="351"/>
      <c r="U39" s="351"/>
      <c r="V39" s="325"/>
      <c r="W39" s="351"/>
      <c r="X39" s="325"/>
      <c r="Y39" s="351"/>
      <c r="Z39" s="325"/>
      <c r="AA39" s="351"/>
      <c r="AB39" s="325"/>
      <c r="AC39" s="647"/>
      <c r="AD39" s="325">
        <v>0</v>
      </c>
      <c r="AE39" s="2045"/>
      <c r="AF39" s="325"/>
      <c r="AG39" s="325">
        <v>0</v>
      </c>
      <c r="AH39" s="348"/>
      <c r="AI39" s="132"/>
      <c r="AJ39" s="348">
        <f t="shared" si="2"/>
        <v>0</v>
      </c>
      <c r="AK39" s="52"/>
      <c r="AL39" s="477">
        <f t="shared" si="4"/>
        <v>0</v>
      </c>
    </row>
    <row r="40" spans="1:39">
      <c r="A40" s="353"/>
      <c r="B40" s="427" t="s">
        <v>536</v>
      </c>
      <c r="C40" s="353"/>
      <c r="D40" s="353"/>
      <c r="E40" s="325">
        <v>0</v>
      </c>
      <c r="F40" s="325"/>
      <c r="G40" s="325">
        <v>0</v>
      </c>
      <c r="H40" s="325"/>
      <c r="I40" s="325">
        <v>0</v>
      </c>
      <c r="J40" s="325"/>
      <c r="K40" s="351">
        <v>0</v>
      </c>
      <c r="L40" s="325"/>
      <c r="M40" s="351">
        <v>0</v>
      </c>
      <c r="N40" s="325"/>
      <c r="O40" s="351">
        <v>0</v>
      </c>
      <c r="P40" s="325"/>
      <c r="Q40" s="351">
        <v>0</v>
      </c>
      <c r="R40" s="325"/>
      <c r="S40" s="351">
        <f t="shared" si="1"/>
        <v>0</v>
      </c>
      <c r="T40" s="351"/>
      <c r="U40" s="351"/>
      <c r="V40" s="325"/>
      <c r="W40" s="351"/>
      <c r="X40" s="325"/>
      <c r="Y40" s="351"/>
      <c r="Z40" s="325"/>
      <c r="AA40" s="351"/>
      <c r="AB40" s="325"/>
      <c r="AC40" s="647"/>
      <c r="AD40" s="325">
        <v>0</v>
      </c>
      <c r="AE40" s="2045"/>
      <c r="AF40" s="325"/>
      <c r="AG40" s="325">
        <v>0</v>
      </c>
      <c r="AH40" s="348"/>
      <c r="AI40" s="132"/>
      <c r="AJ40" s="348">
        <f t="shared" si="2"/>
        <v>0</v>
      </c>
      <c r="AK40" s="52"/>
      <c r="AL40" s="477">
        <f t="shared" si="4"/>
        <v>0</v>
      </c>
    </row>
    <row r="41" spans="1:39">
      <c r="A41" s="353"/>
      <c r="B41" s="427" t="s">
        <v>454</v>
      </c>
      <c r="C41" s="353"/>
      <c r="D41" s="353"/>
      <c r="E41" s="325">
        <v>0</v>
      </c>
      <c r="F41" s="325"/>
      <c r="G41" s="325">
        <v>0</v>
      </c>
      <c r="H41" s="325"/>
      <c r="I41" s="325">
        <v>0</v>
      </c>
      <c r="J41" s="325"/>
      <c r="K41" s="351">
        <v>0</v>
      </c>
      <c r="L41" s="325"/>
      <c r="M41" s="351">
        <v>0</v>
      </c>
      <c r="N41" s="689"/>
      <c r="O41" s="351">
        <v>0</v>
      </c>
      <c r="P41" s="689"/>
      <c r="Q41" s="351">
        <v>0</v>
      </c>
      <c r="R41" s="689"/>
      <c r="S41" s="351">
        <f t="shared" si="1"/>
        <v>0</v>
      </c>
      <c r="T41" s="689"/>
      <c r="U41" s="351"/>
      <c r="V41" s="689"/>
      <c r="W41" s="351"/>
      <c r="X41" s="689"/>
      <c r="Y41" s="351"/>
      <c r="Z41" s="689"/>
      <c r="AA41" s="351"/>
      <c r="AB41" s="325"/>
      <c r="AC41" s="647"/>
      <c r="AD41" s="659">
        <v>0</v>
      </c>
      <c r="AE41" s="2045"/>
      <c r="AF41" s="325"/>
      <c r="AG41" s="309">
        <v>0</v>
      </c>
      <c r="AH41" s="348"/>
      <c r="AI41" s="132"/>
      <c r="AJ41" s="348">
        <f t="shared" si="2"/>
        <v>0</v>
      </c>
      <c r="AK41" s="52"/>
      <c r="AL41" s="327">
        <f>ROUND(IF(AG41=0,0,AJ41/ABS(AG41)),3)</f>
        <v>0</v>
      </c>
    </row>
    <row r="42" spans="1:39" s="6" customFormat="1" collapsed="1">
      <c r="B42" s="118" t="s">
        <v>456</v>
      </c>
      <c r="E42" s="100">
        <f>ROUND(SUM(E19:E41),1)</f>
        <v>0</v>
      </c>
      <c r="F42" s="16"/>
      <c r="G42" s="100">
        <f>ROUND(SUM(G19:G41),1)</f>
        <v>0</v>
      </c>
      <c r="H42" s="499"/>
      <c r="I42" s="100">
        <f>ROUND(SUM(I19:I41),1)</f>
        <v>0</v>
      </c>
      <c r="J42" s="16"/>
      <c r="K42" s="100">
        <f>ROUND(SUM(K19:K41),1)</f>
        <v>0</v>
      </c>
      <c r="L42" s="16"/>
      <c r="M42" s="100">
        <f>ROUND(SUM(M19:M41),1)</f>
        <v>0</v>
      </c>
      <c r="N42" s="16"/>
      <c r="O42" s="100">
        <f>ROUND(SUM(O19:O41),1)</f>
        <v>0</v>
      </c>
      <c r="P42" s="16"/>
      <c r="Q42" s="100">
        <f>ROUND(SUM(Q19:Q41),1)</f>
        <v>0</v>
      </c>
      <c r="R42" s="16"/>
      <c r="S42" s="100">
        <f>ROUND(SUM(S19:S41),1)</f>
        <v>0</v>
      </c>
      <c r="T42" s="16"/>
      <c r="U42" s="100">
        <f>ROUND(SUM(U19:U41),1)</f>
        <v>0</v>
      </c>
      <c r="V42" s="16"/>
      <c r="W42" s="100">
        <f>ROUND(SUM(W19:W41),1)</f>
        <v>0</v>
      </c>
      <c r="X42" s="16"/>
      <c r="Y42" s="100">
        <f>ROUND(SUM(Y19:Y41),1)</f>
        <v>0</v>
      </c>
      <c r="Z42" s="16"/>
      <c r="AA42" s="100">
        <f>ROUND(SUM(AA19:AA41),1)</f>
        <v>0</v>
      </c>
      <c r="AB42" s="16"/>
      <c r="AC42" s="18"/>
      <c r="AD42" s="100">
        <f>ROUND(SUM(AD19:AD41),1)</f>
        <v>0</v>
      </c>
      <c r="AE42" s="2048"/>
      <c r="AF42" s="16"/>
      <c r="AG42" s="100">
        <f>ROUND(SUM(AG19:AG41),1)</f>
        <v>0</v>
      </c>
      <c r="AH42" s="23"/>
      <c r="AI42" s="132"/>
      <c r="AJ42" s="100">
        <f>ROUND(SUM(AJ19:AJ41),1)</f>
        <v>0</v>
      </c>
      <c r="AK42" s="51"/>
      <c r="AL42" s="1576">
        <f t="shared" si="4"/>
        <v>0</v>
      </c>
    </row>
    <row r="43" spans="1:39" s="15" customFormat="1">
      <c r="A43" s="325"/>
      <c r="B43" s="1577"/>
      <c r="C43" s="325"/>
      <c r="D43" s="325"/>
      <c r="E43" s="351"/>
      <c r="F43" s="325"/>
      <c r="G43" s="336"/>
      <c r="H43" s="325"/>
      <c r="I43" s="351"/>
      <c r="J43" s="325"/>
      <c r="K43" s="336"/>
      <c r="L43" s="325"/>
      <c r="M43" s="351"/>
      <c r="N43" s="325"/>
      <c r="O43" s="350"/>
      <c r="P43" s="325"/>
      <c r="Q43" s="351"/>
      <c r="R43" s="325"/>
      <c r="S43" s="350"/>
      <c r="T43" s="325"/>
      <c r="U43" s="350"/>
      <c r="V43" s="325"/>
      <c r="W43" s="351"/>
      <c r="X43" s="325"/>
      <c r="Y43" s="351"/>
      <c r="Z43" s="325"/>
      <c r="AA43" s="351"/>
      <c r="AB43" s="325"/>
      <c r="AC43" s="647"/>
      <c r="AD43" s="351"/>
      <c r="AE43" s="2045"/>
      <c r="AF43" s="647"/>
      <c r="AG43" s="351"/>
      <c r="AH43" s="348"/>
      <c r="AI43" s="132"/>
      <c r="AL43" s="131"/>
    </row>
    <row r="44" spans="1:39">
      <c r="A44" s="353"/>
      <c r="B44" s="353" t="s">
        <v>538</v>
      </c>
      <c r="C44" s="353"/>
      <c r="D44" s="353"/>
      <c r="E44" s="351">
        <v>219.5</v>
      </c>
      <c r="F44" s="325"/>
      <c r="G44" s="351">
        <v>258.8</v>
      </c>
      <c r="H44" s="325"/>
      <c r="I44" s="351">
        <v>190.3</v>
      </c>
      <c r="J44" s="325"/>
      <c r="K44" s="351">
        <v>352.4</v>
      </c>
      <c r="L44" s="325"/>
      <c r="M44" s="351">
        <v>218.00000000000011</v>
      </c>
      <c r="N44" s="325"/>
      <c r="O44" s="351">
        <v>191.70000000000005</v>
      </c>
      <c r="P44" s="325"/>
      <c r="Q44" s="351">
        <v>186.39999999999986</v>
      </c>
      <c r="R44" s="325"/>
      <c r="S44" s="351">
        <f t="shared" ref="S44" si="5">$AD44-$E44-$G44-$I44-$K44-$M44-$O44-$Q44</f>
        <v>268.40000000000009</v>
      </c>
      <c r="T44" s="351"/>
      <c r="U44" s="351"/>
      <c r="V44" s="325"/>
      <c r="W44" s="351"/>
      <c r="X44" s="325"/>
      <c r="Y44" s="351"/>
      <c r="Z44" s="325"/>
      <c r="AA44" s="351"/>
      <c r="AB44" s="325"/>
      <c r="AC44" s="647"/>
      <c r="AD44" s="351">
        <v>1885.5</v>
      </c>
      <c r="AE44" s="2045"/>
      <c r="AF44" s="325"/>
      <c r="AG44" s="351">
        <v>1767.8</v>
      </c>
      <c r="AH44" s="348"/>
      <c r="AI44" s="133"/>
      <c r="AJ44" s="1564">
        <f>ROUND(AD44-AG44,1)</f>
        <v>117.7</v>
      </c>
      <c r="AK44" s="52"/>
      <c r="AL44" s="1756">
        <f>ROUND(IF(AG44=0,0,AJ44/ABS(AG44)),3)</f>
        <v>6.7000000000000004E-2</v>
      </c>
    </row>
    <row r="45" spans="1:39">
      <c r="A45" s="353"/>
      <c r="B45" s="353"/>
      <c r="C45" s="353"/>
      <c r="D45" s="353"/>
      <c r="E45" s="783"/>
      <c r="F45" s="325"/>
      <c r="G45" s="783"/>
      <c r="H45" s="325"/>
      <c r="I45" s="783"/>
      <c r="J45" s="325"/>
      <c r="K45" s="783"/>
      <c r="L45" s="325"/>
      <c r="M45" s="783"/>
      <c r="N45" s="325"/>
      <c r="O45" s="783"/>
      <c r="P45" s="325"/>
      <c r="Q45" s="783"/>
      <c r="R45" s="325"/>
      <c r="S45" s="783"/>
      <c r="T45" s="325"/>
      <c r="U45" s="783"/>
      <c r="V45" s="325"/>
      <c r="W45" s="783"/>
      <c r="X45" s="325"/>
      <c r="Y45" s="783"/>
      <c r="Z45" s="325"/>
      <c r="AA45" s="783"/>
      <c r="AB45" s="325"/>
      <c r="AC45" s="647"/>
      <c r="AD45" s="783"/>
      <c r="AE45" s="2045"/>
      <c r="AF45" s="647"/>
      <c r="AG45" s="783"/>
      <c r="AH45" s="325"/>
      <c r="AI45" s="133"/>
      <c r="AJ45" s="15"/>
      <c r="AL45" s="131"/>
    </row>
    <row r="46" spans="1:39">
      <c r="A46" s="353"/>
      <c r="B46" s="6" t="s">
        <v>596</v>
      </c>
      <c r="C46" s="353"/>
      <c r="D46" s="353"/>
      <c r="E46" s="16">
        <f>ROUND(SUM(E42+E44),1)</f>
        <v>219.5</v>
      </c>
      <c r="F46" s="16"/>
      <c r="G46" s="16">
        <f>ROUND(SUM(G42+G44),1)</f>
        <v>258.8</v>
      </c>
      <c r="H46" s="16"/>
      <c r="I46" s="16">
        <f>ROUND(SUM(I42+I44),1)</f>
        <v>190.3</v>
      </c>
      <c r="J46" s="16"/>
      <c r="K46" s="16">
        <f>ROUND(SUM(K42+K44),1)</f>
        <v>352.4</v>
      </c>
      <c r="L46" s="16"/>
      <c r="M46" s="16">
        <f>ROUND(SUM(M42+M44),1)</f>
        <v>218</v>
      </c>
      <c r="N46" s="16"/>
      <c r="O46" s="16">
        <f>ROUND(SUM(O42+O44),1)</f>
        <v>191.7</v>
      </c>
      <c r="P46" s="16"/>
      <c r="Q46" s="16">
        <f>ROUND(SUM(Q42+Q44),1)</f>
        <v>186.4</v>
      </c>
      <c r="R46" s="16"/>
      <c r="S46" s="16">
        <f>ROUND(SUM(S42+S44),1)</f>
        <v>268.39999999999998</v>
      </c>
      <c r="T46" s="16"/>
      <c r="U46" s="16">
        <f>ROUND(SUM(U42+U44),1)</f>
        <v>0</v>
      </c>
      <c r="V46" s="16"/>
      <c r="W46" s="16">
        <f>ROUND(SUM(W42+W44),1)</f>
        <v>0</v>
      </c>
      <c r="X46" s="16"/>
      <c r="Y46" s="16">
        <f>ROUND(SUM(Y42+Y44),1)</f>
        <v>0</v>
      </c>
      <c r="Z46" s="16"/>
      <c r="AA46" s="16">
        <f>ROUND(SUM(AA42+AA44),1)</f>
        <v>0</v>
      </c>
      <c r="AB46" s="16"/>
      <c r="AC46" s="18"/>
      <c r="AD46" s="16">
        <f>ROUND(SUM(AD42+AD44),1)</f>
        <v>1885.5</v>
      </c>
      <c r="AE46" s="2048"/>
      <c r="AF46" s="18"/>
      <c r="AG46" s="16">
        <f>ROUND(SUM(AG42+AG44),1)</f>
        <v>1767.8</v>
      </c>
      <c r="AH46" s="23"/>
      <c r="AI46" s="133"/>
      <c r="AJ46" s="434">
        <f>ROUND(SUM(AJ42+AJ44),1)</f>
        <v>117.7</v>
      </c>
      <c r="AK46" s="51"/>
      <c r="AL46" s="779">
        <f>ROUND(SUM(AD46-AG46)/ABS(AG46),3)</f>
        <v>6.7000000000000004E-2</v>
      </c>
      <c r="AM46" s="6"/>
    </row>
    <row r="47" spans="1:39">
      <c r="A47" s="353"/>
      <c r="B47" s="353"/>
      <c r="C47" s="353"/>
      <c r="D47" s="353"/>
      <c r="E47" s="783"/>
      <c r="F47" s="325"/>
      <c r="G47" s="783"/>
      <c r="H47" s="325"/>
      <c r="I47" s="783"/>
      <c r="J47" s="325"/>
      <c r="K47" s="783"/>
      <c r="L47" s="325"/>
      <c r="M47" s="783"/>
      <c r="N47" s="325"/>
      <c r="O47" s="783"/>
      <c r="P47" s="325"/>
      <c r="Q47" s="783"/>
      <c r="R47" s="325"/>
      <c r="S47" s="783"/>
      <c r="T47" s="325"/>
      <c r="U47" s="783"/>
      <c r="V47" s="325"/>
      <c r="W47" s="783"/>
      <c r="X47" s="325"/>
      <c r="Y47" s="783"/>
      <c r="Z47" s="325"/>
      <c r="AA47" s="783"/>
      <c r="AB47" s="325"/>
      <c r="AC47" s="647"/>
      <c r="AD47" s="783"/>
      <c r="AE47" s="2045"/>
      <c r="AF47" s="647"/>
      <c r="AG47" s="783"/>
      <c r="AH47" s="325"/>
      <c r="AI47" s="133"/>
      <c r="AJ47" s="15"/>
      <c r="AL47" s="131"/>
    </row>
    <row r="48" spans="1:39">
      <c r="A48" s="353"/>
      <c r="B48" s="6" t="s">
        <v>123</v>
      </c>
      <c r="C48" s="353"/>
      <c r="D48" s="353"/>
      <c r="E48" s="325"/>
      <c r="F48" s="325"/>
      <c r="G48" s="325"/>
      <c r="H48" s="325"/>
      <c r="I48" s="325"/>
      <c r="J48" s="325"/>
      <c r="K48" s="325"/>
      <c r="L48" s="325"/>
      <c r="M48" s="325"/>
      <c r="N48" s="325"/>
      <c r="O48" s="325"/>
      <c r="P48" s="325"/>
      <c r="Q48" s="325"/>
      <c r="R48" s="325"/>
      <c r="S48" s="325"/>
      <c r="T48" s="325"/>
      <c r="U48" s="325"/>
      <c r="V48" s="325"/>
      <c r="W48" s="325"/>
      <c r="X48" s="325"/>
      <c r="Y48" s="325"/>
      <c r="Z48" s="325"/>
      <c r="AA48" s="325"/>
      <c r="AB48" s="325"/>
      <c r="AC48" s="647"/>
      <c r="AD48" s="325"/>
      <c r="AE48" s="2045"/>
      <c r="AF48" s="647"/>
      <c r="AG48" s="325"/>
      <c r="AH48" s="325"/>
      <c r="AI48" s="133"/>
      <c r="AJ48" s="15"/>
      <c r="AL48" s="131"/>
    </row>
    <row r="49" spans="1:41">
      <c r="A49" s="353"/>
      <c r="B49" s="353" t="s">
        <v>481</v>
      </c>
      <c r="C49" s="353"/>
      <c r="D49" s="353"/>
      <c r="E49" s="351"/>
      <c r="F49" s="325"/>
      <c r="G49" s="325"/>
      <c r="H49" s="325"/>
      <c r="I49" s="325"/>
      <c r="J49" s="325"/>
      <c r="K49" s="325"/>
      <c r="L49" s="325"/>
      <c r="M49" s="325"/>
      <c r="N49" s="325"/>
      <c r="O49" s="325"/>
      <c r="P49" s="325"/>
      <c r="Q49" s="351"/>
      <c r="R49" s="325"/>
      <c r="S49" s="325"/>
      <c r="T49" s="325"/>
      <c r="U49" s="325"/>
      <c r="V49" s="325"/>
      <c r="W49" s="325"/>
      <c r="X49" s="325"/>
      <c r="Y49" s="325"/>
      <c r="Z49" s="325"/>
      <c r="AA49" s="325"/>
      <c r="AB49" s="325"/>
      <c r="AC49" s="647"/>
      <c r="AD49" s="325"/>
      <c r="AE49" s="2045"/>
      <c r="AF49" s="647"/>
      <c r="AG49" s="325"/>
      <c r="AH49" s="325"/>
      <c r="AI49" s="133"/>
      <c r="AJ49" s="15"/>
      <c r="AK49" s="52"/>
      <c r="AL49" s="131"/>
    </row>
    <row r="50" spans="1:41">
      <c r="A50" s="353"/>
      <c r="B50" s="353" t="s">
        <v>125</v>
      </c>
      <c r="C50" s="353"/>
      <c r="D50" s="353"/>
      <c r="E50" s="325">
        <v>0</v>
      </c>
      <c r="F50" s="325"/>
      <c r="G50" s="325">
        <v>0</v>
      </c>
      <c r="H50" s="325"/>
      <c r="I50" s="325">
        <v>0</v>
      </c>
      <c r="J50" s="325"/>
      <c r="K50" s="351">
        <v>0</v>
      </c>
      <c r="L50" s="325"/>
      <c r="M50" s="351">
        <v>0</v>
      </c>
      <c r="N50" s="325"/>
      <c r="O50" s="351">
        <v>0</v>
      </c>
      <c r="P50" s="325"/>
      <c r="Q50" s="351">
        <v>0</v>
      </c>
      <c r="R50" s="325"/>
      <c r="S50" s="351">
        <f t="shared" ref="S50:S59" si="6">$AD50-$E50-$G50-$I50-$K50-$M50-$O50-$Q50</f>
        <v>0</v>
      </c>
      <c r="T50" s="351"/>
      <c r="U50" s="351"/>
      <c r="V50" s="325"/>
      <c r="W50" s="351"/>
      <c r="X50" s="351"/>
      <c r="Y50" s="351"/>
      <c r="Z50" s="325"/>
      <c r="AA50" s="351"/>
      <c r="AB50" s="325"/>
      <c r="AC50" s="647"/>
      <c r="AD50" s="325">
        <v>0</v>
      </c>
      <c r="AE50" s="2045"/>
      <c r="AF50" s="325"/>
      <c r="AG50" s="325">
        <v>0</v>
      </c>
      <c r="AH50" s="348"/>
      <c r="AI50" s="132"/>
      <c r="AJ50" s="536">
        <f>ROUND(AD50-AG50,1)</f>
        <v>0</v>
      </c>
      <c r="AK50" s="52"/>
      <c r="AL50" s="477">
        <f>ROUND(IF(AG50=0,0,AJ50/ABS(AG50)),3)</f>
        <v>0</v>
      </c>
    </row>
    <row r="51" spans="1:41">
      <c r="A51" s="353"/>
      <c r="B51" s="353" t="s">
        <v>126</v>
      </c>
      <c r="C51" s="353"/>
      <c r="D51" s="353"/>
      <c r="E51" s="325">
        <v>66.099999999999994</v>
      </c>
      <c r="F51" s="325"/>
      <c r="G51" s="325">
        <v>4.9000000000000057</v>
      </c>
      <c r="H51" s="325"/>
      <c r="I51" s="325">
        <v>0</v>
      </c>
      <c r="J51" s="325"/>
      <c r="K51" s="351">
        <v>174.7</v>
      </c>
      <c r="L51" s="325"/>
      <c r="M51" s="351">
        <v>18.5</v>
      </c>
      <c r="N51" s="325"/>
      <c r="O51" s="351">
        <v>0</v>
      </c>
      <c r="P51" s="325"/>
      <c r="Q51" s="351">
        <v>32.800000000000011</v>
      </c>
      <c r="R51" s="325"/>
      <c r="S51" s="351">
        <f t="shared" si="6"/>
        <v>17.699999999999989</v>
      </c>
      <c r="T51" s="351"/>
      <c r="U51" s="351"/>
      <c r="V51" s="325"/>
      <c r="W51" s="351"/>
      <c r="X51" s="351"/>
      <c r="Y51" s="351"/>
      <c r="Z51" s="325"/>
      <c r="AA51" s="351"/>
      <c r="AB51" s="325"/>
      <c r="AC51" s="647"/>
      <c r="AD51" s="325">
        <v>314.7</v>
      </c>
      <c r="AE51" s="2045"/>
      <c r="AF51" s="325"/>
      <c r="AG51" s="325">
        <v>108.3</v>
      </c>
      <c r="AH51" s="348"/>
      <c r="AI51" s="132"/>
      <c r="AJ51" s="536">
        <f>ROUND(AD51-AG51,1)</f>
        <v>206.4</v>
      </c>
      <c r="AK51" s="52"/>
      <c r="AL51" s="670">
        <f>ROUND(IF(AG51=0,1,AJ51/ABS(AG51)),3)</f>
        <v>1.9059999999999999</v>
      </c>
    </row>
    <row r="52" spans="1:41">
      <c r="A52" s="353"/>
      <c r="B52" s="353" t="s">
        <v>127</v>
      </c>
      <c r="C52" s="353"/>
      <c r="D52" s="353"/>
      <c r="E52" s="325">
        <v>0</v>
      </c>
      <c r="F52" s="325"/>
      <c r="G52" s="325">
        <v>0</v>
      </c>
      <c r="H52" s="325"/>
      <c r="I52" s="325">
        <v>0</v>
      </c>
      <c r="J52" s="325"/>
      <c r="K52" s="351">
        <v>0</v>
      </c>
      <c r="L52" s="325"/>
      <c r="M52" s="351">
        <v>0</v>
      </c>
      <c r="N52" s="325"/>
      <c r="O52" s="351">
        <v>0</v>
      </c>
      <c r="P52" s="325"/>
      <c r="Q52" s="351">
        <v>0</v>
      </c>
      <c r="R52" s="325"/>
      <c r="S52" s="351">
        <f t="shared" si="6"/>
        <v>0</v>
      </c>
      <c r="T52" s="351"/>
      <c r="U52" s="351"/>
      <c r="V52" s="325"/>
      <c r="W52" s="351"/>
      <c r="X52" s="351"/>
      <c r="Y52" s="351"/>
      <c r="Z52" s="325"/>
      <c r="AA52" s="351"/>
      <c r="AB52" s="325"/>
      <c r="AC52" s="647"/>
      <c r="AD52" s="325">
        <v>0</v>
      </c>
      <c r="AE52" s="2045"/>
      <c r="AF52" s="325"/>
      <c r="AG52" s="325">
        <v>0</v>
      </c>
      <c r="AH52" s="348"/>
      <c r="AI52" s="132"/>
      <c r="AJ52" s="536">
        <f>ROUND(AD52-AG52,1)</f>
        <v>0</v>
      </c>
      <c r="AL52" s="477">
        <f>ROUND(IF(AG52=0,0,AJ52/ABS(AG52)),3)</f>
        <v>0</v>
      </c>
    </row>
    <row r="53" spans="1:41">
      <c r="A53" s="353"/>
      <c r="B53" s="353" t="s">
        <v>128</v>
      </c>
      <c r="C53" s="353"/>
      <c r="D53" s="353"/>
      <c r="E53" s="351" t="s">
        <v>104</v>
      </c>
      <c r="F53" s="325"/>
      <c r="G53" s="351"/>
      <c r="H53" s="325"/>
      <c r="I53" s="351"/>
      <c r="J53" s="325"/>
      <c r="K53" s="351" t="s">
        <v>104</v>
      </c>
      <c r="L53" s="325"/>
      <c r="M53" s="351"/>
      <c r="N53" s="325"/>
      <c r="O53" s="351"/>
      <c r="P53" s="325"/>
      <c r="Q53" s="351"/>
      <c r="R53" s="325"/>
      <c r="S53" s="351"/>
      <c r="T53" s="351"/>
      <c r="U53" s="351"/>
      <c r="V53" s="325"/>
      <c r="W53" s="351"/>
      <c r="X53" s="351"/>
      <c r="Y53" s="351"/>
      <c r="Z53" s="325"/>
      <c r="AA53" s="351"/>
      <c r="AB53" s="325"/>
      <c r="AC53" s="647"/>
      <c r="AD53" s="351" t="s">
        <v>104</v>
      </c>
      <c r="AE53" s="2045"/>
      <c r="AF53" s="325"/>
      <c r="AG53" s="351" t="s">
        <v>104</v>
      </c>
      <c r="AH53" s="325"/>
      <c r="AI53" s="133"/>
      <c r="AJ53" s="536"/>
      <c r="AK53" s="52"/>
      <c r="AL53" s="746" t="s">
        <v>104</v>
      </c>
    </row>
    <row r="54" spans="1:41">
      <c r="A54" s="353"/>
      <c r="B54" s="353" t="s">
        <v>129</v>
      </c>
      <c r="C54" s="6"/>
      <c r="D54" s="353"/>
      <c r="E54" s="325">
        <v>0</v>
      </c>
      <c r="F54" s="325"/>
      <c r="G54" s="325">
        <v>0</v>
      </c>
      <c r="H54" s="325"/>
      <c r="I54" s="325">
        <v>0</v>
      </c>
      <c r="J54" s="325"/>
      <c r="K54" s="351">
        <v>0</v>
      </c>
      <c r="L54" s="325"/>
      <c r="M54" s="351">
        <v>0</v>
      </c>
      <c r="N54" s="325"/>
      <c r="O54" s="351">
        <v>0</v>
      </c>
      <c r="P54" s="325"/>
      <c r="Q54" s="351">
        <v>0</v>
      </c>
      <c r="R54" s="325"/>
      <c r="S54" s="351">
        <f t="shared" si="6"/>
        <v>0</v>
      </c>
      <c r="T54" s="351"/>
      <c r="U54" s="351"/>
      <c r="V54" s="325"/>
      <c r="W54" s="351"/>
      <c r="X54" s="351"/>
      <c r="Y54" s="351"/>
      <c r="Z54" s="325"/>
      <c r="AA54" s="351"/>
      <c r="AB54" s="325"/>
      <c r="AC54" s="647"/>
      <c r="AD54" s="325">
        <v>0</v>
      </c>
      <c r="AE54" s="2045"/>
      <c r="AF54" s="325"/>
      <c r="AG54" s="325">
        <v>0</v>
      </c>
      <c r="AH54" s="325"/>
      <c r="AI54" s="133"/>
      <c r="AJ54" s="536">
        <f t="shared" ref="AJ54:AJ59" si="7">ROUND(AD54-AG54,1)</f>
        <v>0</v>
      </c>
      <c r="AL54" s="477">
        <f>ROUND(IF(AG54=0,0,AJ54/ABS(AG54)),3)</f>
        <v>0</v>
      </c>
    </row>
    <row r="55" spans="1:41">
      <c r="A55" s="353"/>
      <c r="B55" s="353" t="s">
        <v>130</v>
      </c>
      <c r="C55" s="353"/>
      <c r="D55" s="353"/>
      <c r="E55" s="325">
        <v>0</v>
      </c>
      <c r="F55" s="325"/>
      <c r="G55" s="325">
        <v>64.100000000000009</v>
      </c>
      <c r="H55" s="325"/>
      <c r="I55" s="325">
        <v>0</v>
      </c>
      <c r="J55" s="325"/>
      <c r="K55" s="351">
        <v>9.9999999999994316E-2</v>
      </c>
      <c r="L55" s="325"/>
      <c r="M55" s="351">
        <v>0</v>
      </c>
      <c r="N55" s="325"/>
      <c r="O55" s="351">
        <v>0</v>
      </c>
      <c r="P55" s="325"/>
      <c r="Q55" s="351">
        <v>19.700000000000003</v>
      </c>
      <c r="R55" s="325"/>
      <c r="S55" s="351">
        <f t="shared" si="6"/>
        <v>0</v>
      </c>
      <c r="T55" s="351"/>
      <c r="U55" s="351"/>
      <c r="V55" s="325"/>
      <c r="W55" s="351"/>
      <c r="X55" s="351"/>
      <c r="Y55" s="351"/>
      <c r="Z55" s="325"/>
      <c r="AA55" s="351"/>
      <c r="AB55" s="325"/>
      <c r="AC55" s="647"/>
      <c r="AD55" s="325">
        <v>83.9</v>
      </c>
      <c r="AE55" s="2045"/>
      <c r="AF55" s="325"/>
      <c r="AG55" s="325">
        <v>2.4</v>
      </c>
      <c r="AH55" s="348"/>
      <c r="AI55" s="132"/>
      <c r="AJ55" s="536">
        <f t="shared" si="7"/>
        <v>81.5</v>
      </c>
      <c r="AK55" s="52"/>
      <c r="AL55" s="670">
        <f>ROUND(IF(AG55=0,1,AJ55/ABS(AG55)),3)</f>
        <v>33.957999999999998</v>
      </c>
    </row>
    <row r="56" spans="1:41">
      <c r="A56" s="353"/>
      <c r="B56" s="353" t="s">
        <v>131</v>
      </c>
      <c r="C56" s="353"/>
      <c r="D56" s="353"/>
      <c r="E56" s="325">
        <v>0</v>
      </c>
      <c r="F56" s="325"/>
      <c r="G56" s="325">
        <v>0</v>
      </c>
      <c r="H56" s="325"/>
      <c r="I56" s="325">
        <v>0</v>
      </c>
      <c r="J56" s="325"/>
      <c r="K56" s="351">
        <v>0</v>
      </c>
      <c r="L56" s="325"/>
      <c r="M56" s="351">
        <v>0</v>
      </c>
      <c r="N56" s="325"/>
      <c r="O56" s="351">
        <v>0</v>
      </c>
      <c r="P56" s="325"/>
      <c r="Q56" s="351">
        <v>0</v>
      </c>
      <c r="R56" s="325"/>
      <c r="S56" s="351">
        <f t="shared" si="6"/>
        <v>0</v>
      </c>
      <c r="T56" s="351"/>
      <c r="U56" s="351"/>
      <c r="V56" s="325"/>
      <c r="W56" s="351"/>
      <c r="X56" s="351"/>
      <c r="Y56" s="351"/>
      <c r="Z56" s="325"/>
      <c r="AA56" s="351"/>
      <c r="AB56" s="325"/>
      <c r="AC56" s="647"/>
      <c r="AD56" s="325">
        <v>0</v>
      </c>
      <c r="AE56" s="2045"/>
      <c r="AF56" s="325"/>
      <c r="AG56" s="325">
        <v>106.2</v>
      </c>
      <c r="AH56" s="348"/>
      <c r="AI56" s="132"/>
      <c r="AJ56" s="536">
        <f t="shared" si="7"/>
        <v>-106.2</v>
      </c>
      <c r="AL56" s="670">
        <f>ROUND(IF(AG56=0,1,AJ56/ABS(AG56)),3)</f>
        <v>-1</v>
      </c>
    </row>
    <row r="57" spans="1:41">
      <c r="A57" s="353"/>
      <c r="B57" s="353" t="s">
        <v>132</v>
      </c>
      <c r="C57" s="353"/>
      <c r="D57" s="353"/>
      <c r="E57" s="325">
        <v>0</v>
      </c>
      <c r="F57" s="325"/>
      <c r="G57" s="325">
        <v>0</v>
      </c>
      <c r="H57" s="325"/>
      <c r="I57" s="325">
        <v>0</v>
      </c>
      <c r="J57" s="325"/>
      <c r="K57" s="351">
        <v>0</v>
      </c>
      <c r="L57" s="325"/>
      <c r="M57" s="351">
        <v>0</v>
      </c>
      <c r="N57" s="325"/>
      <c r="O57" s="351">
        <v>0</v>
      </c>
      <c r="P57" s="325"/>
      <c r="Q57" s="351">
        <v>0</v>
      </c>
      <c r="R57" s="325"/>
      <c r="S57" s="351">
        <f t="shared" si="6"/>
        <v>0</v>
      </c>
      <c r="T57" s="351"/>
      <c r="U57" s="351"/>
      <c r="V57" s="325"/>
      <c r="W57" s="351"/>
      <c r="X57" s="351"/>
      <c r="Y57" s="351"/>
      <c r="Z57" s="325"/>
      <c r="AA57" s="351"/>
      <c r="AB57" s="325"/>
      <c r="AC57" s="647"/>
      <c r="AD57" s="325">
        <v>0</v>
      </c>
      <c r="AE57" s="2045"/>
      <c r="AF57" s="325"/>
      <c r="AG57" s="325">
        <v>0</v>
      </c>
      <c r="AH57" s="325"/>
      <c r="AI57" s="133"/>
      <c r="AJ57" s="536">
        <f t="shared" si="7"/>
        <v>0</v>
      </c>
      <c r="AK57" s="52"/>
      <c r="AL57" s="477">
        <f>ROUND(IF(AG57=0,0,AJ57/ABS(AG57)),3)</f>
        <v>0</v>
      </c>
    </row>
    <row r="58" spans="1:41">
      <c r="A58" s="353"/>
      <c r="B58" s="353" t="s">
        <v>133</v>
      </c>
      <c r="C58" s="6"/>
      <c r="D58" s="353"/>
      <c r="E58" s="325">
        <v>0</v>
      </c>
      <c r="F58" s="325"/>
      <c r="G58" s="325">
        <v>0.2</v>
      </c>
      <c r="H58" s="325"/>
      <c r="I58" s="325">
        <v>0</v>
      </c>
      <c r="J58" s="325"/>
      <c r="K58" s="351">
        <v>9.9999999999999978E-2</v>
      </c>
      <c r="L58" s="325"/>
      <c r="M58" s="351">
        <v>0.3</v>
      </c>
      <c r="N58" s="325"/>
      <c r="O58" s="351">
        <v>3.4</v>
      </c>
      <c r="P58" s="325"/>
      <c r="Q58" s="351">
        <v>0</v>
      </c>
      <c r="R58" s="325"/>
      <c r="S58" s="351">
        <f t="shared" si="6"/>
        <v>2.5000000000000004</v>
      </c>
      <c r="T58" s="351"/>
      <c r="U58" s="351"/>
      <c r="V58" s="325"/>
      <c r="W58" s="351"/>
      <c r="X58" s="351"/>
      <c r="Y58" s="351"/>
      <c r="Z58" s="325"/>
      <c r="AA58" s="351"/>
      <c r="AB58" s="325"/>
      <c r="AC58" s="647"/>
      <c r="AD58" s="325">
        <v>6.5</v>
      </c>
      <c r="AE58" s="2045"/>
      <c r="AF58" s="325"/>
      <c r="AG58" s="325">
        <v>0</v>
      </c>
      <c r="AH58" s="325"/>
      <c r="AI58" s="133"/>
      <c r="AJ58" s="536">
        <f t="shared" si="7"/>
        <v>6.5</v>
      </c>
      <c r="AL58" s="477">
        <f>ROUND(IF(AG58=0,1,AJ58/ABS(AG58)),3)</f>
        <v>1</v>
      </c>
    </row>
    <row r="59" spans="1:41">
      <c r="A59" s="353"/>
      <c r="B59" s="353" t="s">
        <v>134</v>
      </c>
      <c r="C59" s="353"/>
      <c r="D59" s="353"/>
      <c r="E59" s="325">
        <v>33.799999999999997</v>
      </c>
      <c r="F59" s="325"/>
      <c r="G59" s="325">
        <v>26.5</v>
      </c>
      <c r="H59" s="325"/>
      <c r="I59" s="325">
        <v>23.299999999999997</v>
      </c>
      <c r="J59" s="325"/>
      <c r="K59" s="351">
        <v>35</v>
      </c>
      <c r="L59" s="325"/>
      <c r="M59" s="351">
        <v>47.399999999999991</v>
      </c>
      <c r="N59" s="325"/>
      <c r="O59" s="351">
        <v>21.600000000000023</v>
      </c>
      <c r="P59" s="325"/>
      <c r="Q59" s="351">
        <v>26.099999999999952</v>
      </c>
      <c r="R59" s="325"/>
      <c r="S59" s="351">
        <f t="shared" si="6"/>
        <v>26.300000000000011</v>
      </c>
      <c r="T59" s="351"/>
      <c r="U59" s="351"/>
      <c r="V59" s="325"/>
      <c r="W59" s="351"/>
      <c r="X59" s="351"/>
      <c r="Y59" s="351"/>
      <c r="Z59" s="325"/>
      <c r="AA59" s="351"/>
      <c r="AB59" s="325"/>
      <c r="AC59" s="647"/>
      <c r="AD59" s="325">
        <v>240</v>
      </c>
      <c r="AE59" s="2045"/>
      <c r="AF59" s="325"/>
      <c r="AG59" s="325">
        <v>263.7</v>
      </c>
      <c r="AH59" s="325"/>
      <c r="AI59" s="133"/>
      <c r="AJ59" s="536">
        <f t="shared" si="7"/>
        <v>-23.7</v>
      </c>
      <c r="AL59" s="1757">
        <f>ROUND((AD59-AG59)/ABS(AG59),3)</f>
        <v>-0.09</v>
      </c>
    </row>
    <row r="60" spans="1:41">
      <c r="A60" s="353"/>
      <c r="B60" s="6" t="s">
        <v>597</v>
      </c>
      <c r="C60" s="353"/>
      <c r="D60" s="353"/>
      <c r="E60" s="784">
        <f>ROUND(SUM(E50:E59),1)</f>
        <v>99.9</v>
      </c>
      <c r="F60" s="16"/>
      <c r="G60" s="784">
        <f>ROUND(SUM(G50:G59),1)</f>
        <v>95.7</v>
      </c>
      <c r="H60" s="16"/>
      <c r="I60" s="784">
        <f>ROUND(SUM(I50:I59),1)</f>
        <v>23.3</v>
      </c>
      <c r="J60" s="16"/>
      <c r="K60" s="784">
        <f>ROUND(SUM(K50:K59),1)</f>
        <v>209.9</v>
      </c>
      <c r="L60" s="16"/>
      <c r="M60" s="784">
        <f>ROUND(SUM(M50:M59),1)</f>
        <v>66.2</v>
      </c>
      <c r="N60" s="16"/>
      <c r="O60" s="784">
        <f>ROUND(SUM(O50:O59),1)</f>
        <v>25</v>
      </c>
      <c r="P60" s="16"/>
      <c r="Q60" s="784">
        <f>ROUND(SUM(Q50:Q59),1)</f>
        <v>78.599999999999994</v>
      </c>
      <c r="R60" s="16"/>
      <c r="S60" s="784">
        <f>ROUND(SUM(S50:S59),1)</f>
        <v>46.5</v>
      </c>
      <c r="T60" s="16"/>
      <c r="U60" s="784">
        <f>ROUND(SUM(U50:U59),1)</f>
        <v>0</v>
      </c>
      <c r="V60" s="16"/>
      <c r="W60" s="784">
        <f>ROUND(SUM(W50:W59),1)</f>
        <v>0</v>
      </c>
      <c r="X60" s="16"/>
      <c r="Y60" s="784">
        <f>ROUND(SUM(Y50:Y59),1)</f>
        <v>0</v>
      </c>
      <c r="Z60" s="16"/>
      <c r="AA60" s="784">
        <f>ROUND(SUM(AA50:AA59),1)</f>
        <v>0</v>
      </c>
      <c r="AB60" s="16"/>
      <c r="AC60" s="18"/>
      <c r="AD60" s="784">
        <f>ROUND(SUM(AD50:AD59),1)</f>
        <v>645.1</v>
      </c>
      <c r="AE60" s="2048"/>
      <c r="AF60" s="18"/>
      <c r="AG60" s="784">
        <f>ROUND(SUM(AG50:AG59),1)</f>
        <v>480.6</v>
      </c>
      <c r="AH60" s="16"/>
      <c r="AI60" s="133"/>
      <c r="AJ60" s="784">
        <f>ROUND(SUM(AJ50:AJ59),1)</f>
        <v>164.5</v>
      </c>
      <c r="AK60" s="6"/>
      <c r="AL60" s="1274">
        <f>ROUND(SUM(AD60-AG60)/ABS(AG60),3)</f>
        <v>0.34200000000000003</v>
      </c>
      <c r="AM60" s="6"/>
      <c r="AN60" s="6"/>
      <c r="AO60" s="6"/>
    </row>
    <row r="61" spans="1:41">
      <c r="A61" s="353"/>
      <c r="B61" s="353" t="s">
        <v>598</v>
      </c>
      <c r="C61" s="353"/>
      <c r="D61" s="353"/>
      <c r="E61" s="325"/>
      <c r="F61" s="325"/>
      <c r="G61" s="325"/>
      <c r="H61" s="325"/>
      <c r="I61" s="325"/>
      <c r="J61" s="325"/>
      <c r="K61" s="325"/>
      <c r="L61" s="325"/>
      <c r="M61" s="325"/>
      <c r="N61" s="325"/>
      <c r="O61" s="325"/>
      <c r="P61" s="325"/>
      <c r="Q61" s="325"/>
      <c r="R61" s="325"/>
      <c r="S61" s="325"/>
      <c r="T61" s="325"/>
      <c r="U61" s="325"/>
      <c r="V61" s="325"/>
      <c r="W61" s="325"/>
      <c r="X61" s="325"/>
      <c r="Y61" s="325"/>
      <c r="Z61" s="325"/>
      <c r="AA61" s="325"/>
      <c r="AB61" s="325"/>
      <c r="AC61" s="647"/>
      <c r="AD61" s="325"/>
      <c r="AE61" s="2045"/>
      <c r="AF61" s="647"/>
      <c r="AG61" s="325"/>
      <c r="AH61" s="325"/>
      <c r="AI61" s="133"/>
      <c r="AJ61" s="15"/>
      <c r="AL61" s="131"/>
    </row>
    <row r="62" spans="1:41">
      <c r="A62" s="353"/>
      <c r="B62" s="353" t="s">
        <v>599</v>
      </c>
      <c r="C62" s="353"/>
      <c r="D62" s="353"/>
      <c r="E62" s="325">
        <v>0</v>
      </c>
      <c r="F62" s="325"/>
      <c r="G62" s="325">
        <v>0</v>
      </c>
      <c r="H62" s="325"/>
      <c r="I62" s="325">
        <v>0</v>
      </c>
      <c r="J62" s="325"/>
      <c r="K62" s="351">
        <v>0</v>
      </c>
      <c r="L62" s="325"/>
      <c r="M62" s="351">
        <v>0</v>
      </c>
      <c r="N62" s="325"/>
      <c r="O62" s="351">
        <v>0</v>
      </c>
      <c r="P62" s="325"/>
      <c r="Q62" s="351">
        <v>0</v>
      </c>
      <c r="R62" s="325"/>
      <c r="S62" s="351">
        <f t="shared" ref="S62:S65" si="8">$AD62-$E62-$G62-$I62-$K62-$M62-$O62-$Q62</f>
        <v>0</v>
      </c>
      <c r="T62" s="351"/>
      <c r="U62" s="351"/>
      <c r="V62" s="325"/>
      <c r="W62" s="351"/>
      <c r="X62" s="325"/>
      <c r="Y62" s="351"/>
      <c r="Z62" s="325"/>
      <c r="AA62" s="351"/>
      <c r="AB62" s="325"/>
      <c r="AC62" s="647"/>
      <c r="AD62" s="325">
        <v>0</v>
      </c>
      <c r="AE62" s="2045"/>
      <c r="AF62" s="325"/>
      <c r="AG62" s="325">
        <v>0</v>
      </c>
      <c r="AH62" s="469"/>
      <c r="AI62" s="135"/>
      <c r="AJ62" s="536">
        <f>ROUND(AD62-AG62,1)</f>
        <v>0</v>
      </c>
      <c r="AL62" s="477">
        <f>ROUND(IF(AG62=0,0,AJ62/ABS(AG62)),3)</f>
        <v>0</v>
      </c>
      <c r="AM62" s="52"/>
    </row>
    <row r="63" spans="1:41">
      <c r="A63" s="353"/>
      <c r="B63" s="353" t="s">
        <v>600</v>
      </c>
      <c r="C63" s="353"/>
      <c r="D63" s="353"/>
      <c r="E63" s="325">
        <v>0</v>
      </c>
      <c r="F63" s="325"/>
      <c r="G63" s="325">
        <v>0</v>
      </c>
      <c r="H63" s="325"/>
      <c r="I63" s="325">
        <v>0</v>
      </c>
      <c r="J63" s="325"/>
      <c r="K63" s="351">
        <v>0</v>
      </c>
      <c r="L63" s="325"/>
      <c r="M63" s="351">
        <v>0</v>
      </c>
      <c r="N63" s="325"/>
      <c r="O63" s="351">
        <v>0</v>
      </c>
      <c r="P63" s="325"/>
      <c r="Q63" s="351">
        <v>0</v>
      </c>
      <c r="R63" s="325"/>
      <c r="S63" s="351">
        <f t="shared" si="8"/>
        <v>0</v>
      </c>
      <c r="T63" s="351"/>
      <c r="U63" s="351"/>
      <c r="V63" s="325"/>
      <c r="W63" s="351"/>
      <c r="X63" s="325"/>
      <c r="Y63" s="351"/>
      <c r="Z63" s="325"/>
      <c r="AA63" s="351"/>
      <c r="AB63" s="325"/>
      <c r="AC63" s="647"/>
      <c r="AD63" s="325">
        <v>0</v>
      </c>
      <c r="AE63" s="2045"/>
      <c r="AF63" s="325"/>
      <c r="AG63" s="325">
        <v>0</v>
      </c>
      <c r="AH63" s="469"/>
      <c r="AI63" s="135"/>
      <c r="AJ63" s="536">
        <f>ROUND(AD63-AG63,1)</f>
        <v>0</v>
      </c>
      <c r="AL63" s="477">
        <f>ROUND(IF(AG63=0,0,AJ63/ABS(AG63)),3)</f>
        <v>0</v>
      </c>
    </row>
    <row r="64" spans="1:41">
      <c r="A64" s="353"/>
      <c r="B64" s="353" t="s">
        <v>601</v>
      </c>
      <c r="C64" s="353"/>
      <c r="D64" s="353"/>
      <c r="E64" s="325">
        <v>0</v>
      </c>
      <c r="F64" s="325"/>
      <c r="G64" s="325">
        <v>0</v>
      </c>
      <c r="H64" s="325"/>
      <c r="I64" s="325">
        <v>0</v>
      </c>
      <c r="J64" s="325"/>
      <c r="K64" s="351">
        <v>0</v>
      </c>
      <c r="L64" s="325"/>
      <c r="M64" s="351">
        <v>0</v>
      </c>
      <c r="N64" s="325"/>
      <c r="O64" s="351">
        <v>0</v>
      </c>
      <c r="P64" s="325"/>
      <c r="Q64" s="351">
        <v>0</v>
      </c>
      <c r="R64" s="325"/>
      <c r="S64" s="351">
        <f t="shared" si="8"/>
        <v>0</v>
      </c>
      <c r="T64" s="351"/>
      <c r="U64" s="351"/>
      <c r="V64" s="325"/>
      <c r="W64" s="351"/>
      <c r="X64" s="325"/>
      <c r="Y64" s="351"/>
      <c r="Z64" s="325"/>
      <c r="AA64" s="351"/>
      <c r="AB64" s="325"/>
      <c r="AC64" s="647"/>
      <c r="AD64" s="325">
        <v>0</v>
      </c>
      <c r="AE64" s="2045"/>
      <c r="AF64" s="325"/>
      <c r="AG64" s="325">
        <v>0</v>
      </c>
      <c r="AH64" s="469"/>
      <c r="AI64" s="135"/>
      <c r="AJ64" s="536">
        <f>ROUND(AD64-AG64,1)</f>
        <v>0</v>
      </c>
      <c r="AL64" s="477">
        <f>ROUND(IF(AG64=0,0,AJ64/ABS(AG64)),3)</f>
        <v>0</v>
      </c>
    </row>
    <row r="65" spans="1:39">
      <c r="A65" s="353"/>
      <c r="B65" s="525" t="s">
        <v>618</v>
      </c>
      <c r="C65" s="353"/>
      <c r="D65" s="353"/>
      <c r="E65" s="325">
        <v>105</v>
      </c>
      <c r="F65" s="325"/>
      <c r="G65" s="325">
        <v>163.39999999999998</v>
      </c>
      <c r="H65" s="325"/>
      <c r="I65" s="325">
        <v>161.70000000000005</v>
      </c>
      <c r="J65" s="325"/>
      <c r="K65" s="351">
        <v>142.29999999999995</v>
      </c>
      <c r="L65" s="325"/>
      <c r="M65" s="351">
        <v>225.70000000000005</v>
      </c>
      <c r="N65" s="325"/>
      <c r="O65" s="351">
        <v>160.39999999999998</v>
      </c>
      <c r="P65" s="325"/>
      <c r="Q65" s="351">
        <v>164</v>
      </c>
      <c r="R65" s="325"/>
      <c r="S65" s="351">
        <f t="shared" si="8"/>
        <v>177.70000000000016</v>
      </c>
      <c r="T65" s="351"/>
      <c r="U65" s="351"/>
      <c r="V65" s="325"/>
      <c r="W65" s="351"/>
      <c r="X65" s="325"/>
      <c r="Y65" s="351"/>
      <c r="Z65" s="325"/>
      <c r="AA65" s="351"/>
      <c r="AB65" s="325"/>
      <c r="AC65" s="647"/>
      <c r="AD65" s="486">
        <v>1300.2</v>
      </c>
      <c r="AE65" s="2045"/>
      <c r="AF65" s="325"/>
      <c r="AG65" s="486">
        <v>989.9</v>
      </c>
      <c r="AH65" s="348"/>
      <c r="AI65" s="132"/>
      <c r="AJ65" s="1578">
        <f>ROUND(AD65-AG65,1)</f>
        <v>310.3</v>
      </c>
      <c r="AL65" s="1177">
        <f>ROUND(IF(AG65=0,0,AJ65/ABS(AG65)),3)</f>
        <v>0.313</v>
      </c>
    </row>
    <row r="66" spans="1:39">
      <c r="A66" s="353"/>
      <c r="B66" s="353"/>
      <c r="C66" s="353"/>
      <c r="D66" s="353"/>
      <c r="E66" s="783"/>
      <c r="F66" s="325"/>
      <c r="G66" s="783"/>
      <c r="H66" s="325"/>
      <c r="I66" s="783"/>
      <c r="J66" s="325"/>
      <c r="K66" s="783"/>
      <c r="L66" s="325"/>
      <c r="M66" s="783"/>
      <c r="N66" s="325"/>
      <c r="O66" s="783"/>
      <c r="P66" s="325"/>
      <c r="Q66" s="783"/>
      <c r="R66" s="325"/>
      <c r="S66" s="783"/>
      <c r="T66" s="325"/>
      <c r="U66" s="783"/>
      <c r="V66" s="325"/>
      <c r="W66" s="783"/>
      <c r="X66" s="325"/>
      <c r="Y66" s="783"/>
      <c r="Z66" s="325"/>
      <c r="AA66" s="783"/>
      <c r="AB66" s="325"/>
      <c r="AC66" s="647"/>
      <c r="AD66" s="15"/>
      <c r="AE66" s="2045"/>
      <c r="AF66" s="647"/>
      <c r="AG66" s="15"/>
      <c r="AH66" s="15"/>
      <c r="AI66" s="133"/>
      <c r="AJ66" s="15"/>
      <c r="AL66" s="131"/>
    </row>
    <row r="67" spans="1:39">
      <c r="A67" s="353"/>
      <c r="B67" s="6" t="s">
        <v>602</v>
      </c>
      <c r="C67" s="353"/>
      <c r="D67" s="353"/>
      <c r="E67" s="16">
        <f>ROUND(SUM(E60:E65),1)</f>
        <v>204.9</v>
      </c>
      <c r="F67" s="16"/>
      <c r="G67" s="16">
        <f>ROUND(SUM(G60:G65),1)</f>
        <v>259.10000000000002</v>
      </c>
      <c r="H67" s="16"/>
      <c r="I67" s="16">
        <f>ROUND(SUM(I60:I65),1)</f>
        <v>185</v>
      </c>
      <c r="J67" s="16"/>
      <c r="K67" s="16">
        <f>ROUND(SUM(K60:K65),1)</f>
        <v>352.2</v>
      </c>
      <c r="L67" s="16"/>
      <c r="M67" s="16">
        <f>ROUND(SUM(M60:M65),1)</f>
        <v>291.89999999999998</v>
      </c>
      <c r="N67" s="16"/>
      <c r="O67" s="16">
        <f>ROUND(SUM(O60:O65),1)</f>
        <v>185.4</v>
      </c>
      <c r="P67" s="16"/>
      <c r="Q67" s="16">
        <f>ROUND(SUM(Q60:Q65),1)</f>
        <v>242.6</v>
      </c>
      <c r="R67" s="16"/>
      <c r="S67" s="16">
        <f>ROUND(SUM(S60:S65),1)</f>
        <v>224.2</v>
      </c>
      <c r="T67" s="16"/>
      <c r="U67" s="16">
        <f>ROUND(SUM(U60:U65),1)</f>
        <v>0</v>
      </c>
      <c r="V67" s="16"/>
      <c r="W67" s="16">
        <f>ROUND(SUM(W60:W65),1)</f>
        <v>0</v>
      </c>
      <c r="X67" s="16"/>
      <c r="Y67" s="16">
        <f>ROUND(SUM(Y60:Y65),1)</f>
        <v>0</v>
      </c>
      <c r="Z67" s="16"/>
      <c r="AA67" s="16">
        <f>ROUND(SUM(AA60:AA65),1)</f>
        <v>0</v>
      </c>
      <c r="AB67" s="16"/>
      <c r="AC67" s="18"/>
      <c r="AD67" s="16">
        <f>ROUND(SUM(AD60:AD65),1)</f>
        <v>1945.3</v>
      </c>
      <c r="AE67" s="2048"/>
      <c r="AF67" s="18"/>
      <c r="AG67" s="16">
        <f>ROUND(SUM(AG60:AG65),1)</f>
        <v>1470.5</v>
      </c>
      <c r="AH67" s="16"/>
      <c r="AI67" s="133"/>
      <c r="AJ67" s="434">
        <f>ROUND(AD67-AG67,1)</f>
        <v>474.8</v>
      </c>
      <c r="AK67" s="6"/>
      <c r="AL67" s="779">
        <f>ROUND(SUM(AD67-AG67)/ABS(AG67),3)</f>
        <v>0.32300000000000001</v>
      </c>
    </row>
    <row r="68" spans="1:39">
      <c r="A68" s="353"/>
      <c r="B68" s="353"/>
      <c r="C68" s="353"/>
      <c r="D68" s="353"/>
      <c r="E68" s="783"/>
      <c r="F68" s="325"/>
      <c r="G68" s="783"/>
      <c r="H68" s="325"/>
      <c r="I68" s="783"/>
      <c r="J68" s="325"/>
      <c r="K68" s="783"/>
      <c r="L68" s="325"/>
      <c r="M68" s="783"/>
      <c r="N68" s="325"/>
      <c r="O68" s="783"/>
      <c r="P68" s="325"/>
      <c r="Q68" s="783"/>
      <c r="R68" s="325"/>
      <c r="S68" s="783"/>
      <c r="T68" s="325"/>
      <c r="U68" s="783"/>
      <c r="V68" s="325"/>
      <c r="W68" s="783"/>
      <c r="X68" s="325"/>
      <c r="Y68" s="783"/>
      <c r="Z68" s="325"/>
      <c r="AA68" s="783"/>
      <c r="AB68" s="325"/>
      <c r="AC68" s="647"/>
      <c r="AD68" s="783"/>
      <c r="AE68" s="2045"/>
      <c r="AF68" s="647"/>
      <c r="AG68" s="783"/>
      <c r="AH68" s="325"/>
      <c r="AI68" s="133"/>
      <c r="AJ68" s="15"/>
      <c r="AL68" s="131"/>
    </row>
    <row r="69" spans="1:39">
      <c r="A69" s="353"/>
      <c r="B69" s="6" t="s">
        <v>603</v>
      </c>
      <c r="C69" s="353"/>
      <c r="D69" s="353"/>
      <c r="E69" s="325"/>
      <c r="F69" s="325"/>
      <c r="G69" s="325"/>
      <c r="H69" s="325"/>
      <c r="I69" s="325"/>
      <c r="J69" s="325"/>
      <c r="K69" s="325"/>
      <c r="L69" s="325"/>
      <c r="M69" s="325"/>
      <c r="N69" s="325"/>
      <c r="O69" s="325"/>
      <c r="P69" s="325"/>
      <c r="Q69" s="325"/>
      <c r="R69" s="325"/>
      <c r="S69" s="325"/>
      <c r="T69" s="325"/>
      <c r="U69" s="325"/>
      <c r="V69" s="325"/>
      <c r="W69" s="325"/>
      <c r="X69" s="325"/>
      <c r="Y69" s="325"/>
      <c r="Z69" s="325"/>
      <c r="AA69" s="325"/>
      <c r="AB69" s="325"/>
      <c r="AC69" s="647"/>
      <c r="AD69" s="15"/>
      <c r="AE69" s="2045"/>
      <c r="AF69" s="325"/>
      <c r="AG69" s="15"/>
      <c r="AH69" s="15"/>
      <c r="AI69" s="133"/>
      <c r="AJ69" s="15"/>
      <c r="AL69" s="131"/>
    </row>
    <row r="70" spans="1:39">
      <c r="A70" s="353"/>
      <c r="B70" s="6" t="s">
        <v>604</v>
      </c>
      <c r="C70" s="353"/>
      <c r="D70" s="353"/>
      <c r="E70" s="16">
        <f>ROUND(E46-E67,1)</f>
        <v>14.6</v>
      </c>
      <c r="F70" s="16"/>
      <c r="G70" s="16">
        <f>ROUND(G46-G67,1)</f>
        <v>-0.3</v>
      </c>
      <c r="H70" s="16"/>
      <c r="I70" s="16">
        <f>ROUND(I46-I67,1)</f>
        <v>5.3</v>
      </c>
      <c r="J70" s="16"/>
      <c r="K70" s="16">
        <f>ROUND(K46-K67,1)</f>
        <v>0.2</v>
      </c>
      <c r="L70" s="16"/>
      <c r="M70" s="16">
        <f>ROUND(M46-M67,1)</f>
        <v>-73.900000000000006</v>
      </c>
      <c r="N70" s="16"/>
      <c r="O70" s="16">
        <f>ROUND(O46-O67,1)</f>
        <v>6.3</v>
      </c>
      <c r="P70" s="16"/>
      <c r="Q70" s="16">
        <f>ROUND(Q46-Q67,1)</f>
        <v>-56.2</v>
      </c>
      <c r="R70" s="16"/>
      <c r="S70" s="16">
        <f>ROUND(S46-S67,1)</f>
        <v>44.2</v>
      </c>
      <c r="T70" s="16"/>
      <c r="U70" s="16">
        <f>ROUND(U46-U67,1)</f>
        <v>0</v>
      </c>
      <c r="V70" s="16"/>
      <c r="W70" s="16">
        <f>ROUND(W46-W67,1)</f>
        <v>0</v>
      </c>
      <c r="X70" s="16"/>
      <c r="Y70" s="16">
        <f>ROUND(Y46-Y67,1)</f>
        <v>0</v>
      </c>
      <c r="Z70" s="16"/>
      <c r="AA70" s="16">
        <f>ROUND(AA46-AA67,1)</f>
        <v>0</v>
      </c>
      <c r="AB70" s="16"/>
      <c r="AC70" s="18"/>
      <c r="AD70" s="16">
        <f>ROUND(AD46-AD67,1)</f>
        <v>-59.8</v>
      </c>
      <c r="AE70" s="2048"/>
      <c r="AF70" s="18"/>
      <c r="AG70" s="16">
        <f>ROUND(AG46-AG67,1)</f>
        <v>297.3</v>
      </c>
      <c r="AH70" s="16"/>
      <c r="AI70" s="133"/>
      <c r="AJ70" s="434">
        <f>ROUND(AD70-AG70,1)</f>
        <v>-357.1</v>
      </c>
      <c r="AK70" s="6"/>
      <c r="AL70" s="667">
        <f>ROUND(SUM(AD70-AG70)/ABS(AG70),3)</f>
        <v>-1.2010000000000001</v>
      </c>
    </row>
    <row r="71" spans="1:39">
      <c r="A71" s="353"/>
      <c r="B71" s="353"/>
      <c r="C71" s="353"/>
      <c r="D71" s="353"/>
      <c r="E71" s="783"/>
      <c r="F71" s="325"/>
      <c r="G71" s="783"/>
      <c r="H71" s="325"/>
      <c r="I71" s="783"/>
      <c r="J71" s="325"/>
      <c r="K71" s="783"/>
      <c r="L71" s="325"/>
      <c r="M71" s="783"/>
      <c r="N71" s="325"/>
      <c r="O71" s="783"/>
      <c r="P71" s="325"/>
      <c r="Q71" s="783"/>
      <c r="R71" s="325"/>
      <c r="S71" s="783"/>
      <c r="T71" s="325"/>
      <c r="U71" s="783"/>
      <c r="V71" s="325"/>
      <c r="W71" s="783"/>
      <c r="X71" s="325"/>
      <c r="Y71" s="783"/>
      <c r="Z71" s="325"/>
      <c r="AA71" s="783"/>
      <c r="AB71" s="325"/>
      <c r="AC71" s="647"/>
      <c r="AD71" s="783"/>
      <c r="AE71" s="2045"/>
      <c r="AF71" s="647"/>
      <c r="AG71" s="783"/>
      <c r="AH71" s="325"/>
      <c r="AI71" s="133"/>
      <c r="AJ71" s="15"/>
      <c r="AL71" s="131"/>
    </row>
    <row r="72" spans="1:39">
      <c r="A72" s="353"/>
      <c r="B72" s="6" t="s">
        <v>605</v>
      </c>
      <c r="C72" s="353"/>
      <c r="D72" s="353"/>
      <c r="E72" s="325"/>
      <c r="F72" s="325"/>
      <c r="G72" s="325"/>
      <c r="H72" s="325"/>
      <c r="I72" s="325"/>
      <c r="J72" s="325"/>
      <c r="K72" s="325"/>
      <c r="L72" s="325"/>
      <c r="M72" s="325"/>
      <c r="N72" s="325"/>
      <c r="O72" s="325"/>
      <c r="P72" s="325"/>
      <c r="Q72" s="325"/>
      <c r="R72" s="325"/>
      <c r="S72" s="325"/>
      <c r="T72" s="325"/>
      <c r="U72" s="325"/>
      <c r="V72" s="325"/>
      <c r="W72" s="325"/>
      <c r="X72" s="325"/>
      <c r="Y72" s="325"/>
      <c r="Z72" s="325"/>
      <c r="AA72" s="325"/>
      <c r="AB72" s="325"/>
      <c r="AC72" s="647"/>
      <c r="AD72" s="469"/>
      <c r="AE72" s="2045"/>
      <c r="AF72" s="647"/>
      <c r="AG72" s="469"/>
      <c r="AH72" s="469"/>
      <c r="AI72" s="135"/>
      <c r="AJ72" s="15"/>
      <c r="AL72" s="131"/>
    </row>
    <row r="73" spans="1:39">
      <c r="A73" s="353"/>
      <c r="B73" s="525" t="s">
        <v>619</v>
      </c>
      <c r="C73" s="353"/>
      <c r="D73" s="353"/>
      <c r="E73" s="325">
        <v>0</v>
      </c>
      <c r="F73" s="325"/>
      <c r="G73" s="325">
        <v>0</v>
      </c>
      <c r="H73" s="325"/>
      <c r="I73" s="325">
        <v>0</v>
      </c>
      <c r="J73" s="325"/>
      <c r="K73" s="351">
        <v>0</v>
      </c>
      <c r="L73" s="325"/>
      <c r="M73" s="351">
        <v>0</v>
      </c>
      <c r="N73" s="325"/>
      <c r="O73" s="351">
        <v>0</v>
      </c>
      <c r="P73" s="325"/>
      <c r="Q73" s="351">
        <v>0</v>
      </c>
      <c r="R73" s="325"/>
      <c r="S73" s="351">
        <f t="shared" ref="S73:S74" si="9">$AD73-$E73-$G73-$I73-$K73-$M73-$O73-$Q73</f>
        <v>0</v>
      </c>
      <c r="T73" s="351"/>
      <c r="U73" s="351"/>
      <c r="V73" s="325"/>
      <c r="W73" s="351"/>
      <c r="X73" s="325"/>
      <c r="Y73" s="351"/>
      <c r="Z73" s="325"/>
      <c r="AA73" s="351"/>
      <c r="AB73" s="325"/>
      <c r="AC73" s="647"/>
      <c r="AD73" s="325">
        <v>0</v>
      </c>
      <c r="AE73" s="2045"/>
      <c r="AF73" s="325"/>
      <c r="AG73" s="325">
        <v>0</v>
      </c>
      <c r="AH73" s="348"/>
      <c r="AI73" s="132"/>
      <c r="AJ73" s="1579">
        <f>ROUND(AD73-AG73,1)</f>
        <v>0</v>
      </c>
      <c r="AL73" s="477">
        <f>ROUND(IF(AG73=0,0,AJ73/ABS(AG73)),3)</f>
        <v>0</v>
      </c>
    </row>
    <row r="74" spans="1:39">
      <c r="A74" s="353"/>
      <c r="B74" s="525" t="s">
        <v>620</v>
      </c>
      <c r="C74" s="353"/>
      <c r="D74" s="353"/>
      <c r="E74" s="325">
        <v>0</v>
      </c>
      <c r="F74" s="325"/>
      <c r="G74" s="325">
        <v>0</v>
      </c>
      <c r="H74" s="325"/>
      <c r="I74" s="325">
        <v>0</v>
      </c>
      <c r="J74" s="325"/>
      <c r="K74" s="351">
        <v>0</v>
      </c>
      <c r="L74" s="325"/>
      <c r="M74" s="351">
        <v>-0.2</v>
      </c>
      <c r="N74" s="325"/>
      <c r="O74" s="351">
        <v>0</v>
      </c>
      <c r="P74" s="325"/>
      <c r="Q74" s="351">
        <v>0</v>
      </c>
      <c r="R74" s="325"/>
      <c r="S74" s="351">
        <f t="shared" si="9"/>
        <v>0</v>
      </c>
      <c r="T74" s="351"/>
      <c r="U74" s="351"/>
      <c r="V74" s="325"/>
      <c r="W74" s="351"/>
      <c r="X74" s="325"/>
      <c r="Y74" s="351"/>
      <c r="Z74" s="351"/>
      <c r="AA74" s="351"/>
      <c r="AB74" s="325"/>
      <c r="AC74" s="647"/>
      <c r="AD74" s="486">
        <v>-0.2</v>
      </c>
      <c r="AE74" s="2045"/>
      <c r="AF74" s="325"/>
      <c r="AG74" s="486">
        <v>-0.2</v>
      </c>
      <c r="AH74" s="325"/>
      <c r="AI74" s="133"/>
      <c r="AJ74" s="1578">
        <f>-ROUND(AD74-AG74,1)</f>
        <v>0</v>
      </c>
      <c r="AL74" s="670">
        <f>ROUND(IF(AG74=0,0,AJ74/ABS(AG74)),3)</f>
        <v>0</v>
      </c>
    </row>
    <row r="75" spans="1:39">
      <c r="A75" s="353"/>
      <c r="B75" s="353"/>
      <c r="C75" s="353"/>
      <c r="D75" s="353"/>
      <c r="E75" s="783"/>
      <c r="F75" s="325"/>
      <c r="G75" s="783"/>
      <c r="H75" s="325"/>
      <c r="I75" s="783"/>
      <c r="J75" s="325"/>
      <c r="K75" s="783"/>
      <c r="L75" s="325"/>
      <c r="M75" s="783"/>
      <c r="N75" s="325"/>
      <c r="O75" s="783"/>
      <c r="P75" s="325"/>
      <c r="Q75" s="783"/>
      <c r="R75" s="325"/>
      <c r="S75" s="783"/>
      <c r="T75" s="325"/>
      <c r="U75" s="783"/>
      <c r="V75" s="325"/>
      <c r="W75" s="785"/>
      <c r="X75" s="325"/>
      <c r="Y75" s="783"/>
      <c r="Z75" s="325"/>
      <c r="AA75" s="783"/>
      <c r="AB75" s="325"/>
      <c r="AC75" s="647"/>
      <c r="AD75" s="15"/>
      <c r="AE75" s="2045"/>
      <c r="AF75" s="647"/>
      <c r="AG75" s="15"/>
      <c r="AH75" s="15"/>
      <c r="AI75" s="133"/>
      <c r="AJ75" s="1758"/>
      <c r="AK75" s="1759"/>
      <c r="AL75" s="1760"/>
    </row>
    <row r="76" spans="1:39">
      <c r="A76" s="353"/>
      <c r="B76" s="6" t="s">
        <v>621</v>
      </c>
      <c r="C76" s="353"/>
      <c r="D76" s="353"/>
      <c r="E76" s="21">
        <f>ROUND(SUM(E73:E75),1)</f>
        <v>0</v>
      </c>
      <c r="F76" s="325"/>
      <c r="G76" s="21">
        <v>0</v>
      </c>
      <c r="H76" s="325"/>
      <c r="I76" s="21">
        <f>ROUND(SUM(I73:I75),1)</f>
        <v>0</v>
      </c>
      <c r="J76" s="325"/>
      <c r="K76" s="21">
        <f>ROUND(SUM(K73:K75),1)</f>
        <v>0</v>
      </c>
      <c r="L76" s="325"/>
      <c r="M76" s="21">
        <f>ROUND(SUM(M73:M75),1)</f>
        <v>-0.2</v>
      </c>
      <c r="N76" s="325"/>
      <c r="O76" s="21">
        <f>ROUND(SUM(O73:O75),1)</f>
        <v>0</v>
      </c>
      <c r="P76" s="325"/>
      <c r="Q76" s="21">
        <f>ROUND(SUM(Q73:Q75),1)</f>
        <v>0</v>
      </c>
      <c r="R76" s="469"/>
      <c r="S76" s="21">
        <f>ROUND(SUM(S73:S75),1)</f>
        <v>0</v>
      </c>
      <c r="T76" s="325"/>
      <c r="U76" s="21">
        <f>ROUND(SUM(U73:U75),1)</f>
        <v>0</v>
      </c>
      <c r="V76" s="325"/>
      <c r="W76" s="21">
        <f>ROUND(SUM(W73:W75),1)</f>
        <v>0</v>
      </c>
      <c r="X76" s="325"/>
      <c r="Y76" s="21">
        <f>ROUND(SUM(Y73:Y75),1)</f>
        <v>0</v>
      </c>
      <c r="Z76" s="348"/>
      <c r="AA76" s="21">
        <f>ROUND(SUM(AA73:AA75),1)</f>
        <v>0</v>
      </c>
      <c r="AB76" s="325"/>
      <c r="AC76" s="647"/>
      <c r="AD76" s="21">
        <f>ROUND(SUM(AD73:AD75),1)</f>
        <v>-0.2</v>
      </c>
      <c r="AE76" s="2045"/>
      <c r="AF76" s="647"/>
      <c r="AG76" s="21">
        <f>ROUND(SUM(AG73:AG75),1)</f>
        <v>-0.2</v>
      </c>
      <c r="AH76" s="325"/>
      <c r="AI76" s="133"/>
      <c r="AJ76" s="21">
        <f>ROUND(SUM(AD76-AG76),1)</f>
        <v>0</v>
      </c>
      <c r="AK76" s="1759"/>
      <c r="AL76" s="342">
        <f>ROUND(IF(AG76=0,0,AJ76/ABS(AG76)),3)</f>
        <v>0</v>
      </c>
    </row>
    <row r="77" spans="1:39">
      <c r="A77" s="353"/>
      <c r="B77" s="353"/>
      <c r="C77" s="353"/>
      <c r="D77" s="353"/>
      <c r="E77" s="783"/>
      <c r="F77" s="325"/>
      <c r="G77" s="783"/>
      <c r="H77" s="325"/>
      <c r="I77" s="783"/>
      <c r="J77" s="325"/>
      <c r="K77" s="783"/>
      <c r="L77" s="325"/>
      <c r="M77" s="783"/>
      <c r="N77" s="325"/>
      <c r="O77" s="783"/>
      <c r="P77" s="325"/>
      <c r="Q77" s="783"/>
      <c r="R77" s="325"/>
      <c r="S77" s="783"/>
      <c r="T77" s="325"/>
      <c r="U77" s="783"/>
      <c r="V77" s="325"/>
      <c r="W77" s="783"/>
      <c r="X77" s="325"/>
      <c r="Y77" s="783"/>
      <c r="Z77" s="325"/>
      <c r="AA77" s="783"/>
      <c r="AB77" s="325"/>
      <c r="AC77" s="647"/>
      <c r="AD77" s="783"/>
      <c r="AE77" s="2045"/>
      <c r="AF77" s="647"/>
      <c r="AG77" s="783"/>
      <c r="AH77" s="325"/>
      <c r="AI77" s="133"/>
      <c r="AJ77" s="783"/>
      <c r="AL77" s="1525"/>
    </row>
    <row r="78" spans="1:39">
      <c r="A78" s="353"/>
      <c r="B78" s="6" t="s">
        <v>609</v>
      </c>
      <c r="C78" s="353"/>
      <c r="D78" s="353"/>
      <c r="E78" s="325" t="s">
        <v>104</v>
      </c>
      <c r="F78" s="325" t="s">
        <v>104</v>
      </c>
      <c r="G78" s="325" t="s">
        <v>104</v>
      </c>
      <c r="H78" s="325"/>
      <c r="I78" s="325" t="s">
        <v>104</v>
      </c>
      <c r="J78" s="325"/>
      <c r="K78" s="325" t="s">
        <v>104</v>
      </c>
      <c r="L78" s="325"/>
      <c r="M78" s="325" t="s">
        <v>104</v>
      </c>
      <c r="N78" s="325"/>
      <c r="O78" s="325" t="s">
        <v>104</v>
      </c>
      <c r="P78" s="325"/>
      <c r="Q78" s="325" t="s">
        <v>104</v>
      </c>
      <c r="R78" s="325"/>
      <c r="S78" s="325" t="s">
        <v>104</v>
      </c>
      <c r="T78" s="325"/>
      <c r="U78" s="325" t="s">
        <v>104</v>
      </c>
      <c r="V78" s="325"/>
      <c r="W78" s="325" t="s">
        <v>104</v>
      </c>
      <c r="X78" s="325"/>
      <c r="Y78" s="325" t="s">
        <v>104</v>
      </c>
      <c r="Z78" s="325"/>
      <c r="AA78" s="325" t="s">
        <v>104</v>
      </c>
      <c r="AB78" s="325"/>
      <c r="AC78" s="647"/>
      <c r="AD78" s="325"/>
      <c r="AE78" s="2045"/>
      <c r="AF78" s="647"/>
      <c r="AG78" s="325"/>
      <c r="AH78" s="325"/>
      <c r="AI78" s="133"/>
      <c r="AJ78" s="15"/>
      <c r="AL78" s="131"/>
    </row>
    <row r="79" spans="1:39">
      <c r="A79" s="353"/>
      <c r="B79" s="6" t="s">
        <v>610</v>
      </c>
      <c r="C79" s="353"/>
      <c r="D79" s="353"/>
      <c r="E79" s="325"/>
      <c r="F79" s="325"/>
      <c r="G79" s="325" t="s">
        <v>104</v>
      </c>
      <c r="H79" s="325"/>
      <c r="I79" s="325" t="s">
        <v>104</v>
      </c>
      <c r="J79" s="325"/>
      <c r="K79" s="325" t="s">
        <v>104</v>
      </c>
      <c r="L79" s="325"/>
      <c r="M79" s="325" t="s">
        <v>104</v>
      </c>
      <c r="N79" s="325"/>
      <c r="O79" s="325" t="s">
        <v>104</v>
      </c>
      <c r="P79" s="325"/>
      <c r="Q79" s="325" t="s">
        <v>104</v>
      </c>
      <c r="R79" s="325"/>
      <c r="S79" s="325" t="s">
        <v>104</v>
      </c>
      <c r="T79" s="325"/>
      <c r="U79" s="325" t="s">
        <v>104</v>
      </c>
      <c r="V79" s="325"/>
      <c r="W79" s="325" t="s">
        <v>104</v>
      </c>
      <c r="X79" s="325"/>
      <c r="Y79" s="325" t="s">
        <v>104</v>
      </c>
      <c r="Z79" s="325"/>
      <c r="AA79" s="325" t="s">
        <v>104</v>
      </c>
      <c r="AB79" s="325"/>
      <c r="AC79" s="647"/>
      <c r="AD79" s="325"/>
      <c r="AE79" s="2045"/>
      <c r="AF79" s="647"/>
      <c r="AG79" s="325"/>
      <c r="AH79" s="325"/>
      <c r="AI79" s="133"/>
      <c r="AJ79" s="15"/>
      <c r="AL79" s="131"/>
    </row>
    <row r="80" spans="1:39">
      <c r="A80" s="353"/>
      <c r="B80" s="6" t="s">
        <v>501</v>
      </c>
      <c r="C80" s="353"/>
      <c r="D80" s="353"/>
      <c r="E80" s="434">
        <f>ROUND(E70+E76,1)</f>
        <v>14.6</v>
      </c>
      <c r="F80" s="325"/>
      <c r="G80" s="434">
        <f>ROUND(G70+G76,1)</f>
        <v>-0.3</v>
      </c>
      <c r="H80" s="325"/>
      <c r="I80" s="434">
        <f>ROUND(I70+I76,1)</f>
        <v>5.3</v>
      </c>
      <c r="J80" s="325"/>
      <c r="K80" s="434">
        <f>ROUND(K70+K76,1)</f>
        <v>0.2</v>
      </c>
      <c r="L80" s="325"/>
      <c r="M80" s="434">
        <f>ROUND(M70+M76,1)</f>
        <v>-74.099999999999994</v>
      </c>
      <c r="N80" s="325"/>
      <c r="O80" s="434">
        <f>ROUND(O70+O76,1)</f>
        <v>6.3</v>
      </c>
      <c r="P80" s="325"/>
      <c r="Q80" s="434">
        <f>ROUND(Q70+Q76,1)</f>
        <v>-56.2</v>
      </c>
      <c r="R80" s="325"/>
      <c r="S80" s="434">
        <f>ROUND(S70+S76,1)</f>
        <v>44.2</v>
      </c>
      <c r="T80" s="325"/>
      <c r="U80" s="434">
        <f>ROUND(U70+U76,1)</f>
        <v>0</v>
      </c>
      <c r="V80" s="325"/>
      <c r="W80" s="434">
        <f>ROUND(W70+W76,1)</f>
        <v>0</v>
      </c>
      <c r="X80" s="325"/>
      <c r="Y80" s="434">
        <f>ROUND(Y70+Y76,1)</f>
        <v>0</v>
      </c>
      <c r="Z80" s="325"/>
      <c r="AA80" s="434">
        <f>ROUND(AA70+AA76,1)</f>
        <v>0</v>
      </c>
      <c r="AB80" s="325"/>
      <c r="AC80" s="648"/>
      <c r="AD80" s="434">
        <f>ROUND(AD70+AD76,1)</f>
        <v>-60</v>
      </c>
      <c r="AE80" s="2061"/>
      <c r="AF80" s="1165"/>
      <c r="AG80" s="434">
        <f>ROUND(AG70+AG76,1)</f>
        <v>297.10000000000002</v>
      </c>
      <c r="AH80" s="776"/>
      <c r="AI80" s="1761"/>
      <c r="AJ80" s="434">
        <f>ROUND(AD80-AG80,1)</f>
        <v>-357.1</v>
      </c>
      <c r="AK80" s="16"/>
      <c r="AL80" s="667">
        <f>ROUND(SUM(AD80-AG80)/ABS(AG80),3)</f>
        <v>-1.202</v>
      </c>
      <c r="AM80" s="474"/>
    </row>
    <row r="81" spans="1:39">
      <c r="A81" s="353"/>
      <c r="B81" s="6"/>
      <c r="C81" s="353"/>
      <c r="D81" s="353"/>
      <c r="E81" s="26"/>
      <c r="F81" s="325"/>
      <c r="G81" s="26"/>
      <c r="H81" s="325"/>
      <c r="I81" s="26"/>
      <c r="J81" s="325"/>
      <c r="K81" s="26"/>
      <c r="L81" s="325"/>
      <c r="M81" s="26"/>
      <c r="N81" s="325"/>
      <c r="O81" s="26"/>
      <c r="P81" s="325"/>
      <c r="Q81" s="26"/>
      <c r="R81" s="325"/>
      <c r="S81" s="26"/>
      <c r="T81" s="325"/>
      <c r="U81" s="26"/>
      <c r="V81" s="325"/>
      <c r="W81" s="26"/>
      <c r="X81" s="325"/>
      <c r="Y81" s="26"/>
      <c r="Z81" s="325"/>
      <c r="AA81" s="26"/>
      <c r="AB81" s="325"/>
      <c r="AC81" s="648"/>
      <c r="AD81" s="26"/>
      <c r="AE81" s="1762"/>
      <c r="AF81" s="1763"/>
      <c r="AG81" s="26"/>
      <c r="AH81" s="1762"/>
      <c r="AI81" s="1764"/>
      <c r="AJ81" s="26"/>
      <c r="AK81" s="6"/>
      <c r="AL81" s="672"/>
      <c r="AM81" s="474"/>
    </row>
    <row r="82" spans="1:39" ht="16" thickBot="1">
      <c r="A82" s="353"/>
      <c r="B82" s="6" t="s">
        <v>564</v>
      </c>
      <c r="C82" s="353"/>
      <c r="D82" s="353"/>
      <c r="E82" s="102">
        <f>ROUND(SUM(E14+E80),1)</f>
        <v>-465.2</v>
      </c>
      <c r="F82" s="325"/>
      <c r="G82" s="102">
        <f>ROUND(SUM(G14+G80),1)</f>
        <v>-465.5</v>
      </c>
      <c r="H82" s="325"/>
      <c r="I82" s="102">
        <f>ROUND(SUM(I14+I80),1)</f>
        <v>-460.2</v>
      </c>
      <c r="J82" s="325"/>
      <c r="K82" s="102">
        <f>ROUND(SUM(K14+K80),1)</f>
        <v>-460</v>
      </c>
      <c r="L82" s="325"/>
      <c r="M82" s="102">
        <f>ROUND(SUM(M14+M80),1)</f>
        <v>-534.1</v>
      </c>
      <c r="N82" s="325"/>
      <c r="O82" s="102">
        <f>ROUND(SUM(O14+O80),1)</f>
        <v>-527.79999999999995</v>
      </c>
      <c r="P82" s="325"/>
      <c r="Q82" s="102">
        <f>ROUND(SUM(Q14+Q80),1)</f>
        <v>-584</v>
      </c>
      <c r="R82" s="325"/>
      <c r="S82" s="102">
        <f>ROUND(SUM(S14+S80),1)</f>
        <v>-539.79999999999995</v>
      </c>
      <c r="T82" s="325"/>
      <c r="U82" s="102">
        <f>ROUND(SUM(U14+U80),1)</f>
        <v>0</v>
      </c>
      <c r="V82" s="325"/>
      <c r="W82" s="102">
        <f>ROUND(SUM(W14+W80),1)</f>
        <v>0</v>
      </c>
      <c r="X82" s="325"/>
      <c r="Y82" s="102">
        <f>ROUND(SUM(Y14+Y80),1)</f>
        <v>0</v>
      </c>
      <c r="Z82" s="325"/>
      <c r="AA82" s="102">
        <f>ROUND(SUM(AA14+AA80),1)</f>
        <v>0</v>
      </c>
      <c r="AB82" s="325"/>
      <c r="AC82" s="648"/>
      <c r="AD82" s="102">
        <f>ROUND(SUM(AD14+AD80),1)</f>
        <v>-539.79999999999995</v>
      </c>
      <c r="AE82" s="1762"/>
      <c r="AF82" s="1763"/>
      <c r="AG82" s="102">
        <f>ROUND(SUM(AG14+AG80),1)</f>
        <v>-490</v>
      </c>
      <c r="AH82" s="1762"/>
      <c r="AI82" s="1764"/>
      <c r="AJ82" s="102">
        <f>ROUND(SUM(AJ14+AJ80),1)</f>
        <v>-49.8</v>
      </c>
      <c r="AK82" s="6"/>
      <c r="AL82" s="1373">
        <f>ROUND(SUM(AD82-AG82)/ABS(AG82),3)</f>
        <v>-0.10199999999999999</v>
      </c>
      <c r="AM82" s="474"/>
    </row>
    <row r="83" spans="1:39" ht="16" thickTop="1">
      <c r="A83" s="353"/>
      <c r="B83" s="353"/>
      <c r="C83" s="353"/>
      <c r="D83" s="353"/>
      <c r="E83" s="329"/>
      <c r="F83" s="329"/>
      <c r="G83" s="329"/>
      <c r="H83" s="329"/>
      <c r="I83" s="329"/>
      <c r="J83" s="329"/>
      <c r="K83" s="329"/>
      <c r="L83" s="329"/>
      <c r="M83" s="329"/>
      <c r="N83" s="329"/>
      <c r="O83" s="329"/>
      <c r="P83" s="329"/>
      <c r="Q83" s="329"/>
      <c r="R83" s="329"/>
      <c r="S83" s="329"/>
      <c r="T83" s="329"/>
      <c r="U83" s="329"/>
      <c r="V83" s="329"/>
      <c r="W83" s="329"/>
      <c r="X83" s="329"/>
      <c r="Y83" s="329"/>
      <c r="Z83" s="329"/>
      <c r="AA83" s="329"/>
      <c r="AB83" s="329"/>
      <c r="AC83" s="329"/>
      <c r="AD83" s="329"/>
      <c r="AE83" s="329"/>
      <c r="AF83" s="329"/>
      <c r="AG83" s="329"/>
      <c r="AH83" s="329"/>
      <c r="AI83" s="51"/>
      <c r="AL83" s="1765"/>
    </row>
    <row r="84" spans="1:39">
      <c r="A84" s="353"/>
      <c r="B84" s="1276"/>
      <c r="C84" s="353"/>
      <c r="D84" s="353"/>
      <c r="E84" s="353"/>
      <c r="F84" s="353"/>
      <c r="G84" s="353"/>
      <c r="H84" s="353"/>
      <c r="I84" s="353"/>
      <c r="J84" s="353"/>
      <c r="K84" s="353"/>
      <c r="L84" s="353"/>
      <c r="M84" s="353"/>
      <c r="N84" s="353"/>
      <c r="O84" s="353"/>
      <c r="P84" s="353"/>
      <c r="Q84" s="353"/>
      <c r="R84" s="353"/>
      <c r="S84" s="513" t="s">
        <v>104</v>
      </c>
      <c r="T84" s="353"/>
      <c r="U84" s="513" t="s">
        <v>104</v>
      </c>
      <c r="V84" s="353"/>
      <c r="W84" s="353"/>
      <c r="X84" s="353"/>
      <c r="Y84" s="353"/>
      <c r="Z84" s="353"/>
      <c r="AA84" s="353"/>
      <c r="AB84" s="353"/>
      <c r="AC84" s="353"/>
      <c r="AD84" s="353"/>
      <c r="AE84" s="353"/>
      <c r="AF84" s="353"/>
      <c r="AG84" s="353"/>
      <c r="AH84" s="353"/>
      <c r="AI84" s="353"/>
      <c r="AL84" s="131"/>
    </row>
    <row r="85" spans="1:39">
      <c r="B85" s="353"/>
      <c r="Y85" s="1206" t="s">
        <v>104</v>
      </c>
      <c r="AJ85" s="29" t="s">
        <v>104</v>
      </c>
      <c r="AL85" s="131"/>
    </row>
    <row r="90" spans="1:39">
      <c r="AD90" s="15"/>
    </row>
  </sheetData>
  <mergeCells count="1">
    <mergeCell ref="AD10:AL10"/>
  </mergeCells>
  <pageMargins left="0.25" right="0.25" top="0.5" bottom="0.25" header="0" footer="0.25"/>
  <pageSetup scale="43" firstPageNumber="33" orientation="landscape" useFirstPageNumber="1" r:id="rId1"/>
  <headerFooter scaleWithDoc="0" alignWithMargins="0">
    <oddFooter>&amp;C&amp;8&amp;P</oddFooter>
  </headerFooter>
  <customProperties>
    <customPr name="SheetOptions" r:id="rId2"/>
  </customProperties>
  <ignoredErrors>
    <ignoredError sqref="AL21:AL28 AL39:AL40 AL35:AL37 AL42 AL30:AL33 AL29 AL34 AL43:AL50 AL68:AL84 AL38 AL41" unlockedFormula="1"/>
    <ignoredError sqref="AL55:AL56 AL58:AL61 AL66:AL67 AL51 AL62:AL65 AL57 AL52:AL54" formula="1" unlockedFormula="1"/>
  </ignoredError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4">
    <pageSetUpPr fitToPage="1"/>
  </sheetPr>
  <dimension ref="A1:AL57"/>
  <sheetViews>
    <sheetView showGridLines="0" topLeftCell="A3" zoomScale="80" zoomScaleNormal="80" workbookViewId="0"/>
  </sheetViews>
  <sheetFormatPr defaultColWidth="8.84375" defaultRowHeight="16.5" customHeight="1"/>
  <cols>
    <col min="1" max="1" width="45.07421875" style="30" customWidth="1"/>
    <col min="2" max="2" width="1.84375" style="30" customWidth="1"/>
    <col min="3" max="3" width="9.84375" style="30" customWidth="1"/>
    <col min="4" max="4" width="1.84375" style="30" customWidth="1"/>
    <col min="5" max="5" width="11.07421875" style="30" customWidth="1"/>
    <col min="6" max="6" width="1.84375" style="30" customWidth="1"/>
    <col min="7" max="7" width="11.53515625" style="30" customWidth="1"/>
    <col min="8" max="8" width="1.84375" style="30" customWidth="1"/>
    <col min="9" max="9" width="11.84375" style="30" bestFit="1" customWidth="1"/>
    <col min="10" max="10" width="1.53515625" style="30" customWidth="1"/>
    <col min="11" max="11" width="11.53515625" style="30" bestFit="1" customWidth="1"/>
    <col min="12" max="12" width="1.53515625" style="30" customWidth="1"/>
    <col min="13" max="13" width="13.07421875" style="30" customWidth="1"/>
    <col min="14" max="14" width="1.84375" style="30" customWidth="1"/>
    <col min="15" max="15" width="11.84375" style="30" customWidth="1"/>
    <col min="16" max="16" width="1.84375" style="30" customWidth="1"/>
    <col min="17" max="17" width="11.84375" style="30" customWidth="1"/>
    <col min="18" max="18" width="1.84375" style="30" customWidth="1"/>
    <col min="19" max="19" width="12.4609375" style="30" customWidth="1"/>
    <col min="20" max="20" width="1.84375" style="30" customWidth="1"/>
    <col min="21" max="21" width="11.84375" style="30" customWidth="1"/>
    <col min="22" max="22" width="1.84375" style="30" customWidth="1"/>
    <col min="23" max="23" width="12" style="30" customWidth="1"/>
    <col min="24" max="24" width="1.84375" style="30" customWidth="1"/>
    <col min="25" max="25" width="11.84375" style="30" customWidth="1"/>
    <col min="26" max="27" width="1.84375" style="30" customWidth="1"/>
    <col min="28" max="28" width="11.53515625" style="30" customWidth="1"/>
    <col min="29" max="30" width="1.84375" style="30" customWidth="1"/>
    <col min="31" max="31" width="12.4609375" style="30" customWidth="1"/>
    <col min="32" max="32" width="1.84375" style="153" customWidth="1"/>
    <col min="33" max="33" width="2.4609375" style="538" customWidth="1"/>
    <col min="34" max="34" width="12.4609375" style="538" customWidth="1"/>
    <col min="35" max="35" width="1.84375" style="538" customWidth="1"/>
    <col min="36" max="36" width="14.07421875" style="538" bestFit="1" customWidth="1"/>
    <col min="37" max="16384" width="8.84375" style="30"/>
  </cols>
  <sheetData>
    <row r="1" spans="1:38" ht="16.5" customHeight="1">
      <c r="A1" s="326" t="s">
        <v>98</v>
      </c>
      <c r="AG1" s="45"/>
      <c r="AH1" s="45"/>
      <c r="AI1" s="45"/>
      <c r="AJ1" s="45"/>
    </row>
    <row r="2" spans="1:38" ht="16.5" customHeight="1">
      <c r="A2" s="79"/>
      <c r="B2" s="79"/>
      <c r="C2" s="79"/>
      <c r="D2" s="79"/>
      <c r="E2" s="79"/>
      <c r="F2" s="79"/>
      <c r="G2" s="79"/>
      <c r="H2" s="79"/>
      <c r="I2" s="79"/>
      <c r="J2" s="79"/>
      <c r="K2" s="79"/>
      <c r="L2" s="79"/>
      <c r="M2" s="79"/>
      <c r="N2" s="79"/>
      <c r="O2" s="79"/>
      <c r="P2" s="79"/>
      <c r="Q2" s="79"/>
      <c r="R2" s="79"/>
      <c r="S2" s="79"/>
      <c r="T2" s="79"/>
      <c r="U2" s="79"/>
      <c r="V2" s="79"/>
      <c r="W2" s="79"/>
      <c r="X2" s="79"/>
      <c r="Y2" s="79"/>
      <c r="Z2" s="79"/>
      <c r="AA2" s="79"/>
      <c r="AB2" s="79"/>
      <c r="AC2" s="79"/>
      <c r="AD2" s="79"/>
      <c r="AE2" s="79"/>
      <c r="AG2" s="45"/>
      <c r="AH2" s="45"/>
      <c r="AI2" s="45"/>
      <c r="AJ2" s="45"/>
    </row>
    <row r="3" spans="1:38" ht="20.25" customHeight="1">
      <c r="A3" s="1228" t="s">
        <v>99</v>
      </c>
      <c r="B3" s="75"/>
      <c r="C3" s="75"/>
      <c r="D3" s="75"/>
      <c r="E3" s="75"/>
      <c r="F3" s="75"/>
      <c r="G3" s="75"/>
      <c r="H3" s="75"/>
      <c r="I3" s="75"/>
      <c r="J3" s="75"/>
      <c r="K3" s="75"/>
      <c r="L3" s="75"/>
      <c r="M3" s="75"/>
      <c r="N3" s="75"/>
      <c r="O3" s="75"/>
      <c r="P3" s="75"/>
      <c r="Q3" s="75"/>
      <c r="R3" s="75"/>
      <c r="S3" s="75"/>
      <c r="T3" s="75"/>
      <c r="U3" s="75"/>
      <c r="V3" s="75"/>
      <c r="W3" s="75"/>
      <c r="X3" s="75"/>
      <c r="Y3" s="75"/>
      <c r="Z3" s="75"/>
      <c r="AA3" s="75"/>
      <c r="AB3" s="75"/>
      <c r="AC3" s="75"/>
      <c r="AD3" s="75"/>
      <c r="AE3" s="75"/>
      <c r="AF3" s="353"/>
      <c r="AG3" s="45"/>
      <c r="AH3" s="45"/>
      <c r="AI3" s="45"/>
      <c r="AJ3" s="539" t="s">
        <v>622</v>
      </c>
      <c r="AK3" s="77"/>
      <c r="AL3" s="77"/>
    </row>
    <row r="4" spans="1:38" ht="20.25" customHeight="1">
      <c r="A4" s="1228" t="s">
        <v>623</v>
      </c>
      <c r="B4" s="75"/>
      <c r="C4" s="75"/>
      <c r="D4" s="75"/>
      <c r="E4" s="75"/>
      <c r="F4" s="75"/>
      <c r="G4" s="75"/>
      <c r="H4" s="75"/>
      <c r="I4" s="75" t="s">
        <v>104</v>
      </c>
      <c r="J4" s="75"/>
      <c r="K4" s="75"/>
      <c r="L4" s="75"/>
      <c r="M4" s="75"/>
      <c r="N4" s="75"/>
      <c r="O4" s="75"/>
      <c r="P4" s="75"/>
      <c r="Q4" s="75"/>
      <c r="R4" s="75"/>
      <c r="S4" s="75"/>
      <c r="T4" s="75"/>
      <c r="U4" s="75"/>
      <c r="V4" s="75"/>
      <c r="W4" s="75"/>
      <c r="X4" s="75"/>
      <c r="Y4" s="75" t="s">
        <v>104</v>
      </c>
      <c r="Z4" s="75"/>
      <c r="AA4" s="75"/>
      <c r="AB4" s="75"/>
      <c r="AC4" s="75"/>
      <c r="AD4" s="75"/>
      <c r="AE4" s="75"/>
      <c r="AF4" s="353"/>
      <c r="AG4" s="45"/>
      <c r="AH4" s="45"/>
      <c r="AI4" s="45"/>
      <c r="AJ4" s="45"/>
      <c r="AK4" s="77"/>
      <c r="AL4" s="77"/>
    </row>
    <row r="5" spans="1:38" ht="20.25" customHeight="1">
      <c r="A5" s="1229" t="s">
        <v>356</v>
      </c>
      <c r="B5" s="75"/>
      <c r="C5" s="75"/>
      <c r="D5" s="75"/>
      <c r="E5" s="75"/>
      <c r="F5" s="75"/>
      <c r="G5" s="75"/>
      <c r="H5" s="75"/>
      <c r="I5" s="75"/>
      <c r="J5" s="75"/>
      <c r="K5" s="75"/>
      <c r="L5" s="75"/>
      <c r="M5" s="75"/>
      <c r="N5" s="75"/>
      <c r="O5" s="75"/>
      <c r="P5" s="75"/>
      <c r="Q5" s="75"/>
      <c r="R5" s="75"/>
      <c r="S5" s="75"/>
      <c r="T5" s="75"/>
      <c r="U5" s="75"/>
      <c r="V5" s="75"/>
      <c r="W5" s="75"/>
      <c r="X5" s="75"/>
      <c r="Y5" s="75"/>
      <c r="Z5" s="75"/>
      <c r="AA5" s="75"/>
      <c r="AF5" s="435"/>
      <c r="AG5" s="45"/>
      <c r="AH5" s="45"/>
      <c r="AI5" s="45"/>
      <c r="AJ5" s="45"/>
      <c r="AK5" s="76"/>
      <c r="AL5" s="76"/>
    </row>
    <row r="6" spans="1:38" ht="20.25" customHeight="1">
      <c r="A6" s="1229" t="str">
        <f>'Cashflow Governmental'!A6</f>
        <v>FISCAL YEAR 2023-2024</v>
      </c>
      <c r="B6" s="75"/>
      <c r="C6" s="75"/>
      <c r="D6" s="75"/>
      <c r="E6" s="75"/>
      <c r="F6" s="75"/>
      <c r="G6" s="75"/>
      <c r="H6" s="75"/>
      <c r="I6" s="75"/>
      <c r="J6" s="75"/>
      <c r="K6" s="75"/>
      <c r="L6" s="75"/>
      <c r="M6" s="75"/>
      <c r="N6" s="75"/>
      <c r="O6" s="75"/>
      <c r="P6" s="75"/>
      <c r="Q6" s="75"/>
      <c r="R6" s="75"/>
      <c r="S6" s="75"/>
      <c r="T6" s="75"/>
      <c r="U6" s="75"/>
      <c r="V6" s="75"/>
      <c r="W6" s="75"/>
      <c r="X6" s="75"/>
      <c r="Y6" s="75"/>
      <c r="Z6" s="75"/>
      <c r="AA6" s="75"/>
      <c r="AB6" s="75"/>
      <c r="AC6" s="75"/>
      <c r="AD6" s="75"/>
      <c r="AE6" s="75"/>
      <c r="AF6" s="353"/>
      <c r="AG6" s="45"/>
      <c r="AH6" s="45"/>
      <c r="AI6" s="45"/>
      <c r="AJ6" s="45"/>
      <c r="AK6" s="77"/>
      <c r="AL6" s="77"/>
    </row>
    <row r="7" spans="1:38" ht="20.25" customHeight="1">
      <c r="A7" s="1228" t="s">
        <v>103</v>
      </c>
      <c r="B7" s="75"/>
      <c r="C7" s="75"/>
      <c r="D7" s="75"/>
      <c r="E7" s="75"/>
      <c r="F7" s="75"/>
      <c r="G7" s="75"/>
      <c r="H7" s="75"/>
      <c r="I7" s="75"/>
      <c r="J7" s="75"/>
      <c r="K7" s="75"/>
      <c r="L7" s="75"/>
      <c r="M7" s="75"/>
      <c r="N7" s="75"/>
      <c r="O7" s="75"/>
      <c r="P7" s="75"/>
      <c r="Q7" s="75"/>
      <c r="R7" s="75"/>
      <c r="S7" s="75"/>
      <c r="T7" s="75"/>
      <c r="U7" s="75"/>
      <c r="V7" s="75"/>
      <c r="W7" s="75"/>
      <c r="X7" s="75"/>
      <c r="Y7" s="75"/>
      <c r="Z7" s="75"/>
      <c r="AA7" s="75"/>
      <c r="AB7" s="75"/>
      <c r="AC7" s="75"/>
      <c r="AD7" s="75"/>
      <c r="AE7" s="75"/>
      <c r="AF7" s="353"/>
      <c r="AG7" s="45"/>
      <c r="AH7" s="45"/>
      <c r="AI7" s="45"/>
      <c r="AJ7" s="45"/>
      <c r="AK7" s="77"/>
      <c r="AL7" s="77"/>
    </row>
    <row r="8" spans="1:38" ht="16.5" customHeight="1">
      <c r="A8" s="79"/>
      <c r="B8" s="79"/>
      <c r="C8" s="79"/>
      <c r="D8" s="79"/>
      <c r="E8" s="79"/>
      <c r="F8" s="79"/>
      <c r="G8" s="79"/>
      <c r="H8" s="79"/>
      <c r="I8" s="79"/>
      <c r="J8" s="79"/>
      <c r="K8" s="79"/>
      <c r="L8" s="79"/>
      <c r="M8" s="79"/>
      <c r="N8" s="79"/>
      <c r="O8" s="79"/>
      <c r="P8" s="79"/>
      <c r="Q8" s="79"/>
      <c r="R8" s="79"/>
      <c r="S8" s="79"/>
      <c r="T8" s="79"/>
      <c r="U8" s="79"/>
      <c r="V8" s="79"/>
      <c r="W8" s="79"/>
      <c r="X8" s="79"/>
      <c r="Y8" s="79"/>
      <c r="Z8" s="79"/>
      <c r="AA8" s="79"/>
      <c r="AB8" s="79"/>
      <c r="AC8" s="79"/>
      <c r="AD8" s="79"/>
      <c r="AE8" s="79"/>
      <c r="AF8" s="353"/>
      <c r="AG8" s="45"/>
      <c r="AH8" s="45"/>
      <c r="AI8" s="45"/>
      <c r="AJ8" s="45"/>
    </row>
    <row r="9" spans="1:38" ht="16.5" customHeight="1">
      <c r="A9" s="79"/>
      <c r="B9" s="79"/>
      <c r="C9" s="79"/>
      <c r="D9" s="79"/>
      <c r="E9" s="79"/>
      <c r="F9" s="79"/>
      <c r="G9" s="79"/>
      <c r="H9" s="79"/>
      <c r="I9" s="79"/>
      <c r="J9" s="79"/>
      <c r="K9" s="79"/>
      <c r="L9" s="79"/>
      <c r="M9" s="79"/>
      <c r="N9" s="79"/>
      <c r="O9" s="79"/>
      <c r="P9" s="79"/>
      <c r="Q9" s="79"/>
      <c r="R9" s="79"/>
      <c r="S9" s="79"/>
      <c r="T9" s="79"/>
      <c r="U9" s="79"/>
      <c r="V9" s="79"/>
      <c r="W9" s="79"/>
      <c r="X9" s="79"/>
      <c r="Y9" s="79"/>
      <c r="Z9" s="79"/>
      <c r="AA9" s="79"/>
      <c r="AB9" s="79"/>
      <c r="AC9" s="79"/>
      <c r="AD9" s="79"/>
      <c r="AE9" s="79"/>
      <c r="AF9" s="71"/>
      <c r="AG9" s="94"/>
      <c r="AH9" s="45"/>
      <c r="AI9" s="45"/>
      <c r="AJ9" s="45"/>
    </row>
    <row r="10" spans="1:38" ht="16.5" customHeight="1">
      <c r="A10" s="79"/>
      <c r="B10" s="79"/>
      <c r="C10" s="79"/>
      <c r="D10" s="79"/>
      <c r="E10" s="79"/>
      <c r="F10" s="79"/>
      <c r="G10" s="79"/>
      <c r="H10" s="79"/>
      <c r="I10" s="79"/>
      <c r="J10" s="79"/>
      <c r="K10" s="79"/>
      <c r="L10" s="79"/>
      <c r="M10" s="79"/>
      <c r="N10" s="79"/>
      <c r="O10" s="79"/>
      <c r="P10" s="79"/>
      <c r="Q10" s="79"/>
      <c r="R10" s="79"/>
      <c r="S10" s="79"/>
      <c r="T10" s="79"/>
      <c r="U10" s="79"/>
      <c r="V10" s="79"/>
      <c r="W10" s="79"/>
      <c r="X10" s="79"/>
      <c r="Y10" s="79"/>
      <c r="Z10" s="79"/>
      <c r="AA10" s="79"/>
      <c r="AB10" s="79"/>
      <c r="AC10" s="79"/>
      <c r="AD10" s="79"/>
      <c r="AE10" s="79"/>
      <c r="AF10" s="30"/>
      <c r="AG10" s="456"/>
      <c r="AH10" s="45"/>
      <c r="AI10" s="45"/>
      <c r="AJ10" s="45"/>
    </row>
    <row r="11" spans="1:38" ht="16.5" customHeight="1">
      <c r="A11" s="79"/>
      <c r="B11" s="79"/>
      <c r="C11" s="79"/>
      <c r="D11" s="79"/>
      <c r="E11" s="79"/>
      <c r="F11" s="79"/>
      <c r="G11" s="79"/>
      <c r="H11" s="79"/>
      <c r="I11" s="79"/>
      <c r="J11" s="79"/>
      <c r="K11" s="79"/>
      <c r="L11" s="79"/>
      <c r="M11" s="79"/>
      <c r="N11" s="79"/>
      <c r="O11" s="79"/>
      <c r="P11" s="79"/>
      <c r="Q11" s="79"/>
      <c r="R11" s="79"/>
      <c r="S11" s="79"/>
      <c r="T11" s="79"/>
      <c r="U11" s="79"/>
      <c r="V11" s="79"/>
      <c r="W11" s="79"/>
      <c r="X11" s="79"/>
      <c r="Y11" s="79"/>
      <c r="Z11" s="79"/>
      <c r="AA11" s="79"/>
      <c r="AC11" s="79"/>
      <c r="AD11" s="79"/>
      <c r="AE11" s="79"/>
      <c r="AF11" s="668"/>
      <c r="AG11" s="97"/>
      <c r="AH11" s="94"/>
      <c r="AI11" s="94"/>
      <c r="AJ11" s="94"/>
    </row>
    <row r="12" spans="1:38" ht="16.5" customHeight="1">
      <c r="A12" s="75"/>
      <c r="B12" s="75"/>
      <c r="C12" s="83" t="s">
        <v>104</v>
      </c>
      <c r="D12" s="83" t="s">
        <v>104</v>
      </c>
      <c r="E12" s="83"/>
      <c r="F12" s="83"/>
      <c r="G12" s="83"/>
      <c r="H12" s="83"/>
      <c r="I12" s="83"/>
      <c r="J12" s="83"/>
      <c r="K12" s="83"/>
      <c r="L12" s="83"/>
      <c r="M12" s="83"/>
      <c r="N12" s="83"/>
      <c r="O12" s="83"/>
      <c r="P12" s="83"/>
      <c r="Q12" s="83"/>
      <c r="R12" s="83"/>
      <c r="S12" s="83"/>
      <c r="T12" s="83"/>
      <c r="U12" s="83"/>
      <c r="V12" s="83"/>
      <c r="W12" s="83"/>
      <c r="X12" s="83"/>
      <c r="Y12" s="395"/>
      <c r="Z12" s="395"/>
      <c r="AA12" s="83"/>
      <c r="AB12" s="2235" t="s">
        <v>1590</v>
      </c>
      <c r="AC12" s="2236"/>
      <c r="AD12" s="2236"/>
      <c r="AE12" s="2236"/>
      <c r="AF12" s="2236"/>
      <c r="AG12" s="2236"/>
      <c r="AH12" s="2236"/>
      <c r="AI12" s="2236"/>
      <c r="AJ12" s="2236"/>
    </row>
    <row r="13" spans="1:38" ht="16.5" customHeight="1">
      <c r="A13" s="75"/>
      <c r="B13" s="75"/>
      <c r="C13" s="475" t="str">
        <f>'Cashflow Governmental'!C13</f>
        <v>2023</v>
      </c>
      <c r="D13" s="83"/>
      <c r="E13" s="83"/>
      <c r="F13" s="83"/>
      <c r="G13" s="83"/>
      <c r="H13" s="83"/>
      <c r="I13" s="83"/>
      <c r="J13" s="83"/>
      <c r="K13" s="83"/>
      <c r="L13" s="83"/>
      <c r="M13" s="83"/>
      <c r="N13" s="83"/>
      <c r="O13" s="83"/>
      <c r="P13" s="83"/>
      <c r="Q13" s="83"/>
      <c r="R13" s="83"/>
      <c r="S13" s="83"/>
      <c r="T13" s="83"/>
      <c r="U13" s="475">
        <f>'Cashflow Governmental'!U13</f>
        <v>2024</v>
      </c>
      <c r="V13" s="83"/>
      <c r="W13" s="83"/>
      <c r="X13" s="83"/>
      <c r="Y13" s="83"/>
      <c r="Z13" s="83"/>
      <c r="AA13" s="83"/>
      <c r="AB13" s="238"/>
      <c r="AC13" s="83"/>
      <c r="AD13" s="83"/>
      <c r="AE13" s="83"/>
      <c r="AF13" s="1166"/>
      <c r="AG13" s="1580"/>
      <c r="AH13" s="1581" t="s">
        <v>111</v>
      </c>
      <c r="AI13" s="1581"/>
      <c r="AJ13" s="1582" t="s">
        <v>112</v>
      </c>
    </row>
    <row r="14" spans="1:38" ht="16.5" customHeight="1">
      <c r="A14" s="75"/>
      <c r="B14" s="75"/>
      <c r="C14" s="396" t="s">
        <v>358</v>
      </c>
      <c r="D14" s="83"/>
      <c r="E14" s="396" t="s">
        <v>359</v>
      </c>
      <c r="F14" s="83"/>
      <c r="G14" s="396" t="s">
        <v>360</v>
      </c>
      <c r="H14" s="83"/>
      <c r="I14" s="396" t="s">
        <v>361</v>
      </c>
      <c r="J14" s="83"/>
      <c r="K14" s="396" t="s">
        <v>362</v>
      </c>
      <c r="L14" s="83"/>
      <c r="M14" s="396" t="s">
        <v>475</v>
      </c>
      <c r="N14" s="83"/>
      <c r="O14" s="396" t="s">
        <v>476</v>
      </c>
      <c r="P14" s="83"/>
      <c r="Q14" s="396" t="s">
        <v>365</v>
      </c>
      <c r="R14" s="83"/>
      <c r="S14" s="396" t="s">
        <v>366</v>
      </c>
      <c r="T14" s="83"/>
      <c r="U14" s="396" t="s">
        <v>367</v>
      </c>
      <c r="V14" s="83"/>
      <c r="W14" s="396" t="s">
        <v>368</v>
      </c>
      <c r="X14" s="83"/>
      <c r="Y14" s="396" t="s">
        <v>477</v>
      </c>
      <c r="Z14" s="83"/>
      <c r="AA14" s="83"/>
      <c r="AB14" s="475">
        <f>'Cashflow Governmental'!AB14</f>
        <v>2023</v>
      </c>
      <c r="AC14" s="83" t="s">
        <v>104</v>
      </c>
      <c r="AD14" s="83"/>
      <c r="AE14" s="475">
        <f>'Cashflow Governmental'!AE14</f>
        <v>2022</v>
      </c>
      <c r="AF14" s="45"/>
      <c r="AG14" s="443"/>
      <c r="AH14" s="1583" t="s">
        <v>113</v>
      </c>
      <c r="AI14" s="1581"/>
      <c r="AJ14" s="1583" t="s">
        <v>114</v>
      </c>
    </row>
    <row r="15" spans="1:38" ht="4.5" customHeight="1">
      <c r="A15" s="75"/>
      <c r="B15" s="75"/>
      <c r="C15" s="1584"/>
      <c r="D15" s="75"/>
      <c r="E15" s="1584"/>
      <c r="F15" s="75"/>
      <c r="G15" s="1584"/>
      <c r="H15" s="75"/>
      <c r="I15" s="1584"/>
      <c r="J15" s="75"/>
      <c r="K15" s="1584"/>
      <c r="L15" s="75"/>
      <c r="M15" s="1584"/>
      <c r="N15" s="75"/>
      <c r="O15" s="1584"/>
      <c r="P15" s="75"/>
      <c r="Q15" s="1584"/>
      <c r="R15" s="75"/>
      <c r="S15" s="1584"/>
      <c r="T15" s="75"/>
      <c r="U15" s="1584"/>
      <c r="V15" s="75"/>
      <c r="W15" s="1584"/>
      <c r="X15" s="75"/>
      <c r="Y15" s="1584"/>
      <c r="Z15" s="75"/>
      <c r="AA15" s="75"/>
      <c r="AB15" s="1584"/>
      <c r="AC15" s="75"/>
      <c r="AD15" s="75"/>
      <c r="AE15" s="1584"/>
      <c r="AF15" s="45"/>
      <c r="AG15" s="443"/>
      <c r="AH15" s="45"/>
      <c r="AI15" s="45"/>
      <c r="AJ15" s="45"/>
    </row>
    <row r="16" spans="1:38" ht="16.5" customHeight="1">
      <c r="A16" s="80" t="s">
        <v>370</v>
      </c>
      <c r="B16" s="75"/>
      <c r="C16" s="147">
        <v>510.4</v>
      </c>
      <c r="D16" s="81"/>
      <c r="E16" s="81">
        <f>C51</f>
        <v>390.4</v>
      </c>
      <c r="F16" s="81"/>
      <c r="G16" s="81">
        <f t="shared" ref="G16:Q16" si="0">E51</f>
        <v>534.20000000000005</v>
      </c>
      <c r="H16" s="140"/>
      <c r="I16" s="81">
        <f t="shared" si="0"/>
        <v>515.5</v>
      </c>
      <c r="J16" s="81"/>
      <c r="K16" s="81">
        <f t="shared" si="0"/>
        <v>612.1</v>
      </c>
      <c r="L16" s="140"/>
      <c r="M16" s="81">
        <f t="shared" si="0"/>
        <v>677.7</v>
      </c>
      <c r="N16" s="140"/>
      <c r="O16" s="81">
        <f t="shared" si="0"/>
        <v>512.4</v>
      </c>
      <c r="P16" s="140"/>
      <c r="Q16" s="81">
        <f t="shared" si="0"/>
        <v>655</v>
      </c>
      <c r="R16" s="81"/>
      <c r="S16" s="81"/>
      <c r="T16" s="81"/>
      <c r="U16" s="81"/>
      <c r="V16" s="81"/>
      <c r="W16" s="81"/>
      <c r="X16" s="81"/>
      <c r="Y16" s="81"/>
      <c r="Z16" s="81"/>
      <c r="AA16" s="82"/>
      <c r="AB16" s="81">
        <f>C16</f>
        <v>510.4</v>
      </c>
      <c r="AC16" s="81"/>
      <c r="AD16" s="82"/>
      <c r="AE16" s="147">
        <v>357.7</v>
      </c>
      <c r="AF16" s="449"/>
      <c r="AG16" s="1585"/>
      <c r="AH16" s="147">
        <f>ROUND(SUM(AB16-AE16),1)</f>
        <v>152.69999999999999</v>
      </c>
      <c r="AI16" s="45"/>
      <c r="AJ16" s="1322">
        <f>ROUND(IF(AH16=0,0,AH16/(AE16)),3)</f>
        <v>0.42699999999999999</v>
      </c>
    </row>
    <row r="17" spans="1:38" ht="16.5" customHeight="1">
      <c r="A17" s="75"/>
      <c r="B17" s="75"/>
      <c r="C17" s="75" t="s">
        <v>104</v>
      </c>
      <c r="D17" s="75"/>
      <c r="E17" s="84"/>
      <c r="F17" s="84"/>
      <c r="G17" s="84"/>
      <c r="H17" s="84"/>
      <c r="I17" s="84"/>
      <c r="J17" s="84"/>
      <c r="K17" s="84"/>
      <c r="L17" s="84"/>
      <c r="M17" s="84"/>
      <c r="N17" s="84"/>
      <c r="O17" s="84"/>
      <c r="P17" s="84"/>
      <c r="Q17" s="84"/>
      <c r="R17" s="84"/>
      <c r="S17" s="84"/>
      <c r="T17" s="84"/>
      <c r="U17" s="84"/>
      <c r="V17" s="84"/>
      <c r="W17" s="84"/>
      <c r="X17" s="84"/>
      <c r="Y17" s="84"/>
      <c r="Z17" s="75"/>
      <c r="AA17" s="85"/>
      <c r="AB17" s="75" t="s">
        <v>104</v>
      </c>
      <c r="AC17" s="75"/>
      <c r="AD17" s="85"/>
      <c r="AE17" s="75" t="s">
        <v>104</v>
      </c>
      <c r="AF17" s="450"/>
      <c r="AG17" s="1585"/>
      <c r="AH17" s="45"/>
      <c r="AI17" s="45"/>
      <c r="AJ17" s="1586"/>
    </row>
    <row r="18" spans="1:38" ht="16.5" customHeight="1">
      <c r="A18" s="83" t="s">
        <v>115</v>
      </c>
      <c r="B18" s="75"/>
      <c r="C18" s="75"/>
      <c r="D18" s="75"/>
      <c r="E18" s="84"/>
      <c r="F18" s="84"/>
      <c r="G18" s="84"/>
      <c r="H18" s="84"/>
      <c r="I18" s="84"/>
      <c r="J18" s="84"/>
      <c r="K18" s="84"/>
      <c r="L18" s="84"/>
      <c r="M18" s="84"/>
      <c r="N18" s="84"/>
      <c r="O18" s="84"/>
      <c r="P18" s="84"/>
      <c r="Q18" s="84"/>
      <c r="R18" s="84"/>
      <c r="S18" s="84"/>
      <c r="T18" s="84"/>
      <c r="U18" s="84"/>
      <c r="V18" s="84"/>
      <c r="W18" s="84"/>
      <c r="X18" s="84"/>
      <c r="Y18" s="84"/>
      <c r="Z18" s="75"/>
      <c r="AA18" s="85"/>
      <c r="AB18" s="75"/>
      <c r="AC18" s="75"/>
      <c r="AD18" s="85"/>
      <c r="AE18" s="75"/>
      <c r="AF18" s="89"/>
      <c r="AG18" s="1585"/>
      <c r="AH18" s="45"/>
      <c r="AI18" s="45"/>
      <c r="AJ18" s="1586"/>
    </row>
    <row r="19" spans="1:38" ht="18.75" customHeight="1">
      <c r="A19" s="75" t="s">
        <v>624</v>
      </c>
      <c r="B19" s="75"/>
      <c r="C19" s="86">
        <v>223.7</v>
      </c>
      <c r="D19" s="86"/>
      <c r="E19" s="86">
        <v>313.3</v>
      </c>
      <c r="F19" s="86"/>
      <c r="G19" s="86">
        <v>318.60000000000008</v>
      </c>
      <c r="H19" s="91"/>
      <c r="I19" s="86">
        <v>321.3</v>
      </c>
      <c r="J19" s="91"/>
      <c r="K19" s="86">
        <v>346.49999999999994</v>
      </c>
      <c r="L19" s="91"/>
      <c r="M19" s="86">
        <v>180.3</v>
      </c>
      <c r="N19" s="91"/>
      <c r="O19" s="86">
        <v>341.89999999999981</v>
      </c>
      <c r="P19" s="91"/>
      <c r="Q19" s="86">
        <f>$AB19-$C19-$E19-$G19-$I19-$K19-$M19-$O19</f>
        <v>256.70000000000056</v>
      </c>
      <c r="R19" s="86"/>
      <c r="S19" s="86"/>
      <c r="T19" s="86"/>
      <c r="U19" s="86"/>
      <c r="V19" s="86"/>
      <c r="W19" s="86"/>
      <c r="X19" s="86"/>
      <c r="Y19" s="86"/>
      <c r="Z19" s="86"/>
      <c r="AA19" s="87"/>
      <c r="AB19" s="91">
        <v>2302.3000000000002</v>
      </c>
      <c r="AC19" s="86"/>
      <c r="AD19" s="87"/>
      <c r="AE19" s="91">
        <v>2108.5</v>
      </c>
      <c r="AF19" s="89"/>
      <c r="AG19" s="1585"/>
      <c r="AH19" s="1587">
        <f>ROUND(AB19-AE19,1)</f>
        <v>193.8</v>
      </c>
      <c r="AI19" s="456"/>
      <c r="AJ19" s="1588">
        <f>ROUND(IF(AE19=0,0,AH19/ABS(AE19)),3)</f>
        <v>9.1999999999999998E-2</v>
      </c>
    </row>
    <row r="20" spans="1:38" ht="17.25" customHeight="1">
      <c r="A20" s="80" t="s">
        <v>625</v>
      </c>
      <c r="B20" s="75"/>
      <c r="C20" s="86">
        <v>2.9</v>
      </c>
      <c r="D20" s="86"/>
      <c r="E20" s="86">
        <v>2.8000000000000003</v>
      </c>
      <c r="F20" s="91"/>
      <c r="G20" s="86">
        <v>2.6</v>
      </c>
      <c r="H20" s="91"/>
      <c r="I20" s="86">
        <v>2.1999999999999988</v>
      </c>
      <c r="J20" s="91"/>
      <c r="K20" s="86">
        <v>2.5000000000000004</v>
      </c>
      <c r="L20" s="91"/>
      <c r="M20" s="86">
        <v>1.8000000000000003</v>
      </c>
      <c r="N20" s="91"/>
      <c r="O20" s="86">
        <v>2.1999999999999993</v>
      </c>
      <c r="P20" s="91"/>
      <c r="Q20" s="86">
        <f t="shared" ref="Q20:Q21" si="1">$AB20-$C20-$E20-$G20-$I20-$K20-$M20-$O20</f>
        <v>1.8000000000000007</v>
      </c>
      <c r="R20" s="91"/>
      <c r="S20" s="86"/>
      <c r="T20" s="91"/>
      <c r="U20" s="86"/>
      <c r="V20" s="91"/>
      <c r="W20" s="86"/>
      <c r="X20" s="91"/>
      <c r="Y20" s="86"/>
      <c r="Z20" s="86"/>
      <c r="AA20" s="87"/>
      <c r="AB20" s="91">
        <v>18.8</v>
      </c>
      <c r="AC20" s="86"/>
      <c r="AD20" s="87"/>
      <c r="AE20" s="91">
        <v>62.3</v>
      </c>
      <c r="AF20" s="89"/>
      <c r="AG20" s="1585"/>
      <c r="AH20" s="1587">
        <f>ROUND(AB20-AE20,1)</f>
        <v>-43.5</v>
      </c>
      <c r="AI20" s="456"/>
      <c r="AJ20" s="1588">
        <f>ROUND(IF(AE20=0,0,AH20/ABS(AE20)),3)</f>
        <v>-0.69799999999999995</v>
      </c>
    </row>
    <row r="21" spans="1:38" ht="17.25" customHeight="1">
      <c r="A21" s="93" t="s">
        <v>626</v>
      </c>
      <c r="B21" s="75"/>
      <c r="C21" s="86">
        <v>103.3</v>
      </c>
      <c r="D21" s="86"/>
      <c r="E21" s="86">
        <v>138.39999999999998</v>
      </c>
      <c r="F21" s="91"/>
      <c r="G21" s="86">
        <v>140.50000000000006</v>
      </c>
      <c r="H21" s="91"/>
      <c r="I21" s="86">
        <v>257.2</v>
      </c>
      <c r="J21" s="91"/>
      <c r="K21" s="86">
        <v>273.3</v>
      </c>
      <c r="L21" s="91"/>
      <c r="M21" s="86">
        <v>232.39999999999986</v>
      </c>
      <c r="N21" s="91"/>
      <c r="O21" s="86">
        <v>292.00000000000023</v>
      </c>
      <c r="P21" s="91"/>
      <c r="Q21" s="86">
        <f t="shared" si="1"/>
        <v>226.90000000000009</v>
      </c>
      <c r="R21" s="91"/>
      <c r="S21" s="86"/>
      <c r="T21" s="91"/>
      <c r="U21" s="86"/>
      <c r="V21" s="91"/>
      <c r="W21" s="86"/>
      <c r="X21" s="91"/>
      <c r="Y21" s="86"/>
      <c r="Z21" s="86"/>
      <c r="AA21" s="87"/>
      <c r="AB21" s="775">
        <v>1664</v>
      </c>
      <c r="AC21" s="86"/>
      <c r="AD21" s="87"/>
      <c r="AE21" s="91">
        <v>949.9</v>
      </c>
      <c r="AF21" s="90"/>
      <c r="AG21" s="1589"/>
      <c r="AH21" s="1590">
        <f>ROUND(AB21-AE21,1)</f>
        <v>714.1</v>
      </c>
      <c r="AI21" s="456"/>
      <c r="AJ21" s="1591">
        <f>ROUND(IF(AE21=0,0,AH21/ABS(AE21)),3)</f>
        <v>0.752</v>
      </c>
    </row>
    <row r="22" spans="1:38" ht="16.5" customHeight="1">
      <c r="A22" s="75"/>
      <c r="B22" s="75"/>
      <c r="C22" s="1592"/>
      <c r="D22" s="86"/>
      <c r="E22" s="1702"/>
      <c r="F22" s="91"/>
      <c r="G22" s="1702"/>
      <c r="H22" s="91"/>
      <c r="I22" s="1702"/>
      <c r="J22" s="91"/>
      <c r="K22" s="1702"/>
      <c r="L22" s="91"/>
      <c r="M22" s="1702"/>
      <c r="N22" s="91"/>
      <c r="O22" s="1702"/>
      <c r="P22" s="91"/>
      <c r="Q22" s="1702"/>
      <c r="R22" s="91"/>
      <c r="S22" s="1702"/>
      <c r="T22" s="91"/>
      <c r="U22" s="1702"/>
      <c r="V22" s="91"/>
      <c r="W22" s="1703"/>
      <c r="X22" s="91"/>
      <c r="Y22" s="1702"/>
      <c r="Z22" s="86"/>
      <c r="AA22" s="87"/>
      <c r="AB22" s="1592"/>
      <c r="AC22" s="86"/>
      <c r="AD22" s="87"/>
      <c r="AE22" s="1592"/>
      <c r="AF22" s="705"/>
      <c r="AG22" s="1589"/>
      <c r="AH22" s="89"/>
      <c r="AI22" s="45"/>
      <c r="AJ22" s="1586"/>
    </row>
    <row r="23" spans="1:38" ht="16.5" customHeight="1">
      <c r="A23" s="83" t="s">
        <v>457</v>
      </c>
      <c r="B23" s="75"/>
      <c r="C23" s="92">
        <f>ROUND(SUM(C19:C22),1)</f>
        <v>329.9</v>
      </c>
      <c r="D23" s="88"/>
      <c r="E23" s="92">
        <f>ROUND(SUM(E19:E22),1)</f>
        <v>454.5</v>
      </c>
      <c r="F23" s="92"/>
      <c r="G23" s="92">
        <f>ROUND(SUM(G19:G22),1)</f>
        <v>461.7</v>
      </c>
      <c r="H23" s="92"/>
      <c r="I23" s="92">
        <f>ROUND(SUM(I19:I22),1)</f>
        <v>580.70000000000005</v>
      </c>
      <c r="J23" s="92"/>
      <c r="K23" s="92">
        <f>ROUND(SUM(K19:K22),1)</f>
        <v>622.29999999999995</v>
      </c>
      <c r="L23" s="92"/>
      <c r="M23" s="92">
        <f>ROUND(SUM(M19:M22),1)</f>
        <v>414.5</v>
      </c>
      <c r="N23" s="92"/>
      <c r="O23" s="92">
        <f>ROUND(SUM(O19:O22),1)</f>
        <v>636.1</v>
      </c>
      <c r="P23" s="92"/>
      <c r="Q23" s="92">
        <f>ROUND(SUM(Q19:Q22),1)</f>
        <v>485.4</v>
      </c>
      <c r="R23" s="92"/>
      <c r="S23" s="92">
        <f>ROUND(SUM(S19:S22),1)</f>
        <v>0</v>
      </c>
      <c r="T23" s="92"/>
      <c r="U23" s="92">
        <f>ROUND(SUM(U19:U22),1)</f>
        <v>0</v>
      </c>
      <c r="V23" s="92"/>
      <c r="W23" s="92">
        <f>ROUND(SUM(W19:W22),1)</f>
        <v>0</v>
      </c>
      <c r="X23" s="92"/>
      <c r="Y23" s="92">
        <f>ROUND(SUM(Y19:Y22),1)</f>
        <v>0</v>
      </c>
      <c r="Z23" s="88"/>
      <c r="AA23" s="1704"/>
      <c r="AB23" s="92">
        <f>ROUND(SUM(AB19:AB22),1)</f>
        <v>3985.1</v>
      </c>
      <c r="AC23" s="2062"/>
      <c r="AD23" s="88"/>
      <c r="AE23" s="92">
        <f>ROUND(SUM(AE19:AE22),1)</f>
        <v>3120.7</v>
      </c>
      <c r="AF23" s="90"/>
      <c r="AG23" s="1589"/>
      <c r="AH23" s="657">
        <f>ROUND(SUM(AH19:AH21),1)</f>
        <v>864.4</v>
      </c>
      <c r="AI23" s="1593"/>
      <c r="AJ23" s="1594">
        <f>ROUND(IF(AH23=0,0,AH23/ABS(AE23)),3)</f>
        <v>0.27700000000000002</v>
      </c>
      <c r="AK23" s="141"/>
      <c r="AL23" s="141"/>
    </row>
    <row r="24" spans="1:38" ht="16.5" customHeight="1">
      <c r="A24" s="75"/>
      <c r="B24" s="75"/>
      <c r="C24" s="1592"/>
      <c r="D24" s="86"/>
      <c r="E24" s="1702"/>
      <c r="F24" s="91"/>
      <c r="G24" s="1702"/>
      <c r="H24" s="91"/>
      <c r="I24" s="1702"/>
      <c r="J24" s="91"/>
      <c r="K24" s="1702"/>
      <c r="L24" s="91"/>
      <c r="M24" s="1702"/>
      <c r="N24" s="91"/>
      <c r="O24" s="1702"/>
      <c r="P24" s="91"/>
      <c r="Q24" s="1702"/>
      <c r="R24" s="91"/>
      <c r="S24" s="1702"/>
      <c r="T24" s="91"/>
      <c r="U24" s="1702"/>
      <c r="V24" s="91"/>
      <c r="W24" s="1702"/>
      <c r="X24" s="91"/>
      <c r="Y24" s="1702"/>
      <c r="Z24" s="86"/>
      <c r="AA24" s="87"/>
      <c r="AB24" s="1592"/>
      <c r="AC24" s="86"/>
      <c r="AD24" s="87"/>
      <c r="AE24" s="1592"/>
      <c r="AF24" s="705"/>
      <c r="AG24" s="1589"/>
      <c r="AH24" s="89"/>
      <c r="AI24" s="45"/>
      <c r="AJ24" s="1586"/>
    </row>
    <row r="25" spans="1:38" ht="16.5" customHeight="1">
      <c r="A25" s="75"/>
      <c r="B25" s="75"/>
      <c r="C25" s="86"/>
      <c r="D25" s="86"/>
      <c r="E25" s="91"/>
      <c r="F25" s="91"/>
      <c r="G25" s="91"/>
      <c r="H25" s="91"/>
      <c r="I25" s="91"/>
      <c r="J25" s="91"/>
      <c r="K25" s="91"/>
      <c r="L25" s="91"/>
      <c r="M25" s="91"/>
      <c r="N25" s="91"/>
      <c r="O25" s="91"/>
      <c r="P25" s="91"/>
      <c r="Q25" s="91"/>
      <c r="R25" s="91"/>
      <c r="S25" s="91"/>
      <c r="T25" s="91"/>
      <c r="U25" s="91"/>
      <c r="V25" s="91"/>
      <c r="W25" s="91"/>
      <c r="X25" s="91"/>
      <c r="Y25" s="91"/>
      <c r="Z25" s="86"/>
      <c r="AA25" s="87"/>
      <c r="AB25" s="86"/>
      <c r="AC25" s="86"/>
      <c r="AD25" s="87"/>
      <c r="AE25" s="86"/>
      <c r="AF25" s="89"/>
      <c r="AG25" s="1585"/>
      <c r="AH25" s="89"/>
      <c r="AI25" s="45"/>
      <c r="AJ25" s="1595"/>
    </row>
    <row r="26" spans="1:38" ht="16.5" customHeight="1">
      <c r="A26" s="83" t="s">
        <v>123</v>
      </c>
      <c r="B26" s="75"/>
      <c r="C26" s="86"/>
      <c r="D26" s="86"/>
      <c r="E26" s="91"/>
      <c r="F26" s="91"/>
      <c r="G26" s="91"/>
      <c r="H26" s="91"/>
      <c r="I26" s="91"/>
      <c r="J26" s="91"/>
      <c r="K26" s="91"/>
      <c r="L26" s="91"/>
      <c r="M26" s="91"/>
      <c r="N26" s="91"/>
      <c r="O26" s="91"/>
      <c r="P26" s="91"/>
      <c r="Q26" s="91"/>
      <c r="R26" s="91"/>
      <c r="S26" s="91"/>
      <c r="T26" s="91"/>
      <c r="U26" s="91"/>
      <c r="V26" s="91"/>
      <c r="W26" s="91"/>
      <c r="X26" s="91"/>
      <c r="Y26" s="91"/>
      <c r="Z26" s="86"/>
      <c r="AA26" s="87"/>
      <c r="AB26" s="86"/>
      <c r="AC26" s="86"/>
      <c r="AD26" s="87"/>
      <c r="AE26" s="86"/>
      <c r="AF26" s="89"/>
      <c r="AG26" s="1585"/>
      <c r="AH26" s="89"/>
      <c r="AI26" s="2015"/>
      <c r="AJ26" s="1595"/>
    </row>
    <row r="27" spans="1:38" ht="16.5" customHeight="1">
      <c r="A27" s="75" t="s">
        <v>483</v>
      </c>
      <c r="B27" s="75"/>
      <c r="C27" s="86"/>
      <c r="D27" s="86"/>
      <c r="E27" s="86"/>
      <c r="F27" s="91"/>
      <c r="G27" s="91"/>
      <c r="H27" s="91"/>
      <c r="I27" s="91"/>
      <c r="J27" s="91"/>
      <c r="K27" s="91"/>
      <c r="L27" s="91"/>
      <c r="M27" s="91"/>
      <c r="N27" s="91"/>
      <c r="O27" s="91"/>
      <c r="P27" s="91"/>
      <c r="Q27" s="91"/>
      <c r="R27" s="91"/>
      <c r="S27" s="1705"/>
      <c r="T27" s="91"/>
      <c r="U27" s="91"/>
      <c r="V27" s="91"/>
      <c r="W27" s="91"/>
      <c r="X27" s="91"/>
      <c r="Y27" s="91"/>
      <c r="Z27" s="86"/>
      <c r="AA27" s="87"/>
      <c r="AB27" s="86"/>
      <c r="AC27" s="86"/>
      <c r="AD27" s="87"/>
      <c r="AE27" s="86"/>
      <c r="AF27" s="450"/>
      <c r="AG27" s="1589"/>
      <c r="AH27" s="89"/>
      <c r="AI27" s="45"/>
      <c r="AJ27" s="1595"/>
    </row>
    <row r="28" spans="1:38" ht="16.5" customHeight="1">
      <c r="A28" s="75" t="s">
        <v>627</v>
      </c>
      <c r="B28" s="75"/>
      <c r="C28" s="86">
        <v>138.1</v>
      </c>
      <c r="D28" s="86"/>
      <c r="E28" s="86">
        <v>136.00000000000003</v>
      </c>
      <c r="F28" s="91"/>
      <c r="G28" s="86">
        <v>183.70000000000002</v>
      </c>
      <c r="H28" s="91"/>
      <c r="I28" s="86">
        <v>134.99999999999991</v>
      </c>
      <c r="J28" s="91"/>
      <c r="K28" s="86">
        <v>125.30000000000004</v>
      </c>
      <c r="L28" s="91"/>
      <c r="M28" s="86">
        <v>138.19999999999996</v>
      </c>
      <c r="N28" s="91"/>
      <c r="O28" s="86">
        <v>142.00000000000009</v>
      </c>
      <c r="P28" s="91"/>
      <c r="Q28" s="86">
        <f t="shared" ref="Q28:Q31" si="2">$AB28-$C28-$E28-$G28-$I28-$K28-$M28-$O28</f>
        <v>208.90000000000012</v>
      </c>
      <c r="R28" s="91"/>
      <c r="S28" s="86"/>
      <c r="T28" s="91"/>
      <c r="U28" s="86"/>
      <c r="V28" s="91"/>
      <c r="W28" s="86"/>
      <c r="X28" s="91"/>
      <c r="Y28" s="86"/>
      <c r="Z28" s="86"/>
      <c r="AA28" s="87"/>
      <c r="AB28" s="91">
        <v>1207.2</v>
      </c>
      <c r="AC28" s="86"/>
      <c r="AD28" s="87"/>
      <c r="AE28" s="91">
        <v>1116</v>
      </c>
      <c r="AF28" s="89"/>
      <c r="AG28" s="1596"/>
      <c r="AH28" s="89">
        <f>ROUND(SUM(AB28-AE28),1)</f>
        <v>91.2</v>
      </c>
      <c r="AI28" s="45"/>
      <c r="AJ28" s="1597">
        <f>ROUND(IF(AH28=0,0,AH28/ABS(AE28)),3)</f>
        <v>8.2000000000000003E-2</v>
      </c>
    </row>
    <row r="29" spans="1:38" ht="16.5" customHeight="1">
      <c r="A29" s="75" t="s">
        <v>567</v>
      </c>
      <c r="B29" s="75"/>
      <c r="C29" s="86">
        <v>47</v>
      </c>
      <c r="D29" s="86"/>
      <c r="E29" s="86">
        <v>38.5</v>
      </c>
      <c r="F29" s="91"/>
      <c r="G29" s="86">
        <v>35.099999999999994</v>
      </c>
      <c r="H29" s="91"/>
      <c r="I29" s="86">
        <v>35.300000000000011</v>
      </c>
      <c r="J29" s="91"/>
      <c r="K29" s="86">
        <v>98.1</v>
      </c>
      <c r="L29" s="91"/>
      <c r="M29" s="86">
        <v>148.20000000000002</v>
      </c>
      <c r="N29" s="91"/>
      <c r="O29" s="86">
        <v>35.5</v>
      </c>
      <c r="P29" s="91"/>
      <c r="Q29" s="86">
        <f t="shared" si="2"/>
        <v>41.799999999999955</v>
      </c>
      <c r="R29" s="91"/>
      <c r="S29" s="86"/>
      <c r="T29" s="91"/>
      <c r="U29" s="86"/>
      <c r="V29" s="91"/>
      <c r="W29" s="86"/>
      <c r="X29" s="91"/>
      <c r="Y29" s="86"/>
      <c r="Z29" s="86"/>
      <c r="AA29" s="87"/>
      <c r="AB29" s="91">
        <v>479.5</v>
      </c>
      <c r="AC29" s="86"/>
      <c r="AD29" s="87"/>
      <c r="AE29" s="91">
        <v>506.8</v>
      </c>
      <c r="AF29" s="89"/>
      <c r="AG29" s="1596"/>
      <c r="AH29" s="89">
        <f>ROUND(SUM(AB29-AE29),1)</f>
        <v>-27.3</v>
      </c>
      <c r="AI29" s="45"/>
      <c r="AJ29" s="1597">
        <f t="shared" ref="AJ29:AJ30" si="3">ROUND(IF(AH29=0,0,AH29/ABS(AE29)),3)</f>
        <v>-5.3999999999999999E-2</v>
      </c>
    </row>
    <row r="30" spans="1:38" ht="16.5" customHeight="1">
      <c r="A30" s="75" t="s">
        <v>486</v>
      </c>
      <c r="B30" s="75"/>
      <c r="C30" s="86">
        <v>57.2</v>
      </c>
      <c r="D30" s="86"/>
      <c r="E30" s="86">
        <v>59.399999999999991</v>
      </c>
      <c r="F30" s="91"/>
      <c r="G30" s="86">
        <v>56.599999999999994</v>
      </c>
      <c r="H30" s="91"/>
      <c r="I30" s="86">
        <v>56.300000000000026</v>
      </c>
      <c r="J30" s="91"/>
      <c r="K30" s="86">
        <v>61.300000000000026</v>
      </c>
      <c r="L30" s="91"/>
      <c r="M30" s="86">
        <v>62.199999999999989</v>
      </c>
      <c r="N30" s="91"/>
      <c r="O30" s="86">
        <v>64.499999999999986</v>
      </c>
      <c r="P30" s="91"/>
      <c r="Q30" s="86">
        <f t="shared" si="2"/>
        <v>61.100000000000094</v>
      </c>
      <c r="R30" s="91"/>
      <c r="S30" s="86"/>
      <c r="T30" s="91"/>
      <c r="U30" s="86"/>
      <c r="V30" s="91"/>
      <c r="W30" s="86"/>
      <c r="X30" s="91"/>
      <c r="Y30" s="86"/>
      <c r="Z30" s="86"/>
      <c r="AA30" s="87"/>
      <c r="AB30" s="91">
        <v>478.6</v>
      </c>
      <c r="AC30" s="86"/>
      <c r="AD30" s="87"/>
      <c r="AE30" s="91">
        <v>461.4</v>
      </c>
      <c r="AF30" s="90"/>
      <c r="AG30" s="1598"/>
      <c r="AH30" s="89">
        <f>ROUND(SUM(AB30-AE30),1)</f>
        <v>17.2</v>
      </c>
      <c r="AI30" s="45"/>
      <c r="AJ30" s="1597">
        <f t="shared" si="3"/>
        <v>3.6999999999999998E-2</v>
      </c>
    </row>
    <row r="31" spans="1:38" ht="16.5" customHeight="1">
      <c r="A31" s="93" t="s">
        <v>628</v>
      </c>
      <c r="B31" s="75"/>
      <c r="C31" s="86">
        <v>207.6</v>
      </c>
      <c r="D31" s="86"/>
      <c r="E31" s="86">
        <v>78.799999999999983</v>
      </c>
      <c r="F31" s="91"/>
      <c r="G31" s="86">
        <v>204.99999999999997</v>
      </c>
      <c r="H31" s="91"/>
      <c r="I31" s="86">
        <v>257.5</v>
      </c>
      <c r="J31" s="91"/>
      <c r="K31" s="86">
        <v>272</v>
      </c>
      <c r="L31" s="91"/>
      <c r="M31" s="86">
        <v>231.20000000000005</v>
      </c>
      <c r="N31" s="91"/>
      <c r="O31" s="86">
        <v>252.5</v>
      </c>
      <c r="P31" s="91"/>
      <c r="Q31" s="86">
        <f t="shared" si="2"/>
        <v>228.40000000000009</v>
      </c>
      <c r="R31" s="91"/>
      <c r="S31" s="86"/>
      <c r="T31" s="91"/>
      <c r="U31" s="86"/>
      <c r="V31" s="91"/>
      <c r="W31" s="86"/>
      <c r="X31" s="91"/>
      <c r="Y31" s="86"/>
      <c r="Z31" s="86"/>
      <c r="AA31" s="87"/>
      <c r="AB31" s="91">
        <v>1733</v>
      </c>
      <c r="AC31" s="86"/>
      <c r="AD31" s="87"/>
      <c r="AE31" s="91">
        <v>1012</v>
      </c>
      <c r="AF31" s="90"/>
      <c r="AG31" s="1596"/>
      <c r="AH31" s="1167">
        <f>ROUND(SUM(AB31-AE31),1)</f>
        <v>721</v>
      </c>
      <c r="AI31" s="45"/>
      <c r="AJ31" s="1599">
        <f>ROUND(IF(AH31=0,0,AH31/ABS(AE31)),3)</f>
        <v>0.71199999999999997</v>
      </c>
    </row>
    <row r="32" spans="1:38" ht="16.5" customHeight="1">
      <c r="A32" s="75"/>
      <c r="B32" s="75"/>
      <c r="C32" s="1592"/>
      <c r="D32" s="86"/>
      <c r="E32" s="1702"/>
      <c r="F32" s="91"/>
      <c r="G32" s="1702"/>
      <c r="H32" s="91"/>
      <c r="I32" s="1702"/>
      <c r="J32" s="91"/>
      <c r="K32" s="1702"/>
      <c r="L32" s="91"/>
      <c r="M32" s="1702"/>
      <c r="N32" s="91"/>
      <c r="O32" s="1702"/>
      <c r="P32" s="91"/>
      <c r="Q32" s="1702"/>
      <c r="R32" s="91"/>
      <c r="S32" s="1702"/>
      <c r="T32" s="91"/>
      <c r="U32" s="1702"/>
      <c r="V32" s="91"/>
      <c r="W32" s="1703"/>
      <c r="X32" s="91"/>
      <c r="Y32" s="1702"/>
      <c r="Z32" s="86"/>
      <c r="AA32" s="87"/>
      <c r="AB32" s="1592"/>
      <c r="AC32" s="86"/>
      <c r="AD32" s="87"/>
      <c r="AE32" s="1592"/>
      <c r="AF32" s="457"/>
      <c r="AG32" s="1598"/>
      <c r="AH32" s="89"/>
      <c r="AI32" s="456"/>
      <c r="AJ32" s="1595"/>
    </row>
    <row r="33" spans="1:37" ht="16.5" customHeight="1">
      <c r="A33" s="83" t="s">
        <v>487</v>
      </c>
      <c r="B33" s="75"/>
      <c r="C33" s="92">
        <f>ROUND(SUM(C28:C32),1)</f>
        <v>449.9</v>
      </c>
      <c r="D33" s="88"/>
      <c r="E33" s="92">
        <f>ROUND(SUM(E28:E32),1)</f>
        <v>312.7</v>
      </c>
      <c r="F33" s="92"/>
      <c r="G33" s="92">
        <f>ROUND(SUM(G28:G32),1)</f>
        <v>480.4</v>
      </c>
      <c r="H33" s="92"/>
      <c r="I33" s="92">
        <f>ROUND(SUM(I28:I32),1)</f>
        <v>484.1</v>
      </c>
      <c r="J33" s="92"/>
      <c r="K33" s="1706">
        <f>ROUND(SUM(K28:K32),1)</f>
        <v>556.70000000000005</v>
      </c>
      <c r="L33" s="92"/>
      <c r="M33" s="1706">
        <f>ROUND(SUM(M28:M32),1)</f>
        <v>579.79999999999995</v>
      </c>
      <c r="N33" s="92"/>
      <c r="O33" s="92">
        <f>ROUND(SUM(O28:O32),1)</f>
        <v>494.5</v>
      </c>
      <c r="P33" s="92"/>
      <c r="Q33" s="92">
        <f>ROUND(SUM(Q28:Q32),1)</f>
        <v>540.20000000000005</v>
      </c>
      <c r="R33" s="92"/>
      <c r="S33" s="92">
        <f>ROUND(SUM(S28:S32),1)</f>
        <v>0</v>
      </c>
      <c r="T33" s="92"/>
      <c r="U33" s="92">
        <f>ROUND(SUM(U28:U32),1)</f>
        <v>0</v>
      </c>
      <c r="V33" s="92"/>
      <c r="W33" s="92">
        <f>ROUND(SUM(W28:W32),1)</f>
        <v>0</v>
      </c>
      <c r="X33" s="92"/>
      <c r="Y33" s="92">
        <f>ROUND(SUM(Y28:Y32),1)</f>
        <v>0</v>
      </c>
      <c r="Z33" s="88"/>
      <c r="AA33" s="1704"/>
      <c r="AB33" s="92">
        <f>ROUND(SUM(AB28:AB32),1)</f>
        <v>3898.3</v>
      </c>
      <c r="AC33" s="2062"/>
      <c r="AD33" s="88"/>
      <c r="AE33" s="92">
        <f>ROUND(SUM(AE28:AE32),1)</f>
        <v>3096.2</v>
      </c>
      <c r="AF33" s="89"/>
      <c r="AG33" s="1585"/>
      <c r="AH33" s="657">
        <f>ROUND(SUM(AH28:AH31),1)</f>
        <v>802.1</v>
      </c>
      <c r="AI33" s="1593"/>
      <c r="AJ33" s="1594">
        <f>ROUND(IF(AH33=0,0,AH33/ABS(AE33)),3)</f>
        <v>0.25900000000000001</v>
      </c>
      <c r="AK33" s="141"/>
    </row>
    <row r="34" spans="1:37" ht="16.5" customHeight="1">
      <c r="A34" s="75"/>
      <c r="B34" s="75"/>
      <c r="C34" s="1592"/>
      <c r="D34" s="86"/>
      <c r="E34" s="1702"/>
      <c r="F34" s="91"/>
      <c r="G34" s="1702"/>
      <c r="H34" s="91"/>
      <c r="I34" s="1702"/>
      <c r="J34" s="91"/>
      <c r="K34" s="91"/>
      <c r="L34" s="91"/>
      <c r="M34" s="91"/>
      <c r="N34" s="91"/>
      <c r="O34" s="1702"/>
      <c r="P34" s="91"/>
      <c r="Q34" s="1702"/>
      <c r="R34" s="91"/>
      <c r="S34" s="1702"/>
      <c r="T34" s="91"/>
      <c r="U34" s="1702"/>
      <c r="V34" s="91"/>
      <c r="W34" s="1702"/>
      <c r="X34" s="91"/>
      <c r="Y34" s="1702"/>
      <c r="Z34" s="86"/>
      <c r="AA34" s="87"/>
      <c r="AB34" s="1592"/>
      <c r="AC34" s="2063"/>
      <c r="AD34" s="87"/>
      <c r="AE34" s="1592"/>
      <c r="AF34" s="89"/>
      <c r="AG34" s="1585"/>
      <c r="AH34" s="89"/>
      <c r="AI34" s="45"/>
      <c r="AJ34" s="1586"/>
    </row>
    <row r="35" spans="1:37" ht="16.5" customHeight="1">
      <c r="A35" s="75"/>
      <c r="B35" s="75"/>
      <c r="C35" s="86"/>
      <c r="D35" s="86"/>
      <c r="E35" s="91"/>
      <c r="F35" s="91"/>
      <c r="G35" s="91"/>
      <c r="H35" s="91"/>
      <c r="I35" s="91"/>
      <c r="J35" s="91"/>
      <c r="K35" s="91"/>
      <c r="L35" s="91"/>
      <c r="M35" s="91"/>
      <c r="N35" s="91"/>
      <c r="O35" s="91"/>
      <c r="P35" s="91"/>
      <c r="Q35" s="91"/>
      <c r="R35" s="91"/>
      <c r="S35" s="91"/>
      <c r="T35" s="91"/>
      <c r="U35" s="91"/>
      <c r="V35" s="91"/>
      <c r="W35" s="91"/>
      <c r="X35" s="91"/>
      <c r="Y35" s="91"/>
      <c r="Z35" s="86"/>
      <c r="AA35" s="87"/>
      <c r="AB35" s="86"/>
      <c r="AC35" s="2063"/>
      <c r="AD35" s="87"/>
      <c r="AE35" s="86"/>
      <c r="AF35" s="450"/>
      <c r="AG35" s="1600"/>
      <c r="AH35" s="89"/>
      <c r="AI35" s="2015"/>
      <c r="AJ35" s="1595"/>
    </row>
    <row r="36" spans="1:37" ht="16.5" customHeight="1">
      <c r="A36" s="83" t="s">
        <v>488</v>
      </c>
      <c r="B36" s="75"/>
      <c r="C36" s="86"/>
      <c r="D36" s="86"/>
      <c r="E36" s="91"/>
      <c r="F36" s="91"/>
      <c r="G36" s="91"/>
      <c r="H36" s="91"/>
      <c r="I36" s="91"/>
      <c r="J36" s="91"/>
      <c r="K36" s="91"/>
      <c r="L36" s="91"/>
      <c r="M36" s="91"/>
      <c r="N36" s="91"/>
      <c r="O36" s="91"/>
      <c r="P36" s="91"/>
      <c r="Q36" s="91"/>
      <c r="R36" s="91"/>
      <c r="S36" s="91"/>
      <c r="T36" s="91"/>
      <c r="U36" s="91"/>
      <c r="V36" s="91"/>
      <c r="W36" s="91"/>
      <c r="X36" s="91"/>
      <c r="Y36" s="91"/>
      <c r="Z36" s="86"/>
      <c r="AA36" s="87"/>
      <c r="AB36" s="86"/>
      <c r="AC36" s="2063"/>
      <c r="AD36" s="87"/>
      <c r="AE36" s="86"/>
      <c r="AF36" s="147"/>
      <c r="AG36" s="1601"/>
      <c r="AH36" s="89"/>
      <c r="AI36" s="2015"/>
      <c r="AJ36" s="1595"/>
    </row>
    <row r="37" spans="1:37" ht="16.5" customHeight="1">
      <c r="A37" s="83" t="s">
        <v>146</v>
      </c>
      <c r="B37" s="75"/>
      <c r="C37" s="92">
        <f>ROUND(C23-C33,1)</f>
        <v>-120</v>
      </c>
      <c r="D37" s="88"/>
      <c r="E37" s="92">
        <f>ROUND(E23-E33,1)</f>
        <v>141.80000000000001</v>
      </c>
      <c r="F37" s="92"/>
      <c r="G37" s="92">
        <f>ROUND(G23-G33,1)</f>
        <v>-18.7</v>
      </c>
      <c r="H37" s="92"/>
      <c r="I37" s="92">
        <f>ROUND(I23-I33,1)</f>
        <v>96.6</v>
      </c>
      <c r="J37" s="92"/>
      <c r="K37" s="92">
        <f>ROUND(K23-K33,1)</f>
        <v>65.599999999999994</v>
      </c>
      <c r="L37" s="92"/>
      <c r="M37" s="92">
        <f>ROUND(M23-M33,1)</f>
        <v>-165.3</v>
      </c>
      <c r="N37" s="92"/>
      <c r="O37" s="92">
        <f>ROUND(O23-O33,1)</f>
        <v>141.6</v>
      </c>
      <c r="P37" s="92"/>
      <c r="Q37" s="92">
        <f>ROUND(Q23-Q33,1)</f>
        <v>-54.8</v>
      </c>
      <c r="R37" s="92"/>
      <c r="S37" s="92">
        <f>ROUND(S23-S33,1)</f>
        <v>0</v>
      </c>
      <c r="T37" s="92"/>
      <c r="U37" s="92">
        <f>ROUND(U23-U33,1)</f>
        <v>0</v>
      </c>
      <c r="V37" s="92"/>
      <c r="W37" s="92">
        <f>ROUND(W23-W33,1)</f>
        <v>0</v>
      </c>
      <c r="X37" s="92"/>
      <c r="Y37" s="92">
        <f>ROUND(Y23-Y33,1)</f>
        <v>0</v>
      </c>
      <c r="Z37" s="88"/>
      <c r="AA37" s="1704"/>
      <c r="AB37" s="92">
        <f>ROUND(AB23-AB33,1)</f>
        <v>86.8</v>
      </c>
      <c r="AC37" s="2062"/>
      <c r="AD37" s="88"/>
      <c r="AE37" s="92">
        <f>ROUND(AE23-AE33,1)</f>
        <v>24.5</v>
      </c>
      <c r="AF37" s="456"/>
      <c r="AG37" s="1602"/>
      <c r="AH37" s="657">
        <f>ROUND(SUM(AH23-AH33),1)</f>
        <v>62.3</v>
      </c>
      <c r="AI37" s="1593"/>
      <c r="AJ37" s="1603">
        <f>ROUND(IF(AE37=0,1,AH37/ABS(AE37)),3)</f>
        <v>2.5430000000000001</v>
      </c>
    </row>
    <row r="38" spans="1:37" ht="16.5" customHeight="1">
      <c r="A38" s="75"/>
      <c r="B38" s="75"/>
      <c r="C38" s="1592"/>
      <c r="D38" s="86"/>
      <c r="E38" s="1702"/>
      <c r="F38" s="91"/>
      <c r="G38" s="1702"/>
      <c r="H38" s="91"/>
      <c r="I38" s="1702"/>
      <c r="J38" s="91"/>
      <c r="K38" s="1702"/>
      <c r="L38" s="91"/>
      <c r="M38" s="1702"/>
      <c r="N38" s="91"/>
      <c r="O38" s="1702"/>
      <c r="P38" s="91"/>
      <c r="Q38" s="1702"/>
      <c r="R38" s="91"/>
      <c r="S38" s="1702"/>
      <c r="T38" s="91"/>
      <c r="U38" s="1702"/>
      <c r="V38" s="91"/>
      <c r="W38" s="1702"/>
      <c r="X38" s="91"/>
      <c r="Y38" s="1702"/>
      <c r="Z38" s="86"/>
      <c r="AA38" s="87"/>
      <c r="AB38" s="1592"/>
      <c r="AC38" s="2063"/>
      <c r="AD38" s="87"/>
      <c r="AE38" s="1592"/>
      <c r="AF38" s="329"/>
      <c r="AG38" s="1602"/>
      <c r="AH38" s="89"/>
      <c r="AI38" s="45"/>
      <c r="AJ38" s="1586"/>
    </row>
    <row r="39" spans="1:37" ht="16.5" customHeight="1">
      <c r="A39" s="75"/>
      <c r="B39" s="75"/>
      <c r="C39" s="86"/>
      <c r="D39" s="86"/>
      <c r="E39" s="91"/>
      <c r="F39" s="91"/>
      <c r="G39" s="91"/>
      <c r="H39" s="91"/>
      <c r="I39" s="91"/>
      <c r="J39" s="91"/>
      <c r="K39" s="91"/>
      <c r="L39" s="91"/>
      <c r="M39" s="91"/>
      <c r="N39" s="91"/>
      <c r="O39" s="91"/>
      <c r="P39" s="91"/>
      <c r="Q39" s="91"/>
      <c r="R39" s="91"/>
      <c r="S39" s="91"/>
      <c r="T39" s="91"/>
      <c r="U39" s="91"/>
      <c r="V39" s="91"/>
      <c r="W39" s="91"/>
      <c r="X39" s="91"/>
      <c r="Y39" s="91"/>
      <c r="Z39" s="86"/>
      <c r="AA39" s="87"/>
      <c r="AB39" s="86"/>
      <c r="AC39" s="86"/>
      <c r="AD39" s="87"/>
      <c r="AE39" s="86"/>
      <c r="AG39" s="1589"/>
      <c r="AH39" s="89"/>
      <c r="AI39" s="45"/>
      <c r="AJ39" s="1595"/>
    </row>
    <row r="40" spans="1:37" ht="16.5" customHeight="1">
      <c r="A40" s="83" t="s">
        <v>147</v>
      </c>
      <c r="B40" s="75"/>
      <c r="C40" s="86"/>
      <c r="D40" s="86"/>
      <c r="E40" s="91"/>
      <c r="F40" s="91"/>
      <c r="G40" s="91"/>
      <c r="H40" s="91"/>
      <c r="I40" s="91"/>
      <c r="J40" s="91"/>
      <c r="K40" s="1707"/>
      <c r="L40" s="91"/>
      <c r="M40" s="1707"/>
      <c r="N40" s="91"/>
      <c r="O40" s="91"/>
      <c r="P40" s="91"/>
      <c r="Q40" s="91"/>
      <c r="R40" s="91"/>
      <c r="S40" s="91"/>
      <c r="T40" s="91"/>
      <c r="U40" s="91"/>
      <c r="V40" s="91"/>
      <c r="W40" s="91"/>
      <c r="X40" s="91"/>
      <c r="Y40" s="91"/>
      <c r="Z40" s="86"/>
      <c r="AA40" s="87"/>
      <c r="AB40" s="86"/>
      <c r="AC40" s="86"/>
      <c r="AD40" s="87"/>
      <c r="AE40" s="86"/>
      <c r="AF40" s="329"/>
      <c r="AG40" s="1602"/>
      <c r="AH40" s="440"/>
      <c r="AI40" s="1604"/>
      <c r="AJ40" s="1605"/>
    </row>
    <row r="41" spans="1:37" ht="16.5" customHeight="1">
      <c r="A41" s="75" t="s">
        <v>569</v>
      </c>
      <c r="B41" s="75"/>
      <c r="C41" s="86">
        <v>0</v>
      </c>
      <c r="D41" s="86"/>
      <c r="E41" s="86">
        <v>2</v>
      </c>
      <c r="F41" s="91"/>
      <c r="G41" s="86">
        <v>0</v>
      </c>
      <c r="H41" s="775"/>
      <c r="I41" s="86">
        <v>0</v>
      </c>
      <c r="J41" s="91"/>
      <c r="K41" s="86">
        <v>0</v>
      </c>
      <c r="L41" s="91"/>
      <c r="M41" s="86">
        <v>0</v>
      </c>
      <c r="N41" s="91"/>
      <c r="O41" s="86">
        <v>1</v>
      </c>
      <c r="P41" s="91"/>
      <c r="Q41" s="86">
        <f t="shared" ref="Q41:Q42" si="4">$AB41-$C41-$E41-$G41-$I41-$K41-$M41-$O41</f>
        <v>0</v>
      </c>
      <c r="R41" s="91"/>
      <c r="S41" s="86"/>
      <c r="T41" s="91"/>
      <c r="U41" s="86"/>
      <c r="V41" s="91"/>
      <c r="W41" s="86"/>
      <c r="X41" s="91"/>
      <c r="Y41" s="86"/>
      <c r="Z41" s="86"/>
      <c r="AA41" s="87"/>
      <c r="AB41" s="91">
        <v>3</v>
      </c>
      <c r="AC41" s="86"/>
      <c r="AD41" s="87"/>
      <c r="AE41" s="91">
        <v>5</v>
      </c>
      <c r="AF41" s="329"/>
      <c r="AG41" s="1602"/>
      <c r="AH41" s="89">
        <f>ROUND(SUM(AB41-AE41),1)</f>
        <v>-2</v>
      </c>
      <c r="AI41" s="45"/>
      <c r="AJ41" s="1271">
        <f>ROUND(IF(AE41=0,1,AH41/ABS(AE41)),3)</f>
        <v>-0.4</v>
      </c>
    </row>
    <row r="42" spans="1:37" ht="16.5" customHeight="1">
      <c r="A42" s="75" t="s">
        <v>570</v>
      </c>
      <c r="B42" s="75"/>
      <c r="C42" s="86">
        <v>0</v>
      </c>
      <c r="D42" s="86"/>
      <c r="E42" s="86">
        <v>0</v>
      </c>
      <c r="F42" s="91"/>
      <c r="G42" s="86">
        <v>0</v>
      </c>
      <c r="H42" s="775"/>
      <c r="I42" s="86">
        <v>0</v>
      </c>
      <c r="J42" s="91"/>
      <c r="K42" s="86">
        <v>0</v>
      </c>
      <c r="L42" s="91"/>
      <c r="M42" s="86">
        <v>0</v>
      </c>
      <c r="N42" s="91"/>
      <c r="O42" s="86">
        <v>0</v>
      </c>
      <c r="P42" s="91"/>
      <c r="Q42" s="86">
        <f t="shared" si="4"/>
        <v>0</v>
      </c>
      <c r="R42" s="91"/>
      <c r="S42" s="86"/>
      <c r="T42" s="91"/>
      <c r="U42" s="86"/>
      <c r="V42" s="91"/>
      <c r="W42" s="86"/>
      <c r="X42" s="91"/>
      <c r="Y42" s="86"/>
      <c r="Z42" s="86"/>
      <c r="AA42" s="87"/>
      <c r="AB42" s="91">
        <v>0</v>
      </c>
      <c r="AC42" s="86"/>
      <c r="AD42" s="87"/>
      <c r="AE42" s="91">
        <v>0</v>
      </c>
      <c r="AF42" s="329"/>
      <c r="AG42" s="1602"/>
      <c r="AH42" s="1167">
        <f>-ROUND(SUM(AB42-AE42),1)</f>
        <v>0</v>
      </c>
      <c r="AI42" s="45"/>
      <c r="AJ42" s="1272">
        <f>ROUND(IF(AE42=0,0,AH42/ABS(AE42)),3)</f>
        <v>0</v>
      </c>
    </row>
    <row r="43" spans="1:37" ht="16.5" customHeight="1">
      <c r="A43" s="75"/>
      <c r="B43" s="75"/>
      <c r="C43" s="1592"/>
      <c r="D43" s="86"/>
      <c r="E43" s="1592"/>
      <c r="F43" s="91"/>
      <c r="G43" s="1592"/>
      <c r="H43" s="91"/>
      <c r="I43" s="1592"/>
      <c r="J43" s="91"/>
      <c r="K43" s="1592"/>
      <c r="L43" s="91"/>
      <c r="M43" s="1592"/>
      <c r="N43" s="91"/>
      <c r="O43" s="1592"/>
      <c r="P43" s="91"/>
      <c r="Q43" s="1592"/>
      <c r="R43" s="91"/>
      <c r="S43" s="1592"/>
      <c r="T43" s="91"/>
      <c r="U43" s="1702"/>
      <c r="V43" s="91"/>
      <c r="W43" s="1702"/>
      <c r="X43" s="91"/>
      <c r="Y43" s="1702"/>
      <c r="Z43" s="86"/>
      <c r="AA43" s="87"/>
      <c r="AB43" s="1592"/>
      <c r="AC43" s="86"/>
      <c r="AD43" s="87"/>
      <c r="AE43" s="1592"/>
      <c r="AF43" s="329"/>
      <c r="AG43" s="1602"/>
      <c r="AH43" s="45"/>
      <c r="AI43" s="45"/>
      <c r="AJ43" s="1586"/>
    </row>
    <row r="44" spans="1:37" ht="16.5" customHeight="1">
      <c r="A44" s="83" t="s">
        <v>621</v>
      </c>
      <c r="B44" s="75"/>
      <c r="C44" s="1708">
        <f>ROUND(SUM(C41:C43),1)</f>
        <v>0</v>
      </c>
      <c r="D44" s="88"/>
      <c r="E44" s="1708">
        <f>ROUND(SUM(E41:E43),1)</f>
        <v>2</v>
      </c>
      <c r="F44" s="92"/>
      <c r="G44" s="1708">
        <f>ROUND(SUM(G41:G43),1)</f>
        <v>0</v>
      </c>
      <c r="H44" s="92"/>
      <c r="I44" s="1708">
        <f>ROUND(SUM(I41:I43),1)</f>
        <v>0</v>
      </c>
      <c r="J44" s="92"/>
      <c r="K44" s="1708">
        <f>ROUND(SUM(K41:K43),1)</f>
        <v>0</v>
      </c>
      <c r="L44" s="92"/>
      <c r="M44" s="1708">
        <f>ROUND(SUM(M41:M43),1)</f>
        <v>0</v>
      </c>
      <c r="N44" s="92"/>
      <c r="O44" s="1708">
        <f>ROUND(SUM(O41:O43),1)</f>
        <v>1</v>
      </c>
      <c r="P44" s="92"/>
      <c r="Q44" s="1708">
        <f>ROUND(SUM(Q41:Q43),1)</f>
        <v>0</v>
      </c>
      <c r="R44" s="1708"/>
      <c r="S44" s="1708">
        <f>ROUND(SUM(S41:S43),1)</f>
        <v>0</v>
      </c>
      <c r="T44" s="92"/>
      <c r="U44" s="1708">
        <f>ROUND(SUM(U41:U43),1)</f>
        <v>0</v>
      </c>
      <c r="V44" s="92"/>
      <c r="W44" s="1708">
        <f>ROUND(SUM(W41:W43),1)</f>
        <v>0</v>
      </c>
      <c r="X44" s="92"/>
      <c r="Y44" s="1708">
        <f>ROUND(SUM(Y41:Y43),1)</f>
        <v>0</v>
      </c>
      <c r="Z44" s="88"/>
      <c r="AA44" s="1704"/>
      <c r="AB44" s="657">
        <f>ROUND(SUM(AB41+AB42),1)</f>
        <v>3</v>
      </c>
      <c r="AC44" s="2062"/>
      <c r="AD44" s="88"/>
      <c r="AE44" s="657">
        <f>ROUND(SUM(AE41+AE42),1)</f>
        <v>5</v>
      </c>
      <c r="AF44" s="353"/>
      <c r="AG44" s="1589"/>
      <c r="AH44" s="657">
        <f>ROUND(SUM(AH41:AH42),1)</f>
        <v>-2</v>
      </c>
      <c r="AI44" s="400"/>
      <c r="AJ44" s="1273">
        <f>ROUND(IF(AE44=0,1,AH44/ABS(AE44)),3)</f>
        <v>-0.4</v>
      </c>
    </row>
    <row r="45" spans="1:37" ht="16.5" customHeight="1">
      <c r="A45" s="75"/>
      <c r="B45" s="75"/>
      <c r="C45" s="1592"/>
      <c r="D45" s="86"/>
      <c r="E45" s="1702"/>
      <c r="F45" s="91"/>
      <c r="G45" s="1702"/>
      <c r="H45" s="91"/>
      <c r="I45" s="1702"/>
      <c r="J45" s="91"/>
      <c r="K45" s="1702"/>
      <c r="L45" s="91"/>
      <c r="M45" s="1702"/>
      <c r="N45" s="91"/>
      <c r="O45" s="1702"/>
      <c r="P45" s="91"/>
      <c r="Q45" s="1702"/>
      <c r="R45" s="91"/>
      <c r="S45" s="1702"/>
      <c r="T45" s="91"/>
      <c r="U45" s="1702"/>
      <c r="V45" s="91"/>
      <c r="W45" s="1702"/>
      <c r="X45" s="91"/>
      <c r="Y45" s="1702"/>
      <c r="Z45" s="86"/>
      <c r="AA45" s="87"/>
      <c r="AB45" s="1592"/>
      <c r="AC45" s="86"/>
      <c r="AD45" s="87"/>
      <c r="AE45" s="1592"/>
      <c r="AG45" s="1589"/>
      <c r="AH45" s="45"/>
      <c r="AI45" s="45"/>
      <c r="AJ45" s="1586"/>
    </row>
    <row r="46" spans="1:37" ht="16.5" customHeight="1">
      <c r="A46" s="75"/>
      <c r="B46" s="75"/>
      <c r="C46" s="86"/>
      <c r="D46" s="86"/>
      <c r="E46" s="91"/>
      <c r="F46" s="91"/>
      <c r="G46" s="91"/>
      <c r="H46" s="91"/>
      <c r="I46" s="91"/>
      <c r="J46" s="91"/>
      <c r="K46" s="91"/>
      <c r="L46" s="91"/>
      <c r="M46" s="91"/>
      <c r="N46" s="91"/>
      <c r="O46" s="91"/>
      <c r="P46" s="91"/>
      <c r="Q46" s="91"/>
      <c r="R46" s="91"/>
      <c r="S46" s="91"/>
      <c r="T46" s="91"/>
      <c r="U46" s="91"/>
      <c r="V46" s="91"/>
      <c r="W46" s="91"/>
      <c r="X46" s="91"/>
      <c r="Y46" s="91"/>
      <c r="Z46" s="86"/>
      <c r="AA46" s="87"/>
      <c r="AB46" s="86"/>
      <c r="AC46" s="86"/>
      <c r="AD46" s="87"/>
      <c r="AE46" s="86"/>
      <c r="AG46" s="1589"/>
      <c r="AH46" s="45"/>
      <c r="AI46" s="45"/>
      <c r="AJ46" s="1586"/>
    </row>
    <row r="47" spans="1:37" ht="16.5" customHeight="1">
      <c r="A47" s="83" t="s">
        <v>499</v>
      </c>
      <c r="B47" s="75"/>
      <c r="C47" s="86"/>
      <c r="D47" s="86"/>
      <c r="E47" s="91"/>
      <c r="F47" s="91"/>
      <c r="G47" s="91"/>
      <c r="H47" s="91"/>
      <c r="I47" s="91"/>
      <c r="J47" s="91"/>
      <c r="K47" s="91"/>
      <c r="L47" s="91"/>
      <c r="M47" s="91"/>
      <c r="N47" s="91"/>
      <c r="O47" s="91"/>
      <c r="P47" s="91"/>
      <c r="Q47" s="91"/>
      <c r="R47" s="91"/>
      <c r="S47" s="91"/>
      <c r="T47" s="91"/>
      <c r="U47" s="91"/>
      <c r="V47" s="91"/>
      <c r="W47" s="91"/>
      <c r="X47" s="91"/>
      <c r="Y47" s="91"/>
      <c r="Z47" s="86"/>
      <c r="AA47" s="87"/>
      <c r="AB47" s="86"/>
      <c r="AC47" s="86"/>
      <c r="AD47" s="87"/>
      <c r="AE47" s="86"/>
      <c r="AG47" s="1589"/>
      <c r="AH47" s="45"/>
      <c r="AI47" s="45"/>
      <c r="AJ47" s="1586"/>
    </row>
    <row r="48" spans="1:37" ht="16.5" customHeight="1">
      <c r="A48" s="83" t="s">
        <v>629</v>
      </c>
      <c r="B48" s="75"/>
      <c r="C48" s="86"/>
      <c r="D48" s="86"/>
      <c r="E48" s="91"/>
      <c r="F48" s="91"/>
      <c r="G48" s="91"/>
      <c r="H48" s="91"/>
      <c r="I48" s="91"/>
      <c r="J48" s="91"/>
      <c r="K48" s="1709"/>
      <c r="L48" s="91"/>
      <c r="M48" s="91"/>
      <c r="N48" s="91"/>
      <c r="O48" s="91"/>
      <c r="P48" s="91"/>
      <c r="Q48" s="91"/>
      <c r="R48" s="91"/>
      <c r="S48" s="91"/>
      <c r="T48" s="91"/>
      <c r="U48" s="91"/>
      <c r="V48" s="91"/>
      <c r="W48" s="91"/>
      <c r="X48" s="91"/>
      <c r="Y48" s="91"/>
      <c r="Z48" s="86"/>
      <c r="AA48" s="87"/>
      <c r="AB48" s="86"/>
      <c r="AC48" s="86"/>
      <c r="AD48" s="87"/>
      <c r="AE48" s="86"/>
      <c r="AG48" s="1589"/>
      <c r="AH48" s="45"/>
      <c r="AI48" s="45"/>
      <c r="AJ48" s="1586"/>
    </row>
    <row r="49" spans="1:38" ht="16.5" customHeight="1">
      <c r="A49" s="83" t="s">
        <v>501</v>
      </c>
      <c r="B49" s="75"/>
      <c r="C49" s="92">
        <f>ROUND(C37+C44,1)</f>
        <v>-120</v>
      </c>
      <c r="D49" s="88"/>
      <c r="E49" s="92">
        <f>ROUND(E37+E44,1)</f>
        <v>143.80000000000001</v>
      </c>
      <c r="F49" s="92"/>
      <c r="G49" s="92">
        <f>ROUND(G37+G44,1)</f>
        <v>-18.7</v>
      </c>
      <c r="H49" s="92"/>
      <c r="I49" s="92">
        <f>ROUND(I37+I44,1)</f>
        <v>96.6</v>
      </c>
      <c r="J49" s="92"/>
      <c r="K49" s="1706">
        <f>ROUND(K37+K44,1)</f>
        <v>65.599999999999994</v>
      </c>
      <c r="L49" s="92"/>
      <c r="M49" s="92">
        <f>ROUND(M37+M44,1)</f>
        <v>-165.3</v>
      </c>
      <c r="N49" s="92"/>
      <c r="O49" s="92">
        <f>ROUND(O37+O44,1)</f>
        <v>142.6</v>
      </c>
      <c r="P49" s="92"/>
      <c r="Q49" s="92">
        <f>ROUND(Q37+Q44,1)</f>
        <v>-54.8</v>
      </c>
      <c r="R49" s="92"/>
      <c r="S49" s="92">
        <f>ROUND(S37+S44,1)</f>
        <v>0</v>
      </c>
      <c r="T49" s="92"/>
      <c r="U49" s="92">
        <f>ROUND(U37+U44,1)</f>
        <v>0</v>
      </c>
      <c r="V49" s="92"/>
      <c r="W49" s="92">
        <f>ROUND(W37+W44,1)</f>
        <v>0</v>
      </c>
      <c r="X49" s="92"/>
      <c r="Y49" s="92">
        <f>ROUND(Y37+Y44,1)</f>
        <v>0</v>
      </c>
      <c r="Z49" s="88"/>
      <c r="AA49" s="1704"/>
      <c r="AB49" s="92">
        <f>ROUND(AB37+AB44,1)</f>
        <v>89.8</v>
      </c>
      <c r="AC49" s="2062"/>
      <c r="AD49" s="88"/>
      <c r="AE49" s="92">
        <f>ROUND(AE37+AE44,1)</f>
        <v>29.5</v>
      </c>
      <c r="AG49" s="1589"/>
      <c r="AH49" s="657">
        <f>ROUND(SUM(AH37+AH44),1)</f>
        <v>60.3</v>
      </c>
      <c r="AI49" s="97"/>
      <c r="AJ49" s="1603">
        <f>ROUND(IF(AE49=0,1,AH49/ABS(AE49)),3)</f>
        <v>2.044</v>
      </c>
      <c r="AK49" s="141"/>
      <c r="AL49" s="141"/>
    </row>
    <row r="50" spans="1:38" ht="16.5" customHeight="1">
      <c r="A50" s="75"/>
      <c r="B50" s="75"/>
      <c r="C50" s="1606"/>
      <c r="D50" s="83"/>
      <c r="E50" s="1710"/>
      <c r="F50" s="1711"/>
      <c r="G50" s="1710"/>
      <c r="H50" s="1711"/>
      <c r="I50" s="1710"/>
      <c r="J50" s="1711"/>
      <c r="K50" s="1712"/>
      <c r="L50" s="1711"/>
      <c r="M50" s="1710"/>
      <c r="N50" s="1711"/>
      <c r="O50" s="1710"/>
      <c r="P50" s="1711"/>
      <c r="Q50" s="1710"/>
      <c r="R50" s="1711"/>
      <c r="S50" s="1710"/>
      <c r="T50" s="1711"/>
      <c r="U50" s="1710"/>
      <c r="V50" s="1711"/>
      <c r="W50" s="1710"/>
      <c r="X50" s="1711"/>
      <c r="Y50" s="1710"/>
      <c r="Z50" s="83"/>
      <c r="AA50" s="143"/>
      <c r="AB50" s="1606"/>
      <c r="AC50" s="83"/>
      <c r="AD50" s="143"/>
      <c r="AE50" s="1606"/>
      <c r="AG50" s="1589"/>
      <c r="AH50" s="45"/>
      <c r="AI50" s="45"/>
      <c r="AJ50" s="1586"/>
      <c r="AK50" s="141"/>
      <c r="AL50" s="141"/>
    </row>
    <row r="51" spans="1:38" ht="16.5" customHeight="1">
      <c r="A51" s="83" t="s">
        <v>463</v>
      </c>
      <c r="B51" s="75"/>
      <c r="C51" s="81">
        <f>ROUND(C16+C49,1)</f>
        <v>390.4</v>
      </c>
      <c r="D51" s="81"/>
      <c r="E51" s="81">
        <f>ROUND(E16+E49,1)</f>
        <v>534.20000000000005</v>
      </c>
      <c r="F51" s="140"/>
      <c r="G51" s="81">
        <f>ROUND(G16+G49,1)</f>
        <v>515.5</v>
      </c>
      <c r="H51" s="140"/>
      <c r="I51" s="1769">
        <f>ROUND(I16+I49,1)</f>
        <v>612.1</v>
      </c>
      <c r="J51" s="140"/>
      <c r="K51" s="81">
        <f>ROUND(K16+K49,1)</f>
        <v>677.7</v>
      </c>
      <c r="L51" s="140"/>
      <c r="M51" s="81">
        <f>ROUND(M16+M49,1)</f>
        <v>512.4</v>
      </c>
      <c r="N51" s="140"/>
      <c r="O51" s="81">
        <f>ROUND(O16+O49,1)</f>
        <v>655</v>
      </c>
      <c r="P51" s="140"/>
      <c r="Q51" s="81">
        <f>ROUND(Q16+Q49,1)</f>
        <v>600.20000000000005</v>
      </c>
      <c r="R51" s="140"/>
      <c r="S51" s="81">
        <f>ROUND(S16+S49,1)</f>
        <v>0</v>
      </c>
      <c r="T51" s="140"/>
      <c r="U51" s="81">
        <f>ROUND(U16+U49,1)</f>
        <v>0</v>
      </c>
      <c r="V51" s="140"/>
      <c r="W51" s="81">
        <f>ROUND(W16+W49,1)</f>
        <v>0</v>
      </c>
      <c r="X51" s="140"/>
      <c r="Y51" s="81">
        <f>ROUND(Y16+Y49,1)</f>
        <v>0</v>
      </c>
      <c r="Z51" s="81"/>
      <c r="AA51" s="82"/>
      <c r="AB51" s="81">
        <f>ROUND(AB16+AB49,1)</f>
        <v>600.20000000000005</v>
      </c>
      <c r="AC51" s="81"/>
      <c r="AD51" s="82"/>
      <c r="AE51" s="81">
        <f>ROUND(AE16+AE49,1)</f>
        <v>387.2</v>
      </c>
      <c r="AG51" s="1589"/>
      <c r="AH51" s="150">
        <f>ROUND(SUM(AB51-AE51),1)</f>
        <v>213</v>
      </c>
      <c r="AI51" s="1604"/>
      <c r="AJ51" s="1607">
        <f>ROUND(IF(AH51=0,0,AH51/ABS(AE51)),3)</f>
        <v>0.55000000000000004</v>
      </c>
      <c r="AK51" s="141"/>
      <c r="AL51" s="141"/>
    </row>
    <row r="52" spans="1:38" ht="16.5" customHeight="1">
      <c r="A52" s="77"/>
      <c r="B52" s="77"/>
      <c r="C52" s="144"/>
      <c r="D52" s="77"/>
      <c r="E52" s="144"/>
      <c r="F52" s="77"/>
      <c r="G52" s="144"/>
      <c r="H52" s="77"/>
      <c r="I52" s="77"/>
      <c r="J52" s="77"/>
      <c r="K52" s="144"/>
      <c r="L52" s="77"/>
      <c r="M52" s="144"/>
      <c r="N52" s="77"/>
      <c r="O52" s="144"/>
      <c r="P52" s="77"/>
      <c r="Q52" s="144"/>
      <c r="R52" s="77"/>
      <c r="S52" s="144"/>
      <c r="T52" s="77"/>
      <c r="U52" s="144"/>
      <c r="V52" s="77"/>
      <c r="W52" s="144"/>
      <c r="X52" s="77"/>
      <c r="Y52" s="144"/>
      <c r="Z52" s="77"/>
      <c r="AA52" s="77"/>
      <c r="AB52" s="144"/>
      <c r="AC52" s="77"/>
      <c r="AD52" s="77"/>
      <c r="AE52" s="144"/>
      <c r="AG52" s="45"/>
      <c r="AH52" s="45"/>
      <c r="AI52" s="45"/>
      <c r="AJ52" s="45"/>
    </row>
    <row r="53" spans="1:38" ht="16.5" customHeight="1">
      <c r="A53" s="93"/>
      <c r="AG53" s="45"/>
      <c r="AH53" s="45"/>
      <c r="AI53" s="45"/>
      <c r="AJ53" s="45"/>
    </row>
    <row r="54" spans="1:38" ht="16.5" customHeight="1">
      <c r="A54" s="93"/>
      <c r="AG54" s="45"/>
      <c r="AH54" s="45"/>
      <c r="AI54" s="45"/>
      <c r="AJ54" s="45"/>
    </row>
    <row r="55" spans="1:38" ht="16.5" customHeight="1">
      <c r="A55" s="93"/>
      <c r="AG55" s="45"/>
      <c r="AH55" s="45"/>
      <c r="AI55" s="45"/>
      <c r="AJ55" s="45"/>
    </row>
    <row r="56" spans="1:38" ht="16.5" customHeight="1">
      <c r="A56" s="93"/>
      <c r="AG56" s="45"/>
      <c r="AH56" s="45"/>
      <c r="AI56" s="45"/>
      <c r="AJ56" s="45"/>
    </row>
    <row r="57" spans="1:38" ht="16.5" customHeight="1">
      <c r="A57" s="93"/>
      <c r="AG57" s="45"/>
      <c r="AH57" s="45"/>
      <c r="AI57" s="45"/>
      <c r="AJ57" s="45"/>
    </row>
  </sheetData>
  <mergeCells count="1">
    <mergeCell ref="AB12:AJ12"/>
  </mergeCells>
  <pageMargins left="0.25" right="0.25" top="0.5" bottom="0.25" header="0" footer="0.25"/>
  <pageSetup scale="41" firstPageNumber="34" orientation="landscape" useFirstPageNumber="1" r:id="rId1"/>
  <headerFooter scaleWithDoc="0" alignWithMargins="0">
    <oddFooter>&amp;C&amp;8 &amp;P</oddFooter>
  </headerFooter>
  <customProperties>
    <customPr name="SheetOptions" r:id="rId2"/>
  </customPropertie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5">
    <pageSetUpPr fitToPage="1"/>
  </sheetPr>
  <dimension ref="A1:AK50"/>
  <sheetViews>
    <sheetView showGridLines="0" zoomScale="80" zoomScaleNormal="80" workbookViewId="0"/>
  </sheetViews>
  <sheetFormatPr defaultColWidth="8.84375" defaultRowHeight="16.5" customHeight="1"/>
  <cols>
    <col min="1" max="1" width="48.4609375" style="71" customWidth="1"/>
    <col min="2" max="2" width="11" style="71" customWidth="1"/>
    <col min="3" max="3" width="1.84375" style="71" customWidth="1"/>
    <col min="4" max="4" width="11" style="71" customWidth="1"/>
    <col min="5" max="5" width="1.84375" style="71" customWidth="1"/>
    <col min="6" max="6" width="11.07421875" style="71" customWidth="1"/>
    <col min="7" max="7" width="1.84375" style="71" customWidth="1"/>
    <col min="8" max="8" width="11" style="71" customWidth="1"/>
    <col min="9" max="9" width="1.84375" style="71" customWidth="1"/>
    <col min="10" max="10" width="10.4609375" style="71" customWidth="1"/>
    <col min="11" max="11" width="1.84375" style="71" customWidth="1"/>
    <col min="12" max="12" width="13.07421875" style="71" customWidth="1"/>
    <col min="13" max="13" width="1.84375" style="71" customWidth="1"/>
    <col min="14" max="14" width="11.07421875" style="71" customWidth="1"/>
    <col min="15" max="15" width="1.84375" style="71" customWidth="1"/>
    <col min="16" max="16" width="12.07421875" style="71" customWidth="1"/>
    <col min="17" max="17" width="1.84375" style="71" customWidth="1"/>
    <col min="18" max="18" width="12" style="71" customWidth="1"/>
    <col min="19" max="19" width="1.84375" style="71" customWidth="1"/>
    <col min="20" max="20" width="11.07421875" style="71" customWidth="1"/>
    <col min="21" max="21" width="1.84375" style="71" customWidth="1"/>
    <col min="22" max="22" width="11.84375" style="71" customWidth="1"/>
    <col min="23" max="23" width="1.84375" style="71" customWidth="1"/>
    <col min="24" max="24" width="11.07421875" style="71" customWidth="1"/>
    <col min="25" max="26" width="1.84375" style="71" customWidth="1"/>
    <col min="27" max="27" width="11.53515625" style="71" customWidth="1"/>
    <col min="28" max="29" width="1.84375" style="71" customWidth="1"/>
    <col min="30" max="30" width="11.53515625" style="71" customWidth="1"/>
    <col min="31" max="31" width="1.84375" style="153" customWidth="1"/>
    <col min="32" max="32" width="2.4609375" style="538" customWidth="1"/>
    <col min="33" max="33" width="10.07421875" style="538" bestFit="1" customWidth="1"/>
    <col min="34" max="34" width="1.84375" style="538" customWidth="1"/>
    <col min="35" max="35" width="12.07421875" style="538" customWidth="1"/>
    <col min="36" max="16384" width="8.84375" style="71"/>
  </cols>
  <sheetData>
    <row r="1" spans="1:37" ht="16.5" customHeight="1">
      <c r="A1" s="326" t="s">
        <v>98</v>
      </c>
      <c r="AF1" s="45"/>
      <c r="AG1" s="45"/>
      <c r="AH1" s="45"/>
      <c r="AI1" s="45"/>
    </row>
    <row r="2" spans="1:37" ht="16.5" customHeight="1">
      <c r="A2" s="431"/>
      <c r="AF2" s="45"/>
      <c r="AG2" s="45"/>
      <c r="AH2" s="45"/>
      <c r="AI2" s="45"/>
    </row>
    <row r="3" spans="1:37" ht="20.25" customHeight="1">
      <c r="A3" s="1230" t="s">
        <v>99</v>
      </c>
      <c r="B3" s="123"/>
      <c r="C3" s="145"/>
      <c r="D3" s="145"/>
      <c r="E3" s="145"/>
      <c r="F3" s="145"/>
      <c r="G3" s="145"/>
      <c r="H3" s="145"/>
      <c r="I3" s="145"/>
      <c r="J3" s="145"/>
      <c r="K3" s="145"/>
      <c r="L3" s="145"/>
      <c r="M3" s="145"/>
      <c r="N3" s="145"/>
      <c r="O3" s="145"/>
      <c r="P3" s="145"/>
      <c r="Q3" s="145"/>
      <c r="R3" s="145"/>
      <c r="S3" s="145"/>
      <c r="T3" s="145"/>
      <c r="U3" s="145"/>
      <c r="V3" s="145"/>
      <c r="W3" s="145"/>
      <c r="X3" s="145"/>
      <c r="Y3" s="145"/>
      <c r="Z3" s="145"/>
      <c r="AA3" s="145"/>
      <c r="AB3" s="145"/>
      <c r="AC3" s="145"/>
      <c r="AD3" s="145"/>
      <c r="AE3" s="353"/>
      <c r="AF3" s="45"/>
      <c r="AG3" s="45"/>
      <c r="AH3" s="45"/>
      <c r="AI3" s="105" t="s">
        <v>630</v>
      </c>
      <c r="AJ3" s="145"/>
      <c r="AK3" s="145"/>
    </row>
    <row r="4" spans="1:37" ht="22.5" customHeight="1">
      <c r="A4" s="1230" t="s">
        <v>631</v>
      </c>
      <c r="B4" s="123"/>
      <c r="C4" s="145"/>
      <c r="D4" s="145"/>
      <c r="E4" s="145"/>
      <c r="F4" s="145"/>
      <c r="G4" s="145"/>
      <c r="H4" s="123" t="s">
        <v>104</v>
      </c>
      <c r="I4" s="145"/>
      <c r="J4" s="145"/>
      <c r="K4" s="145"/>
      <c r="L4" s="145"/>
      <c r="M4" s="145"/>
      <c r="N4" s="145"/>
      <c r="O4" s="145"/>
      <c r="P4" s="145"/>
      <c r="Q4" s="145"/>
      <c r="R4" s="145"/>
      <c r="S4" s="145"/>
      <c r="T4" s="145"/>
      <c r="U4" s="145"/>
      <c r="V4" s="145"/>
      <c r="W4" s="145"/>
      <c r="X4" s="145" t="s">
        <v>104</v>
      </c>
      <c r="Y4" s="145"/>
      <c r="Z4" s="145"/>
      <c r="AA4" s="145"/>
      <c r="AB4" s="145"/>
      <c r="AC4" s="145"/>
      <c r="AD4" s="145"/>
      <c r="AE4" s="353"/>
      <c r="AF4" s="45"/>
      <c r="AG4" s="45"/>
      <c r="AH4" s="45"/>
      <c r="AI4" s="45"/>
      <c r="AJ4" s="145"/>
      <c r="AK4" s="145"/>
    </row>
    <row r="5" spans="1:37" ht="20.25" customHeight="1">
      <c r="A5" s="1230" t="s">
        <v>632</v>
      </c>
      <c r="B5" s="123"/>
      <c r="C5" s="145"/>
      <c r="D5" s="145"/>
      <c r="E5" s="145"/>
      <c r="F5" s="145"/>
      <c r="G5" s="145"/>
      <c r="H5" s="145"/>
      <c r="I5" s="145"/>
      <c r="J5" s="145"/>
      <c r="K5" s="145"/>
      <c r="L5" s="145"/>
      <c r="M5" s="145"/>
      <c r="N5" s="145"/>
      <c r="O5" s="145"/>
      <c r="P5" s="145"/>
      <c r="Q5" s="145"/>
      <c r="R5" s="145"/>
      <c r="S5" s="145"/>
      <c r="T5" s="145"/>
      <c r="U5" s="145"/>
      <c r="V5" s="145"/>
      <c r="W5" s="145"/>
      <c r="X5" s="145"/>
      <c r="Y5" s="145"/>
      <c r="Z5" s="145"/>
      <c r="AB5" s="105"/>
      <c r="AC5" s="105"/>
      <c r="AD5" s="105"/>
      <c r="AE5" s="435"/>
      <c r="AF5" s="45"/>
      <c r="AG5" s="45"/>
      <c r="AH5" s="45"/>
      <c r="AI5" s="45"/>
      <c r="AJ5" s="145"/>
      <c r="AK5" s="145"/>
    </row>
    <row r="6" spans="1:37" ht="20.25" customHeight="1">
      <c r="A6" s="1231" t="str">
        <f>'Cashflow Governmental'!A6</f>
        <v>FISCAL YEAR 2023-2024</v>
      </c>
      <c r="B6" s="123"/>
      <c r="C6" s="145"/>
      <c r="D6" s="145"/>
      <c r="E6" s="145"/>
      <c r="F6" s="145"/>
      <c r="G6" s="145"/>
      <c r="H6" s="145"/>
      <c r="I6" s="145"/>
      <c r="J6" s="145"/>
      <c r="K6" s="145"/>
      <c r="L6" s="145"/>
      <c r="M6" s="145"/>
      <c r="N6" s="145"/>
      <c r="O6" s="145"/>
      <c r="P6" s="145"/>
      <c r="Q6" s="145"/>
      <c r="R6" s="145"/>
      <c r="S6" s="145"/>
      <c r="T6" s="145"/>
      <c r="U6" s="145"/>
      <c r="V6" s="145"/>
      <c r="W6" s="145"/>
      <c r="X6" s="145"/>
      <c r="Y6" s="145"/>
      <c r="Z6" s="145"/>
      <c r="AA6" s="145"/>
      <c r="AB6" s="145"/>
      <c r="AC6" s="145"/>
      <c r="AD6" s="145"/>
      <c r="AE6" s="353"/>
      <c r="AF6" s="45"/>
      <c r="AG6" s="45"/>
      <c r="AH6" s="45"/>
      <c r="AI6" s="45"/>
      <c r="AJ6" s="145"/>
      <c r="AK6" s="145"/>
    </row>
    <row r="7" spans="1:37" ht="20.25" customHeight="1">
      <c r="A7" s="1230" t="s">
        <v>103</v>
      </c>
      <c r="B7" s="123"/>
      <c r="C7" s="145"/>
      <c r="D7" s="145"/>
      <c r="E7" s="145"/>
      <c r="F7" s="145"/>
      <c r="G7" s="145"/>
      <c r="H7" s="145"/>
      <c r="I7" s="145"/>
      <c r="J7" s="145"/>
      <c r="K7" s="145"/>
      <c r="L7" s="145"/>
      <c r="M7" s="145"/>
      <c r="N7" s="145"/>
      <c r="O7" s="145"/>
      <c r="P7" s="145"/>
      <c r="Q7" s="145"/>
      <c r="R7" s="145"/>
      <c r="S7" s="145"/>
      <c r="T7" s="145"/>
      <c r="U7" s="145"/>
      <c r="V7" s="145"/>
      <c r="W7" s="145"/>
      <c r="X7" s="145"/>
      <c r="Y7" s="145"/>
      <c r="Z7" s="145"/>
      <c r="AA7" s="145"/>
      <c r="AB7" s="145"/>
      <c r="AC7" s="145"/>
      <c r="AD7" s="145"/>
      <c r="AE7" s="353"/>
      <c r="AF7" s="45"/>
      <c r="AG7" s="45"/>
      <c r="AH7" s="45"/>
      <c r="AI7" s="45"/>
      <c r="AJ7" s="145"/>
      <c r="AK7" s="145"/>
    </row>
    <row r="8" spans="1:37" ht="16.5" customHeight="1">
      <c r="L8" s="863"/>
      <c r="AE8" s="353"/>
      <c r="AF8" s="45"/>
      <c r="AG8" s="45"/>
      <c r="AH8" s="45"/>
      <c r="AI8" s="45"/>
    </row>
    <row r="9" spans="1:37" ht="16.5" customHeight="1">
      <c r="A9" s="146"/>
      <c r="B9" s="74"/>
      <c r="C9" s="74"/>
      <c r="D9" s="74"/>
      <c r="E9" s="74"/>
      <c r="F9" s="74"/>
      <c r="G9" s="74"/>
      <c r="H9" s="104"/>
      <c r="I9" s="104"/>
      <c r="J9" s="104"/>
      <c r="K9" s="74"/>
      <c r="L9" s="74"/>
      <c r="M9" s="74"/>
      <c r="N9" s="74"/>
      <c r="O9" s="74"/>
      <c r="P9" s="74"/>
      <c r="Q9" s="74"/>
      <c r="R9" s="74"/>
      <c r="S9" s="74"/>
      <c r="T9" s="74"/>
      <c r="U9" s="74"/>
      <c r="V9" s="74"/>
      <c r="W9" s="74"/>
      <c r="X9" s="74"/>
      <c r="Y9" s="74"/>
      <c r="Z9" s="74"/>
      <c r="AA9" s="74"/>
      <c r="AB9" s="74"/>
      <c r="AC9" s="74"/>
      <c r="AD9" s="74"/>
      <c r="AE9" s="71"/>
      <c r="AF9" s="94"/>
      <c r="AG9" s="94"/>
      <c r="AH9" s="94"/>
      <c r="AI9" s="94"/>
    </row>
    <row r="10" spans="1:37" ht="16.5" customHeight="1">
      <c r="A10" s="94"/>
      <c r="B10" s="96"/>
      <c r="C10" s="96"/>
      <c r="D10" s="96"/>
      <c r="E10" s="96"/>
      <c r="F10" s="96"/>
      <c r="G10" s="96"/>
      <c r="H10" s="96"/>
      <c r="I10" s="96"/>
      <c r="J10" s="96"/>
      <c r="K10" s="96"/>
      <c r="L10" s="96"/>
      <c r="M10" s="96"/>
      <c r="N10" s="96"/>
      <c r="O10" s="96"/>
      <c r="P10" s="96"/>
      <c r="Q10" s="96"/>
      <c r="R10" s="96"/>
      <c r="S10" s="96"/>
      <c r="T10" s="96"/>
      <c r="U10" s="96"/>
      <c r="V10" s="96"/>
      <c r="W10" s="96"/>
      <c r="X10" s="96"/>
      <c r="Y10" s="96"/>
      <c r="Z10" s="97"/>
      <c r="AA10" s="2237" t="s">
        <v>1590</v>
      </c>
      <c r="AB10" s="2238"/>
      <c r="AC10" s="2238"/>
      <c r="AD10" s="2238"/>
      <c r="AE10" s="2238"/>
      <c r="AF10" s="2238"/>
      <c r="AG10" s="2238"/>
      <c r="AH10" s="2238"/>
      <c r="AI10" s="2238"/>
    </row>
    <row r="11" spans="1:37" ht="16.5" customHeight="1">
      <c r="A11" s="94"/>
      <c r="B11" s="2014" t="str">
        <f>'Cashflow Governmental'!C13</f>
        <v>2023</v>
      </c>
      <c r="C11" s="97"/>
      <c r="D11" s="97"/>
      <c r="E11" s="97"/>
      <c r="F11" s="97"/>
      <c r="G11" s="97"/>
      <c r="H11" s="97"/>
      <c r="I11" s="97"/>
      <c r="J11" s="97"/>
      <c r="K11" s="97"/>
      <c r="L11" s="97"/>
      <c r="M11" s="97"/>
      <c r="N11" s="97"/>
      <c r="O11" s="97"/>
      <c r="P11" s="97"/>
      <c r="Q11" s="97"/>
      <c r="R11" s="97"/>
      <c r="S11" s="97"/>
      <c r="T11" s="2014">
        <f>'Cashflow Governmental'!U13</f>
        <v>2024</v>
      </c>
      <c r="U11" s="97"/>
      <c r="V11" s="97"/>
      <c r="W11" s="97"/>
      <c r="X11" s="97"/>
      <c r="Y11" s="97"/>
      <c r="Z11" s="97"/>
      <c r="AA11" s="97"/>
      <c r="AB11" s="97"/>
      <c r="AC11" s="97"/>
      <c r="AD11" s="97"/>
      <c r="AE11" s="668"/>
      <c r="AF11" s="97"/>
      <c r="AG11" s="1581" t="s">
        <v>111</v>
      </c>
      <c r="AH11" s="1581"/>
      <c r="AI11" s="1582" t="s">
        <v>112</v>
      </c>
    </row>
    <row r="12" spans="1:37" ht="16.5" customHeight="1">
      <c r="A12" s="94"/>
      <c r="B12" s="400" t="s">
        <v>358</v>
      </c>
      <c r="C12" s="97"/>
      <c r="D12" s="400" t="s">
        <v>359</v>
      </c>
      <c r="E12" s="97"/>
      <c r="F12" s="400" t="s">
        <v>360</v>
      </c>
      <c r="G12" s="97"/>
      <c r="H12" s="400" t="s">
        <v>361</v>
      </c>
      <c r="I12" s="97"/>
      <c r="J12" s="400" t="s">
        <v>362</v>
      </c>
      <c r="K12" s="97"/>
      <c r="L12" s="2014" t="s">
        <v>475</v>
      </c>
      <c r="M12" s="97"/>
      <c r="N12" s="2014" t="s">
        <v>476</v>
      </c>
      <c r="O12" s="97"/>
      <c r="P12" s="400" t="s">
        <v>365</v>
      </c>
      <c r="Q12" s="97"/>
      <c r="R12" s="400" t="s">
        <v>366</v>
      </c>
      <c r="S12" s="97"/>
      <c r="T12" s="400" t="s">
        <v>367</v>
      </c>
      <c r="U12" s="97"/>
      <c r="V12" s="400" t="s">
        <v>368</v>
      </c>
      <c r="W12" s="97"/>
      <c r="X12" s="2014" t="s">
        <v>477</v>
      </c>
      <c r="Y12" s="97"/>
      <c r="Z12" s="97"/>
      <c r="AA12" s="400">
        <f>'Cashflow Governmental'!AB14</f>
        <v>2023</v>
      </c>
      <c r="AB12" s="97" t="s">
        <v>104</v>
      </c>
      <c r="AC12" s="97"/>
      <c r="AD12" s="400">
        <f>'Cashflow Governmental'!AE14</f>
        <v>2022</v>
      </c>
      <c r="AE12" s="400"/>
      <c r="AF12" s="400"/>
      <c r="AG12" s="1583" t="s">
        <v>113</v>
      </c>
      <c r="AH12" s="1581"/>
      <c r="AI12" s="1583" t="s">
        <v>114</v>
      </c>
    </row>
    <row r="13" spans="1:37" ht="4.5" customHeight="1">
      <c r="A13" s="94"/>
      <c r="B13" s="1608"/>
      <c r="C13" s="94"/>
      <c r="D13" s="1608"/>
      <c r="E13" s="94"/>
      <c r="F13" s="1608"/>
      <c r="G13" s="94"/>
      <c r="H13" s="1608"/>
      <c r="I13" s="94"/>
      <c r="J13" s="1608"/>
      <c r="K13" s="94"/>
      <c r="L13" s="1608"/>
      <c r="M13" s="94"/>
      <c r="N13" s="1608"/>
      <c r="O13" s="94"/>
      <c r="P13" s="1608"/>
      <c r="Q13" s="94"/>
      <c r="R13" s="1608"/>
      <c r="S13" s="94"/>
      <c r="T13" s="1608"/>
      <c r="U13" s="94"/>
      <c r="V13" s="1608"/>
      <c r="W13" s="94"/>
      <c r="X13" s="1608"/>
      <c r="Y13" s="94"/>
      <c r="Z13" s="94"/>
      <c r="AA13" s="1608"/>
      <c r="AB13" s="94"/>
      <c r="AC13" s="94"/>
      <c r="AD13" s="1608"/>
      <c r="AE13" s="1166"/>
      <c r="AF13" s="1609"/>
      <c r="AG13" s="45"/>
      <c r="AH13" s="45"/>
      <c r="AI13" s="45"/>
    </row>
    <row r="14" spans="1:37" ht="16.5" customHeight="1">
      <c r="A14" s="62" t="s">
        <v>370</v>
      </c>
      <c r="B14" s="147">
        <v>-41.6</v>
      </c>
      <c r="C14" s="147"/>
      <c r="D14" s="147">
        <f>B46</f>
        <v>-93.6</v>
      </c>
      <c r="E14" s="147"/>
      <c r="F14" s="147">
        <f t="shared" ref="F14:P14" si="0">D46</f>
        <v>-115.4</v>
      </c>
      <c r="G14" s="147"/>
      <c r="H14" s="147">
        <f t="shared" si="0"/>
        <v>-94.8</v>
      </c>
      <c r="I14" s="147"/>
      <c r="J14" s="147">
        <f t="shared" si="0"/>
        <v>-102.2</v>
      </c>
      <c r="K14" s="147"/>
      <c r="L14" s="147">
        <f t="shared" si="0"/>
        <v>-132.69999999999999</v>
      </c>
      <c r="M14" s="147"/>
      <c r="N14" s="147">
        <f t="shared" si="0"/>
        <v>-153.69999999999999</v>
      </c>
      <c r="O14" s="147"/>
      <c r="P14" s="147">
        <f t="shared" si="0"/>
        <v>-156</v>
      </c>
      <c r="Q14" s="147"/>
      <c r="R14" s="147"/>
      <c r="S14" s="147"/>
      <c r="T14" s="147"/>
      <c r="U14" s="147"/>
      <c r="V14" s="147"/>
      <c r="W14" s="147"/>
      <c r="X14" s="147"/>
      <c r="Y14" s="147"/>
      <c r="Z14" s="1168"/>
      <c r="AA14" s="147">
        <f>B14</f>
        <v>-41.6</v>
      </c>
      <c r="AB14" s="2064"/>
      <c r="AC14" s="147"/>
      <c r="AD14" s="147">
        <v>-136.69999999999999</v>
      </c>
      <c r="AE14" s="45"/>
      <c r="AF14" s="1610"/>
      <c r="AG14" s="147">
        <f>ROUND(SUM(AA14-AD14),1)</f>
        <v>95.1</v>
      </c>
      <c r="AH14" s="45"/>
      <c r="AI14" s="1322">
        <f>-ROUND(IF(AG14=0,0,AG14/(AD14)),3)</f>
        <v>0.69599999999999995</v>
      </c>
    </row>
    <row r="15" spans="1:37" ht="16.5" customHeight="1">
      <c r="A15" s="45"/>
      <c r="B15" s="45"/>
      <c r="C15" s="45"/>
      <c r="D15" s="45"/>
      <c r="E15" s="45"/>
      <c r="F15" s="45"/>
      <c r="G15" s="45"/>
      <c r="H15" s="45"/>
      <c r="I15" s="45"/>
      <c r="J15" s="45"/>
      <c r="K15" s="45"/>
      <c r="L15" s="45"/>
      <c r="M15" s="45"/>
      <c r="N15" s="45"/>
      <c r="O15" s="45"/>
      <c r="P15" s="45"/>
      <c r="Q15" s="45"/>
      <c r="R15" s="45"/>
      <c r="S15" s="45"/>
      <c r="T15" s="45"/>
      <c r="U15" s="45"/>
      <c r="V15" s="45"/>
      <c r="W15" s="45"/>
      <c r="X15" s="45"/>
      <c r="Y15" s="45"/>
      <c r="Z15" s="1169"/>
      <c r="AA15" s="45"/>
      <c r="AB15" s="2065"/>
      <c r="AC15" s="45"/>
      <c r="AD15" s="45"/>
      <c r="AE15" s="45"/>
      <c r="AF15" s="1610"/>
      <c r="AG15" s="45"/>
      <c r="AH15" s="45"/>
      <c r="AI15" s="45"/>
    </row>
    <row r="16" spans="1:37" ht="16.5" customHeight="1">
      <c r="A16" s="97" t="s">
        <v>115</v>
      </c>
      <c r="B16" s="45"/>
      <c r="C16" s="45"/>
      <c r="D16" s="45"/>
      <c r="E16" s="45"/>
      <c r="F16" s="45"/>
      <c r="G16" s="45"/>
      <c r="H16" s="45"/>
      <c r="I16" s="45"/>
      <c r="J16" s="45"/>
      <c r="K16" s="45"/>
      <c r="L16" s="45"/>
      <c r="M16" s="45"/>
      <c r="N16" s="45"/>
      <c r="O16" s="45"/>
      <c r="P16" s="45"/>
      <c r="Q16" s="45"/>
      <c r="R16" s="45"/>
      <c r="S16" s="45"/>
      <c r="T16" s="45"/>
      <c r="U16" s="45"/>
      <c r="V16" s="45"/>
      <c r="W16" s="45"/>
      <c r="X16" s="45"/>
      <c r="Y16" s="45"/>
      <c r="Z16" s="1169"/>
      <c r="AA16" s="45"/>
      <c r="AB16" s="2065"/>
      <c r="AC16" s="45"/>
      <c r="AD16" s="45"/>
      <c r="AE16" s="449"/>
      <c r="AF16" s="1585"/>
      <c r="AG16" s="89"/>
      <c r="AH16" s="45"/>
      <c r="AI16" s="1611"/>
    </row>
    <row r="17" spans="1:36" ht="16.5" customHeight="1">
      <c r="A17" s="45" t="s">
        <v>624</v>
      </c>
      <c r="B17" s="89">
        <v>19.399999999999999</v>
      </c>
      <c r="C17" s="89"/>
      <c r="D17" s="89">
        <v>30</v>
      </c>
      <c r="E17" s="89"/>
      <c r="F17" s="89">
        <v>62.1</v>
      </c>
      <c r="G17" s="89"/>
      <c r="H17" s="89">
        <v>37.800000000000004</v>
      </c>
      <c r="I17" s="89"/>
      <c r="J17" s="89">
        <v>40.29999999999999</v>
      </c>
      <c r="K17" s="89"/>
      <c r="L17" s="89">
        <v>37.800000000000004</v>
      </c>
      <c r="M17" s="89"/>
      <c r="N17" s="89">
        <v>42.999999999999979</v>
      </c>
      <c r="O17" s="89"/>
      <c r="P17" s="89">
        <f>$AA17-$B17-$D17-$F17-$H17-$J17-$L17-$N17</f>
        <v>41.700000000000067</v>
      </c>
      <c r="Q17" s="89"/>
      <c r="R17" s="89"/>
      <c r="S17" s="89"/>
      <c r="T17" s="89"/>
      <c r="U17" s="89"/>
      <c r="V17" s="89"/>
      <c r="W17" s="89"/>
      <c r="X17" s="89"/>
      <c r="Y17" s="89"/>
      <c r="Z17" s="742"/>
      <c r="AA17" s="1167">
        <v>312.10000000000002</v>
      </c>
      <c r="AB17" s="2066"/>
      <c r="AC17" s="89"/>
      <c r="AD17" s="1167">
        <v>345.59999999999997</v>
      </c>
      <c r="AE17" s="450"/>
      <c r="AF17" s="1585"/>
      <c r="AG17" s="1167">
        <f>ROUND(SUM(AA17-AD17),1)</f>
        <v>-33.5</v>
      </c>
      <c r="AH17" s="45"/>
      <c r="AI17" s="1612">
        <f>ROUND(IF(AG17=0,0,AG17/ABS(AD17)),3)</f>
        <v>-9.7000000000000003E-2</v>
      </c>
    </row>
    <row r="18" spans="1:36" ht="16.5" customHeight="1">
      <c r="A18" s="45"/>
      <c r="B18" s="1613"/>
      <c r="C18" s="89"/>
      <c r="D18" s="1613"/>
      <c r="E18" s="89"/>
      <c r="F18" s="1613"/>
      <c r="G18" s="89"/>
      <c r="H18" s="1613"/>
      <c r="I18" s="89"/>
      <c r="J18" s="1613"/>
      <c r="K18" s="89"/>
      <c r="L18" s="1613"/>
      <c r="M18" s="89"/>
      <c r="N18" s="1613"/>
      <c r="O18" s="89"/>
      <c r="P18" s="1613"/>
      <c r="Q18" s="89"/>
      <c r="R18" s="1613"/>
      <c r="S18" s="89"/>
      <c r="T18" s="1613"/>
      <c r="U18" s="89"/>
      <c r="V18" s="1613"/>
      <c r="W18" s="89"/>
      <c r="X18" s="1613"/>
      <c r="Y18" s="89"/>
      <c r="Z18" s="742"/>
      <c r="AA18" s="325"/>
      <c r="AB18" s="2066"/>
      <c r="AC18" s="89"/>
      <c r="AD18" s="325"/>
      <c r="AE18" s="89"/>
      <c r="AF18" s="1585"/>
      <c r="AG18" s="89"/>
      <c r="AH18" s="45"/>
      <c r="AI18" s="45"/>
    </row>
    <row r="19" spans="1:36" ht="16.5" customHeight="1">
      <c r="A19" s="97" t="s">
        <v>457</v>
      </c>
      <c r="B19" s="148">
        <f>ROUND(SUM(B17),1)</f>
        <v>19.399999999999999</v>
      </c>
      <c r="C19" s="148"/>
      <c r="D19" s="148">
        <f>ROUND(SUM(D17),1)</f>
        <v>30</v>
      </c>
      <c r="E19" s="148"/>
      <c r="F19" s="148">
        <f>ROUND(SUM(F17),1)</f>
        <v>62.1</v>
      </c>
      <c r="G19" s="148"/>
      <c r="H19" s="148">
        <f>ROUND(SUM(H17),1)</f>
        <v>37.799999999999997</v>
      </c>
      <c r="I19" s="148"/>
      <c r="J19" s="148">
        <f>ROUND(SUM(J17),1)</f>
        <v>40.299999999999997</v>
      </c>
      <c r="K19" s="148"/>
      <c r="L19" s="148">
        <f>ROUND(SUM(L17),1)</f>
        <v>37.799999999999997</v>
      </c>
      <c r="M19" s="148"/>
      <c r="N19" s="148">
        <f>ROUND(SUM(N17),1)</f>
        <v>43</v>
      </c>
      <c r="O19" s="148"/>
      <c r="P19" s="148">
        <f>ROUND(SUM(P17),1)</f>
        <v>41.7</v>
      </c>
      <c r="Q19" s="148"/>
      <c r="R19" s="148">
        <f>ROUND(SUM(R17),1)</f>
        <v>0</v>
      </c>
      <c r="S19" s="148"/>
      <c r="T19" s="148">
        <f>ROUND(SUM(T17),1)</f>
        <v>0</v>
      </c>
      <c r="U19" s="148"/>
      <c r="V19" s="148">
        <f>ROUND(SUM(V17),1)</f>
        <v>0</v>
      </c>
      <c r="W19" s="148"/>
      <c r="X19" s="148">
        <f>ROUND(SUM(X17),1)</f>
        <v>0</v>
      </c>
      <c r="Y19" s="148"/>
      <c r="Z19" s="883"/>
      <c r="AA19" s="148">
        <f>ROUND(SUM(AA17),1)</f>
        <v>312.10000000000002</v>
      </c>
      <c r="AB19" s="2067"/>
      <c r="AC19" s="148"/>
      <c r="AD19" s="148">
        <f>ROUND(SUM(AD17),1)</f>
        <v>345.6</v>
      </c>
      <c r="AE19" s="89"/>
      <c r="AF19" s="1585"/>
      <c r="AG19" s="657">
        <f>ROUND(SUM(AG17),1)</f>
        <v>-33.5</v>
      </c>
      <c r="AH19" s="1593"/>
      <c r="AI19" s="1614">
        <f>ROUND(IF(AG19=0,0,AG19/ABS(AD19)),3)</f>
        <v>-9.7000000000000003E-2</v>
      </c>
    </row>
    <row r="20" spans="1:36" ht="16.5" customHeight="1">
      <c r="A20" s="45"/>
      <c r="B20" s="1613"/>
      <c r="C20" s="89"/>
      <c r="D20" s="1613"/>
      <c r="E20" s="89"/>
      <c r="F20" s="1613"/>
      <c r="G20" s="89"/>
      <c r="H20" s="1613"/>
      <c r="I20" s="89"/>
      <c r="J20" s="1613"/>
      <c r="K20" s="89"/>
      <c r="L20" s="1613"/>
      <c r="M20" s="89"/>
      <c r="N20" s="1613"/>
      <c r="O20" s="89"/>
      <c r="P20" s="1613"/>
      <c r="Q20" s="89"/>
      <c r="R20" s="1613"/>
      <c r="S20" s="89"/>
      <c r="T20" s="1613"/>
      <c r="U20" s="89"/>
      <c r="V20" s="1613"/>
      <c r="W20" s="89"/>
      <c r="X20" s="1613"/>
      <c r="Y20" s="89"/>
      <c r="Z20" s="742"/>
      <c r="AA20" s="1613"/>
      <c r="AB20" s="2066"/>
      <c r="AC20" s="89"/>
      <c r="AD20" s="1613"/>
      <c r="AE20" s="89"/>
      <c r="AF20" s="1585"/>
      <c r="AG20" s="89"/>
      <c r="AH20" s="45"/>
      <c r="AI20" s="45"/>
    </row>
    <row r="21" spans="1:36" ht="16.5" customHeight="1">
      <c r="A21" s="45"/>
      <c r="B21" s="89"/>
      <c r="C21" s="89"/>
      <c r="D21" s="89"/>
      <c r="E21" s="89"/>
      <c r="F21" s="89"/>
      <c r="G21" s="89"/>
      <c r="H21" s="89"/>
      <c r="I21" s="89"/>
      <c r="J21" s="89"/>
      <c r="K21" s="89"/>
      <c r="L21" s="89"/>
      <c r="M21" s="89"/>
      <c r="N21" s="89"/>
      <c r="O21" s="89"/>
      <c r="P21" s="89"/>
      <c r="Q21" s="89"/>
      <c r="R21" s="89"/>
      <c r="S21" s="89"/>
      <c r="T21" s="89"/>
      <c r="U21" s="89"/>
      <c r="V21" s="89"/>
      <c r="W21" s="89"/>
      <c r="X21" s="89"/>
      <c r="Y21" s="89"/>
      <c r="Z21" s="742"/>
      <c r="AA21" s="89"/>
      <c r="AB21" s="2066"/>
      <c r="AC21" s="89"/>
      <c r="AD21" s="89"/>
      <c r="AE21" s="705"/>
      <c r="AF21" s="1589"/>
      <c r="AG21" s="89"/>
      <c r="AH21" s="45"/>
      <c r="AI21" s="1611"/>
    </row>
    <row r="22" spans="1:36" ht="16.5" customHeight="1">
      <c r="A22" s="97" t="s">
        <v>123</v>
      </c>
      <c r="B22" s="89"/>
      <c r="C22" s="89"/>
      <c r="D22" s="89"/>
      <c r="E22" s="89"/>
      <c r="F22" s="89"/>
      <c r="G22" s="89"/>
      <c r="H22" s="89"/>
      <c r="I22" s="89"/>
      <c r="J22" s="89"/>
      <c r="K22" s="89"/>
      <c r="L22" s="89"/>
      <c r="M22" s="89"/>
      <c r="N22" s="89"/>
      <c r="O22" s="89"/>
      <c r="P22" s="89"/>
      <c r="Q22" s="89"/>
      <c r="R22" s="89"/>
      <c r="S22" s="89"/>
      <c r="T22" s="89"/>
      <c r="U22" s="89"/>
      <c r="V22" s="89"/>
      <c r="W22" s="89"/>
      <c r="X22" s="89"/>
      <c r="Y22" s="89"/>
      <c r="Z22" s="742"/>
      <c r="AA22" s="89"/>
      <c r="AB22" s="2066"/>
      <c r="AC22" s="89"/>
      <c r="AD22" s="89"/>
      <c r="AE22" s="90"/>
      <c r="AF22" s="1589"/>
      <c r="AG22" s="89"/>
      <c r="AH22" s="2015"/>
      <c r="AI22" s="1611"/>
    </row>
    <row r="23" spans="1:36" ht="16.5" customHeight="1">
      <c r="A23" s="45" t="s">
        <v>483</v>
      </c>
      <c r="B23" s="89"/>
      <c r="C23" s="89"/>
      <c r="D23" s="89"/>
      <c r="E23" s="89"/>
      <c r="F23" s="89"/>
      <c r="G23" s="89"/>
      <c r="H23" s="89"/>
      <c r="I23" s="89"/>
      <c r="J23" s="89"/>
      <c r="K23" s="89"/>
      <c r="L23" s="89"/>
      <c r="M23" s="89"/>
      <c r="N23" s="89"/>
      <c r="O23" s="89"/>
      <c r="P23" s="89"/>
      <c r="Q23" s="89"/>
      <c r="R23" s="89"/>
      <c r="S23" s="89"/>
      <c r="T23" s="89"/>
      <c r="U23" s="89"/>
      <c r="V23" s="89"/>
      <c r="W23" s="89"/>
      <c r="X23" s="89"/>
      <c r="Y23" s="89"/>
      <c r="Z23" s="742"/>
      <c r="AA23" s="90"/>
      <c r="AB23" s="2066"/>
      <c r="AC23" s="89"/>
      <c r="AD23" s="90"/>
      <c r="AE23" s="705"/>
      <c r="AF23" s="1589"/>
      <c r="AG23" s="89"/>
      <c r="AH23" s="45"/>
      <c r="AI23" s="1611"/>
    </row>
    <row r="24" spans="1:36" ht="16.5" customHeight="1">
      <c r="A24" s="45" t="s">
        <v>627</v>
      </c>
      <c r="B24" s="89">
        <v>12.2</v>
      </c>
      <c r="C24" s="89"/>
      <c r="D24" s="89">
        <v>11.000000000000004</v>
      </c>
      <c r="E24" s="89"/>
      <c r="F24" s="89">
        <v>10.599999999999994</v>
      </c>
      <c r="G24" s="89"/>
      <c r="H24" s="89">
        <v>10.400000000000002</v>
      </c>
      <c r="I24" s="89"/>
      <c r="J24" s="89">
        <v>16.900000000000009</v>
      </c>
      <c r="K24" s="89"/>
      <c r="L24" s="89">
        <v>10.999999999999986</v>
      </c>
      <c r="M24" s="89"/>
      <c r="N24" s="89">
        <v>10.900000000000002</v>
      </c>
      <c r="O24" s="89"/>
      <c r="P24" s="89">
        <f>$AA24-$B24-$D24-$F24-$H24-$J24-$L24-$N24</f>
        <v>13.500000000000004</v>
      </c>
      <c r="Q24" s="89"/>
      <c r="R24" s="89"/>
      <c r="S24" s="89"/>
      <c r="T24" s="89"/>
      <c r="U24" s="89"/>
      <c r="V24" s="89"/>
      <c r="W24" s="89"/>
      <c r="X24" s="89"/>
      <c r="Y24" s="89"/>
      <c r="Z24" s="742"/>
      <c r="AA24" s="89">
        <v>96.5</v>
      </c>
      <c r="AB24" s="2066"/>
      <c r="AC24" s="89"/>
      <c r="AD24" s="89">
        <v>89.4</v>
      </c>
      <c r="AE24" s="457"/>
      <c r="AF24" s="1589"/>
      <c r="AG24" s="89">
        <f>ROUND(SUM(AA24-AD24),1)</f>
        <v>7.1</v>
      </c>
      <c r="AH24" s="45"/>
      <c r="AI24" s="1615">
        <f>ROUND(IF(AG24=0,0,AG24/ABS(AD24)),3)</f>
        <v>7.9000000000000001E-2</v>
      </c>
    </row>
    <row r="25" spans="1:36" ht="16.5" customHeight="1">
      <c r="A25" s="45" t="s">
        <v>567</v>
      </c>
      <c r="B25" s="89">
        <v>60.7</v>
      </c>
      <c r="C25" s="89"/>
      <c r="D25" s="89">
        <v>31.200000000000003</v>
      </c>
      <c r="E25" s="89"/>
      <c r="F25" s="89">
        <v>27.399999999999991</v>
      </c>
      <c r="G25" s="89"/>
      <c r="H25" s="89">
        <v>30.600000000000009</v>
      </c>
      <c r="I25" s="89"/>
      <c r="J25" s="89">
        <v>45.90000000000002</v>
      </c>
      <c r="K25" s="89"/>
      <c r="L25" s="89">
        <v>45.299999999999969</v>
      </c>
      <c r="M25" s="89"/>
      <c r="N25" s="89">
        <v>34.000000000000071</v>
      </c>
      <c r="O25" s="89"/>
      <c r="P25" s="89">
        <f t="shared" ref="P25:P26" si="1">$AA25-$B25-$D25-$F25-$H25-$J25-$L25-$N25</f>
        <v>31.199999999999974</v>
      </c>
      <c r="Q25" s="89"/>
      <c r="R25" s="89"/>
      <c r="S25" s="89"/>
      <c r="T25" s="89"/>
      <c r="U25" s="89"/>
      <c r="V25" s="89"/>
      <c r="W25" s="89"/>
      <c r="X25" s="89"/>
      <c r="Y25" s="89"/>
      <c r="Z25" s="742"/>
      <c r="AA25" s="89">
        <v>306.3</v>
      </c>
      <c r="AB25" s="2066"/>
      <c r="AC25" s="89"/>
      <c r="AD25" s="89">
        <v>398.20000000000005</v>
      </c>
      <c r="AE25" s="89"/>
      <c r="AF25" s="1585"/>
      <c r="AG25" s="89">
        <f>ROUND(SUM(AA25-AD25),1)</f>
        <v>-91.9</v>
      </c>
      <c r="AH25" s="45"/>
      <c r="AI25" s="1615">
        <f>ROUND(IF(AG25=0,0,AG25/ABS(AD25)),3)</f>
        <v>-0.23100000000000001</v>
      </c>
      <c r="AJ25" s="944"/>
    </row>
    <row r="26" spans="1:36" ht="16.5" customHeight="1">
      <c r="A26" s="45" t="s">
        <v>486</v>
      </c>
      <c r="B26" s="89">
        <v>0</v>
      </c>
      <c r="C26" s="89"/>
      <c r="D26" s="89">
        <v>11.6</v>
      </c>
      <c r="E26" s="89"/>
      <c r="F26" s="89">
        <v>5.7000000000000011</v>
      </c>
      <c r="G26" s="89"/>
      <c r="H26" s="89">
        <v>5.0999999999999979</v>
      </c>
      <c r="I26" s="89"/>
      <c r="J26" s="89">
        <v>5.7000000000000011</v>
      </c>
      <c r="K26" s="89"/>
      <c r="L26" s="89">
        <v>5.699999999999994</v>
      </c>
      <c r="M26" s="89"/>
      <c r="N26" s="89">
        <v>5.5</v>
      </c>
      <c r="O26" s="89"/>
      <c r="P26" s="89">
        <f t="shared" si="1"/>
        <v>9.4</v>
      </c>
      <c r="Q26" s="89"/>
      <c r="R26" s="89"/>
      <c r="S26" s="89"/>
      <c r="T26" s="89"/>
      <c r="U26" s="89"/>
      <c r="V26" s="89"/>
      <c r="W26" s="89"/>
      <c r="X26" s="89"/>
      <c r="Y26" s="89"/>
      <c r="Z26" s="742"/>
      <c r="AA26" s="89">
        <v>48.699999999999996</v>
      </c>
      <c r="AB26" s="2066"/>
      <c r="AC26" s="89"/>
      <c r="AD26" s="89">
        <v>42.8</v>
      </c>
      <c r="AE26" s="89"/>
      <c r="AF26" s="1585"/>
      <c r="AG26" s="1167">
        <f>ROUND(SUM(AA26-AD26),1)</f>
        <v>5.9</v>
      </c>
      <c r="AH26" s="45"/>
      <c r="AI26" s="1272">
        <f>ROUND(IF(AD26=0,1,AG26/ABS(AD26)),3)</f>
        <v>0.13800000000000001</v>
      </c>
      <c r="AJ26" s="944"/>
    </row>
    <row r="27" spans="1:36" ht="16.5" customHeight="1">
      <c r="A27" s="45"/>
      <c r="B27" s="1613"/>
      <c r="C27" s="89"/>
      <c r="D27" s="1613"/>
      <c r="E27" s="89"/>
      <c r="F27" s="1613"/>
      <c r="G27" s="89"/>
      <c r="H27" s="1613"/>
      <c r="I27" s="89"/>
      <c r="J27" s="1613"/>
      <c r="K27" s="89"/>
      <c r="L27" s="1613"/>
      <c r="M27" s="89"/>
      <c r="N27" s="1613"/>
      <c r="O27" s="89"/>
      <c r="P27" s="1613"/>
      <c r="Q27" s="89"/>
      <c r="R27" s="1613"/>
      <c r="S27" s="89"/>
      <c r="T27" s="1613"/>
      <c r="U27" s="89"/>
      <c r="V27" s="1613"/>
      <c r="W27" s="89"/>
      <c r="X27" s="1613"/>
      <c r="Y27" s="89"/>
      <c r="Z27" s="742"/>
      <c r="AA27" s="1613"/>
      <c r="AB27" s="2066"/>
      <c r="AC27" s="89"/>
      <c r="AD27" s="1613"/>
      <c r="AE27" s="450"/>
      <c r="AF27" s="1589"/>
      <c r="AG27" s="89"/>
      <c r="AH27" s="456"/>
      <c r="AI27" s="1611"/>
    </row>
    <row r="28" spans="1:36" ht="16.5" customHeight="1">
      <c r="A28" s="97" t="s">
        <v>487</v>
      </c>
      <c r="B28" s="148">
        <f>ROUND(SUM(B24:B27),1)</f>
        <v>72.900000000000006</v>
      </c>
      <c r="C28" s="148"/>
      <c r="D28" s="148">
        <f>ROUND(SUM(D24:D27),1)</f>
        <v>53.8</v>
      </c>
      <c r="E28" s="148"/>
      <c r="F28" s="148">
        <f>ROUND(SUM(F24:F27),1)</f>
        <v>43.7</v>
      </c>
      <c r="G28" s="148"/>
      <c r="H28" s="148">
        <f>ROUND(SUM(H24:H27),1)</f>
        <v>46.1</v>
      </c>
      <c r="I28" s="148"/>
      <c r="J28" s="148">
        <f>ROUND(SUM(J24:J27),1)</f>
        <v>68.5</v>
      </c>
      <c r="K28" s="148"/>
      <c r="L28" s="148">
        <f>ROUND(SUM(L24:L27),1)</f>
        <v>62</v>
      </c>
      <c r="M28" s="148"/>
      <c r="N28" s="148">
        <f>ROUND(SUM(N24:N27),1)</f>
        <v>50.4</v>
      </c>
      <c r="O28" s="148"/>
      <c r="P28" s="148">
        <f>ROUND(SUM(P24:P27),1)</f>
        <v>54.1</v>
      </c>
      <c r="Q28" s="148"/>
      <c r="R28" s="148">
        <f>ROUND(SUM(R24:R27),1)</f>
        <v>0</v>
      </c>
      <c r="S28" s="148"/>
      <c r="T28" s="148">
        <f>ROUND(SUM(T24:T27),1)</f>
        <v>0</v>
      </c>
      <c r="U28" s="148"/>
      <c r="V28" s="148">
        <f>ROUND(SUM(V24:V27),1)</f>
        <v>0</v>
      </c>
      <c r="W28" s="148">
        <f>SUM(W24:W27)</f>
        <v>0</v>
      </c>
      <c r="X28" s="148">
        <f>ROUND(SUM(X24:X27),1)</f>
        <v>0</v>
      </c>
      <c r="Y28" s="148"/>
      <c r="Z28" s="883"/>
      <c r="AA28" s="148">
        <f>ROUND(SUM(AA24:AA27),1)</f>
        <v>451.5</v>
      </c>
      <c r="AB28" s="2067"/>
      <c r="AC28" s="148"/>
      <c r="AD28" s="148">
        <f>ROUND(SUM(AD24:AD27),1)</f>
        <v>530.4</v>
      </c>
      <c r="AE28" s="89"/>
      <c r="AF28" s="1596"/>
      <c r="AG28" s="657">
        <f>ROUND(SUM(AG24:AG26),1)</f>
        <v>-78.900000000000006</v>
      </c>
      <c r="AH28" s="1593"/>
      <c r="AI28" s="1614">
        <f>ROUND(IF(AG28=0,0,AG28/ABS(AD28)),3)</f>
        <v>-0.14899999999999999</v>
      </c>
    </row>
    <row r="29" spans="1:36" ht="16.5" customHeight="1">
      <c r="A29" s="45"/>
      <c r="B29" s="1613"/>
      <c r="C29" s="89"/>
      <c r="D29" s="1613"/>
      <c r="E29" s="89"/>
      <c r="F29" s="1613"/>
      <c r="G29" s="89"/>
      <c r="H29" s="1613"/>
      <c r="I29" s="89"/>
      <c r="J29" s="1613"/>
      <c r="K29" s="89"/>
      <c r="L29" s="1613"/>
      <c r="M29" s="89"/>
      <c r="N29" s="1613"/>
      <c r="O29" s="89"/>
      <c r="P29" s="1613"/>
      <c r="Q29" s="89"/>
      <c r="R29" s="1613"/>
      <c r="S29" s="89"/>
      <c r="T29" s="1613"/>
      <c r="U29" s="89"/>
      <c r="V29" s="1613"/>
      <c r="W29" s="89"/>
      <c r="X29" s="1613"/>
      <c r="Y29" s="89"/>
      <c r="Z29" s="742"/>
      <c r="AA29" s="1613"/>
      <c r="AB29" s="2066"/>
      <c r="AC29" s="89"/>
      <c r="AD29" s="1613"/>
      <c r="AE29" s="89"/>
      <c r="AF29" s="1596"/>
      <c r="AG29" s="89"/>
      <c r="AH29" s="45"/>
      <c r="AI29" s="45"/>
    </row>
    <row r="30" spans="1:36" ht="16.5" customHeight="1">
      <c r="A30" s="45"/>
      <c r="B30" s="89"/>
      <c r="C30" s="89"/>
      <c r="D30" s="89"/>
      <c r="E30" s="89"/>
      <c r="F30" s="89"/>
      <c r="G30" s="89"/>
      <c r="H30" s="89"/>
      <c r="I30" s="89"/>
      <c r="J30" s="89"/>
      <c r="K30" s="89"/>
      <c r="L30" s="89"/>
      <c r="M30" s="89"/>
      <c r="N30" s="89"/>
      <c r="O30" s="89"/>
      <c r="P30" s="89"/>
      <c r="Q30" s="89"/>
      <c r="R30" s="89"/>
      <c r="S30" s="89"/>
      <c r="T30" s="89"/>
      <c r="U30" s="89"/>
      <c r="V30" s="89"/>
      <c r="W30" s="89"/>
      <c r="X30" s="89"/>
      <c r="Y30" s="89"/>
      <c r="Z30" s="742"/>
      <c r="AA30" s="89"/>
      <c r="AB30" s="2066"/>
      <c r="AC30" s="89"/>
      <c r="AD30" s="89"/>
      <c r="AE30" s="90"/>
      <c r="AF30" s="1596"/>
      <c r="AG30" s="89"/>
      <c r="AH30" s="2015"/>
      <c r="AI30" s="1611"/>
    </row>
    <row r="31" spans="1:36" ht="16.5" customHeight="1">
      <c r="A31" s="97" t="s">
        <v>488</v>
      </c>
      <c r="B31" s="89"/>
      <c r="C31" s="89"/>
      <c r="D31" s="89"/>
      <c r="E31" s="89"/>
      <c r="F31" s="89"/>
      <c r="G31" s="89"/>
      <c r="H31" s="89"/>
      <c r="I31" s="89"/>
      <c r="J31" s="89"/>
      <c r="K31" s="89"/>
      <c r="L31" s="89"/>
      <c r="M31" s="89"/>
      <c r="N31" s="89"/>
      <c r="O31" s="89"/>
      <c r="P31" s="89"/>
      <c r="Q31" s="89"/>
      <c r="R31" s="89"/>
      <c r="S31" s="89"/>
      <c r="T31" s="89"/>
      <c r="U31" s="89"/>
      <c r="V31" s="89"/>
      <c r="W31" s="89"/>
      <c r="X31" s="89"/>
      <c r="Y31" s="89"/>
      <c r="Z31" s="742"/>
      <c r="AA31" s="89"/>
      <c r="AB31" s="2066"/>
      <c r="AC31" s="89"/>
      <c r="AD31" s="89"/>
      <c r="AE31" s="457"/>
      <c r="AF31" s="1598"/>
      <c r="AG31" s="89"/>
      <c r="AH31" s="2015"/>
      <c r="AI31" s="1611"/>
    </row>
    <row r="32" spans="1:36" ht="16.5" customHeight="1">
      <c r="A32" s="97" t="s">
        <v>146</v>
      </c>
      <c r="B32" s="148">
        <f>ROUND(B19-B28,1)</f>
        <v>-53.5</v>
      </c>
      <c r="C32" s="148"/>
      <c r="D32" s="148">
        <f>ROUND(D19-D28,1)</f>
        <v>-23.8</v>
      </c>
      <c r="E32" s="148"/>
      <c r="F32" s="148">
        <f>ROUND(F19-F28,1)</f>
        <v>18.399999999999999</v>
      </c>
      <c r="G32" s="148"/>
      <c r="H32" s="148">
        <f>ROUND(H19-H28,1)</f>
        <v>-8.3000000000000007</v>
      </c>
      <c r="I32" s="148"/>
      <c r="J32" s="148">
        <f>ROUND(J19-J28,1)</f>
        <v>-28.2</v>
      </c>
      <c r="K32" s="148"/>
      <c r="L32" s="148">
        <f>ROUND(L19-L28,1)</f>
        <v>-24.2</v>
      </c>
      <c r="M32" s="148"/>
      <c r="N32" s="148">
        <f>ROUND(N19-N28,1)</f>
        <v>-7.4</v>
      </c>
      <c r="O32" s="148"/>
      <c r="P32" s="148">
        <f>ROUND(P19-P28,1)</f>
        <v>-12.4</v>
      </c>
      <c r="Q32" s="148"/>
      <c r="R32" s="148">
        <f>ROUND(R19-R28,1)</f>
        <v>0</v>
      </c>
      <c r="S32" s="148"/>
      <c r="T32" s="148">
        <f>ROUND(T19-T28,1)</f>
        <v>0</v>
      </c>
      <c r="U32" s="148"/>
      <c r="V32" s="148">
        <f>ROUND(V19-V28,1)</f>
        <v>0</v>
      </c>
      <c r="W32" s="148"/>
      <c r="X32" s="148">
        <f>ROUND(X19-X28,1)</f>
        <v>0</v>
      </c>
      <c r="Y32" s="148"/>
      <c r="Z32" s="883"/>
      <c r="AA32" s="148">
        <f>ROUND(AA19-AA28,1)</f>
        <v>-139.4</v>
      </c>
      <c r="AB32" s="2067"/>
      <c r="AC32" s="148"/>
      <c r="AD32" s="148">
        <f>ROUND(AD19-AD28,1)</f>
        <v>-184.8</v>
      </c>
      <c r="AE32" s="89"/>
      <c r="AF32" s="1585"/>
      <c r="AG32" s="657">
        <f>ROUND(SUM(AG19-AG28),1)</f>
        <v>45.4</v>
      </c>
      <c r="AH32" s="1593"/>
      <c r="AI32" s="1603">
        <f>ROUND(IF(AG32=0,0,AG32/ABS(AD32)),3)</f>
        <v>0.246</v>
      </c>
    </row>
    <row r="33" spans="1:35" ht="16.5" customHeight="1">
      <c r="A33" s="45"/>
      <c r="B33" s="1613"/>
      <c r="C33" s="89"/>
      <c r="D33" s="1613"/>
      <c r="E33" s="89"/>
      <c r="F33" s="1613"/>
      <c r="G33" s="89"/>
      <c r="H33" s="1613"/>
      <c r="I33" s="89"/>
      <c r="J33" s="1613"/>
      <c r="K33" s="89"/>
      <c r="L33" s="1613"/>
      <c r="M33" s="89"/>
      <c r="N33" s="1613"/>
      <c r="O33" s="89"/>
      <c r="P33" s="1613"/>
      <c r="Q33" s="89"/>
      <c r="R33" s="1613"/>
      <c r="S33" s="89"/>
      <c r="T33" s="1613"/>
      <c r="U33" s="89"/>
      <c r="V33" s="1613"/>
      <c r="W33" s="89"/>
      <c r="X33" s="1613"/>
      <c r="Y33" s="89"/>
      <c r="Z33" s="742"/>
      <c r="AA33" s="1613"/>
      <c r="AB33" s="2066"/>
      <c r="AC33" s="89"/>
      <c r="AD33" s="1613"/>
      <c r="AE33" s="89"/>
      <c r="AF33" s="1585"/>
      <c r="AG33" s="89"/>
      <c r="AH33" s="45"/>
      <c r="AI33" s="45"/>
    </row>
    <row r="34" spans="1:35" ht="16.5" customHeight="1">
      <c r="A34" s="45"/>
      <c r="B34" s="89"/>
      <c r="C34" s="89"/>
      <c r="D34" s="89"/>
      <c r="E34" s="89"/>
      <c r="F34" s="89"/>
      <c r="G34" s="89"/>
      <c r="H34" s="89"/>
      <c r="I34" s="89"/>
      <c r="J34" s="89"/>
      <c r="K34" s="89"/>
      <c r="L34" s="89"/>
      <c r="M34" s="89"/>
      <c r="N34" s="89"/>
      <c r="O34" s="89"/>
      <c r="P34" s="89"/>
      <c r="Q34" s="89"/>
      <c r="R34" s="89"/>
      <c r="S34" s="89"/>
      <c r="T34" s="89"/>
      <c r="U34" s="89"/>
      <c r="V34" s="89"/>
      <c r="W34" s="89"/>
      <c r="X34" s="89"/>
      <c r="Y34" s="89"/>
      <c r="Z34" s="742"/>
      <c r="AA34" s="89"/>
      <c r="AB34" s="2066"/>
      <c r="AC34" s="89"/>
      <c r="AD34" s="89"/>
      <c r="AE34" s="450"/>
      <c r="AF34" s="1600"/>
      <c r="AG34" s="89"/>
      <c r="AH34" s="45"/>
      <c r="AI34" s="1611"/>
    </row>
    <row r="35" spans="1:35" ht="16.5" customHeight="1">
      <c r="A35" s="97" t="s">
        <v>147</v>
      </c>
      <c r="B35" s="89"/>
      <c r="C35" s="89"/>
      <c r="D35" s="89"/>
      <c r="E35" s="89"/>
      <c r="F35" s="89"/>
      <c r="G35" s="89"/>
      <c r="H35" s="89"/>
      <c r="I35" s="89"/>
      <c r="J35" s="89"/>
      <c r="K35" s="89"/>
      <c r="L35" s="89"/>
      <c r="M35" s="89"/>
      <c r="N35" s="89"/>
      <c r="O35" s="89"/>
      <c r="P35" s="89"/>
      <c r="Q35" s="89"/>
      <c r="R35" s="89"/>
      <c r="S35" s="89"/>
      <c r="T35" s="89"/>
      <c r="U35" s="89"/>
      <c r="V35" s="89"/>
      <c r="W35" s="89"/>
      <c r="X35" s="89"/>
      <c r="Y35" s="89"/>
      <c r="Z35" s="742"/>
      <c r="AA35" s="89"/>
      <c r="AB35" s="2066"/>
      <c r="AC35" s="89"/>
      <c r="AD35" s="89"/>
      <c r="AE35" s="147"/>
      <c r="AF35" s="1601"/>
      <c r="AG35" s="440"/>
      <c r="AH35" s="1604"/>
      <c r="AI35" s="1611"/>
    </row>
    <row r="36" spans="1:35" ht="16.5" customHeight="1">
      <c r="A36" s="45" t="s">
        <v>569</v>
      </c>
      <c r="B36" s="89">
        <v>1.5</v>
      </c>
      <c r="C36" s="89"/>
      <c r="D36" s="89">
        <v>2</v>
      </c>
      <c r="E36" s="89"/>
      <c r="F36" s="89">
        <v>2.2999999999999998</v>
      </c>
      <c r="G36" s="89"/>
      <c r="H36" s="89">
        <v>1</v>
      </c>
      <c r="I36" s="89"/>
      <c r="J36" s="89">
        <v>2.2000000000000002</v>
      </c>
      <c r="K36" s="89"/>
      <c r="L36" s="89">
        <v>3.1999999999999993</v>
      </c>
      <c r="M36" s="89"/>
      <c r="N36" s="89">
        <v>5.1000000000000014</v>
      </c>
      <c r="O36" s="89"/>
      <c r="P36" s="89">
        <f t="shared" ref="P36:P37" si="2">$AA36-$B36-$D36-$F36-$H36-$J36-$L36-$N36</f>
        <v>7.1999999999999993</v>
      </c>
      <c r="Q36" s="89"/>
      <c r="R36" s="89"/>
      <c r="S36" s="89"/>
      <c r="T36" s="89"/>
      <c r="U36" s="89"/>
      <c r="V36" s="89"/>
      <c r="W36" s="89"/>
      <c r="X36" s="89"/>
      <c r="Y36" s="89"/>
      <c r="Z36" s="742"/>
      <c r="AA36" s="89">
        <v>24.5</v>
      </c>
      <c r="AB36" s="2066"/>
      <c r="AC36" s="89"/>
      <c r="AD36" s="89">
        <v>71.400000000000006</v>
      </c>
      <c r="AE36" s="456"/>
      <c r="AF36" s="1602"/>
      <c r="AG36" s="89">
        <f>ROUND(SUM(AA36-AD36),1)</f>
        <v>-46.9</v>
      </c>
      <c r="AH36" s="2015"/>
      <c r="AI36" s="1615">
        <f>ROUND(IF(AG36=0,0,AG36/ABS(AD36)),3)</f>
        <v>-0.65700000000000003</v>
      </c>
    </row>
    <row r="37" spans="1:35" ht="16.5" customHeight="1">
      <c r="A37" s="45" t="s">
        <v>570</v>
      </c>
      <c r="B37" s="89">
        <v>0</v>
      </c>
      <c r="C37" s="89"/>
      <c r="D37" s="89">
        <v>0</v>
      </c>
      <c r="E37" s="89"/>
      <c r="F37" s="89">
        <v>-0.1</v>
      </c>
      <c r="G37" s="89"/>
      <c r="H37" s="89">
        <v>-0.1</v>
      </c>
      <c r="I37" s="89"/>
      <c r="J37" s="89">
        <v>-4.5000000000000009</v>
      </c>
      <c r="K37" s="89"/>
      <c r="L37" s="89">
        <v>0</v>
      </c>
      <c r="M37" s="89"/>
      <c r="N37" s="89">
        <v>0</v>
      </c>
      <c r="O37" s="89"/>
      <c r="P37" s="89">
        <f t="shared" si="2"/>
        <v>-9.9999999999999645E-2</v>
      </c>
      <c r="Q37" s="89"/>
      <c r="R37" s="89"/>
      <c r="S37" s="89"/>
      <c r="T37" s="89"/>
      <c r="U37" s="89"/>
      <c r="V37" s="89"/>
      <c r="W37" s="89"/>
      <c r="X37" s="89"/>
      <c r="Y37" s="89"/>
      <c r="Z37" s="742"/>
      <c r="AA37" s="89">
        <v>-4.8</v>
      </c>
      <c r="AB37" s="2066"/>
      <c r="AC37" s="89"/>
      <c r="AD37" s="89">
        <v>-4.3</v>
      </c>
      <c r="AE37" s="329"/>
      <c r="AF37" s="1602"/>
      <c r="AG37" s="1616">
        <f>-ROUND(SUM(AA37-AD37),1)</f>
        <v>0.5</v>
      </c>
      <c r="AH37" s="2015"/>
      <c r="AI37" s="1617">
        <f>ROUND(IF(AG37=0,0,AG37/ABS(AD37)),3)</f>
        <v>0.11600000000000001</v>
      </c>
    </row>
    <row r="38" spans="1:35" ht="16.5" customHeight="1">
      <c r="A38" s="45"/>
      <c r="B38" s="1613"/>
      <c r="C38" s="89"/>
      <c r="D38" s="1613"/>
      <c r="E38" s="89"/>
      <c r="F38" s="1613"/>
      <c r="G38" s="89"/>
      <c r="H38" s="1613"/>
      <c r="I38" s="89"/>
      <c r="J38" s="1613"/>
      <c r="K38" s="89"/>
      <c r="L38" s="1613"/>
      <c r="M38" s="89"/>
      <c r="N38" s="1613"/>
      <c r="O38" s="89"/>
      <c r="P38" s="1613"/>
      <c r="Q38" s="89"/>
      <c r="R38" s="1613"/>
      <c r="S38" s="89"/>
      <c r="T38" s="1613"/>
      <c r="U38" s="89"/>
      <c r="V38" s="1613"/>
      <c r="W38" s="89"/>
      <c r="X38" s="1613"/>
      <c r="Y38" s="89"/>
      <c r="Z38" s="742"/>
      <c r="AA38" s="1618"/>
      <c r="AB38" s="2066"/>
      <c r="AC38" s="89"/>
      <c r="AD38" s="1618"/>
      <c r="AE38" s="329"/>
      <c r="AF38" s="1602"/>
      <c r="AG38" s="45"/>
      <c r="AH38" s="45"/>
      <c r="AI38" s="45"/>
    </row>
    <row r="39" spans="1:35" ht="16.5" customHeight="1">
      <c r="A39" s="97" t="s">
        <v>621</v>
      </c>
      <c r="B39" s="148">
        <f>ROUND(SUM(B36:B38),1)</f>
        <v>1.5</v>
      </c>
      <c r="C39" s="148"/>
      <c r="D39" s="148">
        <f>ROUND(SUM(D36:D38),1)</f>
        <v>2</v>
      </c>
      <c r="E39" s="148"/>
      <c r="F39" s="148">
        <f>ROUND(SUM(F36:F38),1)</f>
        <v>2.2000000000000002</v>
      </c>
      <c r="G39" s="148"/>
      <c r="H39" s="148">
        <f>ROUND(SUM(H36:H38),1)</f>
        <v>0.9</v>
      </c>
      <c r="I39" s="148"/>
      <c r="J39" s="148">
        <f>ROUND(SUM(J36:J38),1)</f>
        <v>-2.2999999999999998</v>
      </c>
      <c r="K39" s="148"/>
      <c r="L39" s="148">
        <f>ROUND(SUM(L36:L38),1)</f>
        <v>3.2</v>
      </c>
      <c r="M39" s="148"/>
      <c r="N39" s="148">
        <f>ROUND(SUM(N36:N38),1)</f>
        <v>5.0999999999999996</v>
      </c>
      <c r="O39" s="148"/>
      <c r="P39" s="148">
        <f>ROUND(SUM(P36:P38),1)</f>
        <v>7.1</v>
      </c>
      <c r="Q39" s="148"/>
      <c r="R39" s="148">
        <f t="shared" ref="R39" si="3">ROUND(SUM(R36:R38),1)</f>
        <v>0</v>
      </c>
      <c r="S39" s="148"/>
      <c r="T39" s="148">
        <f>ROUND(SUM(T36:T38),1)</f>
        <v>0</v>
      </c>
      <c r="U39" s="148"/>
      <c r="V39" s="148">
        <f>ROUND(SUM(V36:V38),1)</f>
        <v>0</v>
      </c>
      <c r="W39" s="148"/>
      <c r="X39" s="148">
        <f>ROUND(SUM(X36:X38),1)</f>
        <v>0</v>
      </c>
      <c r="Y39" s="148"/>
      <c r="Z39" s="883"/>
      <c r="AA39" s="148">
        <f>ROUND(SUM(AA36:AA38),1)</f>
        <v>19.7</v>
      </c>
      <c r="AB39" s="2067"/>
      <c r="AC39" s="148"/>
      <c r="AD39" s="148">
        <f>ROUND(SUM(AD36:AD38),1)</f>
        <v>67.099999999999994</v>
      </c>
      <c r="AF39" s="1589"/>
      <c r="AG39" s="657">
        <f>AA39-AD39</f>
        <v>-47.399999999999991</v>
      </c>
      <c r="AH39" s="400"/>
      <c r="AI39" s="1614">
        <f>ROUND(IF(AG39=0,0,AG39/ABS(AD39)),3)</f>
        <v>-0.70599999999999996</v>
      </c>
    </row>
    <row r="40" spans="1:35" ht="16.5" customHeight="1">
      <c r="A40" s="45"/>
      <c r="B40" s="1613"/>
      <c r="C40" s="89"/>
      <c r="D40" s="1613"/>
      <c r="E40" s="89"/>
      <c r="F40" s="1613"/>
      <c r="G40" s="89"/>
      <c r="H40" s="1613"/>
      <c r="I40" s="89"/>
      <c r="J40" s="1613"/>
      <c r="K40" s="89"/>
      <c r="L40" s="1613"/>
      <c r="M40" s="89"/>
      <c r="N40" s="1613"/>
      <c r="O40" s="89"/>
      <c r="P40" s="1613"/>
      <c r="Q40" s="89"/>
      <c r="R40" s="1613"/>
      <c r="S40" s="89"/>
      <c r="T40" s="1613"/>
      <c r="U40" s="89"/>
      <c r="V40" s="1613"/>
      <c r="W40" s="89"/>
      <c r="X40" s="1613"/>
      <c r="Y40" s="89"/>
      <c r="Z40" s="742"/>
      <c r="AA40" s="1613"/>
      <c r="AB40" s="2066"/>
      <c r="AC40" s="89"/>
      <c r="AD40" s="1613"/>
      <c r="AE40" s="329"/>
      <c r="AF40" s="1602"/>
      <c r="AG40" s="45"/>
      <c r="AH40" s="45"/>
      <c r="AI40" s="45"/>
    </row>
    <row r="41" spans="1:35" ht="16.5" customHeight="1">
      <c r="A41" s="45"/>
      <c r="B41" s="89"/>
      <c r="C41" s="89"/>
      <c r="D41" s="89"/>
      <c r="E41" s="89"/>
      <c r="F41" s="89"/>
      <c r="G41" s="89"/>
      <c r="H41" s="89"/>
      <c r="I41" s="89"/>
      <c r="J41" s="89"/>
      <c r="K41" s="89"/>
      <c r="L41" s="89"/>
      <c r="M41" s="89"/>
      <c r="N41" s="89"/>
      <c r="O41" s="89"/>
      <c r="P41" s="89"/>
      <c r="Q41" s="89"/>
      <c r="R41" s="89"/>
      <c r="S41" s="89"/>
      <c r="T41" s="89"/>
      <c r="U41" s="89"/>
      <c r="V41" s="89"/>
      <c r="W41" s="89"/>
      <c r="X41" s="89"/>
      <c r="Y41" s="89"/>
      <c r="Z41" s="742"/>
      <c r="AA41" s="89"/>
      <c r="AB41" s="2066"/>
      <c r="AC41" s="89"/>
      <c r="AD41" s="89"/>
      <c r="AE41" s="329"/>
      <c r="AF41" s="1602"/>
      <c r="AG41" s="45"/>
      <c r="AH41" s="45"/>
      <c r="AI41" s="45"/>
    </row>
    <row r="42" spans="1:35" ht="16.5" customHeight="1">
      <c r="A42" s="97" t="s">
        <v>499</v>
      </c>
      <c r="B42" s="89"/>
      <c r="C42" s="89"/>
      <c r="D42" s="89"/>
      <c r="E42" s="89"/>
      <c r="F42" s="89"/>
      <c r="G42" s="89"/>
      <c r="H42" s="89"/>
      <c r="I42" s="89"/>
      <c r="J42" s="89"/>
      <c r="K42" s="89"/>
      <c r="L42" s="89"/>
      <c r="M42" s="89"/>
      <c r="N42" s="89"/>
      <c r="O42" s="89"/>
      <c r="P42" s="89"/>
      <c r="Q42" s="89"/>
      <c r="R42" s="89"/>
      <c r="S42" s="89"/>
      <c r="T42" s="89"/>
      <c r="U42" s="89"/>
      <c r="V42" s="89"/>
      <c r="W42" s="89"/>
      <c r="X42" s="89"/>
      <c r="Y42" s="89"/>
      <c r="Z42" s="742"/>
      <c r="AA42" s="89"/>
      <c r="AB42" s="2066"/>
      <c r="AC42" s="89"/>
      <c r="AD42" s="89"/>
      <c r="AE42" s="329"/>
      <c r="AF42" s="1602"/>
      <c r="AG42" s="45"/>
      <c r="AH42" s="45"/>
      <c r="AI42" s="45"/>
    </row>
    <row r="43" spans="1:35" ht="16.5" customHeight="1">
      <c r="A43" s="97" t="s">
        <v>629</v>
      </c>
      <c r="B43" s="89"/>
      <c r="C43" s="89"/>
      <c r="D43" s="89"/>
      <c r="E43" s="89"/>
      <c r="F43" s="89"/>
      <c r="G43" s="89"/>
      <c r="H43" s="89"/>
      <c r="I43" s="89"/>
      <c r="J43" s="89"/>
      <c r="K43" s="89"/>
      <c r="L43" s="89"/>
      <c r="M43" s="89"/>
      <c r="N43" s="89"/>
      <c r="O43" s="89"/>
      <c r="P43" s="89"/>
      <c r="Q43" s="89"/>
      <c r="R43" s="89"/>
      <c r="S43" s="89"/>
      <c r="T43" s="89"/>
      <c r="U43" s="89"/>
      <c r="V43" s="89"/>
      <c r="W43" s="89"/>
      <c r="X43" s="89"/>
      <c r="Y43" s="89"/>
      <c r="Z43" s="742"/>
      <c r="AA43" s="89"/>
      <c r="AB43" s="2066"/>
      <c r="AC43" s="89"/>
      <c r="AD43" s="89"/>
      <c r="AE43" s="353"/>
      <c r="AF43" s="1589"/>
      <c r="AG43" s="45"/>
      <c r="AH43" s="45"/>
      <c r="AI43" s="45"/>
    </row>
    <row r="44" spans="1:35" s="74" customFormat="1" ht="16.5" customHeight="1">
      <c r="A44" s="97" t="s">
        <v>501</v>
      </c>
      <c r="B44" s="148">
        <f>ROUND(SUM(B32,B39),1)</f>
        <v>-52</v>
      </c>
      <c r="C44" s="148"/>
      <c r="D44" s="148">
        <f>ROUND(SUM(D32,D39),1)</f>
        <v>-21.8</v>
      </c>
      <c r="E44" s="148"/>
      <c r="F44" s="148">
        <f>ROUND(SUM(F32,F39),1)</f>
        <v>20.6</v>
      </c>
      <c r="G44" s="148"/>
      <c r="H44" s="148">
        <f>ROUND(SUM(H32,H39),1)</f>
        <v>-7.4</v>
      </c>
      <c r="I44" s="148"/>
      <c r="J44" s="148">
        <f>ROUND(SUM(J32,J39),1)</f>
        <v>-30.5</v>
      </c>
      <c r="K44" s="148"/>
      <c r="L44" s="148">
        <f>ROUND(SUM(L32,L39),1)</f>
        <v>-21</v>
      </c>
      <c r="M44" s="148"/>
      <c r="N44" s="148">
        <f>ROUND(SUM(N32,N39),1)</f>
        <v>-2.2999999999999998</v>
      </c>
      <c r="O44" s="148"/>
      <c r="P44" s="148">
        <f>ROUND(SUM(P32,P39),1)</f>
        <v>-5.3</v>
      </c>
      <c r="Q44" s="148"/>
      <c r="R44" s="148">
        <f>ROUND(SUM(R32,R39),1)</f>
        <v>0</v>
      </c>
      <c r="S44" s="148"/>
      <c r="T44" s="148">
        <f>ROUND(SUM(T32,T39),1)</f>
        <v>0</v>
      </c>
      <c r="U44" s="148"/>
      <c r="V44" s="148">
        <f>ROUND(SUM(V32,V39),1)</f>
        <v>0</v>
      </c>
      <c r="W44" s="148"/>
      <c r="X44" s="148">
        <f>ROUND(SUM(X32,X39),1)</f>
        <v>0</v>
      </c>
      <c r="Y44" s="148"/>
      <c r="Z44" s="883"/>
      <c r="AA44" s="149">
        <f>ROUND(AA32+AA39,1)</f>
        <v>-119.7</v>
      </c>
      <c r="AB44" s="2067"/>
      <c r="AC44" s="148"/>
      <c r="AD44" s="149">
        <f>ROUND(AD32+AD39,1)</f>
        <v>-117.7</v>
      </c>
      <c r="AE44" s="153"/>
      <c r="AF44" s="1589"/>
      <c r="AG44" s="657">
        <f>ROUND(SUM(AG32+AG39),1)</f>
        <v>-2</v>
      </c>
      <c r="AH44" s="97"/>
      <c r="AI44" s="1603">
        <f>ROUND(IF(AG44=0,0,AG44/ABS(AD44)),3)</f>
        <v>-1.7000000000000001E-2</v>
      </c>
    </row>
    <row r="45" spans="1:35" ht="16.5" customHeight="1">
      <c r="A45" s="45"/>
      <c r="B45" s="1619"/>
      <c r="C45" s="45"/>
      <c r="D45" s="1619"/>
      <c r="E45" s="45"/>
      <c r="F45" s="1619"/>
      <c r="G45" s="45"/>
      <c r="H45" s="1619"/>
      <c r="I45" s="45"/>
      <c r="J45" s="1619"/>
      <c r="K45" s="45"/>
      <c r="L45" s="1619"/>
      <c r="M45" s="45"/>
      <c r="N45" s="1619"/>
      <c r="O45" s="45"/>
      <c r="P45" s="1619"/>
      <c r="Q45" s="45"/>
      <c r="R45" s="1619"/>
      <c r="S45" s="45"/>
      <c r="T45" s="1619"/>
      <c r="U45" s="45"/>
      <c r="V45" s="1619"/>
      <c r="W45" s="45"/>
      <c r="X45" s="1619"/>
      <c r="Y45" s="45"/>
      <c r="Z45" s="1169"/>
      <c r="AA45" s="1619"/>
      <c r="AB45" s="2065"/>
      <c r="AC45" s="45"/>
      <c r="AD45" s="1619"/>
      <c r="AF45" s="1589"/>
      <c r="AG45" s="45"/>
      <c r="AH45" s="45"/>
      <c r="AI45" s="45"/>
    </row>
    <row r="46" spans="1:35" ht="16.5" customHeight="1" thickBot="1">
      <c r="A46" s="62" t="s">
        <v>463</v>
      </c>
      <c r="B46" s="147">
        <f>ROUND(SUM(B14,B44),1)</f>
        <v>-93.6</v>
      </c>
      <c r="C46" s="147"/>
      <c r="D46" s="147">
        <f>ROUND(SUM(D14,D44),1)</f>
        <v>-115.4</v>
      </c>
      <c r="E46" s="147"/>
      <c r="F46" s="147">
        <f>ROUND(SUM(F14,F44),1)</f>
        <v>-94.8</v>
      </c>
      <c r="G46" s="147"/>
      <c r="H46" s="147">
        <f>ROUND(SUM(H14,H44),1)</f>
        <v>-102.2</v>
      </c>
      <c r="I46" s="147"/>
      <c r="J46" s="147">
        <f>ROUND(SUM(J14,J44),1)</f>
        <v>-132.69999999999999</v>
      </c>
      <c r="K46" s="147"/>
      <c r="L46" s="147">
        <f>ROUND(SUM(L14,L44),1)</f>
        <v>-153.69999999999999</v>
      </c>
      <c r="M46" s="147"/>
      <c r="N46" s="147">
        <f>ROUND(SUM(N14,N44),1)</f>
        <v>-156</v>
      </c>
      <c r="O46" s="147"/>
      <c r="P46" s="147">
        <f>ROUND(SUM(P14,P44),1)</f>
        <v>-161.30000000000001</v>
      </c>
      <c r="Q46" s="147"/>
      <c r="R46" s="150">
        <f>ROUND(SUM(R14,R44),1)</f>
        <v>0</v>
      </c>
      <c r="S46" s="147"/>
      <c r="T46" s="147">
        <f>ROUND(SUM(T14,T44),1)</f>
        <v>0</v>
      </c>
      <c r="U46" s="147"/>
      <c r="V46" s="147">
        <f>ROUND(SUM(V14,V44),1)</f>
        <v>0</v>
      </c>
      <c r="W46" s="147"/>
      <c r="X46" s="147">
        <f>ROUND(SUM(X14,X44),1)</f>
        <v>0</v>
      </c>
      <c r="Y46" s="147"/>
      <c r="Z46" s="1168"/>
      <c r="AA46" s="147">
        <f>ROUND(SUM(AA14,AA44),1)</f>
        <v>-161.30000000000001</v>
      </c>
      <c r="AB46" s="2064"/>
      <c r="AC46" s="147"/>
      <c r="AD46" s="147">
        <f>ROUND(SUM(AD14,AD44),1)</f>
        <v>-254.4</v>
      </c>
      <c r="AF46" s="1589"/>
      <c r="AG46" s="150">
        <f>ROUND(SUM(AA46-AD46),1)</f>
        <v>93.1</v>
      </c>
      <c r="AH46" s="1604"/>
      <c r="AI46" s="1607">
        <f>ROUND(IF(AG46=0,0,AG46/ABS(AD46)),3)</f>
        <v>0.36599999999999999</v>
      </c>
    </row>
    <row r="47" spans="1:35" ht="16.5" customHeight="1" thickTop="1">
      <c r="A47" s="45"/>
      <c r="B47" s="151"/>
      <c r="C47" s="45"/>
      <c r="D47" s="151"/>
      <c r="E47" s="45"/>
      <c r="F47" s="151"/>
      <c r="G47" s="45"/>
      <c r="H47" s="151"/>
      <c r="I47" s="45"/>
      <c r="J47" s="151"/>
      <c r="K47" s="45"/>
      <c r="L47" s="151"/>
      <c r="M47" s="45"/>
      <c r="N47" s="151"/>
      <c r="O47" s="45"/>
      <c r="P47" s="151"/>
      <c r="Q47" s="45"/>
      <c r="R47" s="45"/>
      <c r="S47" s="45"/>
      <c r="T47" s="151"/>
      <c r="U47" s="45"/>
      <c r="V47" s="151"/>
      <c r="W47" s="45"/>
      <c r="X47" s="151"/>
      <c r="Y47" s="45"/>
      <c r="Z47" s="45"/>
      <c r="AA47" s="151"/>
      <c r="AB47" s="45"/>
      <c r="AC47" s="45"/>
      <c r="AD47" s="151"/>
      <c r="AF47" s="45"/>
      <c r="AG47" s="45"/>
      <c r="AH47" s="45"/>
      <c r="AI47" s="45"/>
    </row>
    <row r="49" spans="1:1" ht="16.5" customHeight="1">
      <c r="A49" s="152"/>
    </row>
    <row r="50" spans="1:1" ht="16.5" customHeight="1">
      <c r="A50" s="95"/>
    </row>
  </sheetData>
  <mergeCells count="1">
    <mergeCell ref="AA10:AI10"/>
  </mergeCells>
  <pageMargins left="0.25" right="0.25" top="0.5" bottom="0.25" header="0" footer="0.25"/>
  <pageSetup scale="42" firstPageNumber="35" orientation="landscape" useFirstPageNumber="1" r:id="rId1"/>
  <headerFooter scaleWithDoc="0" alignWithMargins="0">
    <oddFooter>&amp;C&amp;8&amp;P</oddFooter>
  </headerFooter>
  <customProperties>
    <customPr name="SheetOptions" r:id="rId2"/>
  </customPropertie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6">
    <pageSetUpPr autoPageBreaks="0" fitToPage="1"/>
  </sheetPr>
  <dimension ref="A1:AI47"/>
  <sheetViews>
    <sheetView showGridLines="0" zoomScale="80" zoomScaleNormal="70" workbookViewId="0"/>
  </sheetViews>
  <sheetFormatPr defaultColWidth="8.84375" defaultRowHeight="17.5"/>
  <cols>
    <col min="1" max="1" width="45.53515625" style="153" customWidth="1"/>
    <col min="2" max="2" width="12.07421875" style="153" customWidth="1"/>
    <col min="3" max="3" width="1.84375" style="153" customWidth="1"/>
    <col min="4" max="4" width="12.07421875" style="153" customWidth="1"/>
    <col min="5" max="5" width="1.84375" style="153" customWidth="1"/>
    <col min="6" max="6" width="12.4609375" style="153" customWidth="1"/>
    <col min="7" max="7" width="1.84375" style="153" customWidth="1"/>
    <col min="8" max="8" width="11.07421875" style="153" customWidth="1"/>
    <col min="9" max="9" width="1.84375" style="153" customWidth="1"/>
    <col min="10" max="10" width="10.84375" style="153" customWidth="1"/>
    <col min="11" max="11" width="1.84375" style="153" customWidth="1"/>
    <col min="12" max="12" width="14.07421875" style="153" customWidth="1"/>
    <col min="13" max="13" width="1.84375" style="153" customWidth="1"/>
    <col min="14" max="14" width="12" style="153" bestFit="1" customWidth="1"/>
    <col min="15" max="15" width="1.84375" style="153" customWidth="1"/>
    <col min="16" max="16" width="13.53515625" style="153" bestFit="1" customWidth="1"/>
    <col min="17" max="17" width="1.84375" style="153" customWidth="1"/>
    <col min="18" max="18" width="13.53515625" style="153" bestFit="1" customWidth="1"/>
    <col min="19" max="19" width="1.84375" style="153" customWidth="1"/>
    <col min="20" max="20" width="12.84375" style="153" customWidth="1"/>
    <col min="21" max="21" width="1.84375" style="153" customWidth="1"/>
    <col min="22" max="22" width="12.84375" style="153" bestFit="1" customWidth="1"/>
    <col min="23" max="23" width="1.84375" style="153" customWidth="1"/>
    <col min="24" max="24" width="11" style="153" customWidth="1"/>
    <col min="25" max="26" width="1.84375" style="153" customWidth="1"/>
    <col min="27" max="27" width="12.84375" style="153" customWidth="1"/>
    <col min="28" max="29" width="1.84375" style="153" customWidth="1"/>
    <col min="30" max="30" width="13.84375" style="437" customWidth="1"/>
    <col min="31" max="31" width="1.84375" style="538" customWidth="1"/>
    <col min="32" max="32" width="2.4609375" style="538" customWidth="1"/>
    <col min="33" max="33" width="10.07421875" style="538" bestFit="1" customWidth="1"/>
    <col min="34" max="34" width="1.84375" style="538" customWidth="1"/>
    <col min="35" max="35" width="12.07421875" style="538" customWidth="1"/>
    <col min="36" max="16384" width="8.84375" style="153"/>
  </cols>
  <sheetData>
    <row r="1" spans="1:35">
      <c r="A1" s="326" t="s">
        <v>98</v>
      </c>
      <c r="AE1" s="45"/>
      <c r="AF1" s="45"/>
      <c r="AG1" s="45"/>
      <c r="AH1" s="45"/>
      <c r="AI1" s="45"/>
    </row>
    <row r="2" spans="1:35">
      <c r="A2" s="431"/>
      <c r="AE2" s="45"/>
      <c r="AF2" s="45"/>
      <c r="AG2" s="45"/>
      <c r="AH2" s="45"/>
      <c r="AI2" s="45"/>
    </row>
    <row r="3" spans="1:35" ht="20.25" customHeight="1">
      <c r="A3" s="1232" t="s">
        <v>99</v>
      </c>
      <c r="B3" s="353"/>
      <c r="C3" s="353"/>
      <c r="D3" s="353"/>
      <c r="E3" s="353"/>
      <c r="F3" s="353"/>
      <c r="G3" s="353"/>
      <c r="H3" s="353"/>
      <c r="I3" s="353"/>
      <c r="J3" s="353"/>
      <c r="K3" s="6"/>
      <c r="L3" s="6"/>
      <c r="M3" s="353"/>
      <c r="N3" s="353"/>
      <c r="O3" s="353"/>
      <c r="P3" s="353"/>
      <c r="Q3" s="353"/>
      <c r="R3" s="353"/>
      <c r="S3" s="353"/>
      <c r="T3" s="353"/>
      <c r="U3" s="353"/>
      <c r="V3" s="353"/>
      <c r="W3" s="353"/>
      <c r="X3" s="353"/>
      <c r="Y3" s="353"/>
      <c r="Z3" s="353"/>
      <c r="AA3" s="353"/>
      <c r="AB3" s="353"/>
      <c r="AC3" s="353"/>
      <c r="AD3" s="45"/>
      <c r="AE3" s="45"/>
      <c r="AF3" s="45"/>
      <c r="AG3" s="45"/>
      <c r="AH3" s="45"/>
      <c r="AI3" s="105" t="s">
        <v>633</v>
      </c>
    </row>
    <row r="4" spans="1:35" ht="20.25" customHeight="1">
      <c r="A4" s="112" t="s">
        <v>242</v>
      </c>
      <c r="B4" s="353"/>
      <c r="C4" s="353"/>
      <c r="D4" s="353"/>
      <c r="E4" s="353"/>
      <c r="F4" s="353"/>
      <c r="G4" s="353"/>
      <c r="H4" s="6" t="s">
        <v>104</v>
      </c>
      <c r="I4" s="353"/>
      <c r="J4" s="353"/>
      <c r="K4" s="6"/>
      <c r="L4" s="6"/>
      <c r="M4" s="353"/>
      <c r="N4" s="353"/>
      <c r="O4" s="353"/>
      <c r="P4" s="353"/>
      <c r="Q4" s="353"/>
      <c r="R4" s="353"/>
      <c r="S4" s="353"/>
      <c r="T4" s="353"/>
      <c r="U4" s="353"/>
      <c r="V4" s="353"/>
      <c r="W4" s="353"/>
      <c r="X4" s="353" t="s">
        <v>104</v>
      </c>
      <c r="Y4" s="353"/>
      <c r="Z4" s="353"/>
      <c r="AA4" s="353"/>
      <c r="AB4" s="353"/>
      <c r="AC4" s="353"/>
      <c r="AD4" s="45"/>
      <c r="AE4" s="45"/>
      <c r="AF4" s="45"/>
      <c r="AG4" s="45"/>
      <c r="AH4" s="45"/>
      <c r="AI4" s="45"/>
    </row>
    <row r="5" spans="1:35" ht="20.25" customHeight="1">
      <c r="A5" s="688" t="s">
        <v>356</v>
      </c>
      <c r="B5" s="353"/>
      <c r="C5" s="353"/>
      <c r="D5" s="353"/>
      <c r="E5" s="353"/>
      <c r="F5" s="353"/>
      <c r="G5" s="353"/>
      <c r="H5" s="353"/>
      <c r="I5" s="353"/>
      <c r="J5" s="353"/>
      <c r="K5" s="6"/>
      <c r="L5" s="6"/>
      <c r="M5" s="353"/>
      <c r="N5" s="353"/>
      <c r="O5" s="353"/>
      <c r="P5" s="353"/>
      <c r="Q5" s="353"/>
      <c r="R5" s="353"/>
      <c r="S5" s="353"/>
      <c r="T5" s="353"/>
      <c r="U5" s="353"/>
      <c r="V5" s="353"/>
      <c r="W5" s="353"/>
      <c r="X5" s="353"/>
      <c r="Y5" s="353"/>
      <c r="Z5" s="353"/>
      <c r="AB5" s="154"/>
      <c r="AC5" s="154"/>
      <c r="AE5" s="154"/>
      <c r="AF5" s="45"/>
      <c r="AG5" s="45"/>
      <c r="AH5" s="45"/>
      <c r="AI5" s="45"/>
    </row>
    <row r="6" spans="1:35" ht="20.25" customHeight="1">
      <c r="A6" s="688" t="str">
        <f>'Cashflow Governmental'!A6</f>
        <v>FISCAL YEAR 2023-2024</v>
      </c>
      <c r="B6" s="353"/>
      <c r="C6" s="353"/>
      <c r="D6" s="353"/>
      <c r="E6" s="353"/>
      <c r="F6" s="353"/>
      <c r="G6" s="353"/>
      <c r="H6" s="353"/>
      <c r="I6" s="353"/>
      <c r="J6" s="353"/>
      <c r="K6" s="6"/>
      <c r="L6" s="6"/>
      <c r="M6" s="353"/>
      <c r="N6" s="353"/>
      <c r="O6" s="353"/>
      <c r="P6" s="353"/>
      <c r="Q6" s="353"/>
      <c r="R6" s="353"/>
      <c r="S6" s="353"/>
      <c r="T6" s="353"/>
      <c r="U6" s="353"/>
      <c r="V6" s="353"/>
      <c r="W6" s="353"/>
      <c r="X6" s="353"/>
      <c r="Y6" s="353"/>
      <c r="Z6" s="353"/>
      <c r="AA6" s="353"/>
      <c r="AB6" s="353"/>
      <c r="AC6" s="353"/>
      <c r="AD6" s="45"/>
      <c r="AE6" s="45"/>
      <c r="AF6" s="45"/>
      <c r="AG6" s="45"/>
      <c r="AH6" s="45"/>
      <c r="AI6" s="45"/>
    </row>
    <row r="7" spans="1:35" ht="20.25" customHeight="1">
      <c r="A7" s="1232" t="s">
        <v>103</v>
      </c>
      <c r="B7" s="353"/>
      <c r="C7" s="353"/>
      <c r="D7" s="353"/>
      <c r="E7" s="353"/>
      <c r="F7" s="353"/>
      <c r="G7" s="353"/>
      <c r="H7" s="353"/>
      <c r="I7" s="353"/>
      <c r="J7" s="353"/>
      <c r="K7" s="6"/>
      <c r="L7" s="353"/>
      <c r="M7" s="353"/>
      <c r="N7" s="353"/>
      <c r="O7" s="353"/>
      <c r="P7" s="353"/>
      <c r="Q7" s="353"/>
      <c r="R7" s="353"/>
      <c r="S7" s="353"/>
      <c r="T7" s="353"/>
      <c r="U7" s="353"/>
      <c r="V7" s="353"/>
      <c r="W7" s="353"/>
      <c r="X7" s="353"/>
      <c r="Y7" s="353"/>
      <c r="Z7" s="353"/>
      <c r="AA7" s="353"/>
      <c r="AB7" s="353"/>
      <c r="AC7" s="353"/>
      <c r="AD7" s="45"/>
      <c r="AE7" s="45"/>
      <c r="AF7" s="45"/>
      <c r="AG7" s="45"/>
      <c r="AH7" s="45"/>
      <c r="AI7" s="45"/>
    </row>
    <row r="8" spans="1:35" s="155" customFormat="1" ht="19.399999999999999" customHeight="1">
      <c r="A8" s="62"/>
      <c r="B8" s="353"/>
      <c r="C8" s="353"/>
      <c r="D8" s="353"/>
      <c r="E8" s="353"/>
      <c r="F8" s="353"/>
      <c r="G8" s="353"/>
      <c r="H8" s="353"/>
      <c r="I8" s="353"/>
      <c r="J8" s="353"/>
      <c r="K8" s="353"/>
      <c r="L8" s="353"/>
      <c r="M8" s="353"/>
      <c r="N8" s="353"/>
      <c r="O8" s="353"/>
      <c r="P8" s="353"/>
      <c r="Q8" s="353"/>
      <c r="R8" s="353"/>
      <c r="S8" s="353"/>
      <c r="T8" s="353"/>
      <c r="U8" s="353"/>
      <c r="V8" s="353"/>
      <c r="W8" s="353"/>
      <c r="X8" s="353"/>
      <c r="Y8" s="353"/>
      <c r="Z8" s="45"/>
      <c r="AA8" s="45"/>
      <c r="AB8" s="45"/>
      <c r="AC8" s="45"/>
      <c r="AD8" s="45"/>
      <c r="AE8" s="45"/>
      <c r="AF8" s="45"/>
      <c r="AG8" s="45"/>
      <c r="AH8" s="45"/>
      <c r="AI8" s="45"/>
    </row>
    <row r="9" spans="1:35" s="155" customFormat="1" ht="19.399999999999999" customHeight="1">
      <c r="A9" s="353"/>
      <c r="B9" s="353"/>
      <c r="C9" s="353"/>
      <c r="D9" s="353"/>
      <c r="E9" s="353"/>
      <c r="F9" s="353"/>
      <c r="G9" s="353"/>
      <c r="H9" s="6"/>
      <c r="I9" s="6"/>
      <c r="J9" s="6"/>
      <c r="K9" s="353"/>
      <c r="L9" s="353"/>
      <c r="M9" s="353"/>
      <c r="N9" s="353"/>
      <c r="O9" s="353"/>
      <c r="P9" s="353"/>
      <c r="Q9" s="353"/>
      <c r="R9" s="353"/>
      <c r="S9" s="353"/>
      <c r="T9" s="353"/>
      <c r="U9" s="353"/>
      <c r="V9" s="353"/>
      <c r="W9" s="353"/>
      <c r="X9" s="353"/>
      <c r="Y9" s="353"/>
      <c r="Z9" s="45"/>
      <c r="AA9" s="45"/>
      <c r="AB9" s="45"/>
      <c r="AC9" s="2239"/>
      <c r="AD9" s="2240"/>
      <c r="AE9" s="2240"/>
      <c r="AF9" s="2240"/>
      <c r="AG9" s="2240"/>
      <c r="AH9" s="2240"/>
      <c r="AI9" s="2240"/>
    </row>
    <row r="10" spans="1:35" s="155" customFormat="1" ht="19.399999999999999" customHeight="1">
      <c r="A10" s="45"/>
      <c r="B10" s="45"/>
      <c r="C10" s="45"/>
      <c r="D10" s="45"/>
      <c r="E10" s="45"/>
      <c r="F10" s="45"/>
      <c r="G10" s="45"/>
      <c r="H10" s="45"/>
      <c r="I10" s="45"/>
      <c r="J10" s="45"/>
      <c r="K10" s="45"/>
      <c r="L10" s="45"/>
      <c r="M10" s="45"/>
      <c r="N10" s="45"/>
      <c r="O10" s="45"/>
      <c r="P10" s="45"/>
      <c r="Q10" s="45"/>
      <c r="R10" s="45"/>
      <c r="S10" s="45"/>
      <c r="T10" s="45"/>
      <c r="U10" s="45"/>
      <c r="V10" s="437"/>
      <c r="W10" s="45"/>
      <c r="X10" s="436"/>
      <c r="Y10" s="437"/>
      <c r="Z10" s="2241" t="s">
        <v>1590</v>
      </c>
      <c r="AA10" s="2242"/>
      <c r="AB10" s="2242"/>
      <c r="AC10" s="2242"/>
      <c r="AD10" s="2242"/>
      <c r="AE10" s="2242"/>
      <c r="AF10" s="2242"/>
      <c r="AG10" s="2242"/>
      <c r="AH10" s="2242"/>
      <c r="AI10" s="2242"/>
    </row>
    <row r="11" spans="1:35" s="155" customFormat="1" ht="19.399999999999999" customHeight="1">
      <c r="A11" s="45"/>
      <c r="B11" s="2014" t="str">
        <f>'Cashflow Governmental'!C13</f>
        <v>2023</v>
      </c>
      <c r="C11" s="97"/>
      <c r="D11" s="97"/>
      <c r="E11" s="97"/>
      <c r="F11" s="97"/>
      <c r="G11" s="97"/>
      <c r="H11" s="97"/>
      <c r="I11" s="97"/>
      <c r="J11" s="97"/>
      <c r="K11" s="97"/>
      <c r="L11" s="97"/>
      <c r="M11" s="97"/>
      <c r="N11" s="97"/>
      <c r="O11" s="97"/>
      <c r="P11" s="97"/>
      <c r="Q11" s="97"/>
      <c r="R11" s="97"/>
      <c r="S11" s="97"/>
      <c r="T11" s="2014">
        <f>'Cashflow Governmental'!U13</f>
        <v>2024</v>
      </c>
      <c r="U11" s="97"/>
      <c r="V11" s="400"/>
      <c r="W11" s="97"/>
      <c r="X11" s="97"/>
      <c r="Y11" s="97"/>
      <c r="Z11" s="97"/>
      <c r="AA11" s="97"/>
      <c r="AB11" s="97"/>
      <c r="AC11" s="97"/>
      <c r="AD11" s="668"/>
      <c r="AE11" s="668"/>
      <c r="AF11" s="97"/>
      <c r="AG11" s="1581" t="s">
        <v>111</v>
      </c>
      <c r="AH11" s="1581"/>
      <c r="AI11" s="1582" t="s">
        <v>112</v>
      </c>
    </row>
    <row r="12" spans="1:35" s="155" customFormat="1" ht="19.399999999999999" customHeight="1">
      <c r="A12" s="45"/>
      <c r="B12" s="1620" t="s">
        <v>358</v>
      </c>
      <c r="C12" s="97"/>
      <c r="D12" s="1620" t="s">
        <v>359</v>
      </c>
      <c r="E12" s="97"/>
      <c r="F12" s="1620" t="s">
        <v>360</v>
      </c>
      <c r="G12" s="97"/>
      <c r="H12" s="1620" t="s">
        <v>361</v>
      </c>
      <c r="I12" s="97"/>
      <c r="J12" s="2016" t="s">
        <v>634</v>
      </c>
      <c r="K12" s="97"/>
      <c r="L12" s="2016" t="s">
        <v>475</v>
      </c>
      <c r="M12" s="97"/>
      <c r="N12" s="2016" t="s">
        <v>476</v>
      </c>
      <c r="O12" s="97"/>
      <c r="P12" s="1620" t="s">
        <v>365</v>
      </c>
      <c r="Q12" s="97"/>
      <c r="R12" s="1620" t="s">
        <v>366</v>
      </c>
      <c r="S12" s="97"/>
      <c r="T12" s="2016" t="s">
        <v>367</v>
      </c>
      <c r="U12" s="97"/>
      <c r="V12" s="1620" t="s">
        <v>368</v>
      </c>
      <c r="W12" s="97"/>
      <c r="X12" s="2016" t="s">
        <v>477</v>
      </c>
      <c r="Y12" s="97"/>
      <c r="Z12" s="97"/>
      <c r="AA12" s="400">
        <f>'Cashflow Governmental'!AB14</f>
        <v>2023</v>
      </c>
      <c r="AB12" s="400"/>
      <c r="AC12" s="400"/>
      <c r="AD12" s="1620">
        <f>'Cashflow Governmental'!AE14</f>
        <v>2022</v>
      </c>
      <c r="AE12" s="400"/>
      <c r="AF12" s="400"/>
      <c r="AG12" s="1583" t="s">
        <v>113</v>
      </c>
      <c r="AH12" s="1581"/>
      <c r="AI12" s="1583" t="s">
        <v>114</v>
      </c>
    </row>
    <row r="13" spans="1:35" s="155" customFormat="1" ht="19.399999999999999" customHeight="1">
      <c r="A13" s="97" t="s">
        <v>370</v>
      </c>
      <c r="B13" s="1632">
        <v>1255.7</v>
      </c>
      <c r="C13" s="147"/>
      <c r="D13" s="1621">
        <f>B38</f>
        <v>1258.7</v>
      </c>
      <c r="E13" s="1621"/>
      <c r="F13" s="1621">
        <f t="shared" ref="F13:P13" si="0">D38</f>
        <v>1242.4000000000001</v>
      </c>
      <c r="G13" s="735"/>
      <c r="H13" s="1621">
        <f t="shared" si="0"/>
        <v>1258.9000000000001</v>
      </c>
      <c r="I13" s="735"/>
      <c r="J13" s="1621">
        <f t="shared" si="0"/>
        <v>1262.2</v>
      </c>
      <c r="K13" s="735"/>
      <c r="L13" s="1621">
        <f t="shared" si="0"/>
        <v>1262.2</v>
      </c>
      <c r="M13" s="735"/>
      <c r="N13" s="1621">
        <f t="shared" si="0"/>
        <v>1261.9000000000001</v>
      </c>
      <c r="O13" s="735"/>
      <c r="P13" s="1621">
        <f t="shared" si="0"/>
        <v>1282.8</v>
      </c>
      <c r="Q13" s="870"/>
      <c r="R13" s="1621"/>
      <c r="S13" s="870"/>
      <c r="T13" s="1621"/>
      <c r="U13" s="1621"/>
      <c r="V13" s="1621"/>
      <c r="W13" s="1621"/>
      <c r="X13" s="1621"/>
      <c r="Y13" s="2068"/>
      <c r="Z13" s="439"/>
      <c r="AA13" s="1621">
        <f>B13</f>
        <v>1255.7</v>
      </c>
      <c r="AB13" s="2068"/>
      <c r="AC13" s="454"/>
      <c r="AD13" s="1621">
        <v>318.89999999999998</v>
      </c>
      <c r="AE13" s="1166"/>
      <c r="AF13" s="1609"/>
      <c r="AG13" s="147">
        <f>ROUND(SUM(AA13-AD13),1)</f>
        <v>936.8</v>
      </c>
      <c r="AH13" s="45"/>
      <c r="AI13" s="331">
        <f>ROUND(IF(AD13=0,1,AG13/ABS(AD13)),3)</f>
        <v>2.9380000000000002</v>
      </c>
    </row>
    <row r="14" spans="1:35" s="155" customFormat="1" ht="19.399999999999999" customHeight="1">
      <c r="A14" s="45"/>
      <c r="B14" s="45"/>
      <c r="C14" s="45"/>
      <c r="D14" s="45"/>
      <c r="E14" s="45"/>
      <c r="F14" s="440"/>
      <c r="G14" s="440"/>
      <c r="H14" s="440"/>
      <c r="I14" s="441"/>
      <c r="J14" s="441"/>
      <c r="K14" s="440"/>
      <c r="L14" s="441"/>
      <c r="M14" s="441"/>
      <c r="N14" s="441"/>
      <c r="O14" s="441"/>
      <c r="P14" s="441"/>
      <c r="Q14" s="441"/>
      <c r="R14" s="441"/>
      <c r="S14" s="441"/>
      <c r="T14" s="441"/>
      <c r="U14" s="441"/>
      <c r="V14" s="441"/>
      <c r="W14" s="441"/>
      <c r="X14" s="441"/>
      <c r="Y14" s="2069"/>
      <c r="Z14" s="442"/>
      <c r="AA14" s="45"/>
      <c r="AB14" s="2069"/>
      <c r="AC14" s="443"/>
      <c r="AD14" s="45"/>
      <c r="AE14" s="45"/>
      <c r="AF14" s="1610"/>
      <c r="AG14" s="45"/>
      <c r="AH14" s="45"/>
      <c r="AI14" s="45"/>
    </row>
    <row r="15" spans="1:35" s="155" customFormat="1" ht="19.399999999999999" customHeight="1">
      <c r="A15" s="97" t="s">
        <v>115</v>
      </c>
      <c r="B15" s="45"/>
      <c r="C15" s="45"/>
      <c r="D15" s="45"/>
      <c r="E15" s="45"/>
      <c r="F15" s="440"/>
      <c r="G15" s="440"/>
      <c r="H15" s="440"/>
      <c r="I15" s="441"/>
      <c r="J15" s="441"/>
      <c r="K15" s="440"/>
      <c r="L15" s="441"/>
      <c r="M15" s="441"/>
      <c r="N15" s="441"/>
      <c r="O15" s="441"/>
      <c r="P15" s="441"/>
      <c r="Q15" s="441"/>
      <c r="R15" s="441"/>
      <c r="S15" s="441"/>
      <c r="T15" s="441"/>
      <c r="U15" s="441"/>
      <c r="V15" s="441"/>
      <c r="W15" s="441"/>
      <c r="X15" s="441"/>
      <c r="Y15" s="2069"/>
      <c r="Z15" s="442"/>
      <c r="AA15" s="45"/>
      <c r="AB15" s="2069"/>
      <c r="AC15" s="443"/>
      <c r="AD15" s="45"/>
      <c r="AE15" s="45"/>
      <c r="AF15" s="1610"/>
      <c r="AG15" s="45"/>
      <c r="AH15" s="45"/>
      <c r="AI15" s="45"/>
    </row>
    <row r="16" spans="1:35" s="155" customFormat="1" ht="19.399999999999999" customHeight="1">
      <c r="A16" s="444" t="s">
        <v>624</v>
      </c>
      <c r="B16" s="1766">
        <v>10</v>
      </c>
      <c r="C16" s="89"/>
      <c r="D16" s="1766">
        <v>10.9</v>
      </c>
      <c r="E16" s="449"/>
      <c r="F16" s="1766">
        <v>29.200000000000003</v>
      </c>
      <c r="G16" s="89"/>
      <c r="H16" s="876">
        <v>15.100000000000001</v>
      </c>
      <c r="I16" s="445"/>
      <c r="J16" s="449">
        <v>15.799999999999997</v>
      </c>
      <c r="K16" s="89"/>
      <c r="L16" s="449">
        <v>11.699999999999996</v>
      </c>
      <c r="M16" s="445"/>
      <c r="N16" s="449">
        <v>31.699999999999989</v>
      </c>
      <c r="O16" s="445"/>
      <c r="P16" s="449">
        <f>$AA16-$B16-$D16-$F16-$H16-$J16-$L16-$N16</f>
        <v>13.100000000000001</v>
      </c>
      <c r="Q16" s="449"/>
      <c r="R16" s="876"/>
      <c r="S16" s="449"/>
      <c r="T16" s="876"/>
      <c r="U16" s="449"/>
      <c r="V16" s="876"/>
      <c r="W16" s="449"/>
      <c r="X16" s="876"/>
      <c r="Y16" s="2070"/>
      <c r="Z16" s="446"/>
      <c r="AA16" s="1701">
        <v>137.5</v>
      </c>
      <c r="AB16" s="2070"/>
      <c r="AC16" s="445"/>
      <c r="AD16" s="1701">
        <v>136.6</v>
      </c>
      <c r="AE16" s="449"/>
      <c r="AF16" s="1585"/>
      <c r="AG16" s="89">
        <f>ROUND(SUM(AA16-AD16),1)</f>
        <v>0.9</v>
      </c>
      <c r="AH16" s="45"/>
      <c r="AI16" s="1615">
        <f>ROUND(IF(AG16=0,0,AG16/ABS(AD16)),3)</f>
        <v>7.0000000000000001E-3</v>
      </c>
    </row>
    <row r="17" spans="1:35" s="155" customFormat="1" ht="24" customHeight="1">
      <c r="A17" s="97" t="s">
        <v>457</v>
      </c>
      <c r="B17" s="1767">
        <f>ROUND(SUM(B16),1)</f>
        <v>10</v>
      </c>
      <c r="C17" s="148"/>
      <c r="D17" s="1622">
        <f>ROUND(SUM(D16),1)</f>
        <v>10.9</v>
      </c>
      <c r="E17" s="148"/>
      <c r="F17" s="1622">
        <f>ROUND(SUM(F16),1)</f>
        <v>29.2</v>
      </c>
      <c r="G17" s="148"/>
      <c r="H17" s="1622">
        <f>ROUND(SUM(H16),1)</f>
        <v>15.1</v>
      </c>
      <c r="I17" s="149"/>
      <c r="J17" s="1622">
        <f>ROUND(SUM(J16),1)</f>
        <v>15.8</v>
      </c>
      <c r="K17" s="148"/>
      <c r="L17" s="1622">
        <f>ROUND(SUM(L16),1)</f>
        <v>11.7</v>
      </c>
      <c r="M17" s="447"/>
      <c r="N17" s="1622">
        <f>ROUND(SUM(N16),1)</f>
        <v>31.7</v>
      </c>
      <c r="O17" s="447"/>
      <c r="P17" s="1622">
        <f>ROUND(SUM(P16),1)</f>
        <v>13.1</v>
      </c>
      <c r="Q17" s="149"/>
      <c r="R17" s="1622">
        <f>ROUND(SUM(R16),1)</f>
        <v>0</v>
      </c>
      <c r="S17" s="447"/>
      <c r="T17" s="1622">
        <f>ROUND(SUM(T16),1)</f>
        <v>0</v>
      </c>
      <c r="U17" s="447"/>
      <c r="V17" s="1622">
        <f>ROUND(SUM(V16),1)</f>
        <v>0</v>
      </c>
      <c r="W17" s="447"/>
      <c r="X17" s="1622">
        <f>ROUND(SUM(X16),1)</f>
        <v>0</v>
      </c>
      <c r="Y17" s="2071"/>
      <c r="Z17" s="448"/>
      <c r="AA17" s="450">
        <f>ROUND(SUM(AA16),1)</f>
        <v>137.5</v>
      </c>
      <c r="AB17" s="2071"/>
      <c r="AC17" s="448"/>
      <c r="AD17" s="450">
        <f>ROUND(SUM(AD16),1)</f>
        <v>136.6</v>
      </c>
      <c r="AE17" s="450"/>
      <c r="AF17" s="1585"/>
      <c r="AG17" s="1623">
        <f>ROUND(SUM(AG16),1)</f>
        <v>0.9</v>
      </c>
      <c r="AH17" s="1624"/>
      <c r="AI17" s="1625">
        <f>ROUND(IF(AG17=0,0,AG17/ABS(AD17)),3)</f>
        <v>7.0000000000000001E-3</v>
      </c>
    </row>
    <row r="18" spans="1:35" s="155" customFormat="1" ht="19.399999999999999" customHeight="1">
      <c r="A18" s="45"/>
      <c r="B18" s="1613"/>
      <c r="C18" s="89"/>
      <c r="D18" s="1613"/>
      <c r="E18" s="89"/>
      <c r="F18" s="1613"/>
      <c r="G18" s="89"/>
      <c r="H18" s="1626"/>
      <c r="I18" s="445"/>
      <c r="J18" s="1626"/>
      <c r="K18" s="89"/>
      <c r="L18" s="1626"/>
      <c r="M18" s="445"/>
      <c r="N18" s="1626"/>
      <c r="O18" s="445"/>
      <c r="P18" s="1626"/>
      <c r="Q18" s="445"/>
      <c r="R18" s="1626"/>
      <c r="S18" s="445"/>
      <c r="T18" s="1626"/>
      <c r="U18" s="445"/>
      <c r="V18" s="1626"/>
      <c r="W18" s="445"/>
      <c r="X18" s="1626"/>
      <c r="Y18" s="2070"/>
      <c r="Z18" s="446"/>
      <c r="AA18" s="1613"/>
      <c r="AB18" s="2070"/>
      <c r="AC18" s="445"/>
      <c r="AD18" s="1613"/>
      <c r="AE18" s="89"/>
      <c r="AF18" s="1585"/>
      <c r="AG18" s="89"/>
      <c r="AH18" s="45"/>
      <c r="AI18" s="45"/>
    </row>
    <row r="19" spans="1:35" s="155" customFormat="1" ht="19.399999999999999" customHeight="1">
      <c r="A19" s="45"/>
      <c r="B19" s="89"/>
      <c r="C19" s="89"/>
      <c r="D19" s="89"/>
      <c r="E19" s="89"/>
      <c r="F19" s="89"/>
      <c r="G19" s="89"/>
      <c r="H19" s="445"/>
      <c r="I19" s="445"/>
      <c r="J19" s="445"/>
      <c r="K19" s="89"/>
      <c r="L19" s="445"/>
      <c r="M19" s="445"/>
      <c r="N19" s="445"/>
      <c r="O19" s="445"/>
      <c r="P19" s="445"/>
      <c r="Q19" s="445"/>
      <c r="R19" s="445"/>
      <c r="S19" s="445"/>
      <c r="T19" s="445"/>
      <c r="U19" s="445"/>
      <c r="V19" s="445"/>
      <c r="W19" s="445"/>
      <c r="X19" s="445"/>
      <c r="Y19" s="2070"/>
      <c r="Z19" s="446"/>
      <c r="AA19" s="89"/>
      <c r="AB19" s="2070"/>
      <c r="AC19" s="445"/>
      <c r="AD19" s="89"/>
      <c r="AE19" s="89"/>
      <c r="AF19" s="1585"/>
      <c r="AG19" s="89"/>
      <c r="AH19" s="45"/>
      <c r="AI19" s="45"/>
    </row>
    <row r="20" spans="1:35" s="155" customFormat="1" ht="19.399999999999999" customHeight="1">
      <c r="A20" s="97" t="s">
        <v>123</v>
      </c>
      <c r="B20" s="89"/>
      <c r="C20" s="89"/>
      <c r="D20" s="89"/>
      <c r="E20" s="89"/>
      <c r="F20" s="89"/>
      <c r="G20" s="89"/>
      <c r="H20" s="445"/>
      <c r="I20" s="445"/>
      <c r="J20" s="445"/>
      <c r="K20" s="89"/>
      <c r="L20" s="445"/>
      <c r="M20" s="445"/>
      <c r="N20" s="445"/>
      <c r="O20" s="445"/>
      <c r="P20" s="445"/>
      <c r="Q20" s="445"/>
      <c r="R20" s="445"/>
      <c r="S20" s="445"/>
      <c r="T20" s="445"/>
      <c r="U20" s="445"/>
      <c r="V20" s="445"/>
      <c r="W20" s="445"/>
      <c r="X20" s="445"/>
      <c r="Y20" s="2070"/>
      <c r="Z20" s="446"/>
      <c r="AA20" s="89"/>
      <c r="AB20" s="2070"/>
      <c r="AC20" s="445"/>
      <c r="AD20" s="89"/>
      <c r="AE20" s="89"/>
      <c r="AF20" s="1585"/>
      <c r="AG20" s="89"/>
      <c r="AH20" s="45"/>
      <c r="AI20" s="45"/>
    </row>
    <row r="21" spans="1:35" s="155" customFormat="1" ht="19.399999999999999" customHeight="1">
      <c r="A21" s="45" t="s">
        <v>483</v>
      </c>
      <c r="B21" s="90"/>
      <c r="C21" s="89"/>
      <c r="D21" s="89"/>
      <c r="E21" s="89"/>
      <c r="F21" s="89"/>
      <c r="G21" s="89"/>
      <c r="H21" s="445"/>
      <c r="I21" s="445"/>
      <c r="J21" s="445"/>
      <c r="K21" s="89"/>
      <c r="L21" s="445"/>
      <c r="M21" s="445"/>
      <c r="N21" s="445"/>
      <c r="O21" s="445"/>
      <c r="P21" s="445"/>
      <c r="Q21" s="445"/>
      <c r="R21" s="445"/>
      <c r="S21" s="445"/>
      <c r="T21" s="445"/>
      <c r="U21" s="445"/>
      <c r="V21" s="445"/>
      <c r="W21" s="445"/>
      <c r="X21" s="445"/>
      <c r="Y21" s="2070"/>
      <c r="Z21" s="446"/>
      <c r="AA21" s="90"/>
      <c r="AB21" s="2072"/>
      <c r="AC21" s="1699"/>
      <c r="AD21" s="90"/>
      <c r="AE21" s="90"/>
      <c r="AF21" s="1589"/>
      <c r="AG21" s="89"/>
      <c r="AH21" s="45"/>
      <c r="AI21" s="45"/>
    </row>
    <row r="22" spans="1:35" s="155" customFormat="1" ht="19.399999999999999" customHeight="1">
      <c r="A22" s="45" t="s">
        <v>627</v>
      </c>
      <c r="B22" s="775">
        <v>6.9</v>
      </c>
      <c r="C22" s="89"/>
      <c r="D22" s="775">
        <v>9</v>
      </c>
      <c r="E22" s="89"/>
      <c r="F22" s="775">
        <v>5.8999999999999995</v>
      </c>
      <c r="G22" s="89"/>
      <c r="H22" s="449">
        <v>5.700000000000002</v>
      </c>
      <c r="I22" s="445"/>
      <c r="J22" s="449">
        <v>10.3</v>
      </c>
      <c r="K22" s="89"/>
      <c r="L22" s="449">
        <v>5.9999999999999964</v>
      </c>
      <c r="M22" s="445"/>
      <c r="N22" s="449">
        <v>6</v>
      </c>
      <c r="O22" s="445"/>
      <c r="P22" s="449">
        <f>$AA22-$B22-$D22-$F22-$H22-$J22-$L22-$N22</f>
        <v>7.3000000000000043</v>
      </c>
      <c r="Q22" s="449"/>
      <c r="R22" s="449"/>
      <c r="S22" s="449"/>
      <c r="T22" s="449"/>
      <c r="U22" s="449"/>
      <c r="V22" s="449"/>
      <c r="W22" s="449"/>
      <c r="X22" s="449"/>
      <c r="Y22" s="2070"/>
      <c r="Z22" s="446"/>
      <c r="AA22" s="775">
        <v>57.1</v>
      </c>
      <c r="AB22" s="2070"/>
      <c r="AC22" s="445"/>
      <c r="AD22" s="775">
        <v>52.2</v>
      </c>
      <c r="AE22" s="705"/>
      <c r="AF22" s="1589"/>
      <c r="AG22" s="89">
        <f>ROUND(SUM(AA22-AD22),1)</f>
        <v>4.9000000000000004</v>
      </c>
      <c r="AH22" s="45"/>
      <c r="AI22" s="1627">
        <f>ROUND(IF(AG22=0,0,AG22/ABS(AD22)),3)</f>
        <v>9.4E-2</v>
      </c>
    </row>
    <row r="23" spans="1:35" s="155" customFormat="1" ht="19.399999999999999" customHeight="1">
      <c r="A23" s="444" t="s">
        <v>541</v>
      </c>
      <c r="B23" s="775">
        <v>0.1</v>
      </c>
      <c r="C23" s="89"/>
      <c r="D23" s="775">
        <v>5.6</v>
      </c>
      <c r="E23" s="89"/>
      <c r="F23" s="775">
        <v>3</v>
      </c>
      <c r="G23" s="89"/>
      <c r="H23" s="449">
        <v>2.2000000000000011</v>
      </c>
      <c r="I23" s="445"/>
      <c r="J23" s="449">
        <v>1.1000000000000001</v>
      </c>
      <c r="K23" s="89"/>
      <c r="L23" s="449">
        <v>1.5999999999999992</v>
      </c>
      <c r="M23" s="445"/>
      <c r="N23" s="449">
        <v>0.80000000000000071</v>
      </c>
      <c r="O23" s="445"/>
      <c r="P23" s="449">
        <f t="shared" ref="P23:P24" si="1">$AA23-$B23-$D23-$F23-$H23-$J23-$L23-$N23</f>
        <v>4.8999999999999986</v>
      </c>
      <c r="Q23" s="445"/>
      <c r="R23" s="449"/>
      <c r="S23" s="445"/>
      <c r="T23" s="449"/>
      <c r="U23" s="445"/>
      <c r="V23" s="449"/>
      <c r="W23" s="445"/>
      <c r="X23" s="449"/>
      <c r="Y23" s="2070"/>
      <c r="Z23" s="446"/>
      <c r="AA23" s="775">
        <v>19.3</v>
      </c>
      <c r="AB23" s="2070"/>
      <c r="AC23" s="445"/>
      <c r="AD23" s="775">
        <v>47.1</v>
      </c>
      <c r="AE23" s="90"/>
      <c r="AF23" s="1589"/>
      <c r="AG23" s="89">
        <f>ROUND(SUM(AA23-AD23),1)</f>
        <v>-27.8</v>
      </c>
      <c r="AH23" s="2015"/>
      <c r="AI23" s="1615">
        <f>ROUND(IF(AG23=0,0,AG23/ABS(AD23)),3)</f>
        <v>-0.59</v>
      </c>
    </row>
    <row r="24" spans="1:35" s="155" customFormat="1" ht="19.399999999999999" customHeight="1">
      <c r="A24" s="45" t="s">
        <v>486</v>
      </c>
      <c r="B24" s="775">
        <v>0</v>
      </c>
      <c r="C24" s="89"/>
      <c r="D24" s="1701">
        <v>12.6</v>
      </c>
      <c r="E24" s="89"/>
      <c r="F24" s="775">
        <v>3.8</v>
      </c>
      <c r="G24" s="89"/>
      <c r="H24" s="876">
        <v>3.9000000000000012</v>
      </c>
      <c r="I24" s="445"/>
      <c r="J24" s="449">
        <v>4.3999999999999995</v>
      </c>
      <c r="K24" s="89"/>
      <c r="L24" s="449">
        <v>4.3999999999999977</v>
      </c>
      <c r="M24" s="445"/>
      <c r="N24" s="449">
        <v>4.0000000000000009</v>
      </c>
      <c r="O24" s="445"/>
      <c r="P24" s="449">
        <f t="shared" si="1"/>
        <v>6.8999999999999977</v>
      </c>
      <c r="Q24" s="445"/>
      <c r="R24" s="449"/>
      <c r="S24" s="445"/>
      <c r="T24" s="449"/>
      <c r="U24" s="445"/>
      <c r="V24" s="1277"/>
      <c r="W24" s="445"/>
      <c r="X24" s="449"/>
      <c r="Y24" s="2070"/>
      <c r="Z24" s="446"/>
      <c r="AA24" s="1701">
        <v>40</v>
      </c>
      <c r="AB24" s="2070"/>
      <c r="AC24" s="445"/>
      <c r="AD24" s="1701">
        <v>35.1</v>
      </c>
      <c r="AE24" s="705"/>
      <c r="AF24" s="1589"/>
      <c r="AG24" s="89">
        <f>ROUND(SUM(AA24-AD24),1)</f>
        <v>4.9000000000000004</v>
      </c>
      <c r="AH24" s="45"/>
      <c r="AI24" s="1615">
        <f>ROUND(IF(AD24=0,1,AG24/ABS(AD24)),3)</f>
        <v>0.14000000000000001</v>
      </c>
    </row>
    <row r="25" spans="1:35" s="155" customFormat="1" ht="22.5" customHeight="1">
      <c r="A25" s="97" t="s">
        <v>487</v>
      </c>
      <c r="B25" s="861">
        <f>ROUND(SUM(B22)+SUM(B23)+SUM(B24),1)</f>
        <v>7</v>
      </c>
      <c r="C25" s="148"/>
      <c r="D25" s="450">
        <f>ROUND(SUM(D22)+SUM(D23)+SUM(D24),1)</f>
        <v>27.2</v>
      </c>
      <c r="E25" s="148"/>
      <c r="F25" s="861">
        <f>ROUND(SUM(F22)+SUM(F23)+SUM(F24),1)</f>
        <v>12.7</v>
      </c>
      <c r="G25" s="450"/>
      <c r="H25" s="450">
        <f>ROUND(SUM(H22)+SUM(H23)+SUM(H24),1)</f>
        <v>11.8</v>
      </c>
      <c r="I25" s="447"/>
      <c r="J25" s="861">
        <f>ROUND(SUM(J22)+SUM(J23)+SUM(J24),1)</f>
        <v>15.8</v>
      </c>
      <c r="K25" s="148"/>
      <c r="L25" s="861">
        <f>ROUND(SUM(L22)+SUM(L23)+SUM(L24),1)</f>
        <v>12</v>
      </c>
      <c r="M25" s="447"/>
      <c r="N25" s="861">
        <f>ROUND(SUM(N22)+SUM(N23)+SUM(N24),1)</f>
        <v>10.8</v>
      </c>
      <c r="O25" s="447"/>
      <c r="P25" s="861">
        <f>ROUND(SUM(P22)+SUM(P23)+SUM(P24),1)</f>
        <v>19.100000000000001</v>
      </c>
      <c r="Q25" s="450"/>
      <c r="R25" s="861">
        <f>ROUND(SUM(R22)+SUM(R23)+SUM(R24),1)</f>
        <v>0</v>
      </c>
      <c r="S25" s="447"/>
      <c r="T25" s="861">
        <f>ROUND(SUM(T22)+SUM(T23)+SUM(T24),1)</f>
        <v>0</v>
      </c>
      <c r="U25" s="447"/>
      <c r="V25" s="1349">
        <f>ROUND(SUM(V22)+SUM(V23)+SUM(V24),1)</f>
        <v>0</v>
      </c>
      <c r="W25" s="447"/>
      <c r="X25" s="861">
        <f>ROUND(SUM(X22)+SUM(X23)+SUM(X24),1)</f>
        <v>0</v>
      </c>
      <c r="Y25" s="2071"/>
      <c r="Z25" s="448"/>
      <c r="AA25" s="457">
        <f>ROUND(SUM(AA22)+SUM(AA23)+SUM(AA24),1)</f>
        <v>116.4</v>
      </c>
      <c r="AB25" s="2071"/>
      <c r="AC25" s="448"/>
      <c r="AD25" s="457">
        <f>ROUND(SUM(AD22)+SUM(AD23)+SUM(AD24),1)</f>
        <v>134.4</v>
      </c>
      <c r="AE25" s="457"/>
      <c r="AF25" s="1589"/>
      <c r="AG25" s="1623">
        <f>ROUND(SUM(AG22:AG24),1)</f>
        <v>-18</v>
      </c>
      <c r="AH25" s="1593"/>
      <c r="AI25" s="1625">
        <f>ROUND(IF(AG25=0,0,AG25/ABS(AD25)),3)</f>
        <v>-0.13400000000000001</v>
      </c>
    </row>
    <row r="26" spans="1:35" s="155" customFormat="1" ht="19.399999999999999" customHeight="1">
      <c r="A26" s="45"/>
      <c r="B26" s="1613"/>
      <c r="C26" s="89"/>
      <c r="D26" s="1613"/>
      <c r="E26" s="89"/>
      <c r="F26" s="1613"/>
      <c r="G26" s="89"/>
      <c r="H26" s="1626"/>
      <c r="I26" s="445"/>
      <c r="J26" s="1626"/>
      <c r="K26" s="89"/>
      <c r="L26" s="1626"/>
      <c r="M26" s="445"/>
      <c r="N26" s="1626"/>
      <c r="O26" s="445"/>
      <c r="P26" s="1626"/>
      <c r="Q26" s="445"/>
      <c r="R26" s="1626"/>
      <c r="S26" s="445"/>
      <c r="T26" s="1626"/>
      <c r="U26" s="445"/>
      <c r="V26" s="1626"/>
      <c r="W26" s="445"/>
      <c r="X26" s="1626"/>
      <c r="Y26" s="2070"/>
      <c r="Z26" s="446"/>
      <c r="AA26" s="1613"/>
      <c r="AB26" s="2070"/>
      <c r="AC26" s="445"/>
      <c r="AD26" s="1613"/>
      <c r="AE26" s="89"/>
      <c r="AF26" s="1585"/>
      <c r="AG26" s="89"/>
      <c r="AH26" s="45"/>
      <c r="AI26" s="45"/>
    </row>
    <row r="27" spans="1:35" s="155" customFormat="1" ht="19.399999999999999" customHeight="1">
      <c r="A27" s="97" t="s">
        <v>488</v>
      </c>
      <c r="B27" s="89"/>
      <c r="C27" s="89"/>
      <c r="D27" s="89"/>
      <c r="E27" s="89"/>
      <c r="F27" s="89"/>
      <c r="G27" s="89"/>
      <c r="H27" s="445"/>
      <c r="I27" s="445"/>
      <c r="J27" s="445"/>
      <c r="K27" s="89"/>
      <c r="L27" s="445"/>
      <c r="M27" s="445"/>
      <c r="N27" s="445"/>
      <c r="O27" s="445"/>
      <c r="P27" s="445"/>
      <c r="Q27" s="445"/>
      <c r="R27" s="445"/>
      <c r="S27" s="445"/>
      <c r="T27" s="445"/>
      <c r="U27" s="445"/>
      <c r="V27" s="445"/>
      <c r="W27" s="445"/>
      <c r="X27" s="445"/>
      <c r="Y27" s="2070"/>
      <c r="Z27" s="446"/>
      <c r="AA27" s="89"/>
      <c r="AB27" s="2070"/>
      <c r="AC27" s="445"/>
      <c r="AD27" s="89"/>
      <c r="AE27" s="89"/>
      <c r="AF27" s="1585"/>
      <c r="AG27" s="89"/>
      <c r="AH27" s="45"/>
      <c r="AI27" s="45"/>
    </row>
    <row r="28" spans="1:35" s="155" customFormat="1" ht="18.75" customHeight="1">
      <c r="A28" s="97" t="s">
        <v>146</v>
      </c>
      <c r="B28" s="451">
        <f>ROUND(B17-B25,1)</f>
        <v>3</v>
      </c>
      <c r="C28" s="148"/>
      <c r="D28" s="451">
        <f>ROUND(D17-D25,1)</f>
        <v>-16.3</v>
      </c>
      <c r="E28" s="148"/>
      <c r="F28" s="451">
        <f>ROUND(F17-F25,1)</f>
        <v>16.5</v>
      </c>
      <c r="G28" s="148"/>
      <c r="H28" s="451">
        <f>ROUND(H17-H25,1)</f>
        <v>3.3</v>
      </c>
      <c r="I28" s="148"/>
      <c r="J28" s="451">
        <f>ROUND(J17-J25,1)</f>
        <v>0</v>
      </c>
      <c r="K28" s="148"/>
      <c r="L28" s="451">
        <f>ROUND(L17-L25,1)</f>
        <v>-0.3</v>
      </c>
      <c r="M28" s="447"/>
      <c r="N28" s="451">
        <f>ROUND(N17-N25,1)</f>
        <v>20.9</v>
      </c>
      <c r="O28" s="447"/>
      <c r="P28" s="451">
        <f>ROUND(P17-P25,1)</f>
        <v>-6</v>
      </c>
      <c r="Q28" s="1371"/>
      <c r="R28" s="451">
        <f>ROUND(R17-R25,1)</f>
        <v>0</v>
      </c>
      <c r="S28" s="447"/>
      <c r="T28" s="451">
        <f>ROUND(T17-T25,1)</f>
        <v>0</v>
      </c>
      <c r="U28" s="447"/>
      <c r="V28" s="451">
        <f>ROUND(V17-V25,1)</f>
        <v>0</v>
      </c>
      <c r="W28" s="447"/>
      <c r="X28" s="451">
        <f>ROUND(X17-X25,1)</f>
        <v>0</v>
      </c>
      <c r="Y28" s="2071"/>
      <c r="Z28" s="448"/>
      <c r="AA28" s="452">
        <f>ROUND(AA17-AA25,1)</f>
        <v>21.1</v>
      </c>
      <c r="AB28" s="2071"/>
      <c r="AC28" s="447"/>
      <c r="AD28" s="452">
        <f>ROUND(AD17-AD25,1)</f>
        <v>2.2000000000000002</v>
      </c>
      <c r="AE28" s="450"/>
      <c r="AF28" s="1589"/>
      <c r="AG28" s="1628">
        <f>ROUND(SUM(AA28-AD28),1)</f>
        <v>18.899999999999999</v>
      </c>
      <c r="AH28" s="45"/>
      <c r="AI28" s="1629">
        <f>ROUND(IF(AD28=0,1,AG28/ABS(AD28)),3)</f>
        <v>8.5909999999999993</v>
      </c>
    </row>
    <row r="29" spans="1:35" s="155" customFormat="1" ht="19.399999999999999" customHeight="1">
      <c r="A29" s="45"/>
      <c r="B29" s="89"/>
      <c r="C29" s="89"/>
      <c r="D29" s="89"/>
      <c r="E29" s="89"/>
      <c r="F29" s="89"/>
      <c r="G29" s="89"/>
      <c r="H29" s="445"/>
      <c r="I29" s="445"/>
      <c r="J29" s="445"/>
      <c r="K29" s="89"/>
      <c r="L29" s="445"/>
      <c r="M29" s="445"/>
      <c r="N29" s="1626"/>
      <c r="O29" s="445"/>
      <c r="P29" s="445"/>
      <c r="Q29" s="445"/>
      <c r="R29" s="1626"/>
      <c r="S29" s="445"/>
      <c r="T29" s="445"/>
      <c r="U29" s="445"/>
      <c r="V29" s="445"/>
      <c r="W29" s="445"/>
      <c r="X29" s="1626"/>
      <c r="Y29" s="2070"/>
      <c r="Z29" s="446"/>
      <c r="AA29" s="89"/>
      <c r="AB29" s="2070"/>
      <c r="AC29" s="445"/>
      <c r="AD29" s="89"/>
      <c r="AE29" s="89"/>
      <c r="AF29" s="1596"/>
      <c r="AG29" s="89"/>
      <c r="AH29" s="45"/>
      <c r="AI29" s="45"/>
    </row>
    <row r="30" spans="1:35" s="155" customFormat="1" ht="19.399999999999999" customHeight="1">
      <c r="A30" s="97" t="s">
        <v>147</v>
      </c>
      <c r="B30" s="89"/>
      <c r="C30" s="89"/>
      <c r="D30" s="89"/>
      <c r="E30" s="89"/>
      <c r="F30" s="89"/>
      <c r="G30" s="89"/>
      <c r="H30" s="445"/>
      <c r="I30" s="445"/>
      <c r="J30" s="445"/>
      <c r="K30" s="89"/>
      <c r="L30" s="445"/>
      <c r="M30" s="445"/>
      <c r="N30" s="445"/>
      <c r="O30" s="445"/>
      <c r="P30" s="445"/>
      <c r="Q30" s="445"/>
      <c r="R30" s="445"/>
      <c r="S30" s="445"/>
      <c r="T30" s="445"/>
      <c r="U30" s="445"/>
      <c r="V30" s="445"/>
      <c r="W30" s="445"/>
      <c r="X30" s="445"/>
      <c r="Y30" s="2070"/>
      <c r="Z30" s="446"/>
      <c r="AA30" s="89"/>
      <c r="AB30" s="2070"/>
      <c r="AC30" s="445"/>
      <c r="AD30" s="89"/>
      <c r="AE30" s="89"/>
      <c r="AF30" s="1596"/>
      <c r="AG30" s="89"/>
      <c r="AH30" s="45"/>
      <c r="AI30" s="45"/>
    </row>
    <row r="31" spans="1:35" s="155" customFormat="1" ht="19.399999999999999" customHeight="1">
      <c r="A31" s="45" t="s">
        <v>569</v>
      </c>
      <c r="B31" s="775">
        <v>0</v>
      </c>
      <c r="C31" s="89"/>
      <c r="D31" s="775">
        <v>0</v>
      </c>
      <c r="E31" s="89"/>
      <c r="F31" s="775">
        <v>0</v>
      </c>
      <c r="G31" s="89"/>
      <c r="H31" s="449">
        <v>0</v>
      </c>
      <c r="I31" s="445"/>
      <c r="J31" s="449">
        <v>0</v>
      </c>
      <c r="K31" s="89"/>
      <c r="L31" s="449">
        <v>0</v>
      </c>
      <c r="M31" s="445"/>
      <c r="N31" s="449">
        <v>0</v>
      </c>
      <c r="O31" s="445"/>
      <c r="P31" s="449">
        <f t="shared" ref="P31:P32" si="2">$AA31-$B31-$D31-$F31-$H31-$J31-$L31-$N31</f>
        <v>0</v>
      </c>
      <c r="Q31" s="445"/>
      <c r="R31" s="449"/>
      <c r="S31" s="445"/>
      <c r="T31" s="449"/>
      <c r="U31" s="445"/>
      <c r="V31" s="449"/>
      <c r="W31" s="445"/>
      <c r="X31" s="449"/>
      <c r="Y31" s="2070"/>
      <c r="Z31" s="446"/>
      <c r="AA31" s="775">
        <v>0</v>
      </c>
      <c r="AB31" s="2070"/>
      <c r="AC31" s="445"/>
      <c r="AD31" s="775">
        <v>0</v>
      </c>
      <c r="AE31" s="90"/>
      <c r="AF31" s="1598"/>
      <c r="AG31" s="89">
        <f>ROUND(SUM(AA31-AD31),1)</f>
        <v>0</v>
      </c>
      <c r="AH31" s="2015"/>
      <c r="AI31" s="1615">
        <f>ROUND(IF(AG31=0,0,AG31/ABS(AD31)),3)</f>
        <v>0</v>
      </c>
    </row>
    <row r="32" spans="1:35" s="155" customFormat="1" ht="19.399999999999999" customHeight="1">
      <c r="A32" s="45" t="s">
        <v>570</v>
      </c>
      <c r="B32" s="775">
        <v>0</v>
      </c>
      <c r="C32" s="89"/>
      <c r="D32" s="775">
        <v>0</v>
      </c>
      <c r="E32" s="89"/>
      <c r="F32" s="775">
        <v>0</v>
      </c>
      <c r="G32" s="89"/>
      <c r="H32" s="449">
        <v>0</v>
      </c>
      <c r="I32" s="445"/>
      <c r="J32" s="449">
        <v>0</v>
      </c>
      <c r="K32" s="89"/>
      <c r="L32" s="449">
        <v>0</v>
      </c>
      <c r="M32" s="445"/>
      <c r="N32" s="449">
        <v>0</v>
      </c>
      <c r="O32" s="445"/>
      <c r="P32" s="449">
        <f t="shared" si="2"/>
        <v>0</v>
      </c>
      <c r="Q32" s="445"/>
      <c r="R32" s="449"/>
      <c r="S32" s="445"/>
      <c r="T32" s="449"/>
      <c r="U32" s="445"/>
      <c r="V32" s="1277"/>
      <c r="W32" s="445"/>
      <c r="X32" s="449"/>
      <c r="Y32" s="2070"/>
      <c r="Z32" s="446"/>
      <c r="AA32" s="775">
        <v>0</v>
      </c>
      <c r="AB32" s="2070"/>
      <c r="AC32" s="445"/>
      <c r="AD32" s="775">
        <v>0</v>
      </c>
      <c r="AE32" s="90"/>
      <c r="AF32" s="1596"/>
      <c r="AG32" s="89">
        <f>ROUND(SUM(AA32-AD32),1)</f>
        <v>0</v>
      </c>
      <c r="AH32" s="2015"/>
      <c r="AI32" s="1615">
        <f>ROUND(IF(AG32=0,0,AG32/ABS(AD32)),3)</f>
        <v>0</v>
      </c>
    </row>
    <row r="33" spans="1:35" s="155" customFormat="1" ht="22.5" customHeight="1">
      <c r="A33" s="97" t="s">
        <v>621</v>
      </c>
      <c r="B33" s="1630">
        <f>ROUND(SUM(B31:B32),1)</f>
        <v>0</v>
      </c>
      <c r="C33" s="148"/>
      <c r="D33" s="1630">
        <f>ROUND(SUM(D31:D32),1)</f>
        <v>0</v>
      </c>
      <c r="E33" s="149"/>
      <c r="F33" s="1630">
        <f>ROUND(SUM(F31:F32),1)</f>
        <v>0</v>
      </c>
      <c r="G33" s="149"/>
      <c r="H33" s="2076">
        <f>ROUND(SUM(H31:H32),1)</f>
        <v>0</v>
      </c>
      <c r="I33" s="453"/>
      <c r="J33" s="1630">
        <f>ROUND(SUM(J31:J32),1)</f>
        <v>0</v>
      </c>
      <c r="K33" s="149"/>
      <c r="L33" s="1630">
        <f>ROUND(SUM(L31:L32),1)</f>
        <v>0</v>
      </c>
      <c r="M33" s="453"/>
      <c r="N33" s="1630">
        <f>ROUND(SUM(N31:N32),1)</f>
        <v>0</v>
      </c>
      <c r="O33" s="453"/>
      <c r="P33" s="1630">
        <f>ROUND(SUM(P31:P32),1)</f>
        <v>0</v>
      </c>
      <c r="Q33" s="453"/>
      <c r="R33" s="1630">
        <f>ROUND(SUM(R31:R32),1)</f>
        <v>0</v>
      </c>
      <c r="S33" s="453"/>
      <c r="T33" s="1630">
        <f>ROUND(SUM(T31:T32),1)</f>
        <v>0</v>
      </c>
      <c r="U33" s="453"/>
      <c r="V33" s="458">
        <f>ROUND(SUM(V31:V32),1)</f>
        <v>0</v>
      </c>
      <c r="W33" s="453"/>
      <c r="X33" s="1630">
        <f>ROUND(SUM(X31:X32),1)</f>
        <v>0</v>
      </c>
      <c r="Y33" s="2071"/>
      <c r="Z33" s="448"/>
      <c r="AA33" s="1631">
        <f>ROUND(SUM(AA31:AA32),1)</f>
        <v>0</v>
      </c>
      <c r="AB33" s="2073"/>
      <c r="AC33" s="453"/>
      <c r="AD33" s="1631">
        <f>ROUND(SUM(AD31:AD32),1)</f>
        <v>0</v>
      </c>
      <c r="AE33" s="457"/>
      <c r="AF33" s="1598"/>
      <c r="AG33" s="1623">
        <f>ROUND(SUM(AG31-AG32),1)</f>
        <v>0</v>
      </c>
      <c r="AH33" s="400"/>
      <c r="AI33" s="1625">
        <f>ROUND(IF(AG33=0,0,AG33/ABS(AD33)),3)</f>
        <v>0</v>
      </c>
    </row>
    <row r="34" spans="1:35" s="155" customFormat="1" ht="19.399999999999999" customHeight="1">
      <c r="A34" s="45"/>
      <c r="B34" s="1613"/>
      <c r="C34" s="89"/>
      <c r="D34" s="1613" t="s">
        <v>104</v>
      </c>
      <c r="E34" s="89"/>
      <c r="F34" s="1613"/>
      <c r="G34" s="89"/>
      <c r="H34" s="1626"/>
      <c r="I34" s="445"/>
      <c r="J34" s="1626"/>
      <c r="K34" s="89"/>
      <c r="L34" s="1626"/>
      <c r="M34" s="445"/>
      <c r="N34" s="1626"/>
      <c r="O34" s="445"/>
      <c r="P34" s="1626"/>
      <c r="Q34" s="445"/>
      <c r="R34" s="1626"/>
      <c r="S34" s="445"/>
      <c r="T34" s="1626"/>
      <c r="U34" s="445"/>
      <c r="V34" s="1626"/>
      <c r="W34" s="445"/>
      <c r="X34" s="1626"/>
      <c r="Y34" s="2070"/>
      <c r="Z34" s="446"/>
      <c r="AA34" s="1613"/>
      <c r="AB34" s="2070"/>
      <c r="AC34" s="445"/>
      <c r="AD34" s="1613"/>
      <c r="AE34" s="89"/>
      <c r="AF34" s="1585"/>
      <c r="AG34" s="89"/>
      <c r="AH34" s="45"/>
      <c r="AI34" s="45"/>
    </row>
    <row r="35" spans="1:35" s="155" customFormat="1" ht="19.399999999999999" customHeight="1">
      <c r="A35" s="97" t="s">
        <v>499</v>
      </c>
      <c r="B35" s="89"/>
      <c r="C35" s="89"/>
      <c r="D35" s="89" t="s">
        <v>104</v>
      </c>
      <c r="E35" s="89"/>
      <c r="F35" s="89"/>
      <c r="G35" s="89"/>
      <c r="H35" s="445"/>
      <c r="I35" s="445"/>
      <c r="J35" s="445"/>
      <c r="K35" s="89"/>
      <c r="L35" s="445"/>
      <c r="M35" s="445"/>
      <c r="N35" s="445"/>
      <c r="O35" s="445"/>
      <c r="P35" s="445"/>
      <c r="Q35" s="445"/>
      <c r="R35" s="445"/>
      <c r="S35" s="445"/>
      <c r="T35" s="445"/>
      <c r="U35" s="445"/>
      <c r="V35" s="445"/>
      <c r="W35" s="445"/>
      <c r="X35" s="445"/>
      <c r="Y35" s="2070"/>
      <c r="Z35" s="446"/>
      <c r="AA35" s="89"/>
      <c r="AB35" s="2070"/>
      <c r="AC35" s="445"/>
      <c r="AD35" s="89"/>
      <c r="AE35" s="89"/>
      <c r="AF35" s="1585"/>
      <c r="AG35" s="89"/>
      <c r="AH35" s="45"/>
      <c r="AI35" s="45"/>
    </row>
    <row r="36" spans="1:35" s="155" customFormat="1" ht="19.399999999999999" customHeight="1">
      <c r="A36" s="97" t="s">
        <v>629</v>
      </c>
      <c r="B36" s="89"/>
      <c r="C36" s="89"/>
      <c r="D36" s="89"/>
      <c r="E36" s="89"/>
      <c r="F36" s="89"/>
      <c r="G36" s="89"/>
      <c r="H36" s="445"/>
      <c r="I36" s="445"/>
      <c r="J36" s="445"/>
      <c r="K36" s="89"/>
      <c r="L36" s="445"/>
      <c r="M36" s="445"/>
      <c r="N36" s="445"/>
      <c r="O36" s="445"/>
      <c r="P36" s="445"/>
      <c r="Q36" s="445"/>
      <c r="R36" s="445"/>
      <c r="S36" s="445"/>
      <c r="T36" s="149"/>
      <c r="U36" s="445"/>
      <c r="V36" s="149"/>
      <c r="W36" s="445"/>
      <c r="X36" s="445"/>
      <c r="Y36" s="2070"/>
      <c r="Z36" s="446"/>
      <c r="AA36" s="89"/>
      <c r="AB36" s="2070"/>
      <c r="AC36" s="445"/>
      <c r="AD36" s="149"/>
      <c r="AE36" s="149"/>
      <c r="AF36" s="1602"/>
      <c r="AG36" s="89"/>
      <c r="AH36" s="45"/>
      <c r="AI36" s="45"/>
    </row>
    <row r="37" spans="1:35" s="156" customFormat="1" ht="19.399999999999999" customHeight="1">
      <c r="A37" s="97" t="s">
        <v>635</v>
      </c>
      <c r="B37" s="1768">
        <f>ROUND(+B28+B33,1)</f>
        <v>3</v>
      </c>
      <c r="C37" s="148"/>
      <c r="D37" s="1768">
        <f>ROUND(+D28+D33,1)</f>
        <v>-16.3</v>
      </c>
      <c r="E37" s="149"/>
      <c r="F37" s="1768">
        <f>ROUND(+F28+F33,1)</f>
        <v>16.5</v>
      </c>
      <c r="G37" s="149"/>
      <c r="H37" s="450">
        <f>ROUND(+H28+H33,1)</f>
        <v>3.3</v>
      </c>
      <c r="I37" s="453"/>
      <c r="J37" s="450">
        <f>ROUND(+J28+J33,1)</f>
        <v>0</v>
      </c>
      <c r="K37" s="149"/>
      <c r="L37" s="450">
        <f>ROUND(+L28+L33,1)</f>
        <v>-0.3</v>
      </c>
      <c r="M37" s="450"/>
      <c r="N37" s="450">
        <f>ROUND(+N28+N33,1)</f>
        <v>20.9</v>
      </c>
      <c r="O37" s="450"/>
      <c r="P37" s="450">
        <f>ROUND(+P28+P33,1)</f>
        <v>-6</v>
      </c>
      <c r="Q37" s="450"/>
      <c r="R37" s="450">
        <f>ROUND(+R28+R33,1)</f>
        <v>0</v>
      </c>
      <c r="S37" s="453"/>
      <c r="T37" s="450">
        <f>ROUND(+T28+T33,1)</f>
        <v>0</v>
      </c>
      <c r="U37" s="453"/>
      <c r="V37" s="450">
        <f>ROUND(+V28+V33,1)</f>
        <v>0</v>
      </c>
      <c r="W37" s="453"/>
      <c r="X37" s="450">
        <f>ROUND(+X28+X33,1)</f>
        <v>0</v>
      </c>
      <c r="Y37" s="2071"/>
      <c r="Z37" s="448"/>
      <c r="AA37" s="450">
        <f>ROUND(AA28+AA33,1)</f>
        <v>21.1</v>
      </c>
      <c r="AB37" s="148"/>
      <c r="AC37" s="1278"/>
      <c r="AD37" s="450">
        <f>ROUND(AD28+AD33,1)</f>
        <v>2.2000000000000002</v>
      </c>
      <c r="AE37" s="450"/>
      <c r="AF37" s="1600"/>
      <c r="AG37" s="1628">
        <f>ROUND(SUM(AA37-AD37),1)</f>
        <v>18.899999999999999</v>
      </c>
      <c r="AH37" s="45"/>
      <c r="AI37" s="707">
        <f>ROUND(IF(AD37=0,1,AG37/ABS(AD37)),3)</f>
        <v>8.5909999999999993</v>
      </c>
    </row>
    <row r="38" spans="1:35" s="155" customFormat="1" ht="22.5" customHeight="1">
      <c r="A38" s="97" t="s">
        <v>463</v>
      </c>
      <c r="B38" s="1972">
        <f>ROUND(B13+B37,1)</f>
        <v>1258.7</v>
      </c>
      <c r="C38" s="147"/>
      <c r="D38" s="1972">
        <f>ROUND(D13+D37,1)</f>
        <v>1242.4000000000001</v>
      </c>
      <c r="E38" s="147"/>
      <c r="F38" s="1972">
        <f>ROUND(F13+F37,1)</f>
        <v>1258.9000000000001</v>
      </c>
      <c r="G38" s="147"/>
      <c r="H38" s="1632">
        <f>ROUND(H13+H37,1)</f>
        <v>1262.2</v>
      </c>
      <c r="I38" s="454"/>
      <c r="J38" s="1632">
        <f>ROUND(J13+J37,1)</f>
        <v>1262.2</v>
      </c>
      <c r="K38" s="147"/>
      <c r="L38" s="1632">
        <f>ROUND(L13+L37,1)</f>
        <v>1261.9000000000001</v>
      </c>
      <c r="M38" s="147"/>
      <c r="N38" s="1632">
        <f>ROUND(N13+N37,1)</f>
        <v>1282.8</v>
      </c>
      <c r="O38" s="147"/>
      <c r="P38" s="1632">
        <f>ROUND(P13+P37,1)</f>
        <v>1276.8</v>
      </c>
      <c r="Q38" s="147"/>
      <c r="R38" s="1632">
        <f>ROUND(R13+R37,1)</f>
        <v>0</v>
      </c>
      <c r="S38" s="454"/>
      <c r="T38" s="1632">
        <f>ROUND(T13+T37,1)</f>
        <v>0</v>
      </c>
      <c r="U38" s="454"/>
      <c r="V38" s="1632">
        <f>ROUND(V13+V37,1)</f>
        <v>0</v>
      </c>
      <c r="W38" s="454"/>
      <c r="X38" s="1632">
        <f>ROUND(X13+X37,1)</f>
        <v>0</v>
      </c>
      <c r="Y38" s="2068"/>
      <c r="Z38" s="439"/>
      <c r="AA38" s="1632">
        <f>ROUND(SUM(AA13,AA37),1)</f>
        <v>1276.8</v>
      </c>
      <c r="AB38" s="147"/>
      <c r="AC38" s="1279"/>
      <c r="AD38" s="1633">
        <f>ROUND(SUM(AD13,AD37),1)</f>
        <v>321.10000000000002</v>
      </c>
      <c r="AE38" s="147"/>
      <c r="AF38" s="1601"/>
      <c r="AG38" s="1633">
        <f>ROUND(SUM(AA38-AD38),1)</f>
        <v>955.7</v>
      </c>
      <c r="AH38" s="1604"/>
      <c r="AI38" s="1634">
        <f>ROUND(IF(AD38=0,1,AG38/ABS(AD38)),3)</f>
        <v>2.976</v>
      </c>
    </row>
    <row r="39" spans="1:35" s="155" customFormat="1" ht="19.399999999999999" customHeight="1">
      <c r="A39" s="45" t="s">
        <v>104</v>
      </c>
      <c r="B39" s="455"/>
      <c r="C39" s="456"/>
      <c r="D39" s="455"/>
      <c r="E39" s="456"/>
      <c r="F39" s="455"/>
      <c r="G39" s="456"/>
      <c r="H39" s="455"/>
      <c r="I39" s="456"/>
      <c r="J39" s="455"/>
      <c r="K39" s="456"/>
      <c r="L39" s="455"/>
      <c r="M39" s="456"/>
      <c r="N39" s="455"/>
      <c r="O39" s="456"/>
      <c r="P39" s="455"/>
      <c r="Q39" s="456"/>
      <c r="R39" s="455"/>
      <c r="S39" s="456"/>
      <c r="T39" s="455"/>
      <c r="U39" s="456"/>
      <c r="V39" s="455"/>
      <c r="W39" s="456"/>
      <c r="X39" s="455"/>
      <c r="Y39" s="456"/>
      <c r="Z39" s="456"/>
      <c r="AA39" s="455"/>
      <c r="AB39" s="456"/>
      <c r="AC39" s="456"/>
      <c r="AD39" s="456"/>
      <c r="AE39" s="456"/>
      <c r="AF39" s="456"/>
      <c r="AG39" s="45"/>
      <c r="AH39" s="45"/>
      <c r="AI39" s="45"/>
    </row>
    <row r="40" spans="1:35" s="155" customFormat="1" ht="19.399999999999999" customHeight="1">
      <c r="B40" s="329"/>
      <c r="C40" s="329"/>
      <c r="D40" s="329"/>
      <c r="E40" s="329"/>
      <c r="F40" s="329"/>
      <c r="G40" s="329"/>
      <c r="H40" s="329"/>
      <c r="I40" s="329"/>
      <c r="J40" s="329"/>
      <c r="K40" s="329"/>
      <c r="L40" s="329"/>
      <c r="M40" s="329"/>
      <c r="N40" s="329"/>
      <c r="O40" s="329"/>
      <c r="P40" s="329"/>
      <c r="Q40" s="329"/>
      <c r="R40" s="329"/>
      <c r="S40" s="329"/>
      <c r="T40" s="329"/>
      <c r="U40" s="329"/>
      <c r="V40" s="329"/>
      <c r="W40" s="329"/>
      <c r="X40" s="329"/>
      <c r="Y40" s="329"/>
      <c r="Z40" s="456"/>
      <c r="AA40" s="456"/>
      <c r="AB40" s="456"/>
      <c r="AC40" s="456"/>
      <c r="AD40" s="456"/>
      <c r="AE40" s="456"/>
      <c r="AF40" s="456"/>
      <c r="AG40" s="45"/>
      <c r="AH40" s="45"/>
      <c r="AI40" s="45"/>
    </row>
    <row r="41" spans="1:35" ht="15.75" customHeight="1">
      <c r="A41" s="157"/>
      <c r="B41" s="329"/>
      <c r="C41" s="329"/>
      <c r="D41" s="329"/>
      <c r="E41" s="329"/>
      <c r="F41" s="329"/>
      <c r="G41" s="329"/>
      <c r="H41" s="329"/>
      <c r="I41" s="329"/>
      <c r="J41" s="329"/>
      <c r="K41" s="329"/>
      <c r="L41" s="329"/>
      <c r="M41" s="329"/>
      <c r="N41" s="329"/>
      <c r="O41" s="329"/>
      <c r="P41" s="329"/>
      <c r="Q41" s="329"/>
      <c r="R41" s="329"/>
      <c r="S41" s="329"/>
      <c r="T41" s="329"/>
      <c r="U41" s="329"/>
      <c r="V41" s="329"/>
      <c r="W41" s="329"/>
      <c r="X41" s="329"/>
      <c r="Y41" s="329"/>
      <c r="Z41" s="329"/>
      <c r="AA41" s="329"/>
      <c r="AB41" s="329"/>
      <c r="AC41" s="329"/>
      <c r="AD41" s="456"/>
      <c r="AE41" s="456"/>
      <c r="AF41" s="456"/>
      <c r="AG41" s="45"/>
      <c r="AH41" s="45"/>
      <c r="AI41" s="45"/>
    </row>
    <row r="42" spans="1:35">
      <c r="A42" s="155"/>
      <c r="B42" s="155"/>
      <c r="C42" s="155"/>
      <c r="D42" s="155"/>
      <c r="E42" s="155"/>
      <c r="F42" s="155"/>
      <c r="G42" s="155"/>
      <c r="H42" s="155"/>
      <c r="I42" s="155"/>
      <c r="J42" s="155"/>
      <c r="K42" s="155"/>
      <c r="L42" s="155"/>
      <c r="M42" s="155"/>
      <c r="N42" s="155"/>
      <c r="O42" s="155"/>
      <c r="P42" s="155"/>
      <c r="Q42" s="155"/>
      <c r="R42" s="155"/>
      <c r="S42" s="155"/>
      <c r="T42" s="155"/>
      <c r="U42" s="155"/>
      <c r="V42" s="155"/>
      <c r="W42" s="155"/>
      <c r="X42" s="155"/>
      <c r="Y42" s="155"/>
      <c r="Z42" s="155"/>
      <c r="AE42" s="45"/>
      <c r="AF42" s="45"/>
      <c r="AG42" s="45"/>
      <c r="AH42" s="45"/>
      <c r="AI42" s="45"/>
    </row>
    <row r="43" spans="1:35" ht="13.5" customHeight="1">
      <c r="A43" s="353"/>
      <c r="B43" s="329"/>
      <c r="C43" s="329"/>
      <c r="D43" s="329"/>
      <c r="E43" s="329"/>
      <c r="F43" s="329"/>
      <c r="G43" s="329"/>
      <c r="H43" s="329"/>
      <c r="I43" s="329"/>
      <c r="J43" s="329"/>
      <c r="K43" s="329"/>
      <c r="L43" s="329"/>
      <c r="M43" s="329"/>
      <c r="N43" s="329"/>
      <c r="O43" s="329"/>
      <c r="P43" s="329"/>
      <c r="Q43" s="329"/>
      <c r="R43" s="329"/>
      <c r="S43" s="329"/>
      <c r="T43" s="329"/>
      <c r="U43" s="329"/>
      <c r="V43" s="329"/>
      <c r="W43" s="329"/>
      <c r="X43" s="329"/>
      <c r="Y43" s="329"/>
      <c r="Z43" s="329"/>
      <c r="AA43" s="329"/>
      <c r="AB43" s="329"/>
      <c r="AC43" s="329"/>
      <c r="AD43" s="456"/>
      <c r="AE43" s="456"/>
      <c r="AF43" s="456"/>
      <c r="AG43" s="45"/>
      <c r="AH43" s="45"/>
      <c r="AI43" s="45"/>
    </row>
    <row r="44" spans="1:35">
      <c r="A44" s="353"/>
      <c r="B44" s="329"/>
      <c r="C44" s="329"/>
      <c r="D44" s="329"/>
      <c r="E44" s="329"/>
      <c r="F44" s="329"/>
      <c r="G44" s="329"/>
      <c r="H44" s="329"/>
      <c r="I44" s="329"/>
      <c r="J44" s="329"/>
      <c r="K44" s="329"/>
      <c r="L44" s="329"/>
      <c r="M44" s="329"/>
      <c r="N44" s="329"/>
      <c r="O44" s="329"/>
      <c r="P44" s="329"/>
      <c r="Q44" s="329"/>
      <c r="R44" s="329"/>
      <c r="S44" s="329"/>
      <c r="T44" s="329"/>
      <c r="U44" s="329"/>
      <c r="V44" s="329"/>
      <c r="W44" s="329"/>
      <c r="X44" s="329"/>
      <c r="Y44" s="329"/>
      <c r="Z44" s="329"/>
      <c r="AA44" s="329"/>
      <c r="AB44" s="329"/>
      <c r="AC44" s="329"/>
      <c r="AD44" s="456"/>
      <c r="AE44" s="456"/>
      <c r="AF44" s="456"/>
      <c r="AG44" s="45"/>
      <c r="AH44" s="45"/>
      <c r="AI44" s="45"/>
    </row>
    <row r="45" spans="1:35">
      <c r="A45" s="353"/>
      <c r="B45" s="329"/>
      <c r="C45" s="329"/>
      <c r="D45" s="329"/>
      <c r="E45" s="329"/>
      <c r="F45" s="329"/>
      <c r="G45" s="329"/>
      <c r="H45" s="329"/>
      <c r="I45" s="329"/>
      <c r="J45" s="329"/>
      <c r="K45" s="329"/>
      <c r="L45" s="329"/>
      <c r="M45" s="329"/>
      <c r="N45" s="329"/>
      <c r="O45" s="329"/>
      <c r="P45" s="329"/>
      <c r="Q45" s="329"/>
      <c r="R45" s="329"/>
      <c r="S45" s="329"/>
      <c r="T45" s="329"/>
      <c r="U45" s="329"/>
      <c r="V45" s="329"/>
      <c r="W45" s="329"/>
      <c r="X45" s="329"/>
      <c r="Y45" s="329"/>
      <c r="Z45" s="329"/>
      <c r="AA45" s="329"/>
      <c r="AB45" s="329"/>
      <c r="AC45" s="329"/>
      <c r="AD45" s="456"/>
      <c r="AE45" s="456"/>
      <c r="AF45" s="456"/>
      <c r="AG45" s="45"/>
      <c r="AH45" s="45"/>
      <c r="AI45" s="45"/>
    </row>
    <row r="46" spans="1:35">
      <c r="A46" s="353"/>
      <c r="B46" s="329"/>
      <c r="C46" s="329"/>
      <c r="D46" s="329"/>
      <c r="E46" s="329"/>
      <c r="F46" s="329"/>
      <c r="G46" s="329"/>
      <c r="H46" s="329"/>
      <c r="I46" s="329"/>
      <c r="J46" s="329"/>
      <c r="K46" s="329"/>
      <c r="L46" s="329"/>
      <c r="M46" s="329"/>
      <c r="N46" s="329"/>
      <c r="O46" s="329"/>
      <c r="P46" s="329"/>
      <c r="Q46" s="329"/>
      <c r="R46" s="329"/>
      <c r="S46" s="329"/>
      <c r="T46" s="329"/>
      <c r="U46" s="329"/>
      <c r="V46" s="329"/>
      <c r="W46" s="329"/>
      <c r="X46" s="329"/>
      <c r="Y46" s="329"/>
      <c r="Z46" s="329"/>
      <c r="AA46" s="329"/>
      <c r="AB46" s="329"/>
      <c r="AC46" s="329"/>
      <c r="AD46" s="456"/>
      <c r="AE46" s="456"/>
      <c r="AF46" s="456"/>
      <c r="AG46" s="45"/>
      <c r="AH46" s="45"/>
      <c r="AI46" s="45"/>
    </row>
    <row r="47" spans="1:35">
      <c r="A47" s="353"/>
      <c r="B47" s="353"/>
      <c r="C47" s="353"/>
      <c r="D47" s="353"/>
      <c r="E47" s="353"/>
      <c r="F47" s="353"/>
      <c r="G47" s="353"/>
      <c r="H47" s="353"/>
      <c r="I47" s="353"/>
      <c r="J47" s="353"/>
      <c r="K47" s="353"/>
      <c r="L47" s="353"/>
      <c r="M47" s="353"/>
      <c r="N47" s="353"/>
      <c r="O47" s="353"/>
      <c r="P47" s="353"/>
      <c r="Q47" s="353"/>
      <c r="R47" s="353"/>
      <c r="S47" s="353"/>
      <c r="T47" s="353"/>
      <c r="U47" s="353"/>
      <c r="V47" s="353"/>
      <c r="W47" s="353"/>
      <c r="X47" s="353"/>
      <c r="Y47" s="353"/>
      <c r="Z47" s="353"/>
      <c r="AA47" s="353"/>
      <c r="AB47" s="353"/>
      <c r="AC47" s="353"/>
      <c r="AD47" s="45"/>
      <c r="AE47" s="45"/>
      <c r="AF47" s="45"/>
      <c r="AG47" s="45"/>
      <c r="AH47" s="45"/>
      <c r="AI47" s="45"/>
    </row>
  </sheetData>
  <mergeCells count="2">
    <mergeCell ref="AC9:AI9"/>
    <mergeCell ref="Z10:AI10"/>
  </mergeCells>
  <pageMargins left="0.25" right="0.25" top="0.5" bottom="0.25" header="0" footer="0.25"/>
  <pageSetup scale="40" firstPageNumber="36" fitToHeight="0" orientation="landscape" useFirstPageNumber="1" r:id="rId1"/>
  <headerFooter scaleWithDoc="0" alignWithMargins="0">
    <oddFooter>&amp;C&amp;8&amp;P</oddFooter>
  </headerFooter>
  <customProperties>
    <customPr name="SheetOptions" r:id="rId2"/>
  </customProperties>
  <ignoredErrors>
    <ignoredError sqref="AI24" formula="1"/>
  </ignoredError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pageSetUpPr autoPageBreaks="0" fitToPage="1"/>
  </sheetPr>
  <dimension ref="A1:AJ47"/>
  <sheetViews>
    <sheetView showGridLines="0" zoomScale="80" zoomScaleNormal="80" workbookViewId="0"/>
  </sheetViews>
  <sheetFormatPr defaultColWidth="8.84375" defaultRowHeight="12.5"/>
  <cols>
    <col min="1" max="1" width="46.84375" style="153" customWidth="1"/>
    <col min="2" max="2" width="10" style="153" customWidth="1"/>
    <col min="3" max="3" width="1.84375" style="153" customWidth="1"/>
    <col min="4" max="4" width="10.84375" style="153" customWidth="1"/>
    <col min="5" max="5" width="1.84375" style="153" customWidth="1"/>
    <col min="6" max="6" width="10" style="153" customWidth="1"/>
    <col min="7" max="7" width="1.84375" style="153" customWidth="1"/>
    <col min="8" max="8" width="10" style="153" customWidth="1"/>
    <col min="9" max="9" width="1.84375" style="153" customWidth="1"/>
    <col min="10" max="10" width="10.84375" style="153" customWidth="1"/>
    <col min="11" max="11" width="1.84375" style="153" customWidth="1"/>
    <col min="12" max="12" width="14.07421875" style="153" customWidth="1"/>
    <col min="13" max="13" width="1.84375" style="153" customWidth="1"/>
    <col min="14" max="14" width="15.4609375" style="153" bestFit="1" customWidth="1"/>
    <col min="15" max="15" width="1.84375" style="153" customWidth="1"/>
    <col min="16" max="16" width="13.4609375" style="153" bestFit="1" customWidth="1"/>
    <col min="17" max="17" width="1.84375" style="153" customWidth="1"/>
    <col min="18" max="18" width="15.07421875" style="153" bestFit="1" customWidth="1"/>
    <col min="19" max="19" width="1.84375" style="153" customWidth="1"/>
    <col min="20" max="20" width="11.84375" style="153" customWidth="1"/>
    <col min="21" max="21" width="1.84375" style="153" customWidth="1"/>
    <col min="22" max="22" width="12.84375" style="153" bestFit="1" customWidth="1"/>
    <col min="23" max="23" width="1.84375" style="153" customWidth="1"/>
    <col min="24" max="24" width="9.84375" style="153" customWidth="1"/>
    <col min="25" max="26" width="1.84375" style="153" customWidth="1"/>
    <col min="27" max="27" width="10.07421875" style="153" customWidth="1"/>
    <col min="28" max="29" width="1.84375" style="153" customWidth="1"/>
    <col min="30" max="30" width="10.07421875" style="153" customWidth="1"/>
    <col min="31" max="31" width="1.84375" style="153" customWidth="1"/>
    <col min="32" max="32" width="2.4609375" style="153" customWidth="1"/>
    <col min="33" max="33" width="10.07421875" style="153" bestFit="1" customWidth="1"/>
    <col min="34" max="34" width="1.84375" style="153" customWidth="1"/>
    <col min="35" max="35" width="11.07421875" style="153" customWidth="1"/>
    <col min="36" max="16384" width="8.84375" style="153"/>
  </cols>
  <sheetData>
    <row r="1" spans="1:36" ht="15.5">
      <c r="A1" s="326" t="s">
        <v>98</v>
      </c>
    </row>
    <row r="2" spans="1:36" ht="15.5">
      <c r="A2" s="431"/>
    </row>
    <row r="3" spans="1:36" ht="20.25" customHeight="1">
      <c r="A3" s="1232" t="s">
        <v>99</v>
      </c>
      <c r="B3" s="353"/>
      <c r="C3" s="353"/>
      <c r="D3" s="353"/>
      <c r="E3" s="353"/>
      <c r="F3" s="353"/>
      <c r="G3" s="353"/>
      <c r="H3" s="353"/>
      <c r="I3" s="353"/>
      <c r="J3" s="353"/>
      <c r="K3" s="6"/>
      <c r="L3" s="6"/>
      <c r="M3" s="353"/>
      <c r="N3" s="353"/>
      <c r="O3" s="353"/>
      <c r="P3" s="353"/>
      <c r="Q3" s="353"/>
      <c r="R3" s="353"/>
      <c r="S3" s="353"/>
      <c r="T3" s="353"/>
      <c r="U3" s="353"/>
      <c r="V3" s="353"/>
      <c r="W3" s="353"/>
      <c r="X3" s="353"/>
      <c r="Y3" s="353"/>
      <c r="Z3" s="353"/>
      <c r="AA3" s="353"/>
      <c r="AB3" s="353"/>
      <c r="AC3" s="353"/>
      <c r="AD3" s="353"/>
      <c r="AE3" s="353"/>
      <c r="AF3" s="353"/>
      <c r="AG3" s="155"/>
      <c r="AI3" s="435" t="s">
        <v>636</v>
      </c>
    </row>
    <row r="4" spans="1:36" ht="20.25" customHeight="1">
      <c r="A4" s="688" t="s">
        <v>637</v>
      </c>
      <c r="B4" s="353"/>
      <c r="C4" s="353"/>
      <c r="D4" s="353"/>
      <c r="E4" s="353"/>
      <c r="F4" s="353"/>
      <c r="G4" s="353"/>
      <c r="H4" s="6" t="s">
        <v>104</v>
      </c>
      <c r="I4" s="353"/>
      <c r="J4" s="353"/>
      <c r="K4" s="6"/>
      <c r="L4" s="6"/>
      <c r="M4" s="353"/>
      <c r="N4" s="353"/>
      <c r="O4" s="353"/>
      <c r="P4" s="353"/>
      <c r="Q4" s="353"/>
      <c r="R4" s="353"/>
      <c r="S4" s="353"/>
      <c r="T4" s="353"/>
      <c r="U4" s="353"/>
      <c r="V4" s="353"/>
      <c r="W4" s="353"/>
      <c r="X4" s="353" t="s">
        <v>104</v>
      </c>
      <c r="Y4" s="353"/>
      <c r="Z4" s="353"/>
      <c r="AA4" s="353"/>
      <c r="AB4" s="353"/>
      <c r="AC4" s="353"/>
      <c r="AD4" s="353"/>
      <c r="AE4" s="353"/>
      <c r="AF4" s="353"/>
      <c r="AG4" s="155"/>
    </row>
    <row r="5" spans="1:36" ht="20.25" customHeight="1">
      <c r="A5" s="688" t="s">
        <v>356</v>
      </c>
      <c r="B5" s="353"/>
      <c r="C5" s="353"/>
      <c r="D5" s="353"/>
      <c r="E5" s="353"/>
      <c r="F5" s="353"/>
      <c r="G5" s="353"/>
      <c r="H5" s="353"/>
      <c r="I5" s="353"/>
      <c r="J5" s="353"/>
      <c r="K5" s="6"/>
      <c r="L5" s="6"/>
      <c r="M5" s="353"/>
      <c r="N5" s="353"/>
      <c r="O5" s="353"/>
      <c r="P5" s="353"/>
      <c r="Q5" s="353"/>
      <c r="R5" s="353"/>
      <c r="S5" s="353"/>
      <c r="T5" s="353"/>
      <c r="U5" s="353"/>
      <c r="V5" s="353"/>
      <c r="W5" s="353"/>
      <c r="X5" s="353"/>
      <c r="Y5" s="353"/>
      <c r="Z5" s="353"/>
      <c r="AB5" s="154"/>
      <c r="AC5" s="154"/>
      <c r="AE5" s="435"/>
      <c r="AG5" s="155"/>
    </row>
    <row r="6" spans="1:36" ht="20.25" customHeight="1">
      <c r="A6" s="688" t="str">
        <f>'Cashflow Governmental'!A6</f>
        <v>FISCAL YEAR 2023-2024</v>
      </c>
      <c r="B6" s="353"/>
      <c r="C6" s="353"/>
      <c r="D6" s="353"/>
      <c r="E6" s="353"/>
      <c r="F6" s="353"/>
      <c r="G6" s="353"/>
      <c r="H6" s="353"/>
      <c r="I6" s="353"/>
      <c r="J6" s="353"/>
      <c r="K6" s="6"/>
      <c r="L6" s="6"/>
      <c r="M6" s="353"/>
      <c r="N6" s="353"/>
      <c r="O6" s="353"/>
      <c r="P6" s="353"/>
      <c r="Q6" s="353"/>
      <c r="R6" s="353"/>
      <c r="S6" s="353"/>
      <c r="T6" s="353"/>
      <c r="U6" s="353"/>
      <c r="V6" s="353"/>
      <c r="W6" s="353"/>
      <c r="X6" s="353"/>
      <c r="Y6" s="353"/>
      <c r="Z6" s="353"/>
      <c r="AA6" s="353"/>
      <c r="AB6" s="353"/>
      <c r="AC6" s="353"/>
      <c r="AD6" s="353"/>
      <c r="AE6" s="353"/>
      <c r="AF6" s="353"/>
      <c r="AG6" s="155"/>
    </row>
    <row r="7" spans="1:36" ht="20.25" customHeight="1">
      <c r="A7" s="1232" t="s">
        <v>103</v>
      </c>
      <c r="B7" s="353"/>
      <c r="C7" s="353"/>
      <c r="D7" s="353"/>
      <c r="E7" s="353"/>
      <c r="F7" s="353"/>
      <c r="G7" s="353"/>
      <c r="H7" s="353"/>
      <c r="I7" s="353"/>
      <c r="J7" s="353"/>
      <c r="K7" s="6"/>
      <c r="L7" s="353"/>
      <c r="M7" s="353"/>
      <c r="N7" s="353"/>
      <c r="O7" s="353"/>
      <c r="P7" s="353"/>
      <c r="Q7" s="353"/>
      <c r="R7" s="353"/>
      <c r="S7" s="353"/>
      <c r="T7" s="353"/>
      <c r="U7" s="353"/>
      <c r="V7" s="353"/>
      <c r="W7" s="353"/>
      <c r="X7" s="353"/>
      <c r="Y7" s="353"/>
      <c r="Z7" s="353"/>
      <c r="AA7" s="45"/>
      <c r="AB7" s="45"/>
      <c r="AC7" s="45"/>
      <c r="AD7" s="45"/>
      <c r="AE7" s="45"/>
      <c r="AF7" s="45"/>
      <c r="AG7" s="45"/>
      <c r="AH7" s="45"/>
      <c r="AI7" s="45"/>
    </row>
    <row r="8" spans="1:36" s="155" customFormat="1" ht="19.399999999999999" customHeight="1">
      <c r="A8" s="62"/>
      <c r="B8" s="353"/>
      <c r="C8" s="353"/>
      <c r="D8" s="353"/>
      <c r="E8" s="353"/>
      <c r="F8" s="353"/>
      <c r="G8" s="353"/>
      <c r="H8" s="353"/>
      <c r="I8" s="353"/>
      <c r="J8" s="353"/>
      <c r="K8" s="353"/>
      <c r="L8" s="353"/>
      <c r="M8" s="353"/>
      <c r="N8" s="353"/>
      <c r="O8" s="353"/>
      <c r="P8" s="353"/>
      <c r="Q8" s="353"/>
      <c r="R8" s="353"/>
      <c r="S8" s="353"/>
      <c r="T8" s="353"/>
      <c r="U8" s="353"/>
      <c r="V8" s="353"/>
      <c r="W8" s="353"/>
      <c r="X8" s="353"/>
      <c r="Y8" s="353"/>
      <c r="Z8" s="353"/>
      <c r="AA8" s="45"/>
      <c r="AB8" s="45"/>
      <c r="AC8" s="45"/>
      <c r="AD8" s="45"/>
      <c r="AE8" s="45"/>
      <c r="AF8" s="45"/>
      <c r="AG8" s="45"/>
      <c r="AH8" s="45"/>
      <c r="AI8" s="45"/>
    </row>
    <row r="9" spans="1:36" s="155" customFormat="1" ht="19.399999999999999" customHeight="1">
      <c r="A9" s="353"/>
      <c r="B9" s="353"/>
      <c r="C9" s="353"/>
      <c r="D9" s="353"/>
      <c r="E9" s="353"/>
      <c r="F9" s="353"/>
      <c r="G9" s="353"/>
      <c r="H9" s="6"/>
      <c r="I9" s="6"/>
      <c r="J9" s="6"/>
      <c r="K9" s="353"/>
      <c r="L9" s="353"/>
      <c r="M9" s="353"/>
      <c r="N9" s="353"/>
      <c r="O9" s="353"/>
      <c r="P9" s="353"/>
      <c r="Q9" s="353"/>
      <c r="R9" s="353"/>
      <c r="S9" s="353"/>
      <c r="T9" s="353"/>
      <c r="U9" s="353"/>
      <c r="V9" s="353"/>
      <c r="W9" s="353"/>
      <c r="X9" s="353"/>
      <c r="Y9" s="353"/>
      <c r="Z9" s="353"/>
      <c r="AA9" s="45"/>
      <c r="AB9" s="45"/>
      <c r="AC9" s="2239"/>
      <c r="AD9" s="2240"/>
      <c r="AE9" s="2240"/>
      <c r="AF9" s="2240"/>
      <c r="AG9" s="2240"/>
      <c r="AH9" s="2240"/>
      <c r="AI9" s="2240"/>
    </row>
    <row r="10" spans="1:36" s="155" customFormat="1" ht="19.399999999999999" customHeight="1">
      <c r="A10" s="45"/>
      <c r="B10" s="45"/>
      <c r="C10" s="45"/>
      <c r="D10" s="45"/>
      <c r="E10" s="45"/>
      <c r="F10" s="45"/>
      <c r="G10" s="45"/>
      <c r="H10" s="45"/>
      <c r="I10" s="45"/>
      <c r="J10" s="45"/>
      <c r="K10" s="45"/>
      <c r="L10" s="45"/>
      <c r="M10" s="45"/>
      <c r="N10" s="45"/>
      <c r="O10" s="45"/>
      <c r="P10" s="45"/>
      <c r="Q10" s="45"/>
      <c r="R10" s="45"/>
      <c r="S10" s="45"/>
      <c r="T10" s="45"/>
      <c r="U10" s="45"/>
      <c r="V10" s="437"/>
      <c r="W10" s="45"/>
      <c r="X10" s="436"/>
      <c r="Y10" s="437"/>
      <c r="AA10" s="2243" t="s">
        <v>1590</v>
      </c>
      <c r="AB10" s="2244"/>
      <c r="AC10" s="2244"/>
      <c r="AD10" s="2244"/>
      <c r="AE10" s="2244"/>
      <c r="AF10" s="2244"/>
      <c r="AG10" s="2244"/>
      <c r="AH10" s="2244"/>
      <c r="AI10" s="2244"/>
    </row>
    <row r="11" spans="1:36" s="155" customFormat="1" ht="19.399999999999999" customHeight="1">
      <c r="A11" s="45"/>
      <c r="B11" s="2014" t="str">
        <f>'Cashflow Governmental'!C13</f>
        <v>2023</v>
      </c>
      <c r="C11" s="97"/>
      <c r="D11" s="97"/>
      <c r="E11" s="97"/>
      <c r="F11" s="97"/>
      <c r="G11" s="97"/>
      <c r="H11" s="97"/>
      <c r="I11" s="97"/>
      <c r="J11" s="97"/>
      <c r="K11" s="97"/>
      <c r="L11" s="97"/>
      <c r="M11" s="97"/>
      <c r="N11" s="97"/>
      <c r="O11" s="97"/>
      <c r="P11" s="97"/>
      <c r="Q11" s="97"/>
      <c r="R11" s="97"/>
      <c r="S11" s="97"/>
      <c r="T11" s="2014">
        <f>'Cashflow Governmental'!U13</f>
        <v>2024</v>
      </c>
      <c r="U11" s="97"/>
      <c r="V11" s="400"/>
      <c r="W11" s="97"/>
      <c r="X11" s="97"/>
      <c r="Y11" s="97"/>
      <c r="Z11" s="97"/>
      <c r="AA11" s="97"/>
      <c r="AB11" s="97"/>
      <c r="AC11" s="97"/>
      <c r="AD11" s="668"/>
      <c r="AE11" s="668"/>
      <c r="AF11" s="97"/>
      <c r="AG11" s="1581" t="s">
        <v>111</v>
      </c>
      <c r="AH11" s="1581"/>
      <c r="AI11" s="1582" t="s">
        <v>112</v>
      </c>
    </row>
    <row r="12" spans="1:36" s="155" customFormat="1" ht="19.399999999999999" customHeight="1">
      <c r="A12" s="45"/>
      <c r="B12" s="400" t="s">
        <v>358</v>
      </c>
      <c r="C12" s="97"/>
      <c r="D12" s="438" t="s">
        <v>359</v>
      </c>
      <c r="E12" s="97"/>
      <c r="F12" s="438" t="s">
        <v>360</v>
      </c>
      <c r="G12" s="97"/>
      <c r="H12" s="438" t="s">
        <v>361</v>
      </c>
      <c r="I12" s="97"/>
      <c r="J12" s="2017" t="s">
        <v>634</v>
      </c>
      <c r="K12" s="97"/>
      <c r="L12" s="2017" t="s">
        <v>475</v>
      </c>
      <c r="M12" s="97"/>
      <c r="N12" s="2017" t="s">
        <v>476</v>
      </c>
      <c r="O12" s="97"/>
      <c r="P12" s="438" t="s">
        <v>365</v>
      </c>
      <c r="Q12" s="97"/>
      <c r="R12" s="438" t="s">
        <v>366</v>
      </c>
      <c r="S12" s="97"/>
      <c r="T12" s="2017" t="s">
        <v>367</v>
      </c>
      <c r="U12" s="97"/>
      <c r="V12" s="438" t="s">
        <v>368</v>
      </c>
      <c r="W12" s="97"/>
      <c r="X12" s="2017" t="s">
        <v>477</v>
      </c>
      <c r="Y12" s="97"/>
      <c r="Z12" s="97"/>
      <c r="AA12" s="400">
        <f>'Cashflow Governmental'!AB14</f>
        <v>2023</v>
      </c>
      <c r="AB12" s="400"/>
      <c r="AC12" s="400"/>
      <c r="AD12" s="438">
        <f>'Cashflow Governmental'!AE14</f>
        <v>2022</v>
      </c>
      <c r="AE12" s="400"/>
      <c r="AF12" s="400"/>
      <c r="AG12" s="1635" t="s">
        <v>113</v>
      </c>
      <c r="AH12" s="1581"/>
      <c r="AI12" s="1635" t="s">
        <v>114</v>
      </c>
    </row>
    <row r="13" spans="1:36" s="155" customFormat="1" ht="19.399999999999999" customHeight="1">
      <c r="A13" s="97" t="s">
        <v>370</v>
      </c>
      <c r="B13" s="1693">
        <v>53.1</v>
      </c>
      <c r="C13" s="147"/>
      <c r="D13" s="1636">
        <f>B38</f>
        <v>53.9</v>
      </c>
      <c r="E13" s="1636"/>
      <c r="F13" s="1636">
        <f t="shared" ref="F13:P13" si="0">D38</f>
        <v>54.5</v>
      </c>
      <c r="G13" s="147"/>
      <c r="H13" s="1636">
        <f t="shared" si="0"/>
        <v>54.8</v>
      </c>
      <c r="I13" s="454"/>
      <c r="J13" s="1636">
        <f t="shared" si="0"/>
        <v>55.8</v>
      </c>
      <c r="K13" s="147"/>
      <c r="L13" s="1636">
        <f t="shared" si="0"/>
        <v>56.1</v>
      </c>
      <c r="M13" s="454"/>
      <c r="N13" s="1636">
        <f t="shared" si="0"/>
        <v>57.3</v>
      </c>
      <c r="O13" s="454"/>
      <c r="P13" s="1636">
        <f t="shared" si="0"/>
        <v>61.1</v>
      </c>
      <c r="Q13" s="1166"/>
      <c r="R13" s="1636"/>
      <c r="S13" s="1166"/>
      <c r="T13" s="1636"/>
      <c r="U13" s="1636"/>
      <c r="V13" s="1636"/>
      <c r="W13" s="1636"/>
      <c r="X13" s="1636"/>
      <c r="Y13" s="2068"/>
      <c r="Z13" s="439"/>
      <c r="AA13" s="1636">
        <f>+B13</f>
        <v>53.1</v>
      </c>
      <c r="AB13" s="2068"/>
      <c r="AC13" s="454"/>
      <c r="AD13" s="1693">
        <v>45.9</v>
      </c>
      <c r="AE13" s="1166"/>
      <c r="AF13" s="1609"/>
      <c r="AG13" s="147">
        <f>ROUND(SUM(AA13-AD13),1)</f>
        <v>7.2</v>
      </c>
      <c r="AH13" s="45"/>
      <c r="AI13" s="1637">
        <f>ROUND(IF(AG13=0,0,AG13/(AD13)),3)</f>
        <v>0.157</v>
      </c>
    </row>
    <row r="14" spans="1:36" s="155" customFormat="1" ht="19.399999999999999" customHeight="1">
      <c r="A14" s="45"/>
      <c r="B14" s="45"/>
      <c r="C14" s="45"/>
      <c r="D14" s="45"/>
      <c r="E14" s="45"/>
      <c r="F14" s="45"/>
      <c r="G14" s="45"/>
      <c r="H14" s="45"/>
      <c r="I14" s="443"/>
      <c r="J14" s="443"/>
      <c r="K14" s="45"/>
      <c r="L14" s="443"/>
      <c r="M14" s="443"/>
      <c r="N14" s="443"/>
      <c r="O14" s="443"/>
      <c r="P14" s="443"/>
      <c r="Q14" s="443"/>
      <c r="R14" s="441"/>
      <c r="S14" s="443"/>
      <c r="T14" s="443"/>
      <c r="U14" s="443"/>
      <c r="V14" s="443"/>
      <c r="W14" s="443"/>
      <c r="X14" s="443"/>
      <c r="Y14" s="2069"/>
      <c r="Z14" s="442"/>
      <c r="AA14" s="45"/>
      <c r="AB14" s="2069"/>
      <c r="AC14" s="443"/>
      <c r="AD14" s="45"/>
      <c r="AE14" s="45"/>
      <c r="AF14" s="1610"/>
      <c r="AG14" s="45"/>
      <c r="AH14" s="45"/>
      <c r="AI14" s="45"/>
    </row>
    <row r="15" spans="1:36" s="155" customFormat="1" ht="19.399999999999999" customHeight="1">
      <c r="A15" s="97" t="s">
        <v>115</v>
      </c>
      <c r="B15" s="45"/>
      <c r="C15" s="45"/>
      <c r="D15" s="45"/>
      <c r="E15" s="45"/>
      <c r="F15" s="45"/>
      <c r="G15" s="45"/>
      <c r="H15" s="45"/>
      <c r="I15" s="443"/>
      <c r="J15" s="443"/>
      <c r="K15" s="45"/>
      <c r="L15" s="443"/>
      <c r="M15" s="443"/>
      <c r="N15" s="443"/>
      <c r="O15" s="443"/>
      <c r="P15" s="443"/>
      <c r="Q15" s="443"/>
      <c r="R15" s="441"/>
      <c r="S15" s="443"/>
      <c r="T15" s="443"/>
      <c r="U15" s="443"/>
      <c r="V15" s="443"/>
      <c r="W15" s="443"/>
      <c r="X15" s="443"/>
      <c r="Y15" s="2069"/>
      <c r="Z15" s="442"/>
      <c r="AA15" s="45"/>
      <c r="AB15" s="2069"/>
      <c r="AC15" s="443"/>
      <c r="AD15" s="45"/>
      <c r="AE15" s="45"/>
      <c r="AF15" s="1610"/>
      <c r="AG15" s="45"/>
      <c r="AH15" s="45"/>
      <c r="AI15" s="45"/>
    </row>
    <row r="16" spans="1:36" s="155" customFormat="1" ht="19.399999999999999" customHeight="1">
      <c r="A16" s="444" t="s">
        <v>624</v>
      </c>
      <c r="B16" s="1694">
        <v>0.9</v>
      </c>
      <c r="C16" s="89"/>
      <c r="D16" s="1694">
        <v>0.7</v>
      </c>
      <c r="E16" s="89"/>
      <c r="F16" s="1694">
        <v>0.4</v>
      </c>
      <c r="G16" s="449"/>
      <c r="H16" s="734">
        <v>1.1000000000000001</v>
      </c>
      <c r="I16" s="445"/>
      <c r="J16" s="734">
        <v>0.29999999999999982</v>
      </c>
      <c r="K16" s="89"/>
      <c r="L16" s="734">
        <v>1.3000000000000007</v>
      </c>
      <c r="M16" s="445"/>
      <c r="N16" s="734">
        <v>3.8999999999999977</v>
      </c>
      <c r="O16" s="445"/>
      <c r="P16" s="734">
        <f>$AA16-$B16-$D16-$F16-$H16-$J16-$L16-$N16</f>
        <v>1.2000000000000028</v>
      </c>
      <c r="Q16" s="449"/>
      <c r="R16" s="734"/>
      <c r="S16" s="449"/>
      <c r="T16" s="734"/>
      <c r="U16" s="449"/>
      <c r="V16" s="734"/>
      <c r="W16" s="449"/>
      <c r="X16" s="734"/>
      <c r="Y16" s="2070"/>
      <c r="Z16" s="446"/>
      <c r="AA16" s="1694">
        <v>9.8000000000000007</v>
      </c>
      <c r="AB16" s="2070"/>
      <c r="AC16" s="445"/>
      <c r="AD16" s="1694">
        <v>5.4</v>
      </c>
      <c r="AE16" s="449"/>
      <c r="AF16" s="1585"/>
      <c r="AG16" s="89">
        <f>ROUND(SUM(AA16-AD16),1)</f>
        <v>4.4000000000000004</v>
      </c>
      <c r="AH16" s="45"/>
      <c r="AI16" s="1638">
        <f>ROUND(IF(AD16=0,1,AG16/ABS(AD16)),3)</f>
        <v>0.81499999999999995</v>
      </c>
      <c r="AJ16" s="1330"/>
    </row>
    <row r="17" spans="1:35" s="155" customFormat="1" ht="24" customHeight="1">
      <c r="A17" s="97" t="s">
        <v>457</v>
      </c>
      <c r="B17" s="450">
        <f>ROUND(SUM(B16),1)</f>
        <v>0.9</v>
      </c>
      <c r="C17" s="148"/>
      <c r="D17" s="450">
        <f>ROUND(SUM(D16),1)</f>
        <v>0.7</v>
      </c>
      <c r="E17" s="148"/>
      <c r="F17" s="450">
        <f>ROUND(SUM(F16),1)</f>
        <v>0.4</v>
      </c>
      <c r="G17" s="148"/>
      <c r="H17" s="450">
        <f>ROUND(SUM(H16),1)</f>
        <v>1.1000000000000001</v>
      </c>
      <c r="I17" s="149"/>
      <c r="J17" s="1140">
        <f>ROUND(SUM(J16),1)</f>
        <v>0.3</v>
      </c>
      <c r="K17" s="148"/>
      <c r="L17" s="450">
        <f>ROUND(SUM(L16),1)</f>
        <v>1.3</v>
      </c>
      <c r="M17" s="447"/>
      <c r="N17" s="450">
        <f>ROUND(SUM(N16),1)</f>
        <v>3.9</v>
      </c>
      <c r="O17" s="447"/>
      <c r="P17" s="450">
        <f>ROUND(SUM(P16),1)</f>
        <v>1.2</v>
      </c>
      <c r="Q17" s="450">
        <f t="shared" ref="Q17" si="1">ROUND(SUM(Q16),1)</f>
        <v>0</v>
      </c>
      <c r="R17" s="450">
        <f>ROUND(SUM(R16),1)</f>
        <v>0</v>
      </c>
      <c r="S17" s="447"/>
      <c r="T17" s="450">
        <f>ROUND(SUM(T16),1)</f>
        <v>0</v>
      </c>
      <c r="U17" s="447"/>
      <c r="V17" s="861">
        <f>ROUND(SUM(V16),1)</f>
        <v>0</v>
      </c>
      <c r="W17" s="447"/>
      <c r="X17" s="861">
        <f>ROUND(SUM(X16),1)</f>
        <v>0</v>
      </c>
      <c r="Y17" s="2071"/>
      <c r="Z17" s="448"/>
      <c r="AA17" s="450">
        <f>ROUND(SUM(AA16),1)</f>
        <v>9.8000000000000007</v>
      </c>
      <c r="AB17" s="2071"/>
      <c r="AC17" s="448"/>
      <c r="AD17" s="450">
        <f>ROUND(SUM(AD16),1)</f>
        <v>5.4</v>
      </c>
      <c r="AE17" s="450"/>
      <c r="AF17" s="1585"/>
      <c r="AG17" s="1623">
        <f>ROUND(SUM(AG16),1)</f>
        <v>4.4000000000000004</v>
      </c>
      <c r="AH17" s="1624"/>
      <c r="AI17" s="1639">
        <f>ROUND(IF(AD17=0,1,AG17/ABS(AD17)),3)</f>
        <v>0.81499999999999995</v>
      </c>
    </row>
    <row r="18" spans="1:35" s="155" customFormat="1" ht="19.399999999999999" customHeight="1">
      <c r="A18" s="45"/>
      <c r="B18" s="1613"/>
      <c r="C18" s="89"/>
      <c r="D18" s="1613"/>
      <c r="E18" s="89"/>
      <c r="F18" s="1613"/>
      <c r="G18" s="89"/>
      <c r="H18" s="1626"/>
      <c r="I18" s="445"/>
      <c r="J18" s="1626"/>
      <c r="K18" s="89"/>
      <c r="L18" s="1626"/>
      <c r="M18" s="445"/>
      <c r="N18" s="1626"/>
      <c r="O18" s="445"/>
      <c r="P18" s="1626"/>
      <c r="Q18" s="445"/>
      <c r="R18" s="1626"/>
      <c r="S18" s="445"/>
      <c r="T18" s="1626"/>
      <c r="U18" s="445"/>
      <c r="V18" s="1626"/>
      <c r="W18" s="445"/>
      <c r="X18" s="1626"/>
      <c r="Y18" s="2070"/>
      <c r="Z18" s="446"/>
      <c r="AA18" s="1613"/>
      <c r="AB18" s="2070"/>
      <c r="AC18" s="445"/>
      <c r="AD18" s="1626"/>
      <c r="AE18" s="89"/>
      <c r="AF18" s="1585"/>
      <c r="AG18" s="89"/>
      <c r="AH18" s="45"/>
      <c r="AI18" s="45"/>
    </row>
    <row r="19" spans="1:35" s="155" customFormat="1" ht="19.399999999999999" customHeight="1">
      <c r="A19" s="45"/>
      <c r="B19" s="89"/>
      <c r="C19" s="89"/>
      <c r="D19" s="89"/>
      <c r="E19" s="89"/>
      <c r="F19" s="89"/>
      <c r="G19" s="89"/>
      <c r="H19" s="445"/>
      <c r="I19" s="445"/>
      <c r="J19" s="445"/>
      <c r="K19" s="89"/>
      <c r="L19" s="445"/>
      <c r="M19" s="445"/>
      <c r="N19" s="445"/>
      <c r="O19" s="445"/>
      <c r="P19" s="445"/>
      <c r="Q19" s="445"/>
      <c r="R19" s="445"/>
      <c r="S19" s="445"/>
      <c r="T19" s="445"/>
      <c r="U19" s="445"/>
      <c r="V19" s="445"/>
      <c r="W19" s="445"/>
      <c r="X19" s="445"/>
      <c r="Y19" s="2070"/>
      <c r="Z19" s="446"/>
      <c r="AA19" s="89"/>
      <c r="AB19" s="2070"/>
      <c r="AC19" s="445"/>
      <c r="AD19" s="445"/>
      <c r="AE19" s="89"/>
      <c r="AF19" s="1585"/>
      <c r="AG19" s="89"/>
      <c r="AH19" s="45"/>
      <c r="AI19" s="45"/>
    </row>
    <row r="20" spans="1:35" s="155" customFormat="1" ht="19.399999999999999" customHeight="1">
      <c r="A20" s="97" t="s">
        <v>123</v>
      </c>
      <c r="B20" s="89"/>
      <c r="C20" s="89"/>
      <c r="D20" s="89"/>
      <c r="E20" s="89"/>
      <c r="F20" s="89"/>
      <c r="G20" s="89"/>
      <c r="H20" s="445"/>
      <c r="I20" s="445"/>
      <c r="J20" s="445"/>
      <c r="K20" s="89"/>
      <c r="L20" s="445"/>
      <c r="M20" s="445"/>
      <c r="N20" s="445"/>
      <c r="O20" s="445"/>
      <c r="P20" s="445"/>
      <c r="Q20" s="445"/>
      <c r="R20" s="445"/>
      <c r="S20" s="445"/>
      <c r="T20" s="445"/>
      <c r="U20" s="445"/>
      <c r="V20" s="445"/>
      <c r="W20" s="445"/>
      <c r="X20" s="445"/>
      <c r="Y20" s="2070"/>
      <c r="Z20" s="446"/>
      <c r="AA20" s="89"/>
      <c r="AB20" s="2070"/>
      <c r="AC20" s="445"/>
      <c r="AD20" s="445"/>
      <c r="AE20" s="89"/>
      <c r="AF20" s="1585"/>
      <c r="AG20" s="89"/>
      <c r="AH20" s="45"/>
      <c r="AI20" s="45"/>
    </row>
    <row r="21" spans="1:35" s="155" customFormat="1" ht="19.399999999999999" customHeight="1">
      <c r="A21" s="45" t="s">
        <v>483</v>
      </c>
      <c r="B21" s="90"/>
      <c r="C21" s="89"/>
      <c r="D21" s="89"/>
      <c r="E21" s="89"/>
      <c r="F21" s="89"/>
      <c r="G21" s="89"/>
      <c r="H21" s="445"/>
      <c r="I21" s="445"/>
      <c r="J21" s="445"/>
      <c r="K21" s="89"/>
      <c r="L21" s="445"/>
      <c r="M21" s="445"/>
      <c r="N21" s="445"/>
      <c r="O21" s="445"/>
      <c r="P21" s="445"/>
      <c r="Q21" s="445"/>
      <c r="R21" s="445"/>
      <c r="S21" s="445"/>
      <c r="T21" s="445"/>
      <c r="U21" s="445"/>
      <c r="V21" s="445"/>
      <c r="W21" s="445"/>
      <c r="X21" s="445"/>
      <c r="Y21" s="2070"/>
      <c r="Z21" s="446"/>
      <c r="AA21" s="90"/>
      <c r="AB21" s="2072"/>
      <c r="AC21" s="1699"/>
      <c r="AD21" s="445"/>
      <c r="AE21" s="90"/>
      <c r="AF21" s="1589"/>
      <c r="AG21" s="89"/>
      <c r="AH21" s="45"/>
      <c r="AI21" s="45"/>
    </row>
    <row r="22" spans="1:35" s="155" customFormat="1" ht="19.399999999999999" customHeight="1">
      <c r="A22" s="45" t="s">
        <v>627</v>
      </c>
      <c r="B22" s="775">
        <v>0.1</v>
      </c>
      <c r="C22" s="89"/>
      <c r="D22" s="775">
        <v>0</v>
      </c>
      <c r="E22" s="89"/>
      <c r="F22" s="775">
        <v>0.1</v>
      </c>
      <c r="G22" s="89"/>
      <c r="H22" s="449">
        <v>0</v>
      </c>
      <c r="I22" s="445"/>
      <c r="J22" s="449">
        <v>0</v>
      </c>
      <c r="K22" s="89"/>
      <c r="L22" s="449">
        <v>9.9999999999999978E-2</v>
      </c>
      <c r="M22" s="445"/>
      <c r="N22" s="449">
        <v>0</v>
      </c>
      <c r="O22" s="445"/>
      <c r="P22" s="449">
        <f>ROUND($AA22-$B22-$D22-$F22-$H22-$J22-$L22-$N22,0)</f>
        <v>0</v>
      </c>
      <c r="Q22" s="449"/>
      <c r="R22" s="449"/>
      <c r="S22" s="449"/>
      <c r="T22" s="449"/>
      <c r="U22" s="449"/>
      <c r="V22" s="449"/>
      <c r="W22" s="449"/>
      <c r="X22" s="449"/>
      <c r="Y22" s="2070"/>
      <c r="Z22" s="446"/>
      <c r="AA22" s="1641">
        <v>0.30000000000000004</v>
      </c>
      <c r="AB22" s="2070"/>
      <c r="AC22" s="445"/>
      <c r="AD22" s="1641">
        <v>0.3</v>
      </c>
      <c r="AE22" s="705"/>
      <c r="AF22" s="1589"/>
      <c r="AG22" s="89">
        <f>ROUND(SUM(AA22-AD22),1)</f>
        <v>0</v>
      </c>
      <c r="AH22" s="45"/>
      <c r="AI22" s="341">
        <f>ROUND(IF(AD22=0,1,AG22/ABS(AD22)),3)</f>
        <v>0</v>
      </c>
    </row>
    <row r="23" spans="1:35" s="155" customFormat="1" ht="19.399999999999999" customHeight="1">
      <c r="A23" s="444" t="s">
        <v>541</v>
      </c>
      <c r="B23" s="775">
        <v>0</v>
      </c>
      <c r="C23" s="89"/>
      <c r="D23" s="775">
        <v>0</v>
      </c>
      <c r="E23" s="89"/>
      <c r="F23" s="775">
        <v>0</v>
      </c>
      <c r="G23" s="89"/>
      <c r="H23" s="449">
        <v>0</v>
      </c>
      <c r="I23" s="445"/>
      <c r="J23" s="449">
        <v>0</v>
      </c>
      <c r="K23" s="89"/>
      <c r="L23" s="449">
        <v>0</v>
      </c>
      <c r="M23" s="445"/>
      <c r="N23" s="449">
        <v>0.1</v>
      </c>
      <c r="O23" s="90"/>
      <c r="P23" s="449">
        <f t="shared" ref="P23:P24" si="2">$AA23-$B23-$D23-$F23-$H23-$J23-$L23-$N23</f>
        <v>0</v>
      </c>
      <c r="Q23" s="449"/>
      <c r="R23" s="449"/>
      <c r="S23" s="445"/>
      <c r="T23" s="449"/>
      <c r="U23" s="445"/>
      <c r="V23" s="449"/>
      <c r="W23" s="445"/>
      <c r="X23" s="449"/>
      <c r="Y23" s="2070"/>
      <c r="Z23" s="446"/>
      <c r="AA23" s="1641">
        <v>0.1</v>
      </c>
      <c r="AB23" s="2070"/>
      <c r="AC23" s="445"/>
      <c r="AD23" s="1641">
        <v>9.9999999999999978E-2</v>
      </c>
      <c r="AE23" s="90"/>
      <c r="AF23" s="1589"/>
      <c r="AG23" s="89">
        <f>ROUND(SUM(AA23-AD23),1)</f>
        <v>0</v>
      </c>
      <c r="AH23" s="2015"/>
      <c r="AI23" s="341">
        <f>ROUND(IF(AD23=0,0,AG23/ABS(AD23)),3)</f>
        <v>0</v>
      </c>
    </row>
    <row r="24" spans="1:35" s="155" customFormat="1" ht="19.399999999999999" customHeight="1">
      <c r="A24" s="45" t="s">
        <v>486</v>
      </c>
      <c r="B24" s="775">
        <v>0</v>
      </c>
      <c r="C24" s="89"/>
      <c r="D24" s="1694">
        <v>0.1</v>
      </c>
      <c r="E24" s="89"/>
      <c r="F24" s="775">
        <v>0</v>
      </c>
      <c r="G24" s="89"/>
      <c r="H24" s="449">
        <v>0.1</v>
      </c>
      <c r="I24" s="445"/>
      <c r="J24" s="734">
        <v>0</v>
      </c>
      <c r="K24" s="89"/>
      <c r="L24" s="734">
        <v>0</v>
      </c>
      <c r="M24" s="445"/>
      <c r="N24" s="734">
        <v>0</v>
      </c>
      <c r="O24" s="445"/>
      <c r="P24" s="734">
        <f t="shared" si="2"/>
        <v>9.9999999999999978E-2</v>
      </c>
      <c r="Q24" s="445"/>
      <c r="R24" s="449"/>
      <c r="S24" s="445"/>
      <c r="T24" s="449"/>
      <c r="U24" s="445"/>
      <c r="V24" s="734"/>
      <c r="W24" s="445"/>
      <c r="X24" s="449"/>
      <c r="Y24" s="2070"/>
      <c r="Z24" s="446"/>
      <c r="AA24" s="1700">
        <v>0.3</v>
      </c>
      <c r="AB24" s="2070"/>
      <c r="AC24" s="445"/>
      <c r="AD24" s="1700">
        <v>0.2</v>
      </c>
      <c r="AE24" s="705"/>
      <c r="AF24" s="1589"/>
      <c r="AG24" s="89">
        <f>ROUND(SUM(AA24-AD24),1)</f>
        <v>0.1</v>
      </c>
      <c r="AH24" s="45"/>
      <c r="AI24" s="341">
        <f>ROUND(IF(AD24=0,1,AG24/ABS(AD24)),3)</f>
        <v>0.5</v>
      </c>
    </row>
    <row r="25" spans="1:35" s="155" customFormat="1" ht="22.5" customHeight="1">
      <c r="A25" s="97" t="s">
        <v>487</v>
      </c>
      <c r="B25" s="867">
        <f>ROUND(SUM(B22:B24),1)</f>
        <v>0.1</v>
      </c>
      <c r="C25" s="148"/>
      <c r="D25" s="867">
        <f>ROUND(SUM(D22:D24),1)</f>
        <v>0.1</v>
      </c>
      <c r="E25" s="148"/>
      <c r="F25" s="867">
        <f>ROUND(SUM(F22:F24),1)</f>
        <v>0.1</v>
      </c>
      <c r="G25" s="148"/>
      <c r="H25" s="834">
        <f>ROUND(SUM(H22:H24),1)</f>
        <v>0.1</v>
      </c>
      <c r="I25" s="447"/>
      <c r="J25" s="867">
        <f>ROUND(SUM(J22:J24),1)</f>
        <v>0</v>
      </c>
      <c r="K25" s="148"/>
      <c r="L25" s="867">
        <f>ROUND(SUM(L22:L24),1)</f>
        <v>0.1</v>
      </c>
      <c r="M25" s="447"/>
      <c r="N25" s="834">
        <f>ROUND(SUM(N22:N24),1)</f>
        <v>0.1</v>
      </c>
      <c r="O25" s="453"/>
      <c r="P25" s="1350">
        <f>ROUND(SUM(P22:P24),1)</f>
        <v>0.1</v>
      </c>
      <c r="Q25" s="457"/>
      <c r="R25" s="867">
        <f>ROUND(SUM(R22:R24),1)</f>
        <v>0</v>
      </c>
      <c r="S25" s="447"/>
      <c r="T25" s="867">
        <f>ROUND(SUM(T22:T24),1)</f>
        <v>0</v>
      </c>
      <c r="U25" s="453"/>
      <c r="V25" s="1350">
        <f>ROUND(SUM(V22:V24),1)</f>
        <v>0</v>
      </c>
      <c r="W25" s="453"/>
      <c r="X25" s="867">
        <f>ROUND(SUM(X22:X24),1)</f>
        <v>0</v>
      </c>
      <c r="Y25" s="2071"/>
      <c r="Z25" s="448"/>
      <c r="AA25" s="457">
        <f>ROUND(SUM(AA22:AA24),1)</f>
        <v>0.7</v>
      </c>
      <c r="AB25" s="2071"/>
      <c r="AC25" s="448"/>
      <c r="AD25" s="457">
        <f>ROUND(SUM(AD22:AD24),1)</f>
        <v>0.6</v>
      </c>
      <c r="AE25" s="457"/>
      <c r="AF25" s="1589"/>
      <c r="AG25" s="1623">
        <f>ROUND(SUM(AG22:AG24),1)</f>
        <v>0.1</v>
      </c>
      <c r="AH25" s="1593"/>
      <c r="AI25" s="1625">
        <f>ROUND(IF(AD25=0,1,AG25/ABS(AD25)),3)</f>
        <v>0.16700000000000001</v>
      </c>
    </row>
    <row r="26" spans="1:35" s="155" customFormat="1" ht="19.399999999999999" customHeight="1">
      <c r="A26" s="45"/>
      <c r="B26" s="1613"/>
      <c r="C26" s="89"/>
      <c r="D26" s="1613"/>
      <c r="E26" s="89"/>
      <c r="F26" s="1613"/>
      <c r="G26" s="89"/>
      <c r="H26" s="1626"/>
      <c r="I26" s="445"/>
      <c r="J26" s="1626"/>
      <c r="K26" s="89"/>
      <c r="L26" s="1626"/>
      <c r="M26" s="445"/>
      <c r="N26" s="1626"/>
      <c r="O26" s="445"/>
      <c r="P26" s="1626"/>
      <c r="Q26" s="445"/>
      <c r="R26" s="1626"/>
      <c r="S26" s="445"/>
      <c r="T26" s="1626"/>
      <c r="U26" s="445"/>
      <c r="V26" s="1626"/>
      <c r="W26" s="445"/>
      <c r="X26" s="1626"/>
      <c r="Y26" s="2070"/>
      <c r="Z26" s="446"/>
      <c r="AA26" s="1613"/>
      <c r="AB26" s="2070"/>
      <c r="AC26" s="445"/>
      <c r="AD26" s="1626"/>
      <c r="AE26" s="89"/>
      <c r="AF26" s="1585"/>
      <c r="AG26" s="89"/>
      <c r="AH26" s="45"/>
      <c r="AI26" s="45"/>
    </row>
    <row r="27" spans="1:35" s="155" customFormat="1" ht="19.399999999999999" customHeight="1">
      <c r="A27" s="97" t="s">
        <v>488</v>
      </c>
      <c r="B27" s="89"/>
      <c r="C27" s="89"/>
      <c r="D27" s="89"/>
      <c r="E27" s="89"/>
      <c r="F27" s="89"/>
      <c r="G27" s="89"/>
      <c r="H27" s="445"/>
      <c r="I27" s="445"/>
      <c r="J27" s="445"/>
      <c r="K27" s="89"/>
      <c r="L27" s="445"/>
      <c r="M27" s="445"/>
      <c r="N27" s="445"/>
      <c r="O27" s="445"/>
      <c r="P27" s="445"/>
      <c r="Q27" s="445"/>
      <c r="R27" s="445"/>
      <c r="S27" s="445"/>
      <c r="T27" s="445"/>
      <c r="U27" s="445"/>
      <c r="V27" s="445"/>
      <c r="W27" s="445"/>
      <c r="X27" s="445"/>
      <c r="Y27" s="2070"/>
      <c r="Z27" s="446"/>
      <c r="AA27" s="89"/>
      <c r="AB27" s="2070"/>
      <c r="AC27" s="445"/>
      <c r="AD27" s="445"/>
      <c r="AE27" s="89"/>
      <c r="AF27" s="1585"/>
      <c r="AG27" s="89"/>
      <c r="AH27" s="45"/>
      <c r="AI27" s="45"/>
    </row>
    <row r="28" spans="1:35" s="155" customFormat="1" ht="18.75" customHeight="1">
      <c r="A28" s="97" t="s">
        <v>146</v>
      </c>
      <c r="B28" s="452">
        <f>ROUND(B17-B25,1)</f>
        <v>0.8</v>
      </c>
      <c r="C28" s="148"/>
      <c r="D28" s="452">
        <f>ROUND(D17-D25,1)</f>
        <v>0.6</v>
      </c>
      <c r="E28" s="458"/>
      <c r="F28" s="452">
        <f>ROUND(F17-F25,1)</f>
        <v>0.3</v>
      </c>
      <c r="G28" s="458"/>
      <c r="H28" s="452">
        <f>ROUND(H17-H25,1)</f>
        <v>1</v>
      </c>
      <c r="I28" s="458"/>
      <c r="J28" s="452">
        <f>ROUND(J17-J25,1)</f>
        <v>0.3</v>
      </c>
      <c r="K28" s="458"/>
      <c r="L28" s="452">
        <f>ROUND(L17-L25,1)</f>
        <v>1.2</v>
      </c>
      <c r="M28" s="459"/>
      <c r="N28" s="452">
        <f>ROUND(N17-N25,1)</f>
        <v>3.8</v>
      </c>
      <c r="O28" s="459"/>
      <c r="P28" s="452">
        <f>ROUND(P17-P25,1)</f>
        <v>1.1000000000000001</v>
      </c>
      <c r="Q28" s="450"/>
      <c r="R28" s="452">
        <f>ROUND(R17-R25,1)</f>
        <v>0</v>
      </c>
      <c r="S28" s="459"/>
      <c r="T28" s="452">
        <f>ROUND(T17-T25,1)</f>
        <v>0</v>
      </c>
      <c r="U28" s="459"/>
      <c r="V28" s="452">
        <f>ROUND(V17-V25,1)</f>
        <v>0</v>
      </c>
      <c r="W28" s="459"/>
      <c r="X28" s="452">
        <f>ROUND(X17-X25,1)</f>
        <v>0</v>
      </c>
      <c r="Y28" s="2071"/>
      <c r="Z28" s="448"/>
      <c r="AA28" s="452">
        <f>ROUND(AA17-AA25,1)</f>
        <v>9.1</v>
      </c>
      <c r="AB28" s="2071"/>
      <c r="AC28" s="447"/>
      <c r="AD28" s="452">
        <f>ROUND(AD17-AD25,1)</f>
        <v>4.8</v>
      </c>
      <c r="AE28" s="450"/>
      <c r="AF28" s="1589"/>
      <c r="AG28" s="1628">
        <f>ROUND(SUM(AG17-AG25),1)</f>
        <v>4.3</v>
      </c>
      <c r="AH28" s="1593"/>
      <c r="AI28" s="1640">
        <f>ROUND(IF(AD28=0,1,AG28/ABS(AD28)),3)</f>
        <v>0.89600000000000002</v>
      </c>
    </row>
    <row r="29" spans="1:35" s="155" customFormat="1" ht="19.399999999999999" customHeight="1">
      <c r="A29" s="45"/>
      <c r="B29" s="89"/>
      <c r="C29" s="89"/>
      <c r="D29" s="89"/>
      <c r="E29" s="89"/>
      <c r="F29" s="89"/>
      <c r="G29" s="89"/>
      <c r="H29" s="445"/>
      <c r="I29" s="445"/>
      <c r="J29" s="445"/>
      <c r="K29" s="89"/>
      <c r="L29" s="445"/>
      <c r="M29" s="445"/>
      <c r="N29" s="1626"/>
      <c r="O29" s="445"/>
      <c r="P29" s="445"/>
      <c r="Q29" s="445"/>
      <c r="R29" s="445"/>
      <c r="S29" s="445"/>
      <c r="T29" s="445"/>
      <c r="U29" s="445"/>
      <c r="V29" s="445"/>
      <c r="W29" s="445"/>
      <c r="X29" s="1626"/>
      <c r="Y29" s="2070"/>
      <c r="Z29" s="446"/>
      <c r="AA29" s="89"/>
      <c r="AB29" s="2070"/>
      <c r="AC29" s="445"/>
      <c r="AD29" s="445"/>
      <c r="AE29" s="89"/>
      <c r="AF29" s="1596"/>
      <c r="AG29" s="89"/>
      <c r="AH29" s="45"/>
      <c r="AI29" s="45"/>
    </row>
    <row r="30" spans="1:35" s="155" customFormat="1" ht="19.399999999999999" customHeight="1">
      <c r="A30" s="97" t="s">
        <v>147</v>
      </c>
      <c r="B30" s="89"/>
      <c r="C30" s="89"/>
      <c r="D30" s="89"/>
      <c r="E30" s="89"/>
      <c r="F30" s="89"/>
      <c r="G30" s="89"/>
      <c r="H30" s="445"/>
      <c r="I30" s="445"/>
      <c r="J30" s="445"/>
      <c r="K30" s="89"/>
      <c r="L30" s="445"/>
      <c r="M30" s="445"/>
      <c r="N30" s="445"/>
      <c r="O30" s="445"/>
      <c r="P30" s="445"/>
      <c r="Q30" s="445"/>
      <c r="R30" s="445"/>
      <c r="S30" s="445"/>
      <c r="T30" s="445"/>
      <c r="U30" s="445"/>
      <c r="V30" s="445"/>
      <c r="W30" s="445"/>
      <c r="X30" s="445"/>
      <c r="Y30" s="2070"/>
      <c r="Z30" s="446"/>
      <c r="AA30" s="89"/>
      <c r="AB30" s="2070"/>
      <c r="AC30" s="445"/>
      <c r="AD30" s="445"/>
      <c r="AE30" s="89"/>
      <c r="AF30" s="1596"/>
      <c r="AG30" s="89"/>
      <c r="AH30" s="45"/>
      <c r="AI30" s="45"/>
    </row>
    <row r="31" spans="1:35" s="155" customFormat="1" ht="19.399999999999999" customHeight="1">
      <c r="A31" s="45" t="s">
        <v>569</v>
      </c>
      <c r="B31" s="775">
        <v>0</v>
      </c>
      <c r="C31" s="89"/>
      <c r="D31" s="775">
        <v>0</v>
      </c>
      <c r="E31" s="89"/>
      <c r="F31" s="775">
        <v>0</v>
      </c>
      <c r="G31" s="89"/>
      <c r="H31" s="449">
        <v>0</v>
      </c>
      <c r="I31" s="445"/>
      <c r="J31" s="449">
        <v>0</v>
      </c>
      <c r="K31" s="89"/>
      <c r="L31" s="449">
        <v>0</v>
      </c>
      <c r="M31" s="445"/>
      <c r="N31" s="449">
        <v>0</v>
      </c>
      <c r="O31" s="445"/>
      <c r="P31" s="449">
        <f t="shared" ref="P31:P32" si="3">$AA31-$B31-$D31-$F31-$H31-$J31-$L31-$N31</f>
        <v>0</v>
      </c>
      <c r="Q31" s="445"/>
      <c r="R31" s="449"/>
      <c r="S31" s="445"/>
      <c r="T31" s="449"/>
      <c r="U31" s="445"/>
      <c r="V31" s="449"/>
      <c r="W31" s="445"/>
      <c r="X31" s="449"/>
      <c r="Y31" s="2070"/>
      <c r="Z31" s="446"/>
      <c r="AA31" s="1641">
        <v>0</v>
      </c>
      <c r="AB31" s="2070"/>
      <c r="AC31" s="445"/>
      <c r="AD31" s="1641">
        <v>0</v>
      </c>
      <c r="AE31" s="90"/>
      <c r="AF31" s="1598"/>
      <c r="AG31" s="89">
        <f>ROUND(SUM(AA31-AD31),1)</f>
        <v>0</v>
      </c>
      <c r="AH31" s="2015"/>
      <c r="AI31" s="1627">
        <f>ROUND(IF(AG31=0,0,AG31/ABS(AD31)),3)</f>
        <v>0</v>
      </c>
    </row>
    <row r="32" spans="1:35" s="155" customFormat="1" ht="19.399999999999999" customHeight="1">
      <c r="A32" s="45" t="s">
        <v>570</v>
      </c>
      <c r="B32" s="775">
        <v>0</v>
      </c>
      <c r="C32" s="89"/>
      <c r="D32" s="775">
        <v>0</v>
      </c>
      <c r="E32" s="89"/>
      <c r="F32" s="775">
        <v>0</v>
      </c>
      <c r="G32" s="89"/>
      <c r="H32" s="449">
        <v>0</v>
      </c>
      <c r="I32" s="445"/>
      <c r="J32" s="734">
        <v>0</v>
      </c>
      <c r="K32" s="89"/>
      <c r="L32" s="734">
        <v>0</v>
      </c>
      <c r="M32" s="445"/>
      <c r="N32" s="734">
        <v>0</v>
      </c>
      <c r="O32" s="449"/>
      <c r="P32" s="1277">
        <f t="shared" si="3"/>
        <v>0</v>
      </c>
      <c r="Q32" s="445"/>
      <c r="R32" s="449"/>
      <c r="S32" s="445"/>
      <c r="T32" s="449"/>
      <c r="U32" s="445"/>
      <c r="V32" s="734"/>
      <c r="W32" s="445"/>
      <c r="X32" s="449"/>
      <c r="Y32" s="2070"/>
      <c r="Z32" s="446"/>
      <c r="AA32" s="1641">
        <v>0</v>
      </c>
      <c r="AB32" s="2074"/>
      <c r="AC32" s="1641"/>
      <c r="AD32" s="1641">
        <v>0</v>
      </c>
      <c r="AE32" s="90"/>
      <c r="AF32" s="1596"/>
      <c r="AG32" s="89">
        <f>ROUND(SUM(AA32-AD32),1)</f>
        <v>0</v>
      </c>
      <c r="AH32" s="2015"/>
      <c r="AI32" s="1627">
        <f>ROUND(IF(AG32=0,0,AG32/ABS(AD32)),3)</f>
        <v>0</v>
      </c>
    </row>
    <row r="33" spans="1:35" s="155" customFormat="1" ht="22.5" customHeight="1">
      <c r="A33" s="97" t="s">
        <v>621</v>
      </c>
      <c r="B33" s="1631">
        <f>ROUND(SUM(B31:B32),1)</f>
        <v>0</v>
      </c>
      <c r="C33" s="148"/>
      <c r="D33" s="1631">
        <f>ROUND(SUM(D31:D32),1)</f>
        <v>0</v>
      </c>
      <c r="E33" s="148"/>
      <c r="F33" s="1631">
        <f>ROUND(SUM(F31:F32),1)</f>
        <v>0</v>
      </c>
      <c r="G33" s="148"/>
      <c r="H33" s="1631">
        <f>ROUND(SUM(H31:H32),1)</f>
        <v>0</v>
      </c>
      <c r="I33" s="447"/>
      <c r="J33" s="1631">
        <f>ROUND(SUM(J31:J32),1)</f>
        <v>0</v>
      </c>
      <c r="K33" s="148"/>
      <c r="L33" s="1631">
        <f>ROUND(SUM(L31:L32),1)</f>
        <v>0</v>
      </c>
      <c r="M33" s="447"/>
      <c r="N33" s="1631">
        <f>ROUND(SUM(N31:N32),1)</f>
        <v>0</v>
      </c>
      <c r="O33" s="447"/>
      <c r="P33" s="457">
        <f>ROUND(SUM(P31:P32),1)</f>
        <v>0</v>
      </c>
      <c r="Q33" s="457"/>
      <c r="R33" s="1631">
        <f>ROUND(SUM(R31:R32),1)</f>
        <v>0</v>
      </c>
      <c r="S33" s="447"/>
      <c r="T33" s="1631">
        <f>ROUND(SUM(T31:T32),1)</f>
        <v>0</v>
      </c>
      <c r="U33" s="447"/>
      <c r="V33" s="457">
        <f>ROUND(SUM(V31:V32),1)</f>
        <v>0</v>
      </c>
      <c r="W33" s="447"/>
      <c r="X33" s="1631">
        <f>ROUND(SUM(X31:X32),1)</f>
        <v>0</v>
      </c>
      <c r="Y33" s="2071"/>
      <c r="Z33" s="448"/>
      <c r="AA33" s="1631">
        <f>ROUND(SUM(AA31:AA32),1)</f>
        <v>0</v>
      </c>
      <c r="AB33" s="2073"/>
      <c r="AC33" s="453"/>
      <c r="AD33" s="1631">
        <f>ROUND(SUM(AD31:AD32),1)</f>
        <v>0</v>
      </c>
      <c r="AE33" s="457"/>
      <c r="AF33" s="1598"/>
      <c r="AG33" s="1623">
        <f>ROUND(SUM(AG31-AG32),1)</f>
        <v>0</v>
      </c>
      <c r="AH33" s="400"/>
      <c r="AI33" s="1625">
        <f>ROUND(IF(AG33=0,0,AG33/ABS(AD33)),3)</f>
        <v>0</v>
      </c>
    </row>
    <row r="34" spans="1:35" s="155" customFormat="1" ht="19.399999999999999" customHeight="1">
      <c r="A34" s="45"/>
      <c r="B34" s="1613"/>
      <c r="C34" s="89"/>
      <c r="D34" s="1613" t="s">
        <v>104</v>
      </c>
      <c r="E34" s="89"/>
      <c r="F34" s="1613"/>
      <c r="G34" s="89"/>
      <c r="H34" s="1626"/>
      <c r="I34" s="445"/>
      <c r="J34" s="1626"/>
      <c r="K34" s="89"/>
      <c r="L34" s="1626"/>
      <c r="M34" s="445"/>
      <c r="N34" s="1626"/>
      <c r="O34" s="445"/>
      <c r="P34" s="1626"/>
      <c r="Q34" s="445"/>
      <c r="R34" s="1626"/>
      <c r="S34" s="445"/>
      <c r="T34" s="1626"/>
      <c r="U34" s="445"/>
      <c r="V34" s="1626"/>
      <c r="W34" s="445"/>
      <c r="X34" s="1626"/>
      <c r="Y34" s="2070"/>
      <c r="Z34" s="446"/>
      <c r="AA34" s="1613"/>
      <c r="AB34" s="2070"/>
      <c r="AC34" s="445"/>
      <c r="AD34" s="1626"/>
      <c r="AE34" s="89"/>
      <c r="AF34" s="1585"/>
      <c r="AG34" s="89"/>
      <c r="AH34" s="45"/>
      <c r="AI34" s="45"/>
    </row>
    <row r="35" spans="1:35" s="155" customFormat="1" ht="19.399999999999999" customHeight="1">
      <c r="A35" s="97" t="s">
        <v>499</v>
      </c>
      <c r="B35" s="89"/>
      <c r="C35" s="89"/>
      <c r="D35" s="89" t="s">
        <v>104</v>
      </c>
      <c r="E35" s="89"/>
      <c r="F35" s="89"/>
      <c r="G35" s="89"/>
      <c r="H35" s="445"/>
      <c r="I35" s="445"/>
      <c r="J35" s="445"/>
      <c r="K35" s="89"/>
      <c r="L35" s="445"/>
      <c r="M35" s="445"/>
      <c r="N35" s="445"/>
      <c r="O35" s="445"/>
      <c r="P35" s="445"/>
      <c r="Q35" s="445"/>
      <c r="R35" s="445"/>
      <c r="S35" s="445"/>
      <c r="T35" s="445"/>
      <c r="U35" s="445"/>
      <c r="V35" s="445"/>
      <c r="W35" s="445"/>
      <c r="X35" s="445"/>
      <c r="Y35" s="2070"/>
      <c r="Z35" s="446"/>
      <c r="AA35" s="89"/>
      <c r="AB35" s="2070"/>
      <c r="AC35" s="445"/>
      <c r="AD35" s="445"/>
      <c r="AE35" s="89"/>
      <c r="AF35" s="1585"/>
      <c r="AG35" s="89"/>
      <c r="AH35" s="45"/>
      <c r="AI35" s="45"/>
    </row>
    <row r="36" spans="1:35" s="155" customFormat="1" ht="19.399999999999999" customHeight="1">
      <c r="A36" s="97" t="s">
        <v>629</v>
      </c>
      <c r="B36" s="89"/>
      <c r="C36" s="89"/>
      <c r="D36" s="89"/>
      <c r="E36" s="89"/>
      <c r="F36" s="89"/>
      <c r="G36" s="89"/>
      <c r="H36" s="445"/>
      <c r="I36" s="445"/>
      <c r="J36" s="445"/>
      <c r="K36" s="89"/>
      <c r="L36" s="445"/>
      <c r="M36" s="445"/>
      <c r="N36" s="445"/>
      <c r="O36" s="445"/>
      <c r="P36" s="445"/>
      <c r="Q36" s="445"/>
      <c r="R36" s="445"/>
      <c r="S36" s="445"/>
      <c r="T36" s="445"/>
      <c r="U36" s="445"/>
      <c r="V36" s="445"/>
      <c r="W36" s="445"/>
      <c r="X36" s="445"/>
      <c r="Y36" s="2070"/>
      <c r="Z36" s="446"/>
      <c r="AA36" s="89"/>
      <c r="AB36" s="2070"/>
      <c r="AC36" s="445"/>
      <c r="AD36" s="445"/>
      <c r="AE36" s="149"/>
      <c r="AF36" s="1602"/>
      <c r="AG36" s="89"/>
      <c r="AH36" s="45"/>
      <c r="AI36" s="45"/>
    </row>
    <row r="37" spans="1:35" s="156" customFormat="1" ht="19.399999999999999" customHeight="1">
      <c r="A37" s="97" t="s">
        <v>501</v>
      </c>
      <c r="B37" s="450">
        <f>ROUND(B28+B33,1)</f>
        <v>0.8</v>
      </c>
      <c r="C37" s="148"/>
      <c r="D37" s="450">
        <f>ROUND(D28+D33,1)</f>
        <v>0.6</v>
      </c>
      <c r="E37" s="149"/>
      <c r="F37" s="450">
        <f>ROUND(F28+F33,1)</f>
        <v>0.3</v>
      </c>
      <c r="G37" s="149"/>
      <c r="H37" s="450">
        <f>ROUND(H28+H33,1)</f>
        <v>1</v>
      </c>
      <c r="I37" s="453"/>
      <c r="J37" s="450">
        <f>ROUND(J28+J33,1)</f>
        <v>0.3</v>
      </c>
      <c r="K37" s="149"/>
      <c r="L37" s="450">
        <f>ROUND(L28+L33,1)</f>
        <v>1.2</v>
      </c>
      <c r="M37" s="450"/>
      <c r="N37" s="450">
        <f>ROUND(N28+N33,1)</f>
        <v>3.8</v>
      </c>
      <c r="O37" s="450"/>
      <c r="P37" s="450">
        <f>ROUND(P28+P33,1)</f>
        <v>1.1000000000000001</v>
      </c>
      <c r="Q37" s="450"/>
      <c r="R37" s="450"/>
      <c r="S37" s="453"/>
      <c r="T37" s="450"/>
      <c r="U37" s="453"/>
      <c r="V37" s="450"/>
      <c r="W37" s="453"/>
      <c r="X37" s="450"/>
      <c r="Y37" s="2071"/>
      <c r="Z37" s="448"/>
      <c r="AA37" s="450">
        <f>ROUND(AA28+AA33,1)</f>
        <v>9.1</v>
      </c>
      <c r="AB37" s="148"/>
      <c r="AC37" s="1278"/>
      <c r="AD37" s="450">
        <f>ROUND(AD28+AD33,1)</f>
        <v>4.8</v>
      </c>
      <c r="AE37" s="450"/>
      <c r="AF37" s="1600"/>
      <c r="AG37" s="148">
        <f>ROUND(SUM(AG28+AG33),1)</f>
        <v>4.3</v>
      </c>
      <c r="AH37" s="97"/>
      <c r="AI37" s="1640">
        <f>ROUND(IF(AD37=0,1,AG37/ABS(AD37)),3)</f>
        <v>0.89600000000000002</v>
      </c>
    </row>
    <row r="38" spans="1:35" s="155" customFormat="1" ht="22.5" customHeight="1" thickBot="1">
      <c r="A38" s="97" t="s">
        <v>463</v>
      </c>
      <c r="B38" s="1632">
        <f>ROUND(SUM(B13,B37),1)</f>
        <v>53.9</v>
      </c>
      <c r="C38" s="147"/>
      <c r="D38" s="1632">
        <f>ROUND(SUM(D13,D37),1)</f>
        <v>54.5</v>
      </c>
      <c r="E38" s="147"/>
      <c r="F38" s="1632">
        <f>ROUND(SUM(F13,F37),1)</f>
        <v>54.8</v>
      </c>
      <c r="G38" s="147"/>
      <c r="H38" s="1632">
        <f>ROUND(SUM(H13,H37),1)</f>
        <v>55.8</v>
      </c>
      <c r="I38" s="454"/>
      <c r="J38" s="1632">
        <f>ROUND(SUM(J13,J37),1)</f>
        <v>56.1</v>
      </c>
      <c r="K38" s="147"/>
      <c r="L38" s="1632">
        <f>ROUND(SUM(L13,L37),1)</f>
        <v>57.3</v>
      </c>
      <c r="M38" s="147"/>
      <c r="N38" s="1632">
        <f>ROUND(SUM(N13,N37),1)</f>
        <v>61.1</v>
      </c>
      <c r="O38" s="147"/>
      <c r="P38" s="1632">
        <f>ROUND(SUM(P13,P37),1)</f>
        <v>62.2</v>
      </c>
      <c r="Q38" s="147"/>
      <c r="R38" s="1632">
        <f>ROUND(SUM(R13,R37),1)</f>
        <v>0</v>
      </c>
      <c r="S38" s="454"/>
      <c r="T38" s="1632">
        <f>ROUND(SUM(T13,T37),1)</f>
        <v>0</v>
      </c>
      <c r="U38" s="454"/>
      <c r="V38" s="1632">
        <f>ROUND(SUM(V13,V37),1)</f>
        <v>0</v>
      </c>
      <c r="W38" s="454"/>
      <c r="X38" s="1632">
        <f>ROUND(SUM(X13,X37),1)</f>
        <v>0</v>
      </c>
      <c r="Y38" s="2068"/>
      <c r="Z38" s="439"/>
      <c r="AA38" s="1632">
        <f>ROUND(SUM(AA13,AA37),1)</f>
        <v>62.2</v>
      </c>
      <c r="AB38" s="147"/>
      <c r="AC38" s="1279"/>
      <c r="AD38" s="1633">
        <f>ROUND(SUM(AD13,AD37),1)</f>
        <v>50.7</v>
      </c>
      <c r="AE38" s="147"/>
      <c r="AF38" s="1601"/>
      <c r="AG38" s="1633">
        <f>ROUND(SUM(AA38-AD38),1)</f>
        <v>11.5</v>
      </c>
      <c r="AH38" s="1604"/>
      <c r="AI38" s="1642">
        <f>ROUND(IF(AG38=0,0,AG38/ABS(AD38)),3)</f>
        <v>0.22700000000000001</v>
      </c>
    </row>
    <row r="39" spans="1:35" s="155" customFormat="1" ht="19.399999999999999" customHeight="1" thickTop="1">
      <c r="A39" s="45" t="s">
        <v>104</v>
      </c>
      <c r="B39" s="455"/>
      <c r="C39" s="456"/>
      <c r="D39" s="455"/>
      <c r="E39" s="456"/>
      <c r="F39" s="455"/>
      <c r="G39" s="456"/>
      <c r="H39" s="455"/>
      <c r="I39" s="456"/>
      <c r="J39" s="455"/>
      <c r="K39" s="456"/>
      <c r="L39" s="455"/>
      <c r="M39" s="456"/>
      <c r="N39" s="455"/>
      <c r="O39" s="456"/>
      <c r="P39" s="455"/>
      <c r="Q39" s="456"/>
      <c r="R39" s="455"/>
      <c r="S39" s="456"/>
      <c r="T39" s="455"/>
      <c r="U39" s="456"/>
      <c r="V39" s="455"/>
      <c r="W39" s="456"/>
      <c r="X39" s="455"/>
      <c r="Y39" s="456"/>
      <c r="Z39" s="456"/>
      <c r="AA39" s="1643"/>
      <c r="AB39" s="456"/>
      <c r="AC39" s="456"/>
      <c r="AD39" s="456"/>
      <c r="AE39" s="456"/>
      <c r="AF39" s="456"/>
      <c r="AG39" s="45"/>
      <c r="AH39" s="45"/>
      <c r="AI39" s="45"/>
    </row>
    <row r="40" spans="1:35" s="155" customFormat="1" ht="19.399999999999999" customHeight="1">
      <c r="B40" s="329"/>
      <c r="C40" s="329"/>
      <c r="D40" s="329"/>
      <c r="E40" s="329"/>
      <c r="F40" s="329"/>
      <c r="G40" s="329"/>
      <c r="H40" s="329"/>
      <c r="I40" s="329"/>
      <c r="J40" s="329"/>
      <c r="K40" s="329"/>
      <c r="L40" s="329"/>
      <c r="M40" s="329"/>
      <c r="N40" s="329"/>
      <c r="O40" s="329"/>
      <c r="P40" s="329"/>
      <c r="Q40" s="329"/>
      <c r="R40" s="329"/>
      <c r="S40" s="329"/>
      <c r="T40" s="329"/>
      <c r="U40" s="329"/>
      <c r="V40" s="329"/>
      <c r="W40" s="329"/>
      <c r="X40" s="329"/>
      <c r="Y40" s="329"/>
      <c r="Z40" s="329"/>
      <c r="AA40" s="325"/>
      <c r="AB40" s="329"/>
      <c r="AC40" s="329"/>
      <c r="AD40" s="329"/>
      <c r="AE40" s="329"/>
      <c r="AF40" s="329"/>
    </row>
    <row r="41" spans="1:35" ht="15.75" customHeight="1">
      <c r="A41" s="157"/>
      <c r="B41" s="329"/>
      <c r="C41" s="329"/>
      <c r="D41" s="329"/>
      <c r="E41" s="329"/>
      <c r="F41" s="329"/>
      <c r="G41" s="329"/>
      <c r="H41" s="329"/>
      <c r="I41" s="329"/>
      <c r="J41" s="329"/>
      <c r="K41" s="329"/>
      <c r="L41" s="329"/>
      <c r="M41" s="329"/>
      <c r="N41" s="329"/>
      <c r="O41" s="329"/>
      <c r="P41" s="329"/>
      <c r="Q41" s="329"/>
      <c r="R41" s="329"/>
      <c r="S41" s="329"/>
      <c r="T41" s="329"/>
      <c r="U41" s="329"/>
      <c r="V41" s="329"/>
      <c r="W41" s="329"/>
      <c r="X41" s="329"/>
      <c r="Y41" s="329"/>
      <c r="Z41" s="329"/>
      <c r="AA41" s="325"/>
      <c r="AB41" s="329"/>
      <c r="AC41" s="329"/>
      <c r="AD41" s="329"/>
      <c r="AE41" s="329"/>
      <c r="AF41" s="329"/>
    </row>
    <row r="42" spans="1:35" ht="15.5">
      <c r="A42" s="155"/>
    </row>
    <row r="43" spans="1:35" ht="13.5" customHeight="1">
      <c r="A43" s="353"/>
      <c r="B43" s="329"/>
      <c r="C43" s="329"/>
      <c r="D43" s="329"/>
      <c r="E43" s="329"/>
      <c r="F43" s="329"/>
      <c r="G43" s="329"/>
      <c r="H43" s="329"/>
      <c r="I43" s="329"/>
      <c r="J43" s="329"/>
      <c r="K43" s="329"/>
      <c r="L43" s="329"/>
      <c r="M43" s="329"/>
      <c r="N43" s="329"/>
      <c r="O43" s="329"/>
      <c r="P43" s="329"/>
      <c r="Q43" s="329"/>
      <c r="R43" s="329"/>
      <c r="S43" s="329"/>
      <c r="T43" s="329"/>
      <c r="U43" s="329"/>
      <c r="V43" s="329"/>
      <c r="W43" s="329"/>
      <c r="X43" s="329"/>
      <c r="Y43" s="329"/>
      <c r="Z43" s="329"/>
      <c r="AA43" s="329"/>
      <c r="AB43" s="329"/>
      <c r="AC43" s="329"/>
      <c r="AD43" s="329"/>
      <c r="AE43" s="329"/>
      <c r="AF43" s="329"/>
    </row>
    <row r="44" spans="1:35" ht="15.5">
      <c r="A44" s="353"/>
      <c r="B44" s="329"/>
      <c r="C44" s="329"/>
      <c r="D44" s="329"/>
      <c r="E44" s="329"/>
      <c r="F44" s="329"/>
      <c r="G44" s="329"/>
      <c r="H44" s="329"/>
      <c r="I44" s="329"/>
      <c r="J44" s="329"/>
      <c r="K44" s="329"/>
      <c r="L44" s="329"/>
      <c r="M44" s="329"/>
      <c r="N44" s="329"/>
      <c r="O44" s="329"/>
      <c r="P44" s="329"/>
      <c r="Q44" s="329"/>
      <c r="R44" s="329"/>
      <c r="S44" s="329"/>
      <c r="T44" s="329"/>
      <c r="U44" s="329"/>
      <c r="V44" s="329"/>
      <c r="W44" s="329"/>
      <c r="X44" s="329"/>
      <c r="Y44" s="329"/>
      <c r="Z44" s="329"/>
      <c r="AA44" s="329"/>
      <c r="AB44" s="329"/>
      <c r="AC44" s="329"/>
      <c r="AD44" s="329"/>
      <c r="AE44" s="329"/>
      <c r="AF44" s="329"/>
    </row>
    <row r="45" spans="1:35" ht="15.5">
      <c r="A45" s="353"/>
      <c r="B45" s="329"/>
      <c r="C45" s="329"/>
      <c r="D45" s="329"/>
      <c r="E45" s="329"/>
      <c r="F45" s="329"/>
      <c r="G45" s="329"/>
      <c r="H45" s="329"/>
      <c r="I45" s="329"/>
      <c r="J45" s="329"/>
      <c r="K45" s="329"/>
      <c r="L45" s="329"/>
      <c r="M45" s="329"/>
      <c r="N45" s="329"/>
      <c r="O45" s="329"/>
      <c r="P45" s="329"/>
      <c r="Q45" s="329"/>
      <c r="R45" s="329"/>
      <c r="S45" s="329"/>
      <c r="T45" s="329"/>
      <c r="U45" s="329"/>
      <c r="V45" s="329"/>
      <c r="W45" s="329"/>
      <c r="X45" s="329"/>
      <c r="Y45" s="329"/>
      <c r="Z45" s="329"/>
      <c r="AA45" s="329"/>
      <c r="AB45" s="329"/>
      <c r="AC45" s="329"/>
      <c r="AD45" s="329"/>
      <c r="AE45" s="329"/>
      <c r="AF45" s="329"/>
    </row>
    <row r="46" spans="1:35" ht="15.5">
      <c r="A46" s="353"/>
      <c r="B46" s="329"/>
      <c r="C46" s="329"/>
      <c r="D46" s="329"/>
      <c r="E46" s="329"/>
      <c r="F46" s="329"/>
      <c r="G46" s="329"/>
      <c r="H46" s="329"/>
      <c r="I46" s="329"/>
      <c r="J46" s="329"/>
      <c r="K46" s="329"/>
      <c r="L46" s="329"/>
      <c r="M46" s="329"/>
      <c r="N46" s="329"/>
      <c r="O46" s="329"/>
      <c r="P46" s="329"/>
      <c r="Q46" s="329"/>
      <c r="R46" s="329"/>
      <c r="S46" s="329"/>
      <c r="T46" s="329"/>
      <c r="U46" s="329"/>
      <c r="V46" s="329"/>
      <c r="W46" s="329"/>
      <c r="X46" s="329"/>
      <c r="Y46" s="329"/>
      <c r="Z46" s="329"/>
      <c r="AA46" s="329"/>
      <c r="AB46" s="329"/>
      <c r="AC46" s="329"/>
      <c r="AD46" s="329"/>
      <c r="AE46" s="329"/>
      <c r="AF46" s="329"/>
    </row>
    <row r="47" spans="1:35" ht="15.5">
      <c r="A47" s="353"/>
      <c r="B47" s="353"/>
      <c r="C47" s="353"/>
      <c r="D47" s="353"/>
      <c r="E47" s="353"/>
      <c r="F47" s="353"/>
      <c r="G47" s="353"/>
      <c r="H47" s="353"/>
      <c r="I47" s="353"/>
      <c r="J47" s="353"/>
      <c r="K47" s="353"/>
      <c r="L47" s="353"/>
      <c r="M47" s="353"/>
      <c r="N47" s="353"/>
      <c r="O47" s="353"/>
      <c r="P47" s="353"/>
      <c r="Q47" s="353"/>
      <c r="R47" s="353"/>
      <c r="S47" s="353"/>
      <c r="T47" s="353"/>
      <c r="U47" s="353"/>
      <c r="V47" s="353"/>
      <c r="W47" s="353"/>
      <c r="X47" s="353"/>
      <c r="Y47" s="353"/>
      <c r="Z47" s="353"/>
      <c r="AA47" s="353"/>
      <c r="AB47" s="353"/>
      <c r="AC47" s="353"/>
      <c r="AD47" s="353"/>
      <c r="AE47" s="353"/>
      <c r="AF47" s="353"/>
    </row>
  </sheetData>
  <mergeCells count="2">
    <mergeCell ref="AC9:AI9"/>
    <mergeCell ref="AA10:AI10"/>
  </mergeCells>
  <pageMargins left="0.25" right="0.25" top="0.5" bottom="0.25" header="0" footer="0.25"/>
  <pageSetup scale="42" firstPageNumber="37" fitToHeight="0" orientation="landscape" useFirstPageNumber="1" r:id="rId1"/>
  <headerFooter scaleWithDoc="0" alignWithMargins="0">
    <oddFooter>&amp;C&amp;8&amp;P</oddFooter>
  </headerFooter>
  <customProperties>
    <customPr name="SheetOptions" r:id="rId2"/>
  </customProperties>
  <ignoredErrors>
    <ignoredError sqref="AI23" formula="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pageSetUpPr autoPageBreaks="0" fitToPage="1"/>
  </sheetPr>
  <dimension ref="A1:AG73"/>
  <sheetViews>
    <sheetView showGridLines="0" zoomScale="90" zoomScaleNormal="80" workbookViewId="0"/>
  </sheetViews>
  <sheetFormatPr defaultColWidth="8.84375" defaultRowHeight="10"/>
  <cols>
    <col min="1" max="1" width="38.4609375" style="894" customWidth="1"/>
    <col min="2" max="2" width="6.84375" style="894" customWidth="1"/>
    <col min="3" max="3" width="4.07421875" style="894" customWidth="1"/>
    <col min="4" max="4" width="13.4609375" style="894" customWidth="1"/>
    <col min="5" max="5" width="1.07421875" style="894" customWidth="1"/>
    <col min="6" max="6" width="13.4609375" style="894" customWidth="1"/>
    <col min="7" max="7" width="1.07421875" style="894" customWidth="1"/>
    <col min="8" max="8" width="13.4609375" style="895" customWidth="1"/>
    <col min="9" max="9" width="1.07421875" style="894" customWidth="1"/>
    <col min="10" max="10" width="13.4609375" style="894" customWidth="1"/>
    <col min="11" max="11" width="1.07421875" style="894" customWidth="1"/>
    <col min="12" max="12" width="13.4609375" style="894" customWidth="1"/>
    <col min="13" max="13" width="1.07421875" style="894" customWidth="1"/>
    <col min="14" max="14" width="13.4609375" style="894" customWidth="1"/>
    <col min="15" max="15" width="1.07421875" style="894" customWidth="1"/>
    <col min="16" max="16" width="0.84375" style="894" customWidth="1"/>
    <col min="17" max="17" width="1.07421875" style="894" customWidth="1"/>
    <col min="18" max="18" width="13.4609375" style="894" customWidth="1"/>
    <col min="19" max="19" width="1.07421875" style="894" customWidth="1"/>
    <col min="20" max="20" width="13.4609375" style="894" customWidth="1"/>
    <col min="21" max="21" width="1.07421875" style="894" customWidth="1"/>
    <col min="22" max="22" width="0.84375" style="894" customWidth="1"/>
    <col min="23" max="24" width="1.07421875" style="894" customWidth="1"/>
    <col min="25" max="25" width="13.4609375" style="894" customWidth="1"/>
    <col min="26" max="26" width="1.07421875" style="894" customWidth="1"/>
    <col min="27" max="27" width="13.4609375" style="894" customWidth="1"/>
    <col min="28" max="28" width="1.84375" style="894" customWidth="1"/>
    <col min="29" max="29" width="1.07421875" style="894" customWidth="1"/>
    <col min="30" max="30" width="13.4609375" style="894" customWidth="1"/>
    <col min="31" max="31" width="1.07421875" style="894" customWidth="1"/>
    <col min="32" max="32" width="13.4609375" style="894" customWidth="1"/>
    <col min="33" max="16384" width="8.84375" style="894"/>
  </cols>
  <sheetData>
    <row r="1" spans="1:32" ht="15.5">
      <c r="A1" s="345" t="s">
        <v>98</v>
      </c>
    </row>
    <row r="2" spans="1:32" ht="15" customHeight="1">
      <c r="A2" s="345"/>
    </row>
    <row r="3" spans="1:32" ht="21" customHeight="1">
      <c r="A3" s="2212" t="s">
        <v>99</v>
      </c>
      <c r="B3" s="2213"/>
      <c r="C3" s="2213"/>
      <c r="D3" s="2213"/>
      <c r="E3" s="2213"/>
      <c r="F3" s="2213"/>
      <c r="G3" s="2213"/>
      <c r="H3" s="2213"/>
      <c r="I3" s="2213"/>
      <c r="J3" s="2213"/>
      <c r="K3" s="2213"/>
      <c r="L3" s="2213"/>
      <c r="M3" s="2213"/>
      <c r="N3" s="2213"/>
      <c r="O3" s="2213"/>
      <c r="P3" s="2213"/>
      <c r="Q3" s="2213"/>
      <c r="R3" s="2213"/>
      <c r="S3" s="2213"/>
      <c r="T3" s="2213"/>
      <c r="U3" s="2213"/>
      <c r="V3" s="2213"/>
      <c r="W3" s="2213"/>
      <c r="X3" s="2213"/>
      <c r="Y3" s="2213"/>
      <c r="Z3" s="2213"/>
      <c r="AA3" s="2213"/>
      <c r="AB3" s="2213"/>
      <c r="AC3" s="327"/>
      <c r="AF3" s="896" t="s">
        <v>157</v>
      </c>
    </row>
    <row r="4" spans="1:32" ht="20">
      <c r="A4" s="2214" t="s">
        <v>158</v>
      </c>
      <c r="B4" s="2213"/>
      <c r="C4" s="2213"/>
      <c r="D4" s="2213"/>
      <c r="E4" s="2213"/>
      <c r="F4" s="2213"/>
      <c r="G4" s="2213"/>
      <c r="H4" s="2213"/>
      <c r="I4" s="2213"/>
      <c r="J4" s="2213"/>
      <c r="K4" s="2213"/>
      <c r="L4" s="2213"/>
      <c r="M4" s="2213"/>
      <c r="N4" s="2213"/>
      <c r="O4" s="2213"/>
      <c r="P4" s="2213"/>
      <c r="Q4" s="2213"/>
      <c r="R4" s="2213"/>
      <c r="S4" s="2213"/>
      <c r="T4" s="2213"/>
      <c r="U4" s="2213"/>
      <c r="V4" s="2213"/>
      <c r="W4" s="2213"/>
      <c r="X4" s="2213"/>
      <c r="Y4" s="2213"/>
      <c r="Z4" s="2213"/>
      <c r="AA4" s="2213"/>
      <c r="AB4" s="2213"/>
      <c r="AC4" s="327"/>
      <c r="AF4" s="896" t="s">
        <v>159</v>
      </c>
    </row>
    <row r="5" spans="1:32" ht="21" customHeight="1">
      <c r="A5" s="2214" t="s">
        <v>160</v>
      </c>
      <c r="B5" s="2213"/>
      <c r="C5" s="2213"/>
      <c r="D5" s="2213"/>
      <c r="E5" s="2213"/>
      <c r="F5" s="2213"/>
      <c r="G5" s="2213"/>
      <c r="H5" s="2213"/>
      <c r="I5" s="2213"/>
      <c r="J5" s="2213"/>
      <c r="K5" s="2213"/>
      <c r="L5" s="2213"/>
      <c r="M5" s="2213"/>
      <c r="N5" s="2213"/>
      <c r="O5" s="2213"/>
      <c r="P5" s="2213"/>
      <c r="Q5" s="2213"/>
      <c r="R5" s="2213"/>
      <c r="S5" s="2213"/>
      <c r="T5" s="2213"/>
      <c r="U5" s="2213"/>
      <c r="V5" s="2213"/>
      <c r="W5" s="2213"/>
      <c r="X5" s="2213"/>
      <c r="Y5" s="2213"/>
      <c r="Z5" s="2213"/>
      <c r="AA5" s="2213"/>
      <c r="AB5" s="2213"/>
      <c r="AC5" s="327"/>
    </row>
    <row r="6" spans="1:32" ht="21" customHeight="1">
      <c r="A6" s="2004" t="s">
        <v>103</v>
      </c>
      <c r="B6" s="2003"/>
      <c r="C6" s="2003"/>
      <c r="D6" s="2003"/>
      <c r="E6" s="2003"/>
      <c r="F6" s="2003"/>
      <c r="G6" s="2003"/>
      <c r="H6" s="2003"/>
      <c r="I6" s="2003"/>
      <c r="J6" s="2003"/>
      <c r="K6" s="2003"/>
      <c r="L6" s="2003"/>
      <c r="M6" s="2003"/>
      <c r="N6" s="2003"/>
      <c r="O6" s="2003"/>
      <c r="P6" s="2003"/>
      <c r="Q6" s="2003"/>
      <c r="R6" s="2003"/>
      <c r="S6" s="2003"/>
      <c r="T6" s="2003"/>
      <c r="U6" s="2003"/>
      <c r="V6" s="2003"/>
      <c r="W6" s="2003"/>
      <c r="X6" s="2003"/>
      <c r="Y6" s="2003"/>
      <c r="Z6" s="2003"/>
      <c r="AA6" s="2003"/>
      <c r="AB6" s="2003"/>
      <c r="AC6" s="327"/>
    </row>
    <row r="7" spans="1:32" ht="15.75" customHeight="1">
      <c r="A7" s="2214"/>
      <c r="B7" s="2213"/>
      <c r="C7" s="2213"/>
      <c r="D7" s="2213"/>
      <c r="E7" s="2213"/>
      <c r="F7" s="2213"/>
      <c r="G7" s="2213"/>
      <c r="H7" s="2213"/>
      <c r="I7" s="2213"/>
      <c r="J7" s="2213"/>
      <c r="K7" s="2213"/>
      <c r="L7" s="2213"/>
      <c r="M7" s="2213"/>
      <c r="N7" s="2213"/>
      <c r="O7" s="2213"/>
      <c r="P7" s="2213"/>
      <c r="Q7" s="2213"/>
      <c r="R7" s="2213"/>
      <c r="S7" s="2213"/>
      <c r="T7" s="2213"/>
      <c r="U7" s="2213"/>
      <c r="V7" s="2213"/>
      <c r="W7" s="2213"/>
      <c r="X7" s="2213"/>
      <c r="Y7" s="2213"/>
      <c r="Z7" s="2213"/>
      <c r="AA7" s="2213"/>
      <c r="AB7" s="2213"/>
      <c r="AC7" s="327"/>
    </row>
    <row r="8" spans="1:32" ht="15.75" customHeight="1">
      <c r="A8" s="1"/>
      <c r="B8" s="1"/>
      <c r="C8" s="1"/>
      <c r="D8" s="1"/>
      <c r="E8" s="1"/>
      <c r="F8" s="1"/>
      <c r="G8" s="1"/>
      <c r="H8" s="897"/>
      <c r="I8" s="2"/>
      <c r="J8" s="2"/>
      <c r="K8" s="2"/>
      <c r="L8" s="2"/>
      <c r="M8" s="1"/>
      <c r="N8" s="2"/>
      <c r="O8" s="2"/>
      <c r="P8" s="2"/>
      <c r="Q8" s="2"/>
      <c r="R8" s="2"/>
      <c r="S8" s="2"/>
      <c r="T8" s="2"/>
      <c r="U8" s="2"/>
      <c r="V8" s="2"/>
      <c r="W8" s="2"/>
      <c r="X8" s="2"/>
      <c r="Y8" s="917"/>
      <c r="Z8" s="917"/>
      <c r="AA8" s="896"/>
      <c r="AB8" s="917"/>
      <c r="AC8" s="918"/>
    </row>
    <row r="9" spans="1:32" ht="15.75" customHeight="1">
      <c r="A9" s="1"/>
      <c r="B9" s="1"/>
      <c r="C9" s="1"/>
      <c r="D9" s="1"/>
      <c r="E9" s="1"/>
      <c r="F9" s="1"/>
      <c r="G9" s="1"/>
      <c r="H9" s="897"/>
      <c r="I9" s="2"/>
      <c r="J9" s="2"/>
      <c r="K9" s="2"/>
      <c r="L9" s="2"/>
      <c r="M9" s="1"/>
      <c r="N9" s="2"/>
      <c r="O9" s="2"/>
      <c r="P9" s="2"/>
      <c r="Q9" s="2"/>
      <c r="R9" s="2"/>
      <c r="X9" s="2"/>
      <c r="Y9" s="917"/>
      <c r="Z9" s="917"/>
      <c r="AA9" s="896"/>
      <c r="AB9" s="917"/>
      <c r="AC9" s="918"/>
    </row>
    <row r="10" spans="1:32" ht="16.399999999999999" customHeight="1">
      <c r="A10" s="1"/>
      <c r="B10" s="1"/>
      <c r="C10" s="1"/>
      <c r="D10" s="2209"/>
      <c r="E10" s="2210"/>
      <c r="F10" s="2210"/>
      <c r="G10" s="2210"/>
      <c r="H10" s="2210"/>
      <c r="I10" s="2210"/>
      <c r="J10" s="2210"/>
      <c r="K10" s="2210"/>
      <c r="L10" s="2210"/>
      <c r="M10" s="2210"/>
      <c r="N10" s="2210"/>
      <c r="O10" s="2"/>
      <c r="P10" s="919"/>
      <c r="Q10" s="2"/>
      <c r="R10" s="2209"/>
      <c r="S10" s="2209"/>
      <c r="T10" s="2209"/>
      <c r="U10" s="2209"/>
      <c r="V10" s="2209"/>
      <c r="W10" s="2209"/>
      <c r="X10" s="2209"/>
      <c r="Y10" s="2209"/>
      <c r="Z10" s="2209"/>
      <c r="AA10" s="2209"/>
      <c r="AB10" s="2209"/>
      <c r="AC10" s="920"/>
    </row>
    <row r="11" spans="1:32" ht="16.399999999999999" customHeight="1">
      <c r="A11" s="311"/>
      <c r="B11" s="311"/>
      <c r="C11" s="311"/>
      <c r="D11" s="1419" t="s">
        <v>105</v>
      </c>
      <c r="E11" s="1419"/>
      <c r="F11" s="1419"/>
      <c r="G11" s="899"/>
      <c r="H11" s="1429" t="s">
        <v>161</v>
      </c>
      <c r="I11" s="1419"/>
      <c r="J11" s="1419"/>
      <c r="L11" s="2211" t="s">
        <v>107</v>
      </c>
      <c r="M11" s="2211"/>
      <c r="N11" s="2211"/>
      <c r="O11" s="2000"/>
      <c r="P11" s="2000"/>
      <c r="Q11" s="2000"/>
      <c r="R11" s="2002" t="s">
        <v>162</v>
      </c>
      <c r="S11" s="2002"/>
      <c r="T11" s="2002"/>
      <c r="U11" s="2002"/>
      <c r="V11" s="2002"/>
      <c r="W11" s="2002"/>
      <c r="X11" s="2002"/>
      <c r="Y11" s="2002"/>
      <c r="Z11" s="2002"/>
      <c r="AA11" s="2002"/>
      <c r="AB11" s="2002"/>
      <c r="AC11" s="921"/>
      <c r="AD11" s="922"/>
      <c r="AE11" s="922"/>
      <c r="AF11" s="922"/>
    </row>
    <row r="12" spans="1:32" ht="15.75" customHeight="1">
      <c r="A12" s="311"/>
      <c r="B12" s="311"/>
      <c r="C12" s="311"/>
      <c r="D12" s="2000" t="s">
        <v>110</v>
      </c>
      <c r="E12" s="2000"/>
      <c r="F12" s="3" t="str">
        <f>'Exhibit A'!F11</f>
        <v>8 MOS. ENDED</v>
      </c>
      <c r="G12" s="2000"/>
      <c r="H12" s="2000" t="s">
        <v>110</v>
      </c>
      <c r="I12" s="2000"/>
      <c r="J12" s="2000" t="str">
        <f>F12</f>
        <v>8 MOS. ENDED</v>
      </c>
      <c r="K12" s="2000"/>
      <c r="L12" s="2000" t="s">
        <v>110</v>
      </c>
      <c r="M12" s="2000"/>
      <c r="N12" s="2000" t="str">
        <f>F12</f>
        <v>8 MOS. ENDED</v>
      </c>
      <c r="O12" s="2000"/>
      <c r="P12" s="923"/>
      <c r="Q12" s="2000"/>
      <c r="R12" s="2000" t="s">
        <v>110</v>
      </c>
      <c r="S12" s="2000"/>
      <c r="T12" s="2000" t="str">
        <f>F12</f>
        <v>8 MOS. ENDED</v>
      </c>
      <c r="U12" s="2000"/>
      <c r="V12" s="2000"/>
      <c r="W12" s="2000"/>
      <c r="X12" s="2000"/>
      <c r="Y12" s="2000" t="s">
        <v>110</v>
      </c>
      <c r="Z12" s="2000"/>
      <c r="AA12" s="2000" t="str">
        <f>'Exhibit A'!AD11</f>
        <v>8 MOS. ENDED</v>
      </c>
      <c r="AB12" s="2000"/>
      <c r="AC12" s="924"/>
      <c r="AD12" s="2000" t="s">
        <v>111</v>
      </c>
      <c r="AE12" s="345"/>
      <c r="AF12" s="2000" t="s">
        <v>112</v>
      </c>
    </row>
    <row r="13" spans="1:32" ht="16.399999999999999" customHeight="1">
      <c r="A13" s="311"/>
      <c r="B13" s="311"/>
      <c r="C13" s="311"/>
      <c r="D13" s="1420" t="str">
        <f>'Exhibit A'!D12</f>
        <v>NOV. 2023</v>
      </c>
      <c r="E13" s="2000"/>
      <c r="F13" s="1420" t="str">
        <f>'Exhibit A'!F12</f>
        <v>NOV. 30, 2023</v>
      </c>
      <c r="G13" s="2000"/>
      <c r="H13" s="2002" t="str">
        <f>D13</f>
        <v>NOV. 2023</v>
      </c>
      <c r="I13" s="2000"/>
      <c r="J13" s="2002" t="str">
        <f>F13</f>
        <v>NOV. 30, 2023</v>
      </c>
      <c r="K13" s="2000"/>
      <c r="L13" s="2002" t="str">
        <f>D13</f>
        <v>NOV. 2023</v>
      </c>
      <c r="M13" s="2000"/>
      <c r="N13" s="2002" t="str">
        <f>F13</f>
        <v>NOV. 30, 2023</v>
      </c>
      <c r="O13" s="2000"/>
      <c r="P13" s="923"/>
      <c r="Q13" s="2000"/>
      <c r="R13" s="2002" t="str">
        <f>D13</f>
        <v>NOV. 2023</v>
      </c>
      <c r="S13" s="2000"/>
      <c r="T13" s="2002" t="str">
        <f>F13</f>
        <v>NOV. 30, 2023</v>
      </c>
      <c r="U13" s="2000"/>
      <c r="V13" s="2000"/>
      <c r="W13" s="2000"/>
      <c r="X13" s="2000"/>
      <c r="Y13" s="1420" t="str">
        <f>'Exhibit A'!AB12</f>
        <v>NOV. 2022</v>
      </c>
      <c r="Z13" s="2000"/>
      <c r="AA13" s="1420" t="str">
        <f>'Exhibit A'!AD12</f>
        <v>NOV. 30, 2022</v>
      </c>
      <c r="AB13" s="2000"/>
      <c r="AC13" s="924"/>
      <c r="AD13" s="2002" t="s">
        <v>113</v>
      </c>
      <c r="AE13" s="345"/>
      <c r="AF13" s="1420" t="s">
        <v>114</v>
      </c>
    </row>
    <row r="14" spans="1:32" ht="16.399999999999999" customHeight="1">
      <c r="A14" s="899" t="s">
        <v>115</v>
      </c>
      <c r="B14" s="311"/>
      <c r="C14" s="311"/>
      <c r="D14" s="925" t="s">
        <v>104</v>
      </c>
      <c r="E14" s="311"/>
      <c r="F14" s="311"/>
      <c r="G14" s="311"/>
      <c r="H14" s="311" t="s">
        <v>104</v>
      </c>
      <c r="I14" s="311"/>
      <c r="J14" s="311"/>
      <c r="K14" s="311"/>
      <c r="L14" s="311" t="s">
        <v>104</v>
      </c>
      <c r="M14" s="311"/>
      <c r="N14" s="311"/>
      <c r="O14" s="311"/>
      <c r="P14" s="926"/>
      <c r="Q14" s="1430"/>
      <c r="R14" s="311"/>
      <c r="S14" s="311"/>
      <c r="T14" s="311"/>
      <c r="U14" s="311"/>
      <c r="V14" s="311"/>
      <c r="W14" s="2175"/>
      <c r="X14" s="311"/>
      <c r="Y14" s="311"/>
      <c r="Z14" s="311"/>
      <c r="AA14" s="311"/>
      <c r="AB14" s="311"/>
      <c r="AC14" s="927"/>
      <c r="AD14" s="311"/>
      <c r="AF14" s="345"/>
    </row>
    <row r="15" spans="1:32" ht="18" customHeight="1">
      <c r="A15" s="311" t="s">
        <v>163</v>
      </c>
      <c r="B15" s="2203" t="s">
        <v>1581</v>
      </c>
      <c r="C15" s="311"/>
      <c r="D15" s="634">
        <f>+'Exhibit A'!D14</f>
        <v>1685.3</v>
      </c>
      <c r="E15" s="634" t="s">
        <v>104</v>
      </c>
      <c r="F15" s="634">
        <f>+'Exhibit A'!F14</f>
        <v>15818.1</v>
      </c>
      <c r="G15" s="634"/>
      <c r="H15" s="1340">
        <f>+'Exhibit G State'!R17</f>
        <v>0.1</v>
      </c>
      <c r="I15" s="634"/>
      <c r="J15" s="1341">
        <f>'Exhibit G State'!AD17</f>
        <v>0.1</v>
      </c>
      <c r="K15" s="634"/>
      <c r="L15" s="1342">
        <f>+'Exhibit A'!L14</f>
        <v>1685.4000000000024</v>
      </c>
      <c r="M15" s="634"/>
      <c r="N15" s="634">
        <f>+'Exhibit A'!N14</f>
        <v>15818.2</v>
      </c>
      <c r="O15" s="634"/>
      <c r="P15" s="928"/>
      <c r="Q15" s="1431"/>
      <c r="R15" s="634">
        <f t="shared" ref="R15:R20" si="0">ROUND(SUM(D15+H15+L15),1)</f>
        <v>3370.8</v>
      </c>
      <c r="S15" s="634"/>
      <c r="T15" s="1342">
        <f t="shared" ref="T15:T20" si="1">ROUND(SUM(F15+J15+N15),1)</f>
        <v>31636.400000000001</v>
      </c>
      <c r="U15" s="634"/>
      <c r="V15" s="634"/>
      <c r="W15" s="2176"/>
      <c r="X15" s="634"/>
      <c r="Y15" s="634">
        <v>2715.3</v>
      </c>
      <c r="Z15" s="634" t="s">
        <v>104</v>
      </c>
      <c r="AA15" s="634">
        <f>'Exhibit F'!AF26+'Exhibit G State'!AG17+'Exhibit H'!AD16</f>
        <v>37837.1</v>
      </c>
      <c r="AB15" s="1432"/>
      <c r="AC15" s="929"/>
      <c r="AD15" s="634">
        <f t="shared" ref="AD15:AD20" si="2">ROUND(SUM(T15-AA15),1)</f>
        <v>-6200.7</v>
      </c>
      <c r="AE15" s="901"/>
      <c r="AF15" s="327">
        <f>ROUND(+AD15/AA15,3)</f>
        <v>-0.16400000000000001</v>
      </c>
    </row>
    <row r="16" spans="1:32" ht="18" customHeight="1">
      <c r="A16" s="311" t="s">
        <v>117</v>
      </c>
      <c r="B16" s="1369" t="s">
        <v>104</v>
      </c>
      <c r="C16" s="311"/>
      <c r="D16" s="309">
        <f>+'Exhibit A'!D15</f>
        <v>773.7</v>
      </c>
      <c r="E16" s="309"/>
      <c r="F16" s="309">
        <f>+'Exhibit A'!F15</f>
        <v>6504.7</v>
      </c>
      <c r="G16" s="309"/>
      <c r="H16" s="965">
        <f>+'Exhibit G State'!R29</f>
        <v>164.6</v>
      </c>
      <c r="I16" s="309"/>
      <c r="J16" s="1343">
        <f>'Exhibit G State'!AD29</f>
        <v>1432.4</v>
      </c>
      <c r="K16" s="309"/>
      <c r="L16" s="309">
        <f>+'Exhibit A'!L15</f>
        <v>727</v>
      </c>
      <c r="M16" s="309"/>
      <c r="N16" s="309">
        <f>+'Exhibit A'!N15</f>
        <v>6108.4</v>
      </c>
      <c r="O16" s="309"/>
      <c r="P16" s="930"/>
      <c r="Q16" s="1433"/>
      <c r="R16" s="309">
        <f t="shared" si="0"/>
        <v>1665.3</v>
      </c>
      <c r="S16" s="309"/>
      <c r="T16" s="659">
        <f t="shared" si="1"/>
        <v>14045.5</v>
      </c>
      <c r="U16" s="309"/>
      <c r="V16" s="309"/>
      <c r="W16" s="2177"/>
      <c r="X16" s="309"/>
      <c r="Y16" s="309">
        <v>1561.2</v>
      </c>
      <c r="Z16" s="309" t="s">
        <v>104</v>
      </c>
      <c r="AA16" s="309">
        <f>'Exhibit F'!AF37+'Exhibit G State'!AG29+'Exhibit H'!AD20</f>
        <v>13316.4</v>
      </c>
      <c r="AB16" s="311"/>
      <c r="AC16" s="927"/>
      <c r="AD16" s="309">
        <f t="shared" si="2"/>
        <v>729.1</v>
      </c>
      <c r="AF16" s="327">
        <f t="shared" ref="AF16:AF21" si="3">ROUND(+AD16/AA16,3)</f>
        <v>5.5E-2</v>
      </c>
    </row>
    <row r="17" spans="1:32" ht="18" customHeight="1">
      <c r="A17" s="311" t="s">
        <v>118</v>
      </c>
      <c r="B17" s="1421"/>
      <c r="C17" s="311"/>
      <c r="D17" s="309">
        <f>+'Exhibit A'!D16</f>
        <v>98.1</v>
      </c>
      <c r="E17" s="309"/>
      <c r="F17" s="309">
        <f>+'Exhibit A'!F16</f>
        <v>7897.4</v>
      </c>
      <c r="G17" s="309"/>
      <c r="H17" s="965">
        <f>+'Exhibit G State'!R36</f>
        <v>92.3</v>
      </c>
      <c r="I17" s="309"/>
      <c r="J17" s="1343">
        <f>'Exhibit G State'!AD36</f>
        <v>1583.9</v>
      </c>
      <c r="K17" s="309"/>
      <c r="L17" s="309">
        <f>+'Exhibit A'!L16</f>
        <v>24.6</v>
      </c>
      <c r="M17" s="309"/>
      <c r="N17" s="309">
        <f>+'Exhibit A'!N16</f>
        <v>2431.8000000000002</v>
      </c>
      <c r="O17" s="313"/>
      <c r="P17" s="931"/>
      <c r="Q17" s="1434"/>
      <c r="R17" s="309">
        <f t="shared" si="0"/>
        <v>215</v>
      </c>
      <c r="S17" s="309"/>
      <c r="T17" s="659">
        <f t="shared" si="1"/>
        <v>11913.1</v>
      </c>
      <c r="U17" s="309"/>
      <c r="V17" s="309"/>
      <c r="W17" s="2178"/>
      <c r="X17" s="313"/>
      <c r="Y17" s="309">
        <v>285</v>
      </c>
      <c r="Z17" s="309" t="s">
        <v>104</v>
      </c>
      <c r="AA17" s="309">
        <f>'Exhibit F'!AF45+'Exhibit G State'!AG36+'Exhibit H'!AD22</f>
        <v>12542</v>
      </c>
      <c r="AB17" s="311"/>
      <c r="AC17" s="927"/>
      <c r="AD17" s="309">
        <f t="shared" si="2"/>
        <v>-628.9</v>
      </c>
      <c r="AF17" s="327">
        <f t="shared" si="3"/>
        <v>-0.05</v>
      </c>
    </row>
    <row r="18" spans="1:32" ht="18" customHeight="1">
      <c r="A18" s="311" t="s">
        <v>119</v>
      </c>
      <c r="B18" s="1369" t="s">
        <v>104</v>
      </c>
      <c r="C18" s="311"/>
      <c r="D18" s="309">
        <f>+'Exhibit A'!D17</f>
        <v>144</v>
      </c>
      <c r="E18" s="309"/>
      <c r="F18" s="309">
        <f>+'Exhibit A'!F17</f>
        <v>1535.5</v>
      </c>
      <c r="G18" s="309"/>
      <c r="H18" s="965">
        <v>0</v>
      </c>
      <c r="I18" s="309"/>
      <c r="J18" s="1343">
        <v>0</v>
      </c>
      <c r="K18" s="309"/>
      <c r="L18" s="309">
        <f>+'Exhibit A'!L17</f>
        <v>71.8</v>
      </c>
      <c r="M18" s="309"/>
      <c r="N18" s="309">
        <f>+'Exhibit A'!N17</f>
        <v>661.1</v>
      </c>
      <c r="O18" s="309"/>
      <c r="P18" s="930"/>
      <c r="Q18" s="1433"/>
      <c r="R18" s="309">
        <f t="shared" si="0"/>
        <v>215.8</v>
      </c>
      <c r="S18" s="309"/>
      <c r="T18" s="659">
        <f t="shared" si="1"/>
        <v>2196.6</v>
      </c>
      <c r="U18" s="309"/>
      <c r="V18" s="309"/>
      <c r="W18" s="2177"/>
      <c r="X18" s="309"/>
      <c r="Y18" s="309">
        <v>340.9</v>
      </c>
      <c r="Z18" s="309" t="s">
        <v>104</v>
      </c>
      <c r="AA18" s="309">
        <f>'Exhibit F'!AF53+'Exhibit H'!AD27</f>
        <v>2549.6000000000004</v>
      </c>
      <c r="AB18" s="311"/>
      <c r="AC18" s="927"/>
      <c r="AD18" s="309">
        <f t="shared" si="2"/>
        <v>-353</v>
      </c>
      <c r="AF18" s="327">
        <f t="shared" si="3"/>
        <v>-0.13800000000000001</v>
      </c>
    </row>
    <row r="19" spans="1:32" ht="18" customHeight="1">
      <c r="A19" s="311" t="s">
        <v>120</v>
      </c>
      <c r="B19" s="1369" t="s">
        <v>104</v>
      </c>
      <c r="C19" s="311"/>
      <c r="D19" s="309">
        <f>+'Exhibit A'!D18</f>
        <v>388.9</v>
      </c>
      <c r="E19" s="309"/>
      <c r="F19" s="309">
        <f>+'Exhibit A'!F18</f>
        <v>2840.3</v>
      </c>
      <c r="G19" s="309"/>
      <c r="H19" s="965">
        <f>+'Exhibit G State'!R82</f>
        <v>1682.6</v>
      </c>
      <c r="I19" s="309"/>
      <c r="J19" s="1343">
        <f>'Exhibit G State'!AD82</f>
        <v>14226.6</v>
      </c>
      <c r="K19" s="309"/>
      <c r="L19" s="309">
        <f>+'Exhibit A'!L18</f>
        <v>54.4</v>
      </c>
      <c r="M19" s="309"/>
      <c r="N19" s="309">
        <f>+'Exhibit A'!N18</f>
        <v>344.5</v>
      </c>
      <c r="O19" s="309"/>
      <c r="P19" s="930"/>
      <c r="Q19" s="1433"/>
      <c r="R19" s="309">
        <f t="shared" si="0"/>
        <v>2125.9</v>
      </c>
      <c r="S19" s="309"/>
      <c r="T19" s="659">
        <f t="shared" si="1"/>
        <v>17411.400000000001</v>
      </c>
      <c r="U19" s="309"/>
      <c r="V19" s="309"/>
      <c r="W19" s="2177"/>
      <c r="X19" s="309"/>
      <c r="Y19" s="309">
        <v>2062.8000000000002</v>
      </c>
      <c r="Z19" s="309" t="s">
        <v>104</v>
      </c>
      <c r="AA19" s="309">
        <f>+'Exhibit F'!AF96+'Exhibit G State'!AG82+'Exhibit H'!AD50</f>
        <v>15102.1</v>
      </c>
      <c r="AB19" s="311"/>
      <c r="AC19" s="927"/>
      <c r="AD19" s="309">
        <f t="shared" si="2"/>
        <v>2309.3000000000002</v>
      </c>
      <c r="AF19" s="327">
        <f t="shared" si="3"/>
        <v>0.153</v>
      </c>
    </row>
    <row r="20" spans="1:32" ht="18" customHeight="1">
      <c r="A20" s="311" t="s">
        <v>121</v>
      </c>
      <c r="B20" s="903"/>
      <c r="C20" s="311"/>
      <c r="D20" s="309">
        <f>+'Exhibit A'!D19</f>
        <v>0</v>
      </c>
      <c r="E20" s="309"/>
      <c r="F20" s="309">
        <f>+'Exhibit A'!F19</f>
        <v>0.3</v>
      </c>
      <c r="G20" s="309"/>
      <c r="H20" s="965">
        <f>+'Exhibit G State'!R84</f>
        <v>0.9</v>
      </c>
      <c r="I20" s="309"/>
      <c r="J20" s="1343">
        <f>'Exhibit G State'!AD84</f>
        <v>0.9</v>
      </c>
      <c r="K20" s="309"/>
      <c r="L20" s="309">
        <f>+'Exhibit A'!L19</f>
        <v>0</v>
      </c>
      <c r="M20" s="313"/>
      <c r="N20" s="309">
        <f>+'Exhibit A'!N19</f>
        <v>34.9</v>
      </c>
      <c r="O20" s="313"/>
      <c r="P20" s="931"/>
      <c r="Q20" s="1434"/>
      <c r="R20" s="313">
        <f t="shared" si="0"/>
        <v>0.9</v>
      </c>
      <c r="S20" s="313"/>
      <c r="T20" s="659">
        <f t="shared" si="1"/>
        <v>36.1</v>
      </c>
      <c r="U20" s="309"/>
      <c r="V20" s="309"/>
      <c r="W20" s="2178"/>
      <c r="X20" s="313"/>
      <c r="Y20" s="309">
        <v>0.6</v>
      </c>
      <c r="Z20" s="309" t="s">
        <v>104</v>
      </c>
      <c r="AA20" s="309">
        <f>+'Exhibit F'!AF98+'Exhibit G State'!AG84+'Exhibit H'!AD52</f>
        <v>52.8</v>
      </c>
      <c r="AB20" s="311"/>
      <c r="AC20" s="927"/>
      <c r="AD20" s="309">
        <f t="shared" si="2"/>
        <v>-16.7</v>
      </c>
      <c r="AF20" s="670">
        <f>ROUND(IF(AA20=0,1,AD20/ABS(AA20)),3)</f>
        <v>-0.316</v>
      </c>
    </row>
    <row r="21" spans="1:32" ht="18" customHeight="1">
      <c r="A21" s="899" t="s">
        <v>122</v>
      </c>
      <c r="B21" s="311"/>
      <c r="C21" s="311"/>
      <c r="D21" s="1676">
        <f>ROUND(SUM(D15:D20),1)</f>
        <v>3090</v>
      </c>
      <c r="E21" s="4"/>
      <c r="F21" s="1675">
        <f>ROUND(SUM(F15:F20),1)</f>
        <v>34596.300000000003</v>
      </c>
      <c r="G21" s="4"/>
      <c r="H21" s="1676">
        <f>ROUND(SUM(H15:H20),1)</f>
        <v>1940.5</v>
      </c>
      <c r="I21" s="4"/>
      <c r="J21" s="1676">
        <f>ROUND(SUM(J15:J20),1)</f>
        <v>17243.900000000001</v>
      </c>
      <c r="K21" s="4"/>
      <c r="L21" s="1676">
        <f>ROUND(SUM(L15:L20),1)</f>
        <v>2563.1999999999998</v>
      </c>
      <c r="M21" s="4"/>
      <c r="N21" s="1676">
        <f>ROUND(SUM(N15:N20),1)</f>
        <v>25398.9</v>
      </c>
      <c r="O21" s="4"/>
      <c r="P21" s="932"/>
      <c r="Q21" s="1435"/>
      <c r="R21" s="1676">
        <f>ROUND(SUM(R15:R20),1)</f>
        <v>7593.7</v>
      </c>
      <c r="S21" s="4"/>
      <c r="T21" s="1676">
        <f>ROUND(SUM(T15:T20),1)</f>
        <v>77239.100000000006</v>
      </c>
      <c r="U21" s="4"/>
      <c r="V21" s="4"/>
      <c r="W21" s="2179"/>
      <c r="X21" s="4"/>
      <c r="Y21" s="1676">
        <f>ROUND(SUM(Y15:Y20),1)</f>
        <v>6965.8</v>
      </c>
      <c r="Z21" s="4"/>
      <c r="AA21" s="1676">
        <f>ROUND(SUM(AA15:AA20),1)</f>
        <v>81400</v>
      </c>
      <c r="AB21" s="899"/>
      <c r="AC21" s="933"/>
      <c r="AD21" s="1676">
        <f>ROUND(SUM(AD15:AD20),1)</f>
        <v>-4160.8999999999996</v>
      </c>
      <c r="AE21" s="902"/>
      <c r="AF21" s="1677">
        <f t="shared" si="3"/>
        <v>-5.0999999999999997E-2</v>
      </c>
    </row>
    <row r="22" spans="1:32" ht="16.399999999999999" customHeight="1">
      <c r="A22" s="899"/>
      <c r="B22" s="311"/>
      <c r="C22" s="311"/>
      <c r="D22" s="309"/>
      <c r="E22" s="309"/>
      <c r="F22" s="309"/>
      <c r="G22" s="309"/>
      <c r="H22" s="309"/>
      <c r="I22" s="309"/>
      <c r="J22" s="309"/>
      <c r="K22" s="309"/>
      <c r="L22" s="309"/>
      <c r="M22" s="309"/>
      <c r="N22" s="309"/>
      <c r="O22" s="309"/>
      <c r="P22" s="930"/>
      <c r="Q22" s="1433"/>
      <c r="R22" s="309"/>
      <c r="S22" s="309"/>
      <c r="T22" s="309"/>
      <c r="U22" s="309"/>
      <c r="V22" s="309"/>
      <c r="W22" s="2177"/>
      <c r="X22" s="309"/>
      <c r="Y22" s="309"/>
      <c r="Z22" s="309"/>
      <c r="AA22" s="309"/>
      <c r="AB22" s="311"/>
      <c r="AC22" s="927"/>
      <c r="AD22" s="309"/>
      <c r="AF22" s="345"/>
    </row>
    <row r="23" spans="1:32" ht="16.399999999999999" customHeight="1">
      <c r="A23" s="899" t="s">
        <v>123</v>
      </c>
      <c r="B23" s="311"/>
      <c r="C23" s="311"/>
      <c r="D23" s="309"/>
      <c r="E23" s="309"/>
      <c r="F23" s="309"/>
      <c r="G23" s="309"/>
      <c r="H23" s="309"/>
      <c r="I23" s="309"/>
      <c r="J23" s="309"/>
      <c r="K23" s="309"/>
      <c r="L23" s="309"/>
      <c r="M23" s="309"/>
      <c r="N23" s="309"/>
      <c r="O23" s="309"/>
      <c r="P23" s="930"/>
      <c r="Q23" s="1433"/>
      <c r="R23" s="309"/>
      <c r="S23" s="309"/>
      <c r="T23" s="309"/>
      <c r="U23" s="309"/>
      <c r="V23" s="309"/>
      <c r="W23" s="2177"/>
      <c r="X23" s="309"/>
      <c r="Y23" s="309"/>
      <c r="Z23" s="309"/>
      <c r="AA23" s="309"/>
      <c r="AB23" s="311"/>
      <c r="AC23" s="927"/>
      <c r="AD23" s="309"/>
      <c r="AF23" s="345"/>
    </row>
    <row r="24" spans="1:32" ht="16.399999999999999" customHeight="1">
      <c r="A24" s="311" t="s">
        <v>124</v>
      </c>
      <c r="B24" s="925" t="s">
        <v>104</v>
      </c>
      <c r="C24" s="311"/>
      <c r="D24" s="312"/>
      <c r="E24" s="313"/>
      <c r="F24" s="312"/>
      <c r="G24" s="309"/>
      <c r="H24" s="312"/>
      <c r="I24" s="313"/>
      <c r="J24" s="312"/>
      <c r="K24" s="309"/>
      <c r="L24" s="312"/>
      <c r="M24" s="309"/>
      <c r="N24" s="313"/>
      <c r="O24" s="309"/>
      <c r="P24" s="930"/>
      <c r="Q24" s="1433"/>
      <c r="R24" s="313"/>
      <c r="S24" s="313"/>
      <c r="T24" s="313"/>
      <c r="U24" s="309"/>
      <c r="V24" s="309"/>
      <c r="W24" s="2177"/>
      <c r="X24" s="313"/>
      <c r="Y24" s="309"/>
      <c r="Z24" s="309"/>
      <c r="AA24" s="309"/>
      <c r="AB24" s="311"/>
      <c r="AC24" s="927"/>
      <c r="AD24" s="312"/>
      <c r="AF24" s="1045"/>
    </row>
    <row r="25" spans="1:32" ht="18" customHeight="1">
      <c r="A25" s="1424" t="s">
        <v>125</v>
      </c>
      <c r="B25" s="311"/>
      <c r="C25" s="311"/>
      <c r="D25" s="635">
        <f>+'Exhibit A'!D24</f>
        <v>2231.7000000000007</v>
      </c>
      <c r="E25" s="309"/>
      <c r="F25" s="635">
        <f>+'Exhibit A'!F24</f>
        <v>16718.2</v>
      </c>
      <c r="G25" s="309"/>
      <c r="H25" s="635">
        <f>+'Exhibit G State'!R90</f>
        <v>155</v>
      </c>
      <c r="I25" s="309"/>
      <c r="J25" s="635">
        <f>+'Exhibit G State'!AD90</f>
        <v>3786.3</v>
      </c>
      <c r="K25" s="309"/>
      <c r="L25" s="312">
        <f>+'Exhibit A'!L24</f>
        <v>0</v>
      </c>
      <c r="M25" s="309"/>
      <c r="N25" s="313">
        <f>+'Exhibit A'!N24</f>
        <v>0</v>
      </c>
      <c r="O25" s="313"/>
      <c r="P25" s="931"/>
      <c r="Q25" s="1434"/>
      <c r="R25" s="659">
        <f>ROUND(SUM(D25+H25+L25),1)</f>
        <v>2386.6999999999998</v>
      </c>
      <c r="S25" s="659"/>
      <c r="T25" s="659">
        <f>ROUND(SUM(F25+J25+N25),1)</f>
        <v>20504.5</v>
      </c>
      <c r="U25" s="309"/>
      <c r="V25" s="309"/>
      <c r="W25" s="2178"/>
      <c r="X25" s="313"/>
      <c r="Y25" s="309">
        <v>2403.4</v>
      </c>
      <c r="Z25" s="309" t="s">
        <v>104</v>
      </c>
      <c r="AA25" s="309">
        <f>+'Exhibit F'!AF104+'Exhibit G State'!AG90</f>
        <v>18865.3</v>
      </c>
      <c r="AB25" s="311"/>
      <c r="AC25" s="927"/>
      <c r="AD25" s="309">
        <f>ROUND(SUM(T25-AA25),1)</f>
        <v>1639.2</v>
      </c>
      <c r="AF25" s="327">
        <f>ROUND(+AD25/AA25,3)</f>
        <v>8.6999999999999994E-2</v>
      </c>
    </row>
    <row r="26" spans="1:32" ht="18" customHeight="1">
      <c r="A26" s="1424" t="s">
        <v>126</v>
      </c>
      <c r="B26" s="925"/>
      <c r="C26" s="311"/>
      <c r="D26" s="635">
        <f>+'Exhibit A'!D25</f>
        <v>0.19999999999999984</v>
      </c>
      <c r="E26" s="309"/>
      <c r="F26" s="635">
        <f>+'Exhibit A'!F25</f>
        <v>2</v>
      </c>
      <c r="G26" s="309"/>
      <c r="H26" s="635">
        <f>+'Exhibit G State'!R91</f>
        <v>1.7999999999999992</v>
      </c>
      <c r="I26" s="659"/>
      <c r="J26" s="635">
        <f>+'Exhibit G State'!AD91</f>
        <v>3.8</v>
      </c>
      <c r="K26" s="309"/>
      <c r="L26" s="312">
        <f>+'Exhibit A'!L25</f>
        <v>0</v>
      </c>
      <c r="M26" s="309"/>
      <c r="N26" s="313">
        <f>+'Exhibit A'!N25</f>
        <v>0</v>
      </c>
      <c r="O26" s="313"/>
      <c r="P26" s="931"/>
      <c r="Q26" s="1434"/>
      <c r="R26" s="659">
        <f t="shared" ref="R26:R33" si="4">ROUND(SUM(D26+H26+L26),1)</f>
        <v>2</v>
      </c>
      <c r="S26" s="659"/>
      <c r="T26" s="659">
        <f t="shared" ref="T26:T33" si="5">ROUND(SUM(F26+J26+N26),1)</f>
        <v>5.8</v>
      </c>
      <c r="U26" s="309"/>
      <c r="V26" s="309"/>
      <c r="W26" s="2178"/>
      <c r="X26" s="313"/>
      <c r="Y26" s="309">
        <v>3.2</v>
      </c>
      <c r="Z26" s="309" t="s">
        <v>104</v>
      </c>
      <c r="AA26" s="309">
        <f>+'Exhibit F'!AF105+'Exhibit G State'!AG91</f>
        <v>5.8999999999999995</v>
      </c>
      <c r="AB26" s="311"/>
      <c r="AC26" s="927"/>
      <c r="AD26" s="309">
        <f>ROUND(SUM(T26-AA26),1)</f>
        <v>-0.1</v>
      </c>
      <c r="AF26" s="670">
        <f>ROUND(IF(AA26=0,1,AD26/ABS(AA26)),3)</f>
        <v>-1.7000000000000001E-2</v>
      </c>
    </row>
    <row r="27" spans="1:32" ht="18" customHeight="1">
      <c r="A27" s="1424" t="s">
        <v>127</v>
      </c>
      <c r="B27" s="1054"/>
      <c r="C27" s="311"/>
      <c r="D27" s="635">
        <f>+'Exhibit A'!D26</f>
        <v>45.200000000000045</v>
      </c>
      <c r="E27" s="309"/>
      <c r="F27" s="635">
        <f>+'Exhibit A'!F26</f>
        <v>784</v>
      </c>
      <c r="G27" s="309"/>
      <c r="H27" s="635">
        <f>+'Exhibit G State'!R92</f>
        <v>19.400000000000013</v>
      </c>
      <c r="I27" s="309"/>
      <c r="J27" s="635">
        <f>+'Exhibit G State'!AD92</f>
        <v>140.9</v>
      </c>
      <c r="K27" s="309"/>
      <c r="L27" s="312">
        <f>+'Exhibit A'!L26</f>
        <v>0</v>
      </c>
      <c r="M27" s="309"/>
      <c r="N27" s="313">
        <f>+'Exhibit A'!N26</f>
        <v>0</v>
      </c>
      <c r="O27" s="313"/>
      <c r="P27" s="931"/>
      <c r="Q27" s="1434"/>
      <c r="R27" s="659">
        <f t="shared" si="4"/>
        <v>64.599999999999994</v>
      </c>
      <c r="S27" s="659"/>
      <c r="T27" s="659">
        <f t="shared" si="5"/>
        <v>924.9</v>
      </c>
      <c r="U27" s="309"/>
      <c r="V27" s="309"/>
      <c r="W27" s="2178"/>
      <c r="X27" s="313"/>
      <c r="Y27" s="309">
        <v>49.699999999999996</v>
      </c>
      <c r="Z27" s="309" t="s">
        <v>104</v>
      </c>
      <c r="AA27" s="309">
        <f>+'Exhibit F'!AF106+'Exhibit G State'!AG92</f>
        <v>1014.0999999999999</v>
      </c>
      <c r="AB27" s="311"/>
      <c r="AC27" s="927"/>
      <c r="AD27" s="309">
        <f>ROUND(SUM(T27-AA27),1)</f>
        <v>-89.2</v>
      </c>
      <c r="AF27" s="327">
        <f>ROUND(+AD27/AA27,3)</f>
        <v>-8.7999999999999995E-2</v>
      </c>
    </row>
    <row r="28" spans="1:32" ht="18" customHeight="1">
      <c r="A28" s="1424" t="s">
        <v>128</v>
      </c>
      <c r="B28" s="1054"/>
      <c r="C28" s="311"/>
      <c r="D28" s="635"/>
      <c r="E28" s="309"/>
      <c r="F28" s="635"/>
      <c r="G28" s="309"/>
      <c r="H28" s="635"/>
      <c r="I28" s="309"/>
      <c r="J28" s="635"/>
      <c r="K28" s="309"/>
      <c r="L28" s="312"/>
      <c r="M28" s="309"/>
      <c r="N28" s="313"/>
      <c r="O28" s="313"/>
      <c r="P28" s="931"/>
      <c r="Q28" s="1434"/>
      <c r="R28" s="659" t="s">
        <v>104</v>
      </c>
      <c r="S28" s="659"/>
      <c r="T28" s="659" t="s">
        <v>104</v>
      </c>
      <c r="U28" s="309"/>
      <c r="V28" s="309"/>
      <c r="W28" s="2178"/>
      <c r="X28" s="313"/>
      <c r="Y28" s="309"/>
      <c r="Z28" s="309" t="s">
        <v>104</v>
      </c>
      <c r="AA28" s="309" t="s">
        <v>104</v>
      </c>
      <c r="AB28" s="311"/>
      <c r="AC28" s="927"/>
      <c r="AD28" s="309"/>
      <c r="AF28" s="327"/>
    </row>
    <row r="29" spans="1:32" ht="18" customHeight="1">
      <c r="A29" s="934" t="s">
        <v>129</v>
      </c>
      <c r="B29" s="903"/>
      <c r="C29" s="311"/>
      <c r="D29" s="635">
        <f>+'Exhibit A'!D28</f>
        <v>1583.1999999999971</v>
      </c>
      <c r="E29" s="309"/>
      <c r="F29" s="635">
        <f>+'Exhibit A'!F28</f>
        <v>18229.599999999999</v>
      </c>
      <c r="G29" s="309"/>
      <c r="H29" s="635">
        <f>+'Exhibit G State'!R94</f>
        <v>566.40000000000009</v>
      </c>
      <c r="I29" s="309"/>
      <c r="J29" s="635">
        <f>+'Exhibit G State'!AD94</f>
        <v>4158.8</v>
      </c>
      <c r="K29" s="309"/>
      <c r="L29" s="312">
        <f>+'Exhibit A'!L28</f>
        <v>0</v>
      </c>
      <c r="M29" s="309"/>
      <c r="N29" s="313">
        <f>+'Exhibit A'!N28</f>
        <v>0</v>
      </c>
      <c r="O29" s="313"/>
      <c r="P29" s="931"/>
      <c r="Q29" s="1434"/>
      <c r="R29" s="659">
        <f t="shared" si="4"/>
        <v>2149.6</v>
      </c>
      <c r="S29" s="659"/>
      <c r="T29" s="659">
        <f t="shared" si="5"/>
        <v>22388.400000000001</v>
      </c>
      <c r="U29" s="309"/>
      <c r="V29" s="309"/>
      <c r="W29" s="2178"/>
      <c r="X29" s="313"/>
      <c r="Y29" s="309">
        <v>2617.8000000000002</v>
      </c>
      <c r="Z29" s="309" t="s">
        <v>104</v>
      </c>
      <c r="AA29" s="309">
        <f>+'Exhibit F'!AF108+'Exhibit G State'!AG94</f>
        <v>19215</v>
      </c>
      <c r="AB29" s="311"/>
      <c r="AC29" s="927"/>
      <c r="AD29" s="309">
        <f t="shared" ref="AD29:AD34" si="6">ROUND(SUM(T29-AA29),1)</f>
        <v>3173.4</v>
      </c>
      <c r="AF29" s="327">
        <f t="shared" ref="AF29:AF34" si="7">ROUND(+AD29/AA29,3)</f>
        <v>0.16500000000000001</v>
      </c>
    </row>
    <row r="30" spans="1:32" ht="18" customHeight="1">
      <c r="A30" s="1424" t="s">
        <v>130</v>
      </c>
      <c r="B30" s="1054"/>
      <c r="C30" s="311"/>
      <c r="D30" s="635">
        <f>+'Exhibit A'!D29</f>
        <v>41.599999999999909</v>
      </c>
      <c r="E30" s="309"/>
      <c r="F30" s="635">
        <f>+'Exhibit A'!F29</f>
        <v>1495.8</v>
      </c>
      <c r="G30" s="309"/>
      <c r="H30" s="635">
        <f>+'Exhibit G State'!R95</f>
        <v>62.199999999999932</v>
      </c>
      <c r="I30" s="309"/>
      <c r="J30" s="635">
        <f>+'Exhibit G State'!AD95</f>
        <v>755.8</v>
      </c>
      <c r="K30" s="309"/>
      <c r="L30" s="312">
        <f>+'Exhibit A'!L29</f>
        <v>0</v>
      </c>
      <c r="M30" s="309"/>
      <c r="N30" s="313">
        <f>+'Exhibit A'!N29</f>
        <v>0</v>
      </c>
      <c r="O30" s="313"/>
      <c r="P30" s="931"/>
      <c r="Q30" s="1434"/>
      <c r="R30" s="659">
        <f t="shared" si="4"/>
        <v>103.8</v>
      </c>
      <c r="S30" s="659"/>
      <c r="T30" s="659">
        <f t="shared" si="5"/>
        <v>2251.6</v>
      </c>
      <c r="U30" s="309"/>
      <c r="V30" s="309"/>
      <c r="W30" s="2178"/>
      <c r="X30" s="313"/>
      <c r="Y30" s="309">
        <v>220.5</v>
      </c>
      <c r="Z30" s="309" t="s">
        <v>104</v>
      </c>
      <c r="AA30" s="309">
        <f>+'Exhibit F'!AF109+'Exhibit G State'!AG95</f>
        <v>2283.6</v>
      </c>
      <c r="AB30" s="311"/>
      <c r="AC30" s="927"/>
      <c r="AD30" s="309">
        <f t="shared" si="6"/>
        <v>-32</v>
      </c>
      <c r="AF30" s="327">
        <f t="shared" si="7"/>
        <v>-1.4E-2</v>
      </c>
    </row>
    <row r="31" spans="1:32" ht="18" customHeight="1">
      <c r="A31" s="1424" t="s">
        <v>131</v>
      </c>
      <c r="B31" s="311"/>
      <c r="C31" s="311"/>
      <c r="D31" s="635">
        <f>+'Exhibit A'!D30</f>
        <v>31</v>
      </c>
      <c r="E31" s="309"/>
      <c r="F31" s="635">
        <f>+'Exhibit A'!F30</f>
        <v>205.4</v>
      </c>
      <c r="G31" s="309"/>
      <c r="H31" s="635">
        <f>+'Exhibit G State'!R96</f>
        <v>19.59999999999998</v>
      </c>
      <c r="I31" s="309"/>
      <c r="J31" s="635">
        <f>+'Exhibit G State'!AD96</f>
        <v>207.4</v>
      </c>
      <c r="K31" s="309"/>
      <c r="L31" s="312">
        <f>+'Exhibit A'!L30</f>
        <v>0</v>
      </c>
      <c r="M31" s="309"/>
      <c r="N31" s="313">
        <f>+'Exhibit A'!N30</f>
        <v>0</v>
      </c>
      <c r="O31" s="313"/>
      <c r="P31" s="931"/>
      <c r="Q31" s="1434"/>
      <c r="R31" s="659">
        <f t="shared" si="4"/>
        <v>50.6</v>
      </c>
      <c r="S31" s="659"/>
      <c r="T31" s="659">
        <f t="shared" si="5"/>
        <v>412.8</v>
      </c>
      <c r="U31" s="309"/>
      <c r="V31" s="309"/>
      <c r="W31" s="2178"/>
      <c r="X31" s="313"/>
      <c r="Y31" s="309">
        <v>42.3</v>
      </c>
      <c r="Z31" s="309" t="s">
        <v>104</v>
      </c>
      <c r="AA31" s="309">
        <f>+'Exhibit F'!AF110+'Exhibit G State'!AG96</f>
        <v>282.5</v>
      </c>
      <c r="AB31" s="311"/>
      <c r="AC31" s="927"/>
      <c r="AD31" s="309">
        <f t="shared" si="6"/>
        <v>130.30000000000001</v>
      </c>
      <c r="AF31" s="327">
        <f t="shared" si="7"/>
        <v>0.46100000000000002</v>
      </c>
    </row>
    <row r="32" spans="1:32" ht="18" customHeight="1">
      <c r="A32" s="1424" t="s">
        <v>132</v>
      </c>
      <c r="B32" s="311"/>
      <c r="C32" s="311"/>
      <c r="D32" s="635">
        <f>+'Exhibit A'!D31</f>
        <v>506.90000000000049</v>
      </c>
      <c r="E32" s="309"/>
      <c r="F32" s="635">
        <f>+'Exhibit A'!F31</f>
        <v>2546.8000000000002</v>
      </c>
      <c r="G32" s="309"/>
      <c r="H32" s="635">
        <f>+'Exhibit G State'!R97</f>
        <v>0.90000000000000013</v>
      </c>
      <c r="I32" s="309"/>
      <c r="J32" s="635">
        <f>+'Exhibit G State'!AD97</f>
        <v>4.9000000000000004</v>
      </c>
      <c r="K32" s="309"/>
      <c r="L32" s="312">
        <f>+'Exhibit A'!L31</f>
        <v>0</v>
      </c>
      <c r="M32" s="309"/>
      <c r="N32" s="313">
        <f>+'Exhibit A'!N31</f>
        <v>0</v>
      </c>
      <c r="O32" s="313"/>
      <c r="P32" s="931"/>
      <c r="Q32" s="1434"/>
      <c r="R32" s="659">
        <f t="shared" si="4"/>
        <v>507.8</v>
      </c>
      <c r="S32" s="659"/>
      <c r="T32" s="659">
        <f t="shared" si="5"/>
        <v>2551.6999999999998</v>
      </c>
      <c r="U32" s="309"/>
      <c r="V32" s="309"/>
      <c r="W32" s="2178"/>
      <c r="X32" s="313"/>
      <c r="Y32" s="309">
        <v>198.3</v>
      </c>
      <c r="Z32" s="309" t="s">
        <v>104</v>
      </c>
      <c r="AA32" s="309">
        <f>+'Exhibit F'!AF111+'Exhibit G State'!AG97</f>
        <v>2201.1</v>
      </c>
      <c r="AB32" s="311"/>
      <c r="AC32" s="927"/>
      <c r="AD32" s="309">
        <f t="shared" si="6"/>
        <v>350.6</v>
      </c>
      <c r="AF32" s="327">
        <f t="shared" si="7"/>
        <v>0.159</v>
      </c>
    </row>
    <row r="33" spans="1:32" ht="18" customHeight="1">
      <c r="A33" s="1424" t="s">
        <v>133</v>
      </c>
      <c r="B33" s="311"/>
      <c r="C33" s="311"/>
      <c r="D33" s="635">
        <f>+'Exhibit A'!D32</f>
        <v>8.8000000000000114</v>
      </c>
      <c r="E33" s="309"/>
      <c r="F33" s="635">
        <f>+'Exhibit A'!F32</f>
        <v>112.4</v>
      </c>
      <c r="G33" s="309"/>
      <c r="H33" s="635">
        <f>+'Exhibit G State'!R98</f>
        <v>3.3999999999999986</v>
      </c>
      <c r="I33" s="309"/>
      <c r="J33" s="635">
        <f>+'Exhibit G State'!AD98</f>
        <v>29.5</v>
      </c>
      <c r="K33" s="309"/>
      <c r="L33" s="312">
        <f>+'Exhibit A'!L32</f>
        <v>0</v>
      </c>
      <c r="M33" s="309"/>
      <c r="N33" s="313">
        <f>+'Exhibit A'!N32</f>
        <v>0</v>
      </c>
      <c r="O33" s="313"/>
      <c r="P33" s="931"/>
      <c r="Q33" s="1434"/>
      <c r="R33" s="659">
        <f t="shared" si="4"/>
        <v>12.2</v>
      </c>
      <c r="S33" s="659"/>
      <c r="T33" s="659">
        <f t="shared" si="5"/>
        <v>141.9</v>
      </c>
      <c r="U33" s="309"/>
      <c r="V33" s="309"/>
      <c r="W33" s="2178"/>
      <c r="X33" s="313"/>
      <c r="Y33" s="309">
        <v>102.89999999999999</v>
      </c>
      <c r="Z33" s="309" t="s">
        <v>104</v>
      </c>
      <c r="AA33" s="309">
        <f>+'Exhibit F'!AF112+'Exhibit G State'!AG98</f>
        <v>665.4</v>
      </c>
      <c r="AB33" s="311"/>
      <c r="AC33" s="927"/>
      <c r="AD33" s="309">
        <f t="shared" si="6"/>
        <v>-523.5</v>
      </c>
      <c r="AF33" s="327">
        <f t="shared" si="7"/>
        <v>-0.78700000000000003</v>
      </c>
    </row>
    <row r="34" spans="1:32" ht="18" customHeight="1">
      <c r="A34" s="1424" t="s">
        <v>134</v>
      </c>
      <c r="B34" s="311"/>
      <c r="C34" s="311"/>
      <c r="D34" s="635">
        <f>+'Exhibit A'!D33</f>
        <v>44.400000000000006</v>
      </c>
      <c r="E34" s="309"/>
      <c r="F34" s="635">
        <f>+'Exhibit A'!F33</f>
        <v>176.20000000000002</v>
      </c>
      <c r="G34" s="309"/>
      <c r="H34" s="635">
        <f>+'Exhibit G State'!R99</f>
        <v>682.19999999999982</v>
      </c>
      <c r="I34" s="309"/>
      <c r="J34" s="635">
        <f>+'Exhibit G State'!AD99</f>
        <v>3373.2</v>
      </c>
      <c r="K34" s="309"/>
      <c r="L34" s="312">
        <f>+'Exhibit A'!L33</f>
        <v>0</v>
      </c>
      <c r="M34" s="309"/>
      <c r="N34" s="313">
        <f>+'Exhibit A'!N33</f>
        <v>0</v>
      </c>
      <c r="O34" s="313"/>
      <c r="P34" s="931"/>
      <c r="Q34" s="1434"/>
      <c r="R34" s="1436">
        <f>ROUND(SUM(D34+H34+L34),1)</f>
        <v>726.6</v>
      </c>
      <c r="S34" s="659"/>
      <c r="T34" s="1436">
        <f>ROUND(SUM(F34+J34+N34),1)</f>
        <v>3549.4</v>
      </c>
      <c r="U34" s="309"/>
      <c r="V34" s="309"/>
      <c r="W34" s="2178"/>
      <c r="X34" s="313"/>
      <c r="Y34" s="309">
        <v>678.7</v>
      </c>
      <c r="Z34" s="309" t="s">
        <v>104</v>
      </c>
      <c r="AA34" s="309">
        <f>+'Exhibit F'!AF113+'Exhibit G State'!AG99</f>
        <v>3269.8999999999996</v>
      </c>
      <c r="AB34" s="311"/>
      <c r="AC34" s="927"/>
      <c r="AD34" s="309">
        <f t="shared" si="6"/>
        <v>279.5</v>
      </c>
      <c r="AF34" s="327">
        <f t="shared" si="7"/>
        <v>8.5000000000000006E-2</v>
      </c>
    </row>
    <row r="35" spans="1:32" ht="18" customHeight="1">
      <c r="A35" s="899" t="s">
        <v>135</v>
      </c>
      <c r="B35" s="311"/>
      <c r="C35" s="311"/>
      <c r="D35" s="1676">
        <f>ROUND(SUM(D25:D34),1)</f>
        <v>4493</v>
      </c>
      <c r="E35" s="4"/>
      <c r="F35" s="1676">
        <f>ROUND(SUM(F25:F34),1)</f>
        <v>40270.400000000001</v>
      </c>
      <c r="G35" s="4"/>
      <c r="H35" s="1676">
        <f>ROUND(SUM(H25:H34),1)</f>
        <v>1510.9</v>
      </c>
      <c r="I35" s="4"/>
      <c r="J35" s="1676">
        <f>ROUND(SUM(J25:J34),1)</f>
        <v>12460.6</v>
      </c>
      <c r="K35" s="4"/>
      <c r="L35" s="1680">
        <f>ROUND(SUM(L25:L34),1)</f>
        <v>0</v>
      </c>
      <c r="M35" s="4"/>
      <c r="N35" s="1678">
        <f>ROUND(SUM(N25:N34),1)</f>
        <v>0</v>
      </c>
      <c r="O35" s="936"/>
      <c r="P35" s="935"/>
      <c r="Q35" s="1437"/>
      <c r="R35" s="1676">
        <f>ROUND(SUM(R25:R34),1)</f>
        <v>6003.9</v>
      </c>
      <c r="S35" s="936"/>
      <c r="T35" s="1676">
        <f>ROUND(SUM(T25:T34),1)</f>
        <v>52731</v>
      </c>
      <c r="U35" s="4"/>
      <c r="V35" s="4"/>
      <c r="W35" s="2180"/>
      <c r="X35" s="936"/>
      <c r="Y35" s="1676">
        <f>ROUND(SUM(Y25:Y34),1)</f>
        <v>6316.8</v>
      </c>
      <c r="Z35" s="4"/>
      <c r="AA35" s="1676">
        <f>ROUND(SUM(AA25:AA34),1)</f>
        <v>47802.8</v>
      </c>
      <c r="AB35" s="899"/>
      <c r="AC35" s="933"/>
      <c r="AD35" s="1676">
        <f>ROUND(SUM(AD25:AD34),1)</f>
        <v>4928.2</v>
      </c>
      <c r="AE35" s="902"/>
      <c r="AF35" s="1677">
        <f>ROUND(+AD35/AA35,3)</f>
        <v>0.10299999999999999</v>
      </c>
    </row>
    <row r="36" spans="1:32" ht="18" customHeight="1">
      <c r="A36" s="311" t="s">
        <v>136</v>
      </c>
      <c r="B36" s="1054"/>
      <c r="C36" s="311"/>
      <c r="D36" s="309"/>
      <c r="E36" s="309"/>
      <c r="F36" s="309"/>
      <c r="G36" s="309"/>
      <c r="H36" s="309"/>
      <c r="I36" s="309"/>
      <c r="J36" s="309"/>
      <c r="K36" s="309"/>
      <c r="L36" s="309"/>
      <c r="M36" s="309"/>
      <c r="N36" s="309"/>
      <c r="O36" s="309"/>
      <c r="P36" s="930"/>
      <c r="Q36" s="1433"/>
      <c r="R36" s="309"/>
      <c r="S36" s="309"/>
      <c r="T36" s="309"/>
      <c r="U36" s="309"/>
      <c r="V36" s="309"/>
      <c r="W36" s="2177"/>
      <c r="X36" s="309"/>
      <c r="Y36" s="309"/>
      <c r="Z36" s="309"/>
      <c r="AA36" s="309"/>
      <c r="AB36" s="311"/>
      <c r="AC36" s="927"/>
      <c r="AD36" s="309"/>
      <c r="AF36" s="345"/>
    </row>
    <row r="37" spans="1:32" ht="18" customHeight="1">
      <c r="A37" s="311" t="s">
        <v>137</v>
      </c>
      <c r="B37" s="925"/>
      <c r="C37" s="311"/>
      <c r="D37" s="309">
        <f>+'Exhibit A'!D36</f>
        <v>1018.3000000000008</v>
      </c>
      <c r="E37" s="309"/>
      <c r="F37" s="635">
        <f>+'Exhibit A'!F36</f>
        <v>6772</v>
      </c>
      <c r="G37" s="309"/>
      <c r="H37" s="309">
        <f>+'Exhibit G State'!R102</f>
        <v>567.50000000000057</v>
      </c>
      <c r="I37" s="309"/>
      <c r="J37" s="635">
        <f>+'Exhibit G State'!AD102</f>
        <v>3755.5</v>
      </c>
      <c r="K37" s="309"/>
      <c r="L37" s="313">
        <f>+'Exhibit A'!L36</f>
        <v>0</v>
      </c>
      <c r="M37" s="659"/>
      <c r="N37" s="313">
        <f>+'Exhibit A'!N36</f>
        <v>0</v>
      </c>
      <c r="O37" s="313"/>
      <c r="P37" s="931"/>
      <c r="Q37" s="1434"/>
      <c r="R37" s="659">
        <f>ROUND(SUM(D37+H37+L37),1)</f>
        <v>1585.8</v>
      </c>
      <c r="S37" s="313"/>
      <c r="T37" s="309">
        <f>ROUND(SUM(F37+J37+N37),1)</f>
        <v>10527.5</v>
      </c>
      <c r="U37" s="309"/>
      <c r="V37" s="309"/>
      <c r="W37" s="2178"/>
      <c r="X37" s="313"/>
      <c r="Y37" s="309">
        <v>1199.5999999999999</v>
      </c>
      <c r="Z37" s="309" t="s">
        <v>104</v>
      </c>
      <c r="AA37" s="309">
        <f>+'Exhibit F'!AF116+'Exhibit G State'!AG102</f>
        <v>9670.4000000000015</v>
      </c>
      <c r="AB37" s="311"/>
      <c r="AC37" s="927"/>
      <c r="AD37" s="309">
        <f t="shared" ref="AD37:AD41" si="8">ROUND(SUM(T37-AA37),1)</f>
        <v>857.1</v>
      </c>
      <c r="AF37" s="327">
        <f>ROUND(+AD37/AA37,3)</f>
        <v>8.8999999999999996E-2</v>
      </c>
    </row>
    <row r="38" spans="1:32" ht="18" customHeight="1">
      <c r="A38" s="311" t="s">
        <v>138</v>
      </c>
      <c r="B38" s="1054"/>
      <c r="C38" s="311"/>
      <c r="D38" s="309">
        <f>+'Exhibit A'!D37</f>
        <v>260.7999999999999</v>
      </c>
      <c r="E38" s="309"/>
      <c r="F38" s="635">
        <f>+'Exhibit A'!F37</f>
        <v>1067</v>
      </c>
      <c r="G38" s="309"/>
      <c r="H38" s="309">
        <f>+'Exhibit G State'!R103</f>
        <v>305.19999999999982</v>
      </c>
      <c r="I38" s="309"/>
      <c r="J38" s="635">
        <f>+'Exhibit G State'!AD103</f>
        <v>2319.6999999999998</v>
      </c>
      <c r="K38" s="309"/>
      <c r="L38" s="313">
        <f>+'Exhibit A'!L37</f>
        <v>1.6999999999999957</v>
      </c>
      <c r="M38" s="659"/>
      <c r="N38" s="313">
        <f>+'Exhibit A'!N37</f>
        <v>38.4</v>
      </c>
      <c r="O38" s="309"/>
      <c r="P38" s="930"/>
      <c r="Q38" s="1433"/>
      <c r="R38" s="659">
        <f>ROUND(SUM(D38+H38+L38),1)</f>
        <v>567.70000000000005</v>
      </c>
      <c r="S38" s="313"/>
      <c r="T38" s="309">
        <f>ROUND(SUM(F38+J38+N38),1)</f>
        <v>3425.1</v>
      </c>
      <c r="U38" s="309"/>
      <c r="V38" s="309"/>
      <c r="W38" s="2177"/>
      <c r="X38" s="309"/>
      <c r="Y38" s="309">
        <v>590.1</v>
      </c>
      <c r="Z38" s="309" t="s">
        <v>104</v>
      </c>
      <c r="AA38" s="309">
        <f>+'Exhibit F'!AF117+'Exhibit G State'!AG103+'Exhibit H'!AD58</f>
        <v>3829.8999999999996</v>
      </c>
      <c r="AB38" s="311"/>
      <c r="AC38" s="927"/>
      <c r="AD38" s="309">
        <f t="shared" si="8"/>
        <v>-404.8</v>
      </c>
      <c r="AF38" s="327">
        <f>ROUND(+AD38/AA38,3)</f>
        <v>-0.106</v>
      </c>
    </row>
    <row r="39" spans="1:32" ht="18" customHeight="1">
      <c r="A39" s="311" t="s">
        <v>139</v>
      </c>
      <c r="B39" s="1369"/>
      <c r="C39" s="311"/>
      <c r="D39" s="309">
        <f>+'Exhibit A'!D38</f>
        <v>426.80000000000018</v>
      </c>
      <c r="E39" s="309"/>
      <c r="F39" s="635">
        <f>+'Exhibit A'!F38</f>
        <v>5293</v>
      </c>
      <c r="G39" s="309"/>
      <c r="H39" s="309">
        <f>+'Exhibit G State'!R104</f>
        <v>105.39999999999998</v>
      </c>
      <c r="I39" s="309"/>
      <c r="J39" s="635">
        <f>+'Exhibit G State'!AD104</f>
        <v>660.6</v>
      </c>
      <c r="K39" s="309"/>
      <c r="L39" s="313">
        <f>+'Exhibit A'!L38</f>
        <v>0</v>
      </c>
      <c r="M39" s="309"/>
      <c r="N39" s="313">
        <f>+'Exhibit A'!N38</f>
        <v>0</v>
      </c>
      <c r="O39" s="313"/>
      <c r="P39" s="931"/>
      <c r="Q39" s="1434"/>
      <c r="R39" s="659">
        <f>ROUND(SUM(D39+H39+L39),1)</f>
        <v>532.20000000000005</v>
      </c>
      <c r="S39" s="313"/>
      <c r="T39" s="309">
        <f>ROUND(SUM(F39+J39+N39),1)</f>
        <v>5953.6</v>
      </c>
      <c r="U39" s="309"/>
      <c r="V39" s="309"/>
      <c r="W39" s="2178"/>
      <c r="X39" s="313"/>
      <c r="Y39" s="309">
        <v>514.20000000000005</v>
      </c>
      <c r="Z39" s="309" t="s">
        <v>104</v>
      </c>
      <c r="AA39" s="309">
        <f>+'Exhibit F'!AF118+'Exhibit G State'!AG104</f>
        <v>6216</v>
      </c>
      <c r="AB39" s="311"/>
      <c r="AC39" s="927"/>
      <c r="AD39" s="309">
        <f t="shared" si="8"/>
        <v>-262.39999999999998</v>
      </c>
      <c r="AF39" s="327">
        <f>ROUND(+AD39/AA39,3)</f>
        <v>-4.2000000000000003E-2</v>
      </c>
    </row>
    <row r="40" spans="1:32" ht="18" customHeight="1">
      <c r="A40" s="311" t="s">
        <v>140</v>
      </c>
      <c r="B40" s="311"/>
      <c r="C40" s="311"/>
      <c r="D40" s="309"/>
      <c r="E40" s="309"/>
      <c r="F40" s="309"/>
      <c r="G40" s="309"/>
      <c r="H40" s="309"/>
      <c r="I40" s="309"/>
      <c r="J40" s="309"/>
      <c r="K40" s="309"/>
      <c r="L40" s="309"/>
      <c r="M40" s="309"/>
      <c r="N40" s="309"/>
      <c r="O40" s="309"/>
      <c r="P40" s="930"/>
      <c r="Q40" s="1433"/>
      <c r="R40" s="659" t="s">
        <v>104</v>
      </c>
      <c r="S40" s="309"/>
      <c r="T40" s="309" t="s">
        <v>104</v>
      </c>
      <c r="U40" s="309"/>
      <c r="V40" s="309"/>
      <c r="W40" s="2177"/>
      <c r="X40" s="309"/>
      <c r="Y40" s="309" t="s">
        <v>104</v>
      </c>
      <c r="Z40" s="309"/>
      <c r="AA40" s="309" t="s">
        <v>104</v>
      </c>
      <c r="AB40" s="311"/>
      <c r="AC40" s="927"/>
      <c r="AD40" s="309"/>
      <c r="AF40" s="327"/>
    </row>
    <row r="41" spans="1:32" ht="18" customHeight="1">
      <c r="A41" s="311" t="s">
        <v>141</v>
      </c>
      <c r="B41" s="925"/>
      <c r="C41" s="311"/>
      <c r="D41" s="313">
        <v>0</v>
      </c>
      <c r="E41" s="309"/>
      <c r="F41" s="313">
        <v>0</v>
      </c>
      <c r="G41" s="309"/>
      <c r="H41" s="313">
        <v>0</v>
      </c>
      <c r="I41" s="309"/>
      <c r="J41" s="313">
        <v>0</v>
      </c>
      <c r="K41" s="309"/>
      <c r="L41" s="313">
        <f>+'Exhibit A'!L40</f>
        <v>13.799999999999955</v>
      </c>
      <c r="M41" s="659"/>
      <c r="N41" s="313">
        <f>+'Exhibit A'!N40</f>
        <v>580.5</v>
      </c>
      <c r="O41" s="309"/>
      <c r="P41" s="930"/>
      <c r="Q41" s="1433"/>
      <c r="R41" s="659">
        <f>ROUND(SUM(D41+H41+L41),1)</f>
        <v>13.8</v>
      </c>
      <c r="S41" s="309"/>
      <c r="T41" s="309">
        <f>ROUND(SUM(F41+J41+N41),1)</f>
        <v>580.5</v>
      </c>
      <c r="U41" s="309"/>
      <c r="V41" s="309"/>
      <c r="W41" s="2177"/>
      <c r="X41" s="309"/>
      <c r="Y41" s="309">
        <v>12.8</v>
      </c>
      <c r="Z41" s="309" t="s">
        <v>104</v>
      </c>
      <c r="AA41" s="309">
        <f>+'Exhibit H'!AD60</f>
        <v>1440.6</v>
      </c>
      <c r="AB41" s="311"/>
      <c r="AC41" s="927"/>
      <c r="AD41" s="309">
        <f t="shared" si="8"/>
        <v>-860.1</v>
      </c>
      <c r="AF41" s="327">
        <f>ROUND(+AD41/AA41,3)</f>
        <v>-0.59699999999999998</v>
      </c>
    </row>
    <row r="42" spans="1:32" ht="18" customHeight="1">
      <c r="A42" s="311" t="s">
        <v>142</v>
      </c>
      <c r="B42" s="925"/>
      <c r="C42" s="311"/>
      <c r="D42" s="313">
        <v>0</v>
      </c>
      <c r="E42" s="309"/>
      <c r="F42" s="313">
        <v>0</v>
      </c>
      <c r="G42" s="309"/>
      <c r="H42" s="313">
        <f>'Exhibit G State'!R105</f>
        <v>0</v>
      </c>
      <c r="I42" s="309"/>
      <c r="J42" s="313">
        <f>'Exhibit G State'!AD105</f>
        <v>0</v>
      </c>
      <c r="K42" s="309"/>
      <c r="L42" s="313">
        <v>0</v>
      </c>
      <c r="M42" s="659"/>
      <c r="N42" s="313">
        <v>0</v>
      </c>
      <c r="O42" s="309"/>
      <c r="P42" s="930"/>
      <c r="Q42" s="1433"/>
      <c r="R42" s="659">
        <f>ROUND(SUM(D42+H42+L42),1)</f>
        <v>0</v>
      </c>
      <c r="S42" s="309"/>
      <c r="T42" s="309">
        <f>ROUND(SUM(F42+J42+N42),1)</f>
        <v>0</v>
      </c>
      <c r="U42" s="309"/>
      <c r="V42" s="309"/>
      <c r="W42" s="2177"/>
      <c r="X42" s="309"/>
      <c r="Y42" s="309">
        <v>0</v>
      </c>
      <c r="Z42" s="309"/>
      <c r="AA42" s="309">
        <f>'Exhibit G State'!AG105</f>
        <v>0</v>
      </c>
      <c r="AB42" s="311"/>
      <c r="AC42" s="927"/>
      <c r="AD42" s="309">
        <f>ROUND(SUM(T42-AA42),1)</f>
        <v>0</v>
      </c>
      <c r="AF42" s="327">
        <f>IF(AA42=0,0,AD42/AA42)</f>
        <v>0</v>
      </c>
    </row>
    <row r="43" spans="1:32" ht="18" customHeight="1">
      <c r="A43" s="899" t="s">
        <v>164</v>
      </c>
      <c r="B43" s="311"/>
      <c r="C43" s="311"/>
      <c r="D43" s="1676">
        <f>SUM(D35:D42)</f>
        <v>6198.9000000000015</v>
      </c>
      <c r="E43" s="4"/>
      <c r="F43" s="1676">
        <f>SUM(F35:F42)</f>
        <v>53402.400000000001</v>
      </c>
      <c r="G43" s="4"/>
      <c r="H43" s="1676">
        <f>SUM(H35:H42)</f>
        <v>2489.0000000000005</v>
      </c>
      <c r="I43" s="4"/>
      <c r="J43" s="1676">
        <f>SUM(J35:J42)</f>
        <v>19196.399999999998</v>
      </c>
      <c r="K43" s="4"/>
      <c r="L43" s="1676">
        <f>SUM(L35:L42)</f>
        <v>15.49999999999995</v>
      </c>
      <c r="M43" s="4"/>
      <c r="N43" s="1676">
        <f>SUM(N35:N42)</f>
        <v>618.9</v>
      </c>
      <c r="O43" s="4"/>
      <c r="P43" s="932"/>
      <c r="Q43" s="1435"/>
      <c r="R43" s="1676">
        <f>ROUND(SUM(R35:R42),1)</f>
        <v>8703.4</v>
      </c>
      <c r="S43" s="4"/>
      <c r="T43" s="1676">
        <f>ROUND(SUM(T35:T42),1)</f>
        <v>73217.7</v>
      </c>
      <c r="U43" s="4"/>
      <c r="V43" s="4"/>
      <c r="W43" s="2179"/>
      <c r="X43" s="4"/>
      <c r="Y43" s="1676">
        <f>ROUND(SUM(Y35:Y42),1)</f>
        <v>8633.5</v>
      </c>
      <c r="Z43" s="4"/>
      <c r="AA43" s="1676">
        <f>ROUND(SUM(AA35:AA42),1)</f>
        <v>68959.7</v>
      </c>
      <c r="AB43" s="899"/>
      <c r="AC43" s="933"/>
      <c r="AD43" s="1676">
        <f>ROUND(SUM(AD35:AD42),1)</f>
        <v>4258</v>
      </c>
      <c r="AE43" s="902"/>
      <c r="AF43" s="1677">
        <f>ROUND(+AD43/AA43,3)</f>
        <v>6.2E-2</v>
      </c>
    </row>
    <row r="44" spans="1:32" ht="16.399999999999999" customHeight="1">
      <c r="A44" s="899"/>
      <c r="B44" s="311"/>
      <c r="C44" s="311"/>
      <c r="D44" s="309"/>
      <c r="E44" s="309"/>
      <c r="F44" s="309"/>
      <c r="G44" s="309"/>
      <c r="H44" s="309"/>
      <c r="I44" s="309"/>
      <c r="J44" s="309"/>
      <c r="K44" s="309"/>
      <c r="L44" s="309"/>
      <c r="M44" s="309"/>
      <c r="N44" s="309"/>
      <c r="O44" s="309"/>
      <c r="P44" s="930"/>
      <c r="Q44" s="1433"/>
      <c r="R44" s="309"/>
      <c r="S44" s="309"/>
      <c r="T44" s="309"/>
      <c r="U44" s="309"/>
      <c r="V44" s="309"/>
      <c r="W44" s="2177"/>
      <c r="X44" s="309"/>
      <c r="Y44" s="309"/>
      <c r="Z44" s="309"/>
      <c r="AA44" s="309"/>
      <c r="AB44" s="311"/>
      <c r="AC44" s="927"/>
      <c r="AD44" s="309"/>
      <c r="AF44" s="345"/>
    </row>
    <row r="45" spans="1:32" ht="16.399999999999999" customHeight="1">
      <c r="A45" s="899" t="s">
        <v>145</v>
      </c>
      <c r="B45" s="899"/>
      <c r="C45" s="311"/>
      <c r="D45" s="309"/>
      <c r="E45" s="309"/>
      <c r="F45" s="309"/>
      <c r="G45" s="309"/>
      <c r="H45" s="309"/>
      <c r="I45" s="309"/>
      <c r="J45" s="309"/>
      <c r="K45" s="309"/>
      <c r="L45" s="309"/>
      <c r="M45" s="309"/>
      <c r="N45" s="309"/>
      <c r="O45" s="309"/>
      <c r="P45" s="930"/>
      <c r="Q45" s="1433"/>
      <c r="R45" s="309"/>
      <c r="S45" s="309"/>
      <c r="T45" s="309"/>
      <c r="U45" s="309"/>
      <c r="V45" s="309"/>
      <c r="W45" s="2177"/>
      <c r="X45" s="309"/>
      <c r="Y45" s="309"/>
      <c r="Z45" s="309"/>
      <c r="AA45" s="309"/>
      <c r="AB45" s="311"/>
      <c r="AC45" s="927"/>
      <c r="AD45" s="309"/>
      <c r="AF45" s="345"/>
    </row>
    <row r="46" spans="1:32" ht="16.399999999999999" customHeight="1">
      <c r="A46" s="899" t="s">
        <v>146</v>
      </c>
      <c r="B46" s="899"/>
      <c r="C46" s="311"/>
      <c r="D46" s="1426">
        <f>ROUND(SUM(D21-D43),1)</f>
        <v>-3108.9</v>
      </c>
      <c r="E46" s="4"/>
      <c r="F46" s="1426">
        <f>ROUND(SUM(F21-F43),1)</f>
        <v>-18806.099999999999</v>
      </c>
      <c r="G46" s="4"/>
      <c r="H46" s="1426">
        <f>ROUND(SUM(H21-H43),1)</f>
        <v>-548.5</v>
      </c>
      <c r="I46" s="4"/>
      <c r="J46" s="1426">
        <f>ROUND(SUM(J21-J43),1)</f>
        <v>-1952.5</v>
      </c>
      <c r="K46" s="4"/>
      <c r="L46" s="1426">
        <f>ROUND(SUM(L21-L43),1)</f>
        <v>2547.6999999999998</v>
      </c>
      <c r="M46" s="4" t="s">
        <v>104</v>
      </c>
      <c r="N46" s="1426">
        <f>ROUND(SUM(N21-N43),1)</f>
        <v>24780</v>
      </c>
      <c r="O46" s="4"/>
      <c r="P46" s="932"/>
      <c r="Q46" s="1435"/>
      <c r="R46" s="1426">
        <f>ROUND(SUM(+R21-R43),1)</f>
        <v>-1109.7</v>
      </c>
      <c r="S46" s="4"/>
      <c r="T46" s="1426">
        <f>ROUND(SUM(+T21-T43),1)</f>
        <v>4021.4</v>
      </c>
      <c r="U46" s="4"/>
      <c r="V46" s="4"/>
      <c r="W46" s="2179"/>
      <c r="X46" s="4"/>
      <c r="Y46" s="1426">
        <f>ROUND(SUM(Y21-Y43),1)</f>
        <v>-1667.7</v>
      </c>
      <c r="Z46" s="4" t="s">
        <v>104</v>
      </c>
      <c r="AA46" s="1426">
        <f>ROUND(SUM(AA21-AA43),1)</f>
        <v>12440.3</v>
      </c>
      <c r="AB46" s="899"/>
      <c r="AC46" s="933"/>
      <c r="AD46" s="1426">
        <f>ROUND(SUM(AD21-AD43),1)</f>
        <v>-8418.9</v>
      </c>
      <c r="AE46" s="902"/>
      <c r="AF46" s="667">
        <f>ROUND(AD46/ABS(AA46),3)</f>
        <v>-0.67700000000000005</v>
      </c>
    </row>
    <row r="47" spans="1:32" ht="16.399999999999999" customHeight="1">
      <c r="A47" s="311"/>
      <c r="B47" s="311"/>
      <c r="C47" s="311"/>
      <c r="D47" s="309"/>
      <c r="E47" s="309"/>
      <c r="F47" s="309"/>
      <c r="G47" s="309"/>
      <c r="H47" s="309"/>
      <c r="I47" s="309"/>
      <c r="J47" s="309"/>
      <c r="K47" s="309"/>
      <c r="L47" s="309"/>
      <c r="M47" s="309"/>
      <c r="N47" s="309"/>
      <c r="O47" s="309"/>
      <c r="P47" s="930"/>
      <c r="Q47" s="1433"/>
      <c r="R47" s="309"/>
      <c r="S47" s="309"/>
      <c r="T47" s="309"/>
      <c r="U47" s="309"/>
      <c r="V47" s="309"/>
      <c r="W47" s="2177"/>
      <c r="X47" s="309"/>
      <c r="Y47" s="309"/>
      <c r="Z47" s="309"/>
      <c r="AA47" s="309"/>
      <c r="AB47" s="311"/>
      <c r="AC47" s="927"/>
      <c r="AD47" s="309"/>
      <c r="AF47" s="345"/>
    </row>
    <row r="48" spans="1:32" ht="16.399999999999999" customHeight="1">
      <c r="A48" s="899" t="s">
        <v>147</v>
      </c>
      <c r="B48" s="899"/>
      <c r="C48" s="311"/>
      <c r="D48" s="309"/>
      <c r="E48" s="309"/>
      <c r="F48" s="309"/>
      <c r="G48" s="309"/>
      <c r="H48" s="309"/>
      <c r="I48" s="309"/>
      <c r="J48" s="309"/>
      <c r="K48" s="309"/>
      <c r="L48" s="309"/>
      <c r="M48" s="309"/>
      <c r="N48" s="309"/>
      <c r="O48" s="309"/>
      <c r="P48" s="930"/>
      <c r="Q48" s="1433"/>
      <c r="R48" s="309"/>
      <c r="S48" s="309"/>
      <c r="T48" s="309"/>
      <c r="U48" s="309"/>
      <c r="V48" s="309"/>
      <c r="W48" s="2177"/>
      <c r="X48" s="309"/>
      <c r="Y48" s="309"/>
      <c r="Z48" s="309"/>
      <c r="AA48" s="309"/>
      <c r="AB48" s="311"/>
      <c r="AC48" s="927"/>
      <c r="AD48" s="309"/>
      <c r="AF48" s="345"/>
    </row>
    <row r="49" spans="1:33" ht="18" customHeight="1">
      <c r="A49" s="311" t="s">
        <v>149</v>
      </c>
      <c r="B49" s="925" t="s">
        <v>150</v>
      </c>
      <c r="C49" s="311"/>
      <c r="D49" s="309">
        <f>+'Exhibit A'!D49</f>
        <v>2589.2999999999965</v>
      </c>
      <c r="E49" s="309"/>
      <c r="F49" s="309">
        <f>+'Exhibit A'!F49</f>
        <v>25578.799999999999</v>
      </c>
      <c r="G49" s="309"/>
      <c r="H49" s="309">
        <f>+'Exhibit G State'!R113</f>
        <v>324.60000000000002</v>
      </c>
      <c r="I49" s="309"/>
      <c r="J49" s="309">
        <f>+'Exhibit G State'!AD113</f>
        <v>2627.5</v>
      </c>
      <c r="K49" s="309"/>
      <c r="L49" s="309">
        <f>+'Exhibit A'!L49</f>
        <v>427.5</v>
      </c>
      <c r="M49" s="309"/>
      <c r="N49" s="313">
        <f>+'Exhibit A'!N49</f>
        <v>1234.2</v>
      </c>
      <c r="O49" s="309"/>
      <c r="P49" s="930"/>
      <c r="Q49" s="1433"/>
      <c r="R49" s="313">
        <f>ROUND(SUM(L49+H49+D49),1)</f>
        <v>3341.4</v>
      </c>
      <c r="S49" s="309"/>
      <c r="T49" s="313">
        <f>ROUND(SUM(F49+J49+N49),1)</f>
        <v>29440.5</v>
      </c>
      <c r="U49" s="309"/>
      <c r="V49" s="309"/>
      <c r="W49" s="2177"/>
      <c r="X49" s="309"/>
      <c r="Y49" s="309">
        <v>2645.2000000000003</v>
      </c>
      <c r="Z49" s="309" t="s">
        <v>104</v>
      </c>
      <c r="AA49" s="309">
        <f>'Exhibit F'!AF127+'Exhibit F'!AF128+'Exhibit F'!AF129+'Exhibit F'!AF130+'Exhibit G State'!AG113+'Exhibit H'!AD68</f>
        <v>34145.299999999996</v>
      </c>
      <c r="AB49" s="311"/>
      <c r="AC49" s="927"/>
      <c r="AD49" s="309">
        <f>ROUND(SUM(T49-AA49),1)</f>
        <v>-4704.8</v>
      </c>
      <c r="AF49" s="327">
        <f>ROUND(SUM(+AD49/AA49),3)</f>
        <v>-0.13800000000000001</v>
      </c>
      <c r="AG49" s="894" t="s">
        <v>104</v>
      </c>
    </row>
    <row r="50" spans="1:33" ht="18" customHeight="1">
      <c r="A50" s="311" t="s">
        <v>151</v>
      </c>
      <c r="B50" s="925" t="s">
        <v>150</v>
      </c>
      <c r="C50" s="311"/>
      <c r="D50" s="309">
        <f>+'Exhibit A'!D50</f>
        <v>-778.99999999999932</v>
      </c>
      <c r="E50" s="309"/>
      <c r="F50" s="309">
        <f>+'Exhibit A'!F50</f>
        <v>-4096.9999999999991</v>
      </c>
      <c r="G50" s="309"/>
      <c r="H50" s="309">
        <f>+'Exhibit G State'!R114</f>
        <v>-2.5999999999999943</v>
      </c>
      <c r="I50" s="309"/>
      <c r="J50" s="659">
        <f>'Exhibit G State'!AD114</f>
        <v>-104.3</v>
      </c>
      <c r="K50" s="309"/>
      <c r="L50" s="309">
        <f>+'Exhibit A'!L50</f>
        <v>-2599.4000000000015</v>
      </c>
      <c r="M50" s="309"/>
      <c r="N50" s="313">
        <f>+'Exhibit A'!N50</f>
        <v>-25519.200000000001</v>
      </c>
      <c r="O50" s="309"/>
      <c r="P50" s="930"/>
      <c r="Q50" s="1433"/>
      <c r="R50" s="659">
        <f>ROUND(SUM(D50+H50+L50),1)</f>
        <v>-3381</v>
      </c>
      <c r="S50" s="309"/>
      <c r="T50" s="309">
        <f>ROUND(SUM(F50+J50+N50),1)</f>
        <v>-29720.5</v>
      </c>
      <c r="U50" s="309"/>
      <c r="V50" s="309"/>
      <c r="W50" s="2177"/>
      <c r="X50" s="309"/>
      <c r="Y50" s="309">
        <v>-2631.6</v>
      </c>
      <c r="Z50" s="309" t="s">
        <v>104</v>
      </c>
      <c r="AA50" s="309">
        <f>'Exhibit F'!AF131+'Exhibit F'!AF132+'Exhibit F'!AF133+'Exhibit F'!AF134+'Exhibit G State'!AG114+'Exhibit H'!AD69</f>
        <v>-33487.1</v>
      </c>
      <c r="AB50" s="311"/>
      <c r="AC50" s="927"/>
      <c r="AD50" s="309">
        <f>-ROUND(SUM(T50-AA50),1)</f>
        <v>-3766.6</v>
      </c>
      <c r="AF50" s="661">
        <f>ROUND(SUM(-AD50/AA50),3)</f>
        <v>-0.112</v>
      </c>
      <c r="AG50" s="894" t="s">
        <v>104</v>
      </c>
    </row>
    <row r="51" spans="1:33" ht="18" customHeight="1">
      <c r="A51" s="899" t="s">
        <v>152</v>
      </c>
      <c r="B51" s="899"/>
      <c r="C51" s="311"/>
      <c r="D51" s="1676">
        <f>ROUND(SUM(D49:D50),1)</f>
        <v>1810.3</v>
      </c>
      <c r="E51" s="4"/>
      <c r="F51" s="1676">
        <f>ROUND(SUM(F49:F50),1)</f>
        <v>21481.8</v>
      </c>
      <c r="G51" s="4"/>
      <c r="H51" s="1676">
        <f>ROUND(SUM(H49:H50),1)</f>
        <v>322</v>
      </c>
      <c r="I51" s="4"/>
      <c r="J51" s="1676">
        <f>ROUND(SUM(J49:J50),1)</f>
        <v>2523.1999999999998</v>
      </c>
      <c r="K51" s="4"/>
      <c r="L51" s="1676">
        <f>ROUND(SUM(L49:L50),1)</f>
        <v>-2171.9</v>
      </c>
      <c r="M51" s="4"/>
      <c r="N51" s="1676">
        <f>ROUND(SUM(N49:N50),1)</f>
        <v>-24285</v>
      </c>
      <c r="O51" s="4"/>
      <c r="P51" s="932"/>
      <c r="Q51" s="1435"/>
      <c r="R51" s="1676">
        <f>ROUND(SUM(R49:R50),1)</f>
        <v>-39.6</v>
      </c>
      <c r="S51" s="4"/>
      <c r="T51" s="1676">
        <f>ROUND(SUM(T49:T50),1)</f>
        <v>-280</v>
      </c>
      <c r="U51" s="4"/>
      <c r="V51" s="4"/>
      <c r="W51" s="2179"/>
      <c r="X51" s="4"/>
      <c r="Y51" s="1680">
        <f>ROUND(SUM(+Y49+Y50),1)</f>
        <v>13.6</v>
      </c>
      <c r="Z51" s="4"/>
      <c r="AA51" s="1679">
        <f>ROUND(SUM(+AA49+AA50),1)</f>
        <v>658.2</v>
      </c>
      <c r="AB51" s="899"/>
      <c r="AC51" s="933"/>
      <c r="AD51" s="1679">
        <f>ROUND(SUM(AD49-AD50),1)</f>
        <v>-938.2</v>
      </c>
      <c r="AE51" s="902"/>
      <c r="AF51" s="667">
        <f>ROUND(SUM(AD51/ABS(AA51)),3)</f>
        <v>-1.425</v>
      </c>
      <c r="AG51" s="894" t="s">
        <v>104</v>
      </c>
    </row>
    <row r="52" spans="1:33" ht="16.399999999999999" customHeight="1">
      <c r="A52" s="311"/>
      <c r="B52" s="311"/>
      <c r="C52" s="311"/>
      <c r="D52" s="309"/>
      <c r="E52" s="309"/>
      <c r="F52" s="309"/>
      <c r="G52" s="309"/>
      <c r="H52" s="309"/>
      <c r="I52" s="309"/>
      <c r="J52" s="309"/>
      <c r="K52" s="309"/>
      <c r="L52" s="309"/>
      <c r="M52" s="309"/>
      <c r="N52" s="309"/>
      <c r="O52" s="309"/>
      <c r="P52" s="930"/>
      <c r="Q52" s="1433"/>
      <c r="R52" s="309"/>
      <c r="S52" s="309"/>
      <c r="T52" s="309"/>
      <c r="U52" s="309"/>
      <c r="V52" s="309"/>
      <c r="W52" s="2177"/>
      <c r="X52" s="309"/>
      <c r="Y52" s="309"/>
      <c r="Z52" s="309"/>
      <c r="AA52" s="309"/>
      <c r="AB52" s="311"/>
      <c r="AC52" s="927"/>
      <c r="AD52" s="309"/>
      <c r="AF52" s="345"/>
    </row>
    <row r="53" spans="1:33" ht="18" customHeight="1">
      <c r="A53" s="899" t="s">
        <v>145</v>
      </c>
      <c r="B53" s="899"/>
      <c r="C53" s="311"/>
      <c r="D53" s="309"/>
      <c r="E53" s="309"/>
      <c r="F53" s="309"/>
      <c r="G53" s="309"/>
      <c r="H53" s="309"/>
      <c r="I53" s="309"/>
      <c r="J53" s="309"/>
      <c r="K53" s="309"/>
      <c r="L53" s="309"/>
      <c r="M53" s="309"/>
      <c r="N53" s="309"/>
      <c r="O53" s="309"/>
      <c r="P53" s="930"/>
      <c r="Q53" s="1433"/>
      <c r="R53" s="309"/>
      <c r="S53" s="309"/>
      <c r="T53" s="309"/>
      <c r="U53" s="309"/>
      <c r="V53" s="309"/>
      <c r="W53" s="2177"/>
      <c r="X53" s="309"/>
      <c r="Y53" s="309"/>
      <c r="Z53" s="309"/>
      <c r="AA53" s="309"/>
      <c r="AB53" s="311"/>
      <c r="AC53" s="927"/>
      <c r="AD53" s="309"/>
      <c r="AF53" s="1425"/>
    </row>
    <row r="54" spans="1:33" ht="18" customHeight="1">
      <c r="A54" s="899" t="s">
        <v>165</v>
      </c>
      <c r="B54" s="899"/>
      <c r="C54" s="311"/>
      <c r="D54" s="309"/>
      <c r="E54" s="309"/>
      <c r="F54" s="309"/>
      <c r="G54" s="309"/>
      <c r="H54" s="309"/>
      <c r="I54" s="309"/>
      <c r="J54" s="309"/>
      <c r="K54" s="309"/>
      <c r="L54" s="309"/>
      <c r="M54" s="309"/>
      <c r="N54" s="309"/>
      <c r="O54" s="309"/>
      <c r="P54" s="930"/>
      <c r="Q54" s="1433"/>
      <c r="R54" s="309"/>
      <c r="S54" s="309"/>
      <c r="T54" s="309"/>
      <c r="U54" s="309"/>
      <c r="V54" s="309"/>
      <c r="W54" s="2177"/>
      <c r="X54" s="309"/>
      <c r="Y54" s="309" t="s">
        <v>104</v>
      </c>
      <c r="Z54" s="309"/>
      <c r="AA54" s="309"/>
      <c r="AB54" s="311"/>
      <c r="AC54" s="927"/>
      <c r="AD54" s="309"/>
      <c r="AF54" s="345"/>
    </row>
    <row r="55" spans="1:33" ht="18" customHeight="1">
      <c r="A55" s="899" t="s">
        <v>166</v>
      </c>
      <c r="B55" s="899"/>
      <c r="C55" s="311"/>
      <c r="D55" s="4">
        <f>ROUND(SUM(D46+D51),1)</f>
        <v>-1298.5999999999999</v>
      </c>
      <c r="E55" s="4"/>
      <c r="F55" s="4">
        <f>ROUND(SUM(F46)+SUM(F51),1)</f>
        <v>2675.7</v>
      </c>
      <c r="G55" s="4"/>
      <c r="H55" s="4">
        <f>ROUND(SUM(H46+H51),1)</f>
        <v>-226.5</v>
      </c>
      <c r="I55" s="4"/>
      <c r="J55" s="4">
        <f>ROUND(SUM(J46)+SUM(J51),1)</f>
        <v>570.70000000000005</v>
      </c>
      <c r="K55" s="4"/>
      <c r="L55" s="4">
        <f>ROUND(SUM(L46+L51),1)</f>
        <v>375.8</v>
      </c>
      <c r="M55" s="932"/>
      <c r="N55" s="932">
        <f>ROUND(SUM(N46+N51),1)</f>
        <v>495</v>
      </c>
      <c r="O55" s="932"/>
      <c r="P55" s="932"/>
      <c r="Q55" s="1438"/>
      <c r="R55" s="932">
        <f>ROUND(SUM(+R46+R51),1)</f>
        <v>-1149.3</v>
      </c>
      <c r="S55" s="932"/>
      <c r="T55" s="932">
        <f>ROUND(SUM(T46+T51),1)</f>
        <v>3741.4</v>
      </c>
      <c r="U55" s="932"/>
      <c r="V55" s="932"/>
      <c r="W55" s="2181"/>
      <c r="X55" s="932"/>
      <c r="Y55" s="4">
        <f>ROUND(SUM(Y46)+SUM(Y51),1)</f>
        <v>-1654.1</v>
      </c>
      <c r="Z55" s="4"/>
      <c r="AA55" s="4">
        <f>ROUND(SUM(AA46)+SUM(AA51),1)</f>
        <v>13098.5</v>
      </c>
      <c r="AB55" s="899"/>
      <c r="AC55" s="933"/>
      <c r="AD55" s="4">
        <f>ROUND(SUM(+AD46+AD51),1)</f>
        <v>-9357.1</v>
      </c>
      <c r="AE55" s="902"/>
      <c r="AF55" s="672">
        <f>ROUND(SUM(AD55/AA55),3)</f>
        <v>-0.71399999999999997</v>
      </c>
    </row>
    <row r="56" spans="1:33" ht="16.399999999999999" customHeight="1">
      <c r="A56" s="899"/>
      <c r="B56" s="899"/>
      <c r="C56" s="311"/>
      <c r="D56" s="309"/>
      <c r="E56" s="309"/>
      <c r="F56" s="309"/>
      <c r="G56" s="309"/>
      <c r="H56" s="309"/>
      <c r="I56" s="309"/>
      <c r="J56" s="309"/>
      <c r="K56" s="309"/>
      <c r="L56" s="309"/>
      <c r="M56" s="309"/>
      <c r="N56" s="309"/>
      <c r="O56" s="309"/>
      <c r="P56" s="930"/>
      <c r="Q56" s="1433"/>
      <c r="R56" s="309"/>
      <c r="S56" s="309"/>
      <c r="T56" s="309"/>
      <c r="U56" s="309"/>
      <c r="V56" s="309"/>
      <c r="W56" s="2177"/>
      <c r="X56" s="309"/>
      <c r="Y56" s="309"/>
      <c r="Z56" s="309"/>
      <c r="AA56" s="309"/>
      <c r="AB56" s="311"/>
      <c r="AC56" s="927"/>
      <c r="AD56" s="309"/>
      <c r="AF56" s="345"/>
    </row>
    <row r="57" spans="1:33" ht="18" customHeight="1">
      <c r="A57" s="937" t="s">
        <v>155</v>
      </c>
      <c r="B57" s="925"/>
      <c r="C57" s="311"/>
      <c r="D57" s="1426">
        <f>+'Exhibit A'!D57</f>
        <v>47424.9</v>
      </c>
      <c r="E57" s="4"/>
      <c r="F57" s="1426">
        <f>'Exhibit A'!F57</f>
        <v>43450.6</v>
      </c>
      <c r="G57" s="4"/>
      <c r="H57" s="1426">
        <f>+'Exhibit G State'!R13</f>
        <v>9911</v>
      </c>
      <c r="I57" s="4"/>
      <c r="J57" s="1426">
        <f>'Exhibit G State'!D13</f>
        <v>9113.7999999999993</v>
      </c>
      <c r="K57" s="4"/>
      <c r="L57" s="1426">
        <f>+'Exhibit A'!L57</f>
        <v>278.60000000000002</v>
      </c>
      <c r="M57" s="4"/>
      <c r="N57" s="1439">
        <f>+'Exhibit A'!N57</f>
        <v>159.4</v>
      </c>
      <c r="O57" s="4"/>
      <c r="P57" s="932"/>
      <c r="Q57" s="1435"/>
      <c r="R57" s="1426">
        <f>ROUND(SUM(D57+H57+L57),1)</f>
        <v>57614.5</v>
      </c>
      <c r="S57" s="4"/>
      <c r="T57" s="1426">
        <f>ROUND(SUM(F57+J57+N57),1)</f>
        <v>52723.8</v>
      </c>
      <c r="U57" s="4"/>
      <c r="V57" s="4"/>
      <c r="W57" s="2179"/>
      <c r="X57" s="4"/>
      <c r="Y57" s="1426">
        <v>55519.8</v>
      </c>
      <c r="Z57" s="4" t="s">
        <v>104</v>
      </c>
      <c r="AA57" s="1426">
        <f>'Exhibit F'!AF12+'Exhibit G State'!AG13+'Exhibit H'!AD12</f>
        <v>40767.199999999997</v>
      </c>
      <c r="AB57" s="899"/>
      <c r="AC57" s="933"/>
      <c r="AD57" s="1426">
        <f>ROUND(SUM(T57-AA57),1)</f>
        <v>11956.6</v>
      </c>
      <c r="AE57" s="902"/>
      <c r="AF57" s="666">
        <f>ROUND(+AD57/AA57,3)</f>
        <v>0.29299999999999998</v>
      </c>
    </row>
    <row r="58" spans="1:33" ht="16.399999999999999" customHeight="1">
      <c r="A58" s="311"/>
      <c r="B58" s="311"/>
      <c r="C58" s="311"/>
      <c r="D58" s="311"/>
      <c r="E58" s="311"/>
      <c r="F58" s="311"/>
      <c r="G58" s="311"/>
      <c r="H58" s="311"/>
      <c r="I58" s="311"/>
      <c r="J58" s="311"/>
      <c r="K58" s="311"/>
      <c r="L58" s="311"/>
      <c r="M58" s="311"/>
      <c r="N58" s="311"/>
      <c r="O58" s="311"/>
      <c r="P58" s="926"/>
      <c r="Q58" s="1430"/>
      <c r="R58" s="311"/>
      <c r="S58" s="311"/>
      <c r="T58" s="311"/>
      <c r="U58" s="311"/>
      <c r="V58" s="311"/>
      <c r="W58" s="2175"/>
      <c r="X58" s="311"/>
      <c r="Y58" s="311"/>
      <c r="Z58" s="311"/>
      <c r="AA58" s="311"/>
      <c r="AB58" s="311"/>
      <c r="AC58" s="927"/>
      <c r="AD58" s="309"/>
      <c r="AF58" s="345"/>
    </row>
    <row r="59" spans="1:33" ht="18" customHeight="1" thickBot="1">
      <c r="A59" s="937" t="s">
        <v>167</v>
      </c>
      <c r="B59" s="1369" t="s">
        <v>104</v>
      </c>
      <c r="C59" s="311"/>
      <c r="D59" s="1290">
        <f>ROUND(SUM(D55+D57),1)</f>
        <v>46126.3</v>
      </c>
      <c r="E59" s="905"/>
      <c r="F59" s="1290">
        <f>ROUND(SUM(F55+F57),1)</f>
        <v>46126.3</v>
      </c>
      <c r="G59" s="905"/>
      <c r="H59" s="1290">
        <f>ROUND(SUM(H55+H57),1)</f>
        <v>9684.5</v>
      </c>
      <c r="I59" s="905"/>
      <c r="J59" s="1290">
        <f>ROUND(SUM(J55)+SUM(J57),1)</f>
        <v>9684.5</v>
      </c>
      <c r="K59" s="905"/>
      <c r="L59" s="1290">
        <f>ROUND(SUM(L55+L57),1)</f>
        <v>654.4</v>
      </c>
      <c r="M59" s="938"/>
      <c r="N59" s="1440">
        <f>ROUND(SUM(N55+N57),1)</f>
        <v>654.4</v>
      </c>
      <c r="O59" s="938"/>
      <c r="P59" s="938"/>
      <c r="Q59" s="939"/>
      <c r="R59" s="1440">
        <f>ROUND(SUM(R55+R57),1)</f>
        <v>56465.2</v>
      </c>
      <c r="S59" s="938"/>
      <c r="T59" s="1440">
        <f>ROUND(SUM(T55+T57),1)</f>
        <v>56465.2</v>
      </c>
      <c r="U59" s="938"/>
      <c r="V59" s="938"/>
      <c r="W59" s="2182"/>
      <c r="X59" s="938"/>
      <c r="Y59" s="1290">
        <f>ROUND(SUM(Y55+Y57),1)</f>
        <v>53865.7</v>
      </c>
      <c r="Z59" s="905"/>
      <c r="AA59" s="1290">
        <f>ROUND(SUM(AA55+AA57),1)</f>
        <v>53865.7</v>
      </c>
      <c r="AB59" s="907"/>
      <c r="AC59" s="940"/>
      <c r="AD59" s="1290">
        <f>ROUND(SUM(AD55+AD57),1)</f>
        <v>2599.5</v>
      </c>
      <c r="AE59" s="902"/>
      <c r="AF59" s="1428">
        <f>ROUND(+AD59/AA59,3)</f>
        <v>4.8000000000000001E-2</v>
      </c>
      <c r="AG59" s="894" t="s">
        <v>104</v>
      </c>
    </row>
    <row r="60" spans="1:33" ht="16" thickTop="1">
      <c r="A60" s="908"/>
      <c r="B60" s="908"/>
      <c r="C60" s="908"/>
      <c r="D60" s="909"/>
      <c r="E60" s="909"/>
      <c r="F60" s="909"/>
      <c r="G60" s="909"/>
      <c r="H60" s="910"/>
      <c r="I60" s="909"/>
      <c r="J60" s="909"/>
      <c r="K60" s="909"/>
      <c r="L60" s="909"/>
      <c r="M60" s="909"/>
      <c r="N60" s="909"/>
      <c r="O60" s="909"/>
      <c r="P60" s="941"/>
      <c r="Q60" s="909"/>
      <c r="R60" s="909"/>
      <c r="S60" s="909"/>
      <c r="T60" s="909"/>
      <c r="U60" s="909"/>
      <c r="V60" s="909"/>
      <c r="W60" s="909"/>
      <c r="X60" s="909"/>
      <c r="Y60" s="909"/>
      <c r="Z60" s="909"/>
      <c r="AA60" s="909"/>
      <c r="AB60" s="909"/>
      <c r="AC60" s="909"/>
      <c r="AD60" s="909"/>
      <c r="AF60" s="911"/>
    </row>
    <row r="61" spans="1:33">
      <c r="H61" s="895" t="s">
        <v>104</v>
      </c>
      <c r="Q61" s="894" t="s">
        <v>104</v>
      </c>
      <c r="R61" s="894" t="s">
        <v>104</v>
      </c>
    </row>
    <row r="62" spans="1:33" ht="18" customHeight="1">
      <c r="A62" s="345" t="s">
        <v>168</v>
      </c>
      <c r="AA62" s="894" t="s">
        <v>104</v>
      </c>
    </row>
    <row r="63" spans="1:33" ht="18" customHeight="1">
      <c r="A63" s="942" t="s">
        <v>169</v>
      </c>
    </row>
    <row r="64" spans="1:33" ht="15.5">
      <c r="A64" s="925"/>
      <c r="Y64" s="309" t="s">
        <v>104</v>
      </c>
      <c r="AA64" s="894" t="s">
        <v>104</v>
      </c>
    </row>
    <row r="65" spans="1:25" ht="15.5">
      <c r="A65" s="912"/>
      <c r="B65" s="913"/>
      <c r="C65" s="346"/>
      <c r="D65" s="915"/>
      <c r="E65" s="915"/>
      <c r="F65" s="915"/>
      <c r="G65" s="915"/>
      <c r="H65" s="914"/>
      <c r="I65" s="915"/>
      <c r="J65" s="915"/>
      <c r="K65" s="915"/>
      <c r="L65" s="915"/>
      <c r="Y65" s="309" t="s">
        <v>104</v>
      </c>
    </row>
    <row r="66" spans="1:25" ht="15.5">
      <c r="A66" s="345"/>
      <c r="B66" s="345"/>
      <c r="C66" s="345"/>
      <c r="D66" s="345"/>
      <c r="E66" s="345"/>
      <c r="F66" s="345"/>
      <c r="G66" s="345"/>
      <c r="H66" s="916"/>
      <c r="I66" s="345"/>
      <c r="J66" s="345"/>
      <c r="K66" s="345"/>
      <c r="L66" s="345"/>
    </row>
    <row r="67" spans="1:25" ht="15.5">
      <c r="A67" s="345"/>
      <c r="B67" s="345"/>
      <c r="C67" s="345"/>
      <c r="D67" s="345"/>
      <c r="E67" s="345"/>
      <c r="F67" s="345"/>
      <c r="G67" s="345"/>
      <c r="H67" s="916"/>
      <c r="I67" s="345"/>
      <c r="J67" s="345"/>
      <c r="K67" s="345"/>
      <c r="L67" s="345"/>
    </row>
    <row r="68" spans="1:25" ht="15.5">
      <c r="A68" s="345"/>
      <c r="B68" s="345"/>
      <c r="C68" s="345"/>
      <c r="D68" s="345"/>
      <c r="E68" s="345"/>
      <c r="F68" s="345"/>
      <c r="G68" s="345"/>
      <c r="H68" s="916"/>
      <c r="I68" s="345"/>
      <c r="J68" s="345"/>
      <c r="K68" s="345"/>
      <c r="L68" s="345"/>
    </row>
    <row r="69" spans="1:25" ht="19.5" customHeight="1">
      <c r="A69" s="345"/>
      <c r="I69" s="345"/>
    </row>
    <row r="73" spans="1:25">
      <c r="F73" s="894" t="s">
        <v>104</v>
      </c>
    </row>
  </sheetData>
  <mergeCells count="7">
    <mergeCell ref="R10:AB10"/>
    <mergeCell ref="D10:N10"/>
    <mergeCell ref="L11:N11"/>
    <mergeCell ref="A3:AB3"/>
    <mergeCell ref="A4:AB4"/>
    <mergeCell ref="A5:AB5"/>
    <mergeCell ref="A7:AB7"/>
  </mergeCells>
  <pageMargins left="0.25" right="0.25" top="0.5" bottom="0.25" header="0" footer="0.25"/>
  <pageSetup scale="49" firstPageNumber="3" orientation="landscape" useFirstPageNumber="1" r:id="rId1"/>
  <headerFooter scaleWithDoc="0" alignWithMargins="0">
    <oddFooter>&amp;C&amp;8&amp;P</oddFooter>
  </headerFooter>
  <customProperties>
    <customPr name="SheetOptions" r:id="rId2"/>
  </customProperties>
  <ignoredErrors>
    <ignoredError sqref="AE15:AF15 AD52:AF54 AE16:AE17 AD36:AF36 AE32:AE34 AD15:AD17 AD32:AD34 AD44:AF45 AE37:AE41 AD37:AD41 AE49:AF50 AD49 AD58:AF58 AD48:AF48 AE46 AF16:AF17 AF32:AF35 AD35:AE35 AF37:AF41 AE43 AD57:AF57 AD59:AF59 AE51 AD56:AF56 AE55 AE47:AF47" unlockedFormula="1"/>
    <ignoredError sqref="B49:B50 B15" numberStoredAsText="1"/>
    <ignoredError sqref="AF20 AF26" formula="1"/>
  </ignoredError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8">
    <pageSetUpPr autoPageBreaks="0"/>
  </sheetPr>
  <dimension ref="A1:L169"/>
  <sheetViews>
    <sheetView showGridLines="0" zoomScale="90" zoomScaleNormal="90" workbookViewId="0"/>
  </sheetViews>
  <sheetFormatPr defaultColWidth="8.84375" defaultRowHeight="15.5"/>
  <cols>
    <col min="1" max="1" width="56.84375" style="379" customWidth="1"/>
    <col min="2" max="2" width="2.07421875" style="379" customWidth="1"/>
    <col min="3" max="3" width="19" style="378" customWidth="1"/>
    <col min="4" max="4" width="1.84375" style="379" customWidth="1"/>
    <col min="5" max="5" width="16.4609375" style="379" customWidth="1"/>
    <col min="6" max="6" width="1.53515625" style="379" customWidth="1"/>
    <col min="7" max="7" width="16.53515625" style="379" customWidth="1"/>
    <col min="8" max="8" width="1.53515625" style="379" customWidth="1"/>
    <col min="9" max="9" width="17.84375" style="379" customWidth="1"/>
    <col min="10" max="10" width="1.53515625" style="379" customWidth="1"/>
    <col min="11" max="11" width="20.07421875" style="379" customWidth="1"/>
    <col min="12" max="12" width="6.07421875" style="2100" customWidth="1"/>
    <col min="13" max="16384" width="8.84375" style="379"/>
  </cols>
  <sheetData>
    <row r="1" spans="1:12">
      <c r="A1" s="326" t="s">
        <v>98</v>
      </c>
    </row>
    <row r="2" spans="1:12">
      <c r="A2" s="1121"/>
    </row>
    <row r="3" spans="1:12" ht="17.899999999999999" customHeight="1">
      <c r="A3" s="1122" t="s">
        <v>99</v>
      </c>
      <c r="B3" s="402"/>
      <c r="C3" s="402"/>
      <c r="D3" s="402"/>
      <c r="E3" s="402"/>
      <c r="F3" s="402"/>
      <c r="G3" s="402"/>
      <c r="H3" s="402"/>
      <c r="I3" s="402"/>
      <c r="J3" s="402"/>
      <c r="K3" s="1123" t="s">
        <v>638</v>
      </c>
      <c r="L3" s="2101"/>
    </row>
    <row r="4" spans="1:12" ht="17.899999999999999" customHeight="1">
      <c r="A4" s="1122" t="s">
        <v>639</v>
      </c>
      <c r="B4" s="402"/>
      <c r="C4" s="402" t="s">
        <v>104</v>
      </c>
      <c r="D4" s="402"/>
      <c r="E4" s="402"/>
      <c r="F4" s="402"/>
      <c r="G4" s="402"/>
      <c r="H4" s="402"/>
      <c r="I4" s="402"/>
      <c r="J4" s="402"/>
      <c r="L4" s="2102"/>
    </row>
    <row r="5" spans="1:12" ht="17.899999999999999" customHeight="1">
      <c r="A5" s="1122" t="s">
        <v>640</v>
      </c>
      <c r="B5" s="402"/>
      <c r="C5" s="402"/>
      <c r="D5" s="402"/>
      <c r="E5" s="402"/>
      <c r="F5" s="402"/>
      <c r="G5" s="402"/>
      <c r="H5" s="402"/>
      <c r="I5" s="402"/>
      <c r="J5" s="402"/>
      <c r="K5" s="1124"/>
      <c r="L5" s="2103"/>
    </row>
    <row r="6" spans="1:12" ht="17.899999999999999" customHeight="1">
      <c r="A6" s="1125" t="s">
        <v>641</v>
      </c>
      <c r="B6" s="402"/>
      <c r="C6" s="402"/>
      <c r="D6" s="402"/>
      <c r="E6" s="1770"/>
      <c r="F6" s="402"/>
      <c r="G6" s="402"/>
      <c r="H6" s="402"/>
      <c r="I6" s="402"/>
      <c r="J6" s="402"/>
      <c r="K6" s="185"/>
      <c r="L6" s="2101"/>
    </row>
    <row r="7" spans="1:12" ht="17.899999999999999" customHeight="1">
      <c r="A7" s="1125" t="s">
        <v>249</v>
      </c>
      <c r="B7" s="402"/>
      <c r="C7" s="402"/>
      <c r="D7" s="402"/>
      <c r="E7" s="402"/>
      <c r="F7" s="402"/>
      <c r="G7" s="402"/>
      <c r="H7" s="402"/>
      <c r="I7" s="402"/>
      <c r="J7" s="402"/>
      <c r="K7" s="185"/>
      <c r="L7" s="2101"/>
    </row>
    <row r="8" spans="1:12" ht="17.899999999999999" customHeight="1">
      <c r="A8" s="1125" t="s">
        <v>1591</v>
      </c>
      <c r="B8" s="402"/>
      <c r="C8" s="402"/>
      <c r="D8" s="402"/>
      <c r="E8" s="402" t="s">
        <v>104</v>
      </c>
      <c r="F8" s="402"/>
      <c r="G8" s="402"/>
      <c r="H8" s="402"/>
      <c r="I8" s="402"/>
      <c r="J8" s="402"/>
      <c r="K8" s="402"/>
      <c r="L8" s="2101"/>
    </row>
    <row r="9" spans="1:12" ht="17.899999999999999" customHeight="1">
      <c r="A9" s="1122" t="s">
        <v>588</v>
      </c>
      <c r="B9" s="1126" t="s">
        <v>642</v>
      </c>
      <c r="C9" s="376"/>
      <c r="D9" s="376"/>
      <c r="E9" s="376"/>
      <c r="F9" s="376"/>
      <c r="G9" s="376"/>
      <c r="H9" s="376"/>
      <c r="I9" s="376"/>
      <c r="J9" s="376"/>
      <c r="K9" s="376"/>
    </row>
    <row r="10" spans="1:12">
      <c r="A10" s="376"/>
      <c r="B10" s="376"/>
      <c r="C10" s="182" t="s">
        <v>643</v>
      </c>
      <c r="D10" s="186"/>
      <c r="E10" s="186"/>
      <c r="F10" s="186"/>
      <c r="G10" s="186"/>
      <c r="H10" s="186"/>
      <c r="I10" s="182" t="s">
        <v>644</v>
      </c>
      <c r="J10" s="186"/>
      <c r="K10" s="182" t="s">
        <v>643</v>
      </c>
      <c r="L10" s="2104"/>
    </row>
    <row r="11" spans="1:12">
      <c r="A11" s="376"/>
      <c r="B11" s="376"/>
      <c r="C11" s="1771" t="s">
        <v>1592</v>
      </c>
      <c r="D11" s="186"/>
      <c r="E11" s="1772" t="s">
        <v>645</v>
      </c>
      <c r="F11" s="186"/>
      <c r="G11" s="1773" t="s">
        <v>646</v>
      </c>
      <c r="H11" s="186"/>
      <c r="I11" s="1773" t="s">
        <v>647</v>
      </c>
      <c r="J11" s="186"/>
      <c r="K11" s="1127" t="s">
        <v>1555</v>
      </c>
      <c r="L11" s="2105"/>
    </row>
    <row r="12" spans="1:12">
      <c r="A12" s="376"/>
      <c r="B12" s="376"/>
      <c r="C12" s="884"/>
      <c r="D12" s="186"/>
      <c r="E12" s="182"/>
      <c r="F12" s="186"/>
      <c r="G12" s="182"/>
      <c r="H12" s="186"/>
      <c r="I12" s="182"/>
      <c r="J12" s="186"/>
      <c r="K12" s="1128"/>
      <c r="L12" s="2105"/>
    </row>
    <row r="13" spans="1:12">
      <c r="A13" s="183" t="s">
        <v>473</v>
      </c>
      <c r="B13" s="376"/>
      <c r="C13" s="376"/>
      <c r="D13" s="376"/>
      <c r="E13" s="375"/>
      <c r="F13" s="376"/>
      <c r="G13" s="375"/>
      <c r="H13" s="376"/>
      <c r="I13" s="375"/>
      <c r="J13" s="376"/>
      <c r="K13" s="376"/>
    </row>
    <row r="14" spans="1:12">
      <c r="A14" s="376" t="s">
        <v>648</v>
      </c>
      <c r="B14" s="375"/>
      <c r="C14" s="1774">
        <v>0</v>
      </c>
      <c r="D14" s="1775"/>
      <c r="E14" s="1774">
        <v>9.5000000000000001E-2</v>
      </c>
      <c r="F14" s="1775"/>
      <c r="G14" s="1774">
        <v>4493.0659999999998</v>
      </c>
      <c r="H14" s="1775"/>
      <c r="I14" s="1774">
        <v>4492.9709999999995</v>
      </c>
      <c r="J14" s="375"/>
      <c r="K14" s="408">
        <f>ROUND(SUM(C14)+SUM(E14)-SUM(G14)+SUM(I14),3)</f>
        <v>0</v>
      </c>
      <c r="L14" s="2106"/>
    </row>
    <row r="15" spans="1:12">
      <c r="A15" s="376" t="s">
        <v>649</v>
      </c>
      <c r="B15" s="376"/>
      <c r="C15" s="1776">
        <v>47399.457999999999</v>
      </c>
      <c r="D15" s="1775"/>
      <c r="E15" s="1776">
        <v>3089.8819999999996</v>
      </c>
      <c r="F15" s="1775"/>
      <c r="G15" s="1776">
        <v>1705.739</v>
      </c>
      <c r="H15" s="1775"/>
      <c r="I15" s="1776">
        <v>-2682.6880000000001</v>
      </c>
      <c r="J15" s="375"/>
      <c r="K15" s="324">
        <f t="shared" ref="K15:K23" si="0">ROUND(SUM(C15)+SUM(E15)-SUM(G15)+SUM(I15),3)</f>
        <v>46100.913</v>
      </c>
      <c r="L15" s="2107"/>
    </row>
    <row r="16" spans="1:12">
      <c r="A16" s="377" t="s">
        <v>650</v>
      </c>
      <c r="B16" s="376"/>
      <c r="C16" s="1776">
        <v>0</v>
      </c>
      <c r="D16" s="1775"/>
      <c r="E16" s="1776">
        <v>0</v>
      </c>
      <c r="F16" s="1775"/>
      <c r="G16" s="1776">
        <v>0</v>
      </c>
      <c r="H16" s="1775"/>
      <c r="I16" s="1776">
        <v>0</v>
      </c>
      <c r="J16" s="375"/>
      <c r="K16" s="324">
        <f t="shared" si="0"/>
        <v>0</v>
      </c>
      <c r="L16" s="2107"/>
    </row>
    <row r="17" spans="1:12">
      <c r="A17" s="376" t="s">
        <v>651</v>
      </c>
      <c r="B17" s="376"/>
      <c r="C17" s="1776">
        <v>0</v>
      </c>
      <c r="D17" s="1775"/>
      <c r="E17" s="1776">
        <v>0</v>
      </c>
      <c r="F17" s="1775"/>
      <c r="G17" s="1776">
        <v>0</v>
      </c>
      <c r="H17" s="1775"/>
      <c r="I17" s="1776">
        <v>0</v>
      </c>
      <c r="J17" s="375"/>
      <c r="K17" s="324">
        <f t="shared" si="0"/>
        <v>0</v>
      </c>
      <c r="L17" s="2107"/>
    </row>
    <row r="18" spans="1:12">
      <c r="A18" s="376" t="s">
        <v>652</v>
      </c>
      <c r="B18" s="376"/>
      <c r="C18" s="1776">
        <v>0</v>
      </c>
      <c r="D18" s="1775"/>
      <c r="E18" s="1776">
        <v>0</v>
      </c>
      <c r="F18" s="1775"/>
      <c r="G18" s="1776">
        <v>0</v>
      </c>
      <c r="H18" s="1775"/>
      <c r="I18" s="1776">
        <v>0</v>
      </c>
      <c r="J18" s="375"/>
      <c r="K18" s="324">
        <f t="shared" si="0"/>
        <v>0</v>
      </c>
      <c r="L18" s="2107"/>
    </row>
    <row r="19" spans="1:12">
      <c r="A19" s="376" t="s">
        <v>653</v>
      </c>
      <c r="B19" s="376"/>
      <c r="C19" s="1776">
        <v>25.443999999999999</v>
      </c>
      <c r="D19" s="1775"/>
      <c r="E19" s="1776">
        <v>0</v>
      </c>
      <c r="F19" s="1775"/>
      <c r="G19" s="1776">
        <v>1.9E-2</v>
      </c>
      <c r="H19" s="1775"/>
      <c r="I19" s="1776">
        <v>0</v>
      </c>
      <c r="J19" s="375"/>
      <c r="K19" s="324">
        <f t="shared" si="0"/>
        <v>25.425000000000001</v>
      </c>
      <c r="L19" s="2108"/>
    </row>
    <row r="20" spans="1:12">
      <c r="A20" s="376" t="s">
        <v>654</v>
      </c>
      <c r="B20" s="376"/>
      <c r="C20" s="1776">
        <v>0</v>
      </c>
      <c r="D20" s="1775"/>
      <c r="E20" s="1776">
        <v>0</v>
      </c>
      <c r="F20" s="1775"/>
      <c r="G20" s="1776">
        <v>0</v>
      </c>
      <c r="H20" s="1775"/>
      <c r="I20" s="1776">
        <v>0</v>
      </c>
      <c r="J20" s="375"/>
      <c r="K20" s="324">
        <f t="shared" si="0"/>
        <v>0</v>
      </c>
      <c r="L20" s="2107"/>
    </row>
    <row r="21" spans="1:12">
      <c r="A21" s="377" t="s">
        <v>655</v>
      </c>
      <c r="B21" s="376"/>
      <c r="C21" s="1776">
        <v>0</v>
      </c>
      <c r="D21" s="1775"/>
      <c r="E21" s="1776">
        <v>0</v>
      </c>
      <c r="F21" s="1775"/>
      <c r="G21" s="1776">
        <v>0</v>
      </c>
      <c r="H21" s="1775"/>
      <c r="I21" s="1776">
        <v>0</v>
      </c>
      <c r="J21" s="375"/>
      <c r="K21" s="324">
        <f t="shared" si="0"/>
        <v>0</v>
      </c>
      <c r="L21" s="2107"/>
    </row>
    <row r="22" spans="1:12">
      <c r="A22" s="377" t="s">
        <v>656</v>
      </c>
      <c r="B22" s="376"/>
      <c r="C22" s="1776">
        <v>0</v>
      </c>
      <c r="D22" s="1775"/>
      <c r="E22" s="1776">
        <v>0</v>
      </c>
      <c r="F22" s="1775"/>
      <c r="G22" s="1776">
        <v>0</v>
      </c>
      <c r="H22" s="1775"/>
      <c r="I22" s="1776">
        <v>0</v>
      </c>
      <c r="J22" s="375"/>
      <c r="K22" s="324">
        <f t="shared" si="0"/>
        <v>0</v>
      </c>
      <c r="L22" s="2107"/>
    </row>
    <row r="23" spans="1:12">
      <c r="A23" s="377" t="s">
        <v>657</v>
      </c>
      <c r="B23" s="376"/>
      <c r="C23" s="1776">
        <v>0</v>
      </c>
      <c r="D23" s="1775"/>
      <c r="E23" s="1776">
        <v>0</v>
      </c>
      <c r="F23" s="1775"/>
      <c r="G23" s="1776">
        <v>0</v>
      </c>
      <c r="H23" s="1775"/>
      <c r="I23" s="1776">
        <v>0</v>
      </c>
      <c r="J23" s="375"/>
      <c r="K23" s="324">
        <f t="shared" si="0"/>
        <v>0</v>
      </c>
      <c r="L23" s="2107"/>
    </row>
    <row r="24" spans="1:12">
      <c r="A24" s="181" t="s">
        <v>658</v>
      </c>
      <c r="B24" s="376"/>
      <c r="C24" s="1644">
        <f>ROUND(SUM(C14:C23),3)</f>
        <v>47424.902000000002</v>
      </c>
      <c r="D24" s="182"/>
      <c r="E24" s="1644">
        <f>ROUND(SUM(E14:E23),3)</f>
        <v>3089.9769999999999</v>
      </c>
      <c r="F24" s="182"/>
      <c r="G24" s="1644">
        <f>ROUND(SUM(G14:G23),3)</f>
        <v>6198.8239999999996</v>
      </c>
      <c r="H24" s="182"/>
      <c r="I24" s="1644">
        <f>ROUND(SUM(I14:I23),3)</f>
        <v>1810.2829999999999</v>
      </c>
      <c r="J24" s="182"/>
      <c r="K24" s="1644">
        <f>ROUND(SUM(K14:K23),3)</f>
        <v>46126.338000000003</v>
      </c>
      <c r="L24" s="2109"/>
    </row>
    <row r="25" spans="1:12" ht="8.25" customHeight="1">
      <c r="A25" s="181"/>
      <c r="B25" s="376"/>
      <c r="C25" s="375"/>
      <c r="D25" s="324"/>
      <c r="E25" s="375"/>
      <c r="F25" s="324"/>
      <c r="G25" s="375"/>
      <c r="H25" s="324"/>
      <c r="I25" s="375"/>
      <c r="J25" s="324"/>
      <c r="K25" s="375"/>
      <c r="L25" s="2110"/>
    </row>
    <row r="26" spans="1:12" ht="16">
      <c r="A26" s="377"/>
      <c r="B26" s="376"/>
      <c r="C26" s="376"/>
      <c r="D26" s="376"/>
      <c r="E26" s="376"/>
      <c r="F26" s="349"/>
      <c r="G26" s="376"/>
      <c r="H26" s="349"/>
      <c r="I26" s="376"/>
      <c r="J26" s="376"/>
      <c r="K26" s="324"/>
      <c r="L26" s="2108"/>
    </row>
    <row r="27" spans="1:12" ht="16">
      <c r="A27" s="183" t="s">
        <v>659</v>
      </c>
      <c r="B27" s="376"/>
      <c r="C27" s="376"/>
      <c r="D27" s="376"/>
      <c r="E27" s="376"/>
      <c r="F27" s="349"/>
      <c r="G27" s="376"/>
      <c r="H27" s="349"/>
      <c r="I27" s="376"/>
      <c r="J27" s="376"/>
      <c r="K27" s="376"/>
    </row>
    <row r="28" spans="1:12">
      <c r="A28" s="377" t="s">
        <v>660</v>
      </c>
      <c r="B28" s="376"/>
      <c r="C28" s="1776">
        <v>0.85699999999999998</v>
      </c>
      <c r="D28" s="1775"/>
      <c r="E28" s="1776">
        <v>4.0000000000000001E-3</v>
      </c>
      <c r="F28" s="1775"/>
      <c r="G28" s="1776">
        <v>0</v>
      </c>
      <c r="H28" s="1775"/>
      <c r="I28" s="1776">
        <v>0</v>
      </c>
      <c r="J28" s="375"/>
      <c r="K28" s="324">
        <f t="shared" ref="K28:K33" si="1">ROUND(SUM(C28)+SUM(E28)-SUM(G28)+SUM(I28),3)</f>
        <v>0.86099999999999999</v>
      </c>
      <c r="L28" s="2112"/>
    </row>
    <row r="29" spans="1:12">
      <c r="A29" s="377" t="s">
        <v>661</v>
      </c>
      <c r="B29" s="376"/>
      <c r="C29" s="1776">
        <v>65.093999999999994</v>
      </c>
      <c r="D29" s="1775"/>
      <c r="E29" s="1776">
        <v>0.5</v>
      </c>
      <c r="F29" s="1775"/>
      <c r="G29" s="1776">
        <v>0.82</v>
      </c>
      <c r="H29" s="1775"/>
      <c r="I29" s="1776">
        <v>0</v>
      </c>
      <c r="J29" s="375"/>
      <c r="K29" s="324">
        <f t="shared" si="1"/>
        <v>64.774000000000001</v>
      </c>
      <c r="L29" s="2112"/>
    </row>
    <row r="30" spans="1:12">
      <c r="A30" s="376" t="s">
        <v>662</v>
      </c>
      <c r="B30" s="1126" t="s">
        <v>642</v>
      </c>
      <c r="C30" s="1776">
        <v>319.20100000000002</v>
      </c>
      <c r="D30" s="1775"/>
      <c r="E30" s="1776">
        <v>20.835999999999999</v>
      </c>
      <c r="F30" s="1775"/>
      <c r="G30" s="1776">
        <v>2.3330000000000002</v>
      </c>
      <c r="H30" s="1775"/>
      <c r="I30" s="1776">
        <v>0</v>
      </c>
      <c r="J30" s="375"/>
      <c r="K30" s="324">
        <f t="shared" si="1"/>
        <v>337.70400000000001</v>
      </c>
      <c r="L30" s="2112"/>
    </row>
    <row r="31" spans="1:12">
      <c r="A31" s="377" t="s">
        <v>663</v>
      </c>
      <c r="B31" s="1126"/>
      <c r="C31" s="1776">
        <v>2.7E-2</v>
      </c>
      <c r="D31" s="1775"/>
      <c r="E31" s="1776">
        <v>0.06</v>
      </c>
      <c r="F31" s="1775"/>
      <c r="G31" s="1776">
        <v>4.4999999999999998E-2</v>
      </c>
      <c r="H31" s="1775"/>
      <c r="I31" s="1776">
        <v>-0.01</v>
      </c>
      <c r="J31" s="375"/>
      <c r="K31" s="324">
        <f t="shared" si="1"/>
        <v>3.2000000000000001E-2</v>
      </c>
      <c r="L31" s="2112"/>
    </row>
    <row r="32" spans="1:12">
      <c r="A32" s="377" t="s">
        <v>664</v>
      </c>
      <c r="B32" s="1126"/>
      <c r="C32" s="1776">
        <v>0.49</v>
      </c>
      <c r="D32" s="1775"/>
      <c r="E32" s="1776">
        <v>7.0000000000000001E-3</v>
      </c>
      <c r="F32" s="1775"/>
      <c r="G32" s="1776">
        <v>5.5E-2</v>
      </c>
      <c r="H32" s="1775"/>
      <c r="I32" s="1776">
        <v>0</v>
      </c>
      <c r="J32" s="375"/>
      <c r="K32" s="324">
        <f t="shared" si="1"/>
        <v>0.442</v>
      </c>
      <c r="L32" s="2112"/>
    </row>
    <row r="33" spans="1:12">
      <c r="A33" s="376" t="s">
        <v>665</v>
      </c>
      <c r="B33" s="376"/>
      <c r="C33" s="1776">
        <v>11.101000000000001</v>
      </c>
      <c r="D33" s="1775"/>
      <c r="E33" s="1776">
        <v>0.47399999999999998</v>
      </c>
      <c r="F33" s="1775"/>
      <c r="G33" s="1776">
        <v>-0.39800000000000002</v>
      </c>
      <c r="H33" s="1775"/>
      <c r="I33" s="1776">
        <v>-8.5000000000000006E-2</v>
      </c>
      <c r="J33" s="375"/>
      <c r="K33" s="324">
        <f t="shared" si="1"/>
        <v>11.888</v>
      </c>
      <c r="L33" s="2112"/>
    </row>
    <row r="34" spans="1:12">
      <c r="A34" s="376" t="s">
        <v>666</v>
      </c>
      <c r="B34" s="376"/>
      <c r="C34" s="1777"/>
      <c r="D34"/>
      <c r="E34" s="1778"/>
      <c r="F34" s="1778"/>
      <c r="G34" s="1778"/>
      <c r="H34" s="1778"/>
      <c r="I34" s="1778"/>
      <c r="J34" s="184"/>
      <c r="K34" s="677"/>
      <c r="L34" s="2112"/>
    </row>
    <row r="35" spans="1:12">
      <c r="A35" s="376" t="s">
        <v>667</v>
      </c>
      <c r="B35" s="376"/>
      <c r="C35" s="1776">
        <v>8.4309999999999992</v>
      </c>
      <c r="D35" s="1775"/>
      <c r="E35" s="1776">
        <v>0.53700000000000003</v>
      </c>
      <c r="F35" s="1775"/>
      <c r="G35" s="1776">
        <v>0.45500000000000002</v>
      </c>
      <c r="H35" s="1775"/>
      <c r="I35" s="1776">
        <v>-8.3000000000000004E-2</v>
      </c>
      <c r="J35" s="375"/>
      <c r="K35" s="324">
        <f t="shared" ref="K35:K60" si="2">ROUND(SUM(C35)+SUM(E35)-SUM(G35)+SUM(I35),3)</f>
        <v>8.43</v>
      </c>
      <c r="L35" s="2112"/>
    </row>
    <row r="36" spans="1:12">
      <c r="A36" s="376" t="s">
        <v>668</v>
      </c>
      <c r="B36" s="376"/>
      <c r="C36" s="1776">
        <v>0</v>
      </c>
      <c r="D36" s="1775"/>
      <c r="E36" s="1776">
        <v>0.05</v>
      </c>
      <c r="F36" s="1775"/>
      <c r="G36" s="1776">
        <v>5.0000000000000001E-3</v>
      </c>
      <c r="H36" s="1775"/>
      <c r="I36" s="1776">
        <v>0</v>
      </c>
      <c r="J36" s="375"/>
      <c r="K36" s="324">
        <f t="shared" si="2"/>
        <v>4.4999999999999998E-2</v>
      </c>
      <c r="L36" s="2112"/>
    </row>
    <row r="37" spans="1:12">
      <c r="A37" s="376" t="s">
        <v>669</v>
      </c>
      <c r="B37" s="376"/>
      <c r="C37" s="1776">
        <v>11.163</v>
      </c>
      <c r="D37" s="1775"/>
      <c r="E37" s="1776">
        <v>5.1999999999999998E-2</v>
      </c>
      <c r="F37" s="1775"/>
      <c r="G37" s="1776">
        <v>0</v>
      </c>
      <c r="H37" s="1775"/>
      <c r="I37" s="1776">
        <v>0</v>
      </c>
      <c r="J37" s="375"/>
      <c r="K37" s="324">
        <f t="shared" si="2"/>
        <v>11.215</v>
      </c>
      <c r="L37" s="2112"/>
    </row>
    <row r="38" spans="1:12">
      <c r="A38" s="841" t="s">
        <v>670</v>
      </c>
      <c r="B38" s="1129"/>
      <c r="C38" s="1776">
        <v>0</v>
      </c>
      <c r="D38" s="1775"/>
      <c r="E38" s="1776">
        <v>0</v>
      </c>
      <c r="F38" s="1775"/>
      <c r="G38" s="1776">
        <v>0</v>
      </c>
      <c r="H38" s="1775"/>
      <c r="I38" s="1776">
        <v>0</v>
      </c>
      <c r="J38" s="375"/>
      <c r="K38" s="324">
        <f t="shared" si="2"/>
        <v>0</v>
      </c>
      <c r="L38" s="2112"/>
    </row>
    <row r="39" spans="1:12">
      <c r="A39" s="377" t="s">
        <v>671</v>
      </c>
      <c r="B39" s="376"/>
      <c r="C39" s="1776">
        <v>683.59199999999998</v>
      </c>
      <c r="D39" s="1775"/>
      <c r="E39" s="1776">
        <v>575.87800000000004</v>
      </c>
      <c r="F39" s="1775"/>
      <c r="G39" s="1776">
        <v>557.83100000000002</v>
      </c>
      <c r="H39" s="1775"/>
      <c r="I39" s="1776">
        <v>-0.27300000000000002</v>
      </c>
      <c r="J39" s="375"/>
      <c r="K39" s="324">
        <f t="shared" si="2"/>
        <v>701.36599999999999</v>
      </c>
      <c r="L39" s="2112"/>
    </row>
    <row r="40" spans="1:12">
      <c r="A40" s="376" t="s">
        <v>672</v>
      </c>
      <c r="B40" s="376"/>
      <c r="C40" s="1776">
        <v>66.382999999999996</v>
      </c>
      <c r="D40" s="1775"/>
      <c r="E40" s="743">
        <v>50.204999999999998</v>
      </c>
      <c r="F40" s="1775"/>
      <c r="G40" s="1776">
        <v>58.75</v>
      </c>
      <c r="H40" s="1775"/>
      <c r="I40" s="1776">
        <v>0</v>
      </c>
      <c r="J40" s="375"/>
      <c r="K40" s="324">
        <f t="shared" si="2"/>
        <v>57.838000000000001</v>
      </c>
      <c r="L40" s="2112"/>
    </row>
    <row r="41" spans="1:12">
      <c r="A41" s="377" t="s">
        <v>673</v>
      </c>
      <c r="B41" s="376"/>
      <c r="C41" s="1776">
        <v>-170.495</v>
      </c>
      <c r="D41" s="1775"/>
      <c r="E41" s="1776">
        <v>321.39100000000002</v>
      </c>
      <c r="F41" s="1775"/>
      <c r="G41" s="1776">
        <v>158.39400000000001</v>
      </c>
      <c r="H41" s="1775"/>
      <c r="I41" s="1776">
        <v>0</v>
      </c>
      <c r="J41" s="375"/>
      <c r="K41" s="324">
        <f t="shared" si="2"/>
        <v>-7.4980000000000002</v>
      </c>
      <c r="L41" s="2112"/>
    </row>
    <row r="42" spans="1:12">
      <c r="A42" s="377" t="s">
        <v>674</v>
      </c>
      <c r="B42" s="376"/>
      <c r="C42" s="1776">
        <v>18.920999999999999</v>
      </c>
      <c r="D42" s="1775"/>
      <c r="E42" s="1776">
        <v>1.732</v>
      </c>
      <c r="F42" s="1775"/>
      <c r="G42" s="1776">
        <v>0.31900000000000001</v>
      </c>
      <c r="H42" s="1775"/>
      <c r="I42" s="1776">
        <v>0</v>
      </c>
      <c r="J42" s="375"/>
      <c r="K42" s="324">
        <f t="shared" si="2"/>
        <v>20.334</v>
      </c>
      <c r="L42" s="2112"/>
    </row>
    <row r="43" spans="1:12">
      <c r="A43" s="376" t="s">
        <v>675</v>
      </c>
      <c r="B43" s="376"/>
      <c r="C43" s="1776">
        <v>-0.22</v>
      </c>
      <c r="D43" s="1775"/>
      <c r="E43" s="1776">
        <v>0</v>
      </c>
      <c r="F43" s="1775"/>
      <c r="G43" s="1776">
        <v>8.1000000000000003E-2</v>
      </c>
      <c r="H43" s="1775"/>
      <c r="I43" s="1776">
        <v>0</v>
      </c>
      <c r="J43" s="375"/>
      <c r="K43" s="324">
        <f t="shared" si="2"/>
        <v>-0.30099999999999999</v>
      </c>
      <c r="L43" s="2112"/>
    </row>
    <row r="44" spans="1:12">
      <c r="A44" s="376" t="s">
        <v>676</v>
      </c>
      <c r="B44" s="376"/>
      <c r="C44" s="1776">
        <v>-0.79700000000000004</v>
      </c>
      <c r="D44" s="1775"/>
      <c r="E44" s="1776">
        <v>19.12</v>
      </c>
      <c r="F44" s="1775"/>
      <c r="G44" s="1776">
        <v>9.7579999999999991</v>
      </c>
      <c r="H44" s="1775"/>
      <c r="I44" s="1776">
        <v>8.2110000000000003</v>
      </c>
      <c r="J44" s="375"/>
      <c r="K44" s="324">
        <f t="shared" si="2"/>
        <v>16.776</v>
      </c>
      <c r="L44" s="2112"/>
    </row>
    <row r="45" spans="1:12">
      <c r="A45" s="376" t="s">
        <v>677</v>
      </c>
      <c r="B45" s="376"/>
      <c r="C45" s="1776">
        <v>128.46299999999999</v>
      </c>
      <c r="D45" s="1775"/>
      <c r="E45" s="1776">
        <v>5.0090000000000003</v>
      </c>
      <c r="F45" s="1775"/>
      <c r="G45" s="1776">
        <v>5.1180000000000003</v>
      </c>
      <c r="H45" s="1775"/>
      <c r="I45" s="1776">
        <v>-1.835</v>
      </c>
      <c r="J45" s="375"/>
      <c r="K45" s="324">
        <f t="shared" si="2"/>
        <v>126.51900000000001</v>
      </c>
      <c r="L45" s="2112"/>
    </row>
    <row r="46" spans="1:12">
      <c r="A46" s="376" t="s">
        <v>678</v>
      </c>
      <c r="B46" s="376"/>
      <c r="C46" s="1776">
        <v>10.481</v>
      </c>
      <c r="D46" s="1775"/>
      <c r="E46" s="1776">
        <v>3.1429999999999998</v>
      </c>
      <c r="F46" s="1775"/>
      <c r="G46" s="1776">
        <v>2.1539999999999999</v>
      </c>
      <c r="H46" s="1775"/>
      <c r="I46" s="1776">
        <v>-2.4969999999999999</v>
      </c>
      <c r="J46" s="375"/>
      <c r="K46" s="324">
        <f t="shared" si="2"/>
        <v>8.9730000000000008</v>
      </c>
      <c r="L46" s="2112"/>
    </row>
    <row r="47" spans="1:12">
      <c r="A47" s="376" t="s">
        <v>679</v>
      </c>
      <c r="B47" s="376"/>
      <c r="C47" s="1776">
        <v>10.685</v>
      </c>
      <c r="D47" s="1775"/>
      <c r="E47" s="1776">
        <v>4.9000000000000002E-2</v>
      </c>
      <c r="F47" s="1775"/>
      <c r="G47" s="1776">
        <v>5.6669999999999998</v>
      </c>
      <c r="H47" s="1775"/>
      <c r="I47" s="1776">
        <v>0</v>
      </c>
      <c r="J47" s="375"/>
      <c r="K47" s="324">
        <f t="shared" si="2"/>
        <v>5.0670000000000002</v>
      </c>
      <c r="L47" s="2112"/>
    </row>
    <row r="48" spans="1:12">
      <c r="A48" s="376" t="s">
        <v>680</v>
      </c>
      <c r="B48" s="376"/>
      <c r="C48" s="1776">
        <v>11.525</v>
      </c>
      <c r="D48" s="1775"/>
      <c r="E48" s="1776">
        <v>0.94599999999999995</v>
      </c>
      <c r="F48" s="1775"/>
      <c r="G48" s="1776">
        <v>0.111</v>
      </c>
      <c r="H48" s="1775"/>
      <c r="I48" s="1776">
        <v>0</v>
      </c>
      <c r="J48" s="375"/>
      <c r="K48" s="324">
        <f t="shared" si="2"/>
        <v>12.36</v>
      </c>
      <c r="L48" s="2112"/>
    </row>
    <row r="49" spans="1:12">
      <c r="A49" s="377" t="s">
        <v>681</v>
      </c>
      <c r="B49" s="376"/>
      <c r="C49" s="1776">
        <v>0.54500000000000004</v>
      </c>
      <c r="D49" s="1775"/>
      <c r="E49" s="1776">
        <v>3.0000000000000001E-3</v>
      </c>
      <c r="F49" s="1775"/>
      <c r="G49" s="1776">
        <v>0</v>
      </c>
      <c r="H49" s="1775"/>
      <c r="I49" s="1776">
        <v>0</v>
      </c>
      <c r="J49" s="375"/>
      <c r="K49" s="324">
        <f t="shared" si="2"/>
        <v>0.54800000000000004</v>
      </c>
      <c r="L49" s="2112"/>
    </row>
    <row r="50" spans="1:12">
      <c r="A50" s="376" t="s">
        <v>682</v>
      </c>
      <c r="B50" s="376"/>
      <c r="C50" s="1776">
        <v>1138.242</v>
      </c>
      <c r="D50" s="1775"/>
      <c r="E50" s="1776">
        <v>167.29400000000001</v>
      </c>
      <c r="F50" s="1775"/>
      <c r="G50" s="1776">
        <v>562.327</v>
      </c>
      <c r="H50" s="1775"/>
      <c r="I50" s="1776">
        <v>-0.17899999999999999</v>
      </c>
      <c r="J50" s="375"/>
      <c r="K50" s="324">
        <f t="shared" si="2"/>
        <v>743.03</v>
      </c>
      <c r="L50" s="2112"/>
    </row>
    <row r="51" spans="1:12">
      <c r="A51" s="376" t="s">
        <v>683</v>
      </c>
      <c r="B51" s="376"/>
      <c r="C51" s="1776">
        <v>-33.505000000000003</v>
      </c>
      <c r="D51" s="1775"/>
      <c r="E51" s="1776">
        <v>3.0510000000000002</v>
      </c>
      <c r="F51" s="1775"/>
      <c r="G51" s="1776">
        <v>4.0430000000000001</v>
      </c>
      <c r="H51" s="1775"/>
      <c r="I51" s="1776">
        <v>0</v>
      </c>
      <c r="J51" s="375"/>
      <c r="K51" s="324">
        <f t="shared" si="2"/>
        <v>-34.497</v>
      </c>
      <c r="L51" s="2112"/>
    </row>
    <row r="52" spans="1:12">
      <c r="A52" s="376" t="s">
        <v>684</v>
      </c>
      <c r="B52" s="376"/>
      <c r="C52" s="1776">
        <v>7.4999999999999997E-2</v>
      </c>
      <c r="D52" s="1775"/>
      <c r="E52" s="1776">
        <v>0</v>
      </c>
      <c r="F52" s="1775"/>
      <c r="G52" s="1776">
        <v>0</v>
      </c>
      <c r="H52" s="1775"/>
      <c r="I52" s="1776">
        <v>0</v>
      </c>
      <c r="J52" s="375"/>
      <c r="K52" s="324">
        <f t="shared" si="2"/>
        <v>7.4999999999999997E-2</v>
      </c>
      <c r="L52" s="2112"/>
    </row>
    <row r="53" spans="1:12">
      <c r="A53" s="376" t="s">
        <v>685</v>
      </c>
      <c r="B53" s="376"/>
      <c r="C53" s="1776">
        <v>13.404</v>
      </c>
      <c r="D53" s="1775"/>
      <c r="E53" s="1776">
        <v>0.153</v>
      </c>
      <c r="F53" s="1775"/>
      <c r="G53" s="1776">
        <v>0.17799999999999999</v>
      </c>
      <c r="H53" s="1775"/>
      <c r="I53" s="1776">
        <v>0</v>
      </c>
      <c r="J53" s="375"/>
      <c r="K53" s="324">
        <f t="shared" si="2"/>
        <v>13.379</v>
      </c>
      <c r="L53" s="2112"/>
    </row>
    <row r="54" spans="1:12">
      <c r="A54" s="376" t="s">
        <v>686</v>
      </c>
      <c r="B54" s="376"/>
      <c r="C54" s="1776">
        <v>0</v>
      </c>
      <c r="D54" s="1775"/>
      <c r="E54" s="1776">
        <v>0</v>
      </c>
      <c r="F54" s="1775"/>
      <c r="G54" s="1776">
        <v>0</v>
      </c>
      <c r="H54" s="1775"/>
      <c r="I54" s="1776">
        <v>0</v>
      </c>
      <c r="J54" s="375"/>
      <c r="K54" s="324">
        <f t="shared" si="2"/>
        <v>0</v>
      </c>
      <c r="L54" s="2112"/>
    </row>
    <row r="55" spans="1:12">
      <c r="A55" s="377" t="s">
        <v>687</v>
      </c>
      <c r="B55" s="376"/>
      <c r="C55" s="1776">
        <v>0.48499999999999999</v>
      </c>
      <c r="D55" s="1775"/>
      <c r="E55" s="1776">
        <v>2E-3</v>
      </c>
      <c r="F55" s="1775"/>
      <c r="G55" s="1776">
        <v>0</v>
      </c>
      <c r="H55" s="1775"/>
      <c r="I55" s="1776">
        <v>0</v>
      </c>
      <c r="J55" s="375"/>
      <c r="K55" s="324">
        <f t="shared" si="2"/>
        <v>0.48699999999999999</v>
      </c>
      <c r="L55" s="2112"/>
    </row>
    <row r="56" spans="1:12">
      <c r="A56" s="377" t="s">
        <v>688</v>
      </c>
      <c r="B56" s="376"/>
      <c r="C56" s="1776">
        <v>0</v>
      </c>
      <c r="D56" s="1775"/>
      <c r="E56" s="1776">
        <v>0</v>
      </c>
      <c r="F56" s="1775"/>
      <c r="G56" s="1776">
        <v>0</v>
      </c>
      <c r="H56" s="1775"/>
      <c r="I56" s="1776">
        <v>0</v>
      </c>
      <c r="J56" s="375"/>
      <c r="K56" s="324">
        <f t="shared" si="2"/>
        <v>0</v>
      </c>
      <c r="L56" s="2112"/>
    </row>
    <row r="57" spans="1:12">
      <c r="A57" s="377" t="s">
        <v>689</v>
      </c>
      <c r="B57" s="376"/>
      <c r="C57" s="1776">
        <v>0</v>
      </c>
      <c r="D57" s="1775"/>
      <c r="E57" s="1776">
        <v>0</v>
      </c>
      <c r="F57" s="1775"/>
      <c r="G57" s="1776">
        <v>0</v>
      </c>
      <c r="H57" s="1775"/>
      <c r="I57" s="1776">
        <v>0</v>
      </c>
      <c r="J57" s="375"/>
      <c r="K57" s="324">
        <f t="shared" si="2"/>
        <v>0</v>
      </c>
      <c r="L57" s="2112"/>
    </row>
    <row r="58" spans="1:12">
      <c r="A58" s="377" t="s">
        <v>690</v>
      </c>
      <c r="B58" s="376"/>
      <c r="C58" s="1776">
        <v>0.66700000000000004</v>
      </c>
      <c r="D58" s="1775"/>
      <c r="E58" s="1776">
        <v>4.0000000000000001E-3</v>
      </c>
      <c r="F58" s="1779"/>
      <c r="G58" s="1776">
        <v>0</v>
      </c>
      <c r="H58" s="1775"/>
      <c r="I58" s="1776">
        <v>0</v>
      </c>
      <c r="J58" s="375"/>
      <c r="K58" s="324">
        <f>ROUND(SUM(C58)+SUM(E58)-SUM(G58)+SUM(I58),3)</f>
        <v>0.67100000000000004</v>
      </c>
      <c r="L58" s="2112"/>
    </row>
    <row r="59" spans="1:12">
      <c r="A59" s="377" t="s">
        <v>691</v>
      </c>
      <c r="B59" s="376"/>
      <c r="C59" s="1776">
        <v>2930.058</v>
      </c>
      <c r="D59" s="1775"/>
      <c r="E59" s="1776">
        <v>120.994</v>
      </c>
      <c r="F59" s="1775"/>
      <c r="G59" s="1776">
        <v>312.84299999999996</v>
      </c>
      <c r="H59" s="1775"/>
      <c r="I59" s="1776">
        <v>35.335999999999999</v>
      </c>
      <c r="J59" s="375"/>
      <c r="K59" s="324">
        <f t="shared" si="2"/>
        <v>2773.5450000000001</v>
      </c>
      <c r="L59" s="2112"/>
    </row>
    <row r="60" spans="1:12">
      <c r="A60" s="376" t="s">
        <v>692</v>
      </c>
      <c r="B60" s="376"/>
      <c r="C60" s="1776">
        <v>16.795000000000002</v>
      </c>
      <c r="D60" s="1775"/>
      <c r="E60" s="1776">
        <v>8.1000000000000003E-2</v>
      </c>
      <c r="F60" s="1775"/>
      <c r="G60" s="1776">
        <v>3.153</v>
      </c>
      <c r="H60" s="1775"/>
      <c r="I60" s="1776">
        <v>0</v>
      </c>
      <c r="J60" s="375"/>
      <c r="K60" s="324">
        <f t="shared" si="2"/>
        <v>13.723000000000001</v>
      </c>
      <c r="L60" s="2112"/>
    </row>
    <row r="61" spans="1:12">
      <c r="A61" s="376"/>
      <c r="B61" s="376"/>
      <c r="C61" s="1776"/>
      <c r="D61" s="1775"/>
      <c r="E61" s="1776"/>
      <c r="F61" s="1775"/>
      <c r="G61" s="1776"/>
      <c r="H61" s="1775"/>
      <c r="I61" s="1776"/>
      <c r="J61" s="375"/>
      <c r="K61" s="324"/>
      <c r="L61" s="2112"/>
    </row>
    <row r="62" spans="1:12">
      <c r="A62" s="183" t="s">
        <v>693</v>
      </c>
      <c r="B62" s="376"/>
      <c r="C62" s="1776"/>
      <c r="D62" s="1775"/>
      <c r="E62" s="1776"/>
      <c r="F62" s="1775"/>
      <c r="G62" s="1776"/>
      <c r="H62" s="1775"/>
      <c r="I62" s="1776"/>
      <c r="J62" s="375"/>
      <c r="K62" s="324"/>
      <c r="L62" s="2112"/>
    </row>
    <row r="63" spans="1:12">
      <c r="A63" s="376" t="s">
        <v>694</v>
      </c>
      <c r="B63" s="375"/>
      <c r="C63" s="1776">
        <v>5.5E-2</v>
      </c>
      <c r="D63" s="1775"/>
      <c r="E63" s="1776">
        <v>1E-3</v>
      </c>
      <c r="F63" s="1775"/>
      <c r="G63" s="1776">
        <v>0</v>
      </c>
      <c r="H63" s="1775"/>
      <c r="I63" s="1776">
        <v>0</v>
      </c>
      <c r="J63" s="375"/>
      <c r="K63" s="324">
        <f>ROUND(SUM(C63)+SUM(E63)-SUM(G63)+SUM(I63),3)</f>
        <v>5.6000000000000001E-2</v>
      </c>
      <c r="L63" s="2112"/>
    </row>
    <row r="64" spans="1:12">
      <c r="A64" s="376" t="s">
        <v>695</v>
      </c>
      <c r="B64" s="376"/>
      <c r="C64" s="1776">
        <v>2447.7939999999999</v>
      </c>
      <c r="D64" s="1775"/>
      <c r="E64" s="1776">
        <v>364.16800000000001</v>
      </c>
      <c r="F64" s="1775"/>
      <c r="G64" s="1776">
        <v>700.96299999999997</v>
      </c>
      <c r="H64" s="1775"/>
      <c r="I64" s="1776">
        <v>240.179</v>
      </c>
      <c r="J64" s="375"/>
      <c r="K64" s="324">
        <f>ROUND(SUM(C64)+SUM(E64)-SUM(G64)+SUM(I64),3)</f>
        <v>2351.1779999999999</v>
      </c>
      <c r="L64" s="2112"/>
    </row>
    <row r="65" spans="1:12">
      <c r="A65" s="377" t="s">
        <v>696</v>
      </c>
      <c r="B65" s="376"/>
      <c r="C65" s="1776">
        <v>2.927</v>
      </c>
      <c r="D65" s="1775"/>
      <c r="E65" s="1776">
        <v>0.6</v>
      </c>
      <c r="F65" s="1775"/>
      <c r="G65" s="1776">
        <v>0.66</v>
      </c>
      <c r="H65" s="1775"/>
      <c r="I65" s="1776">
        <v>0</v>
      </c>
      <c r="J65" s="375"/>
      <c r="K65" s="324">
        <f>ROUND(SUM(C65)+SUM(E65)-SUM(G65)+SUM(I65),3)</f>
        <v>2.867</v>
      </c>
      <c r="L65" s="2112"/>
    </row>
    <row r="66" spans="1:12">
      <c r="A66" s="376" t="s">
        <v>697</v>
      </c>
      <c r="B66" s="376"/>
      <c r="C66" s="1776">
        <v>0.84799999999999998</v>
      </c>
      <c r="D66" s="1775"/>
      <c r="E66" s="1776">
        <v>0.27500000000000002</v>
      </c>
      <c r="F66" s="1775"/>
      <c r="G66" s="1776">
        <v>0.189</v>
      </c>
      <c r="H66" s="1775"/>
      <c r="I66" s="1776">
        <v>0</v>
      </c>
      <c r="J66" s="375"/>
      <c r="K66" s="324">
        <f>ROUND(SUM(C66)+SUM(E66)-SUM(G66)+SUM(I66),3)</f>
        <v>0.93400000000000005</v>
      </c>
      <c r="L66" s="2112"/>
    </row>
    <row r="67" spans="1:12">
      <c r="A67" s="376" t="s">
        <v>698</v>
      </c>
      <c r="B67" s="376"/>
      <c r="C67" s="1777"/>
      <c r="D67"/>
      <c r="E67" s="743"/>
      <c r="F67" s="744"/>
      <c r="G67" s="743"/>
      <c r="H67" s="744"/>
      <c r="I67" s="745"/>
      <c r="J67" s="376"/>
      <c r="K67" s="324" t="s">
        <v>104</v>
      </c>
      <c r="L67" s="2112"/>
    </row>
    <row r="68" spans="1:12">
      <c r="A68" s="376" t="s">
        <v>699</v>
      </c>
      <c r="B68" s="376"/>
      <c r="C68" s="1776">
        <v>111.54900000000001</v>
      </c>
      <c r="D68" s="1775"/>
      <c r="E68" s="1776">
        <v>14.49</v>
      </c>
      <c r="F68" s="1775"/>
      <c r="G68" s="1776">
        <v>0.36199999999999999</v>
      </c>
      <c r="H68" s="1775"/>
      <c r="I68" s="1776">
        <v>0</v>
      </c>
      <c r="J68" s="375"/>
      <c r="K68" s="324">
        <f t="shared" ref="K68:K73" si="3">ROUND(SUM(C68)+SUM(E68)-SUM(G68)+SUM(I68),3)</f>
        <v>125.67700000000001</v>
      </c>
      <c r="L68" s="2112"/>
    </row>
    <row r="69" spans="1:12">
      <c r="A69" s="376" t="s">
        <v>700</v>
      </c>
      <c r="B69" s="185"/>
      <c r="C69" s="1776">
        <v>0.48699999999999999</v>
      </c>
      <c r="D69" s="1775"/>
      <c r="E69" s="1776">
        <v>2E-3</v>
      </c>
      <c r="F69" s="1775"/>
      <c r="G69" s="1776">
        <v>1.7000000000000001E-2</v>
      </c>
      <c r="H69" s="1775"/>
      <c r="I69" s="1776">
        <v>0</v>
      </c>
      <c r="J69" s="375"/>
      <c r="K69" s="324">
        <f t="shared" si="3"/>
        <v>0.47199999999999998</v>
      </c>
      <c r="L69" s="2112"/>
    </row>
    <row r="70" spans="1:12">
      <c r="A70" s="376" t="s">
        <v>701</v>
      </c>
      <c r="B70" s="376"/>
      <c r="C70" s="1776">
        <v>2.4999999999999998E-2</v>
      </c>
      <c r="D70" s="1775"/>
      <c r="E70" s="1776">
        <v>1E-3</v>
      </c>
      <c r="F70" s="1775"/>
      <c r="G70" s="1776">
        <v>0</v>
      </c>
      <c r="H70" s="1775"/>
      <c r="I70" s="1776">
        <v>0</v>
      </c>
      <c r="J70" s="375"/>
      <c r="K70" s="324">
        <f t="shared" si="3"/>
        <v>2.5999999999999999E-2</v>
      </c>
      <c r="L70" s="2112"/>
    </row>
    <row r="71" spans="1:12">
      <c r="A71" s="377" t="s">
        <v>702</v>
      </c>
      <c r="B71" s="376"/>
      <c r="C71" s="1776">
        <v>4.8730000000000002</v>
      </c>
      <c r="D71" s="1775"/>
      <c r="E71" s="1776">
        <v>2.3E-2</v>
      </c>
      <c r="F71" s="1775"/>
      <c r="G71" s="1776">
        <v>0.874</v>
      </c>
      <c r="H71" s="1775"/>
      <c r="I71" s="1776">
        <v>0</v>
      </c>
      <c r="J71" s="375"/>
      <c r="K71" s="324">
        <f t="shared" si="3"/>
        <v>4.0220000000000002</v>
      </c>
      <c r="L71" s="2112"/>
    </row>
    <row r="72" spans="1:12">
      <c r="A72" s="376" t="s">
        <v>703</v>
      </c>
      <c r="B72" s="376"/>
      <c r="C72" s="1776">
        <v>-23.986000000000001</v>
      </c>
      <c r="D72" s="1775"/>
      <c r="E72" s="1776">
        <v>4.2999999999999997E-2</v>
      </c>
      <c r="F72" s="1775"/>
      <c r="G72" s="1776">
        <v>0.23899999999999999</v>
      </c>
      <c r="H72" s="1775"/>
      <c r="I72" s="1776">
        <v>0</v>
      </c>
      <c r="J72" s="375"/>
      <c r="K72" s="324">
        <f t="shared" si="3"/>
        <v>-24.181999999999999</v>
      </c>
      <c r="L72" s="2112"/>
    </row>
    <row r="73" spans="1:12">
      <c r="A73" s="376" t="s">
        <v>704</v>
      </c>
      <c r="B73" s="376"/>
      <c r="C73" s="1776">
        <v>0.104</v>
      </c>
      <c r="D73" s="1775"/>
      <c r="E73" s="1776">
        <v>1.0999999999999999E-2</v>
      </c>
      <c r="F73" s="1775"/>
      <c r="G73" s="1776">
        <v>2.1999999999999999E-2</v>
      </c>
      <c r="H73" s="1775"/>
      <c r="I73" s="1776">
        <v>0</v>
      </c>
      <c r="J73" s="375"/>
      <c r="K73" s="324">
        <f t="shared" si="3"/>
        <v>9.2999999999999999E-2</v>
      </c>
      <c r="L73" s="2112"/>
    </row>
    <row r="74" spans="1:12">
      <c r="A74" s="376" t="s">
        <v>705</v>
      </c>
      <c r="B74" s="376"/>
      <c r="C74" s="1777"/>
      <c r="D74"/>
      <c r="E74" s="743"/>
      <c r="F74" s="744"/>
      <c r="G74" s="743"/>
      <c r="H74" s="744"/>
      <c r="I74" s="743"/>
      <c r="J74" s="376"/>
      <c r="K74" s="324"/>
      <c r="L74" s="2112"/>
    </row>
    <row r="75" spans="1:12">
      <c r="A75" s="376" t="s">
        <v>706</v>
      </c>
      <c r="B75" s="376"/>
      <c r="C75" s="1776">
        <v>1E-3</v>
      </c>
      <c r="D75" s="1775"/>
      <c r="E75" s="1776">
        <v>0</v>
      </c>
      <c r="F75" s="1775"/>
      <c r="G75" s="1776">
        <v>0</v>
      </c>
      <c r="H75" s="1775"/>
      <c r="I75" s="1776">
        <v>0</v>
      </c>
      <c r="J75" s="375"/>
      <c r="K75" s="324">
        <f t="shared" ref="K75:K90" si="4">ROUND(SUM(C75)+SUM(E75)-SUM(G75)+SUM(I75),3)</f>
        <v>1E-3</v>
      </c>
      <c r="L75" s="2112"/>
    </row>
    <row r="76" spans="1:12">
      <c r="A76" s="376" t="s">
        <v>707</v>
      </c>
      <c r="B76" s="376"/>
      <c r="C76" s="1776">
        <v>-49.381</v>
      </c>
      <c r="D76" s="1775"/>
      <c r="E76" s="1776">
        <v>0</v>
      </c>
      <c r="F76" s="1775"/>
      <c r="G76" s="743">
        <v>2.6429999999999998</v>
      </c>
      <c r="H76" s="1775"/>
      <c r="I76" s="1776">
        <v>0</v>
      </c>
      <c r="J76" s="375"/>
      <c r="K76" s="324">
        <f t="shared" si="4"/>
        <v>-52.024000000000001</v>
      </c>
      <c r="L76" s="2112"/>
    </row>
    <row r="77" spans="1:12">
      <c r="A77" s="376" t="s">
        <v>708</v>
      </c>
      <c r="B77" s="376"/>
      <c r="C77" s="1776">
        <v>51.088000000000001</v>
      </c>
      <c r="D77" s="1775"/>
      <c r="E77" s="1776">
        <v>9.5190000000000001</v>
      </c>
      <c r="F77" s="1775"/>
      <c r="G77" s="1776">
        <v>7.83</v>
      </c>
      <c r="H77" s="1775"/>
      <c r="I77" s="1776">
        <v>0</v>
      </c>
      <c r="J77" s="375"/>
      <c r="K77" s="324">
        <f t="shared" si="4"/>
        <v>52.777000000000001</v>
      </c>
      <c r="L77" s="2112"/>
    </row>
    <row r="78" spans="1:12">
      <c r="A78" s="376" t="s">
        <v>709</v>
      </c>
      <c r="B78" s="376"/>
      <c r="C78" s="1776">
        <v>0.316</v>
      </c>
      <c r="D78" s="1775"/>
      <c r="E78" s="1776">
        <v>2E-3</v>
      </c>
      <c r="F78" s="1775"/>
      <c r="G78" s="1776">
        <v>0</v>
      </c>
      <c r="H78" s="1775"/>
      <c r="I78" s="1776">
        <v>0</v>
      </c>
      <c r="J78" s="375"/>
      <c r="K78" s="324">
        <f t="shared" si="4"/>
        <v>0.318</v>
      </c>
      <c r="L78" s="2112"/>
    </row>
    <row r="79" spans="1:12">
      <c r="A79" s="377" t="s">
        <v>710</v>
      </c>
      <c r="B79" s="376"/>
      <c r="C79" s="1776">
        <v>935.91099999999994</v>
      </c>
      <c r="D79" s="1775"/>
      <c r="E79" s="1776">
        <v>43.953000000000003</v>
      </c>
      <c r="F79" s="1775"/>
      <c r="G79" s="1776">
        <v>10.17</v>
      </c>
      <c r="H79" s="1775"/>
      <c r="I79" s="1776">
        <v>0</v>
      </c>
      <c r="J79" s="375"/>
      <c r="K79" s="324">
        <f t="shared" si="4"/>
        <v>969.69399999999996</v>
      </c>
      <c r="L79" s="2112"/>
    </row>
    <row r="80" spans="1:12">
      <c r="A80" s="376" t="s">
        <v>711</v>
      </c>
      <c r="B80" s="376"/>
      <c r="C80" s="1776">
        <v>24.626000000000001</v>
      </c>
      <c r="D80" s="1775"/>
      <c r="E80" s="1776">
        <v>23.427</v>
      </c>
      <c r="F80" s="1775"/>
      <c r="G80" s="1776">
        <v>8.0000000000000002E-3</v>
      </c>
      <c r="H80" s="1775"/>
      <c r="I80" s="1776">
        <v>0</v>
      </c>
      <c r="J80" s="375"/>
      <c r="K80" s="324">
        <f t="shared" si="4"/>
        <v>48.045000000000002</v>
      </c>
      <c r="L80" s="2112"/>
    </row>
    <row r="81" spans="1:12">
      <c r="A81" s="377" t="s">
        <v>712</v>
      </c>
      <c r="B81" s="376"/>
      <c r="C81" s="1776">
        <v>171.05099999999999</v>
      </c>
      <c r="D81" s="1775"/>
      <c r="E81" s="1776">
        <v>0.6</v>
      </c>
      <c r="F81" s="1775"/>
      <c r="G81" s="1776">
        <v>61.728999999999999</v>
      </c>
      <c r="H81" s="1775"/>
      <c r="I81" s="1776">
        <v>61.728999999999999</v>
      </c>
      <c r="J81" s="375"/>
      <c r="K81" s="324">
        <f t="shared" si="4"/>
        <v>171.65100000000001</v>
      </c>
      <c r="L81" s="2112"/>
    </row>
    <row r="82" spans="1:12">
      <c r="A82" s="377" t="s">
        <v>713</v>
      </c>
      <c r="B82" s="376"/>
      <c r="C82" s="1776">
        <v>97.531999999999996</v>
      </c>
      <c r="D82" s="1775"/>
      <c r="E82" s="1776">
        <v>14.798</v>
      </c>
      <c r="F82" s="1775"/>
      <c r="G82" s="1776">
        <v>2.722</v>
      </c>
      <c r="H82" s="1775"/>
      <c r="I82" s="1776">
        <v>0</v>
      </c>
      <c r="J82" s="375"/>
      <c r="K82" s="324">
        <f t="shared" si="4"/>
        <v>109.608</v>
      </c>
      <c r="L82" s="2112"/>
    </row>
    <row r="83" spans="1:12">
      <c r="A83" s="377" t="s">
        <v>714</v>
      </c>
      <c r="B83" s="376"/>
      <c r="C83" s="1776">
        <v>11.531000000000001</v>
      </c>
      <c r="D83" s="1775"/>
      <c r="E83" s="1776">
        <v>1.87</v>
      </c>
      <c r="F83" s="1775"/>
      <c r="G83" s="1776">
        <v>1.59</v>
      </c>
      <c r="H83" s="1775"/>
      <c r="I83" s="1776">
        <v>0</v>
      </c>
      <c r="J83" s="375"/>
      <c r="K83" s="324">
        <f t="shared" si="4"/>
        <v>11.811</v>
      </c>
      <c r="L83" s="2112"/>
    </row>
    <row r="84" spans="1:12">
      <c r="A84" s="377" t="s">
        <v>715</v>
      </c>
      <c r="B84" s="376"/>
      <c r="C84" s="1776">
        <v>236.89500000000001</v>
      </c>
      <c r="D84" s="1775"/>
      <c r="E84" s="1776">
        <v>6.5709999999999997</v>
      </c>
      <c r="F84" s="1775"/>
      <c r="G84" s="1776">
        <v>4.0650000000000004</v>
      </c>
      <c r="H84" s="1775"/>
      <c r="I84" s="1776">
        <v>-1.7000000000000001E-2</v>
      </c>
      <c r="J84" s="375"/>
      <c r="K84" s="324">
        <f t="shared" si="4"/>
        <v>239.38399999999999</v>
      </c>
      <c r="L84" s="2112"/>
    </row>
    <row r="85" spans="1:12">
      <c r="A85" s="377" t="s">
        <v>716</v>
      </c>
      <c r="B85" s="376"/>
      <c r="C85" s="1776">
        <v>-25.126999999999999</v>
      </c>
      <c r="D85" s="1775"/>
      <c r="E85" s="1776">
        <v>0.68300000000000005</v>
      </c>
      <c r="F85" s="1775"/>
      <c r="G85" s="1776">
        <v>10.96</v>
      </c>
      <c r="H85" s="1775"/>
      <c r="I85" s="1776">
        <v>0</v>
      </c>
      <c r="J85" s="375"/>
      <c r="K85" s="324">
        <f>ROUND(SUM(C85)+SUM(E85)-SUM(G85)+SUM(I85),3)</f>
        <v>-35.404000000000003</v>
      </c>
      <c r="L85" s="2112"/>
    </row>
    <row r="86" spans="1:12">
      <c r="A86" s="377" t="s">
        <v>717</v>
      </c>
      <c r="B86" s="376"/>
      <c r="C86" s="1776">
        <v>578.49</v>
      </c>
      <c r="D86" s="1775"/>
      <c r="E86" s="1776">
        <v>2.6659999999999999</v>
      </c>
      <c r="F86" s="1775"/>
      <c r="G86" s="1776">
        <v>0</v>
      </c>
      <c r="H86" s="1775"/>
      <c r="I86" s="1776">
        <v>0</v>
      </c>
      <c r="J86" s="375"/>
      <c r="K86" s="324">
        <f t="shared" si="4"/>
        <v>581.15599999999995</v>
      </c>
      <c r="L86" s="2112"/>
    </row>
    <row r="87" spans="1:12">
      <c r="A87" s="377" t="s">
        <v>718</v>
      </c>
      <c r="B87" s="376"/>
      <c r="C87" s="1776">
        <v>9.5000000000000001E-2</v>
      </c>
      <c r="D87" s="1775"/>
      <c r="E87" s="1776">
        <v>0</v>
      </c>
      <c r="F87" s="1775"/>
      <c r="G87" s="1776">
        <v>0</v>
      </c>
      <c r="H87" s="1775"/>
      <c r="I87" s="1776">
        <v>0</v>
      </c>
      <c r="J87" s="375"/>
      <c r="K87" s="324">
        <f t="shared" si="4"/>
        <v>9.5000000000000001E-2</v>
      </c>
      <c r="L87" s="2112"/>
    </row>
    <row r="88" spans="1:12">
      <c r="A88" s="377" t="s">
        <v>719</v>
      </c>
      <c r="B88" s="376"/>
      <c r="C88" s="1776">
        <v>31.004999999999999</v>
      </c>
      <c r="D88" s="1775"/>
      <c r="E88" s="1776">
        <v>0.872</v>
      </c>
      <c r="F88" s="1775"/>
      <c r="G88" s="1776">
        <v>0</v>
      </c>
      <c r="H88" s="1775"/>
      <c r="I88" s="1776">
        <v>0</v>
      </c>
      <c r="J88" s="375"/>
      <c r="K88" s="324">
        <f>ROUND(SUM(C88)+SUM(E88)-SUM(G88)+SUM(I88),3)</f>
        <v>31.876999999999999</v>
      </c>
      <c r="L88" s="2112"/>
    </row>
    <row r="89" spans="1:12">
      <c r="A89" s="377" t="s">
        <v>720</v>
      </c>
      <c r="B89" s="376"/>
      <c r="C89" s="1776">
        <v>-219.94499999999999</v>
      </c>
      <c r="D89" s="1775"/>
      <c r="E89" s="1776">
        <v>75.997</v>
      </c>
      <c r="F89" s="1775"/>
      <c r="G89" s="1776">
        <v>0</v>
      </c>
      <c r="H89" s="1775"/>
      <c r="I89" s="1776">
        <v>0</v>
      </c>
      <c r="J89" s="375"/>
      <c r="K89" s="324">
        <f>ROUND(SUM(C89)+SUM(E89)-SUM(G89)+SUM(I89),3)</f>
        <v>-143.94800000000001</v>
      </c>
      <c r="L89" s="2112"/>
    </row>
    <row r="90" spans="1:12">
      <c r="A90" s="744" t="s">
        <v>721</v>
      </c>
      <c r="B90" s="376"/>
      <c r="C90" s="1776">
        <v>280.53199999999998</v>
      </c>
      <c r="D90" s="1775"/>
      <c r="E90" s="1776">
        <v>88.42</v>
      </c>
      <c r="F90" s="1775"/>
      <c r="G90" s="1776">
        <v>0</v>
      </c>
      <c r="H90" s="1775"/>
      <c r="I90" s="1776">
        <v>-18.401</v>
      </c>
      <c r="J90" s="375"/>
      <c r="K90" s="324">
        <f t="shared" si="4"/>
        <v>350.55099999999999</v>
      </c>
      <c r="L90" s="2112"/>
    </row>
    <row r="91" spans="1:12">
      <c r="A91" s="182" t="s">
        <v>722</v>
      </c>
      <c r="B91" s="376"/>
      <c r="C91" s="1645">
        <f>ROUND(SUM(C28:C90),3)</f>
        <v>9910.9639999999999</v>
      </c>
      <c r="D91" s="186"/>
      <c r="E91" s="1645">
        <f>ROUND(SUM(E28:E90),3)</f>
        <v>1940.567</v>
      </c>
      <c r="F91" s="186"/>
      <c r="G91" s="1645">
        <f>ROUND(SUM(G28:G90),3)</f>
        <v>2489.085</v>
      </c>
      <c r="H91" s="186"/>
      <c r="I91" s="1645">
        <f>ROUND(SUM(I28:I90),3)</f>
        <v>322.07499999999999</v>
      </c>
      <c r="J91" s="186"/>
      <c r="K91" s="1645">
        <f>ROUND(SUM(K28:K90),3)</f>
        <v>9684.5210000000006</v>
      </c>
      <c r="L91" s="2112"/>
    </row>
    <row r="92" spans="1:12" ht="11.25" customHeight="1">
      <c r="A92" s="376"/>
      <c r="B92" s="376"/>
      <c r="C92" s="376"/>
      <c r="D92" s="376"/>
      <c r="E92" s="376"/>
      <c r="F92" s="376"/>
      <c r="G92" s="376"/>
      <c r="H92" s="376"/>
      <c r="I92" s="376"/>
      <c r="J92" s="376"/>
      <c r="K92" s="376"/>
      <c r="L92" s="2112"/>
    </row>
    <row r="93" spans="1:12">
      <c r="A93" s="183" t="s">
        <v>723</v>
      </c>
      <c r="B93" s="376"/>
      <c r="C93" s="376"/>
      <c r="D93" s="376"/>
      <c r="E93" s="376"/>
      <c r="F93" s="376"/>
      <c r="G93" s="376"/>
      <c r="H93" s="376"/>
      <c r="I93" s="376"/>
      <c r="J93" s="376"/>
      <c r="K93" s="376"/>
      <c r="L93" s="2112"/>
    </row>
    <row r="94" spans="1:12">
      <c r="A94" s="376" t="s">
        <v>724</v>
      </c>
      <c r="B94" s="376"/>
      <c r="C94" s="1776">
        <v>-34.999000000000002</v>
      </c>
      <c r="D94" s="1775"/>
      <c r="E94" s="1776">
        <v>158.54300000000001</v>
      </c>
      <c r="F94" s="1775"/>
      <c r="G94" s="1776">
        <v>142.74199999999999</v>
      </c>
      <c r="H94" s="1775"/>
      <c r="I94" s="1776">
        <v>0</v>
      </c>
      <c r="J94" s="375"/>
      <c r="K94" s="324">
        <f t="shared" ref="K94:K100" si="5">ROUND(SUM(C94)+SUM(E94)-SUM(G94)+SUM(I94),3)</f>
        <v>-19.198</v>
      </c>
      <c r="L94" s="2112"/>
    </row>
    <row r="95" spans="1:12">
      <c r="A95" s="376" t="s">
        <v>725</v>
      </c>
      <c r="B95" s="376"/>
      <c r="C95" s="1776">
        <v>9832.0669999999991</v>
      </c>
      <c r="D95" s="1775"/>
      <c r="E95" s="1776">
        <v>6683.9780000000001</v>
      </c>
      <c r="F95" s="1775"/>
      <c r="G95" s="1776">
        <v>6955.0120000000006</v>
      </c>
      <c r="H95" s="1775"/>
      <c r="I95" s="1776">
        <v>-432.43799999999999</v>
      </c>
      <c r="J95" s="375"/>
      <c r="K95" s="324">
        <f t="shared" si="5"/>
        <v>9128.5949999999993</v>
      </c>
      <c r="L95" s="2112"/>
    </row>
    <row r="96" spans="1:12">
      <c r="A96" s="376" t="s">
        <v>726</v>
      </c>
      <c r="B96" s="184"/>
      <c r="C96" s="1776">
        <v>-65.906999999999996</v>
      </c>
      <c r="D96" s="1775"/>
      <c r="E96" s="1776">
        <v>793.66300000000001</v>
      </c>
      <c r="F96" s="1775"/>
      <c r="G96" s="1776">
        <v>1473.0229999999999</v>
      </c>
      <c r="H96" s="1775"/>
      <c r="I96" s="1776">
        <v>0</v>
      </c>
      <c r="J96" s="375"/>
      <c r="K96" s="324">
        <f t="shared" si="5"/>
        <v>-745.26700000000005</v>
      </c>
      <c r="L96" s="2112"/>
    </row>
    <row r="97" spans="1:12">
      <c r="A97" s="376" t="s">
        <v>727</v>
      </c>
      <c r="B97" s="376"/>
      <c r="C97" s="1776">
        <v>6401.5540000000001</v>
      </c>
      <c r="D97" s="1775"/>
      <c r="E97" s="1776">
        <v>167.727</v>
      </c>
      <c r="F97" s="1775"/>
      <c r="G97" s="1776">
        <v>188.44200000000001</v>
      </c>
      <c r="H97" s="1775"/>
      <c r="I97" s="1776">
        <v>-6.3769999999999998</v>
      </c>
      <c r="J97" s="375"/>
      <c r="K97" s="324">
        <f t="shared" si="5"/>
        <v>6374.4620000000004</v>
      </c>
      <c r="L97" s="2112"/>
    </row>
    <row r="98" spans="1:12">
      <c r="A98" s="376" t="s">
        <v>728</v>
      </c>
      <c r="B98" s="376"/>
      <c r="C98" s="1776">
        <v>152.91</v>
      </c>
      <c r="D98" s="1775"/>
      <c r="E98" s="1776">
        <v>33.637</v>
      </c>
      <c r="F98" s="1775"/>
      <c r="G98" s="1776">
        <v>41.421999999999997</v>
      </c>
      <c r="H98" s="1775"/>
      <c r="I98" s="1776">
        <v>0</v>
      </c>
      <c r="J98" s="375"/>
      <c r="K98" s="324">
        <f t="shared" si="5"/>
        <v>145.125</v>
      </c>
      <c r="L98" s="2112"/>
    </row>
    <row r="99" spans="1:12">
      <c r="A99" s="376" t="s">
        <v>729</v>
      </c>
      <c r="B99" s="376"/>
      <c r="C99" s="1776">
        <v>-0.48</v>
      </c>
      <c r="D99" s="1775"/>
      <c r="E99" s="1776">
        <v>0.10299999999999999</v>
      </c>
      <c r="F99" s="1775"/>
      <c r="G99" s="1776">
        <v>0.11700000000000001</v>
      </c>
      <c r="H99" s="1775"/>
      <c r="I99" s="1776">
        <v>0</v>
      </c>
      <c r="J99" s="375"/>
      <c r="K99" s="324">
        <f t="shared" si="5"/>
        <v>-0.49399999999999999</v>
      </c>
      <c r="L99" s="2112"/>
    </row>
    <row r="100" spans="1:12">
      <c r="A100" s="377" t="s">
        <v>730</v>
      </c>
      <c r="B100" s="376"/>
      <c r="C100" s="1776">
        <v>-9.1319999999999997</v>
      </c>
      <c r="D100" s="1775"/>
      <c r="E100" s="1776">
        <v>25.145</v>
      </c>
      <c r="F100" s="1775"/>
      <c r="G100" s="1776">
        <v>17.827000000000002</v>
      </c>
      <c r="H100" s="1775"/>
      <c r="I100" s="1776">
        <v>0</v>
      </c>
      <c r="J100" s="375"/>
      <c r="K100" s="324">
        <f t="shared" si="5"/>
        <v>-1.8140000000000001</v>
      </c>
      <c r="L100" s="2112"/>
    </row>
    <row r="101" spans="1:12">
      <c r="A101" s="182" t="s">
        <v>731</v>
      </c>
      <c r="B101" s="376"/>
      <c r="C101" s="1645">
        <f>ROUND(SUM(C94:C100),3)</f>
        <v>16276.013000000001</v>
      </c>
      <c r="D101" s="186"/>
      <c r="E101" s="1645">
        <f>ROUND(SUM(E94:E100),3)</f>
        <v>7862.7960000000003</v>
      </c>
      <c r="F101" s="186"/>
      <c r="G101" s="1645">
        <f>ROUND(SUM(G94:G100),3)</f>
        <v>8818.5849999999991</v>
      </c>
      <c r="H101" s="186"/>
      <c r="I101" s="1645">
        <f>ROUND(SUM(I94:I100),3)</f>
        <v>-438.815</v>
      </c>
      <c r="J101" s="186"/>
      <c r="K101" s="1645">
        <f>ROUND(SUM(K94:K100),3)</f>
        <v>14881.409</v>
      </c>
      <c r="L101" s="2112"/>
    </row>
    <row r="102" spans="1:12" ht="12" customHeight="1">
      <c r="A102" s="186"/>
      <c r="B102" s="376"/>
      <c r="C102" s="376"/>
      <c r="D102" s="376"/>
      <c r="E102" s="376"/>
      <c r="F102" s="376"/>
      <c r="G102" s="376"/>
      <c r="H102" s="376"/>
      <c r="I102" s="376"/>
      <c r="J102" s="376"/>
      <c r="K102" s="376"/>
      <c r="L102" s="2112"/>
    </row>
    <row r="103" spans="1:12">
      <c r="A103" s="1131" t="s">
        <v>732</v>
      </c>
      <c r="B103" s="376"/>
      <c r="C103" s="885">
        <f>C101+C91</f>
        <v>26186.976999999999</v>
      </c>
      <c r="D103" s="186"/>
      <c r="E103" s="885">
        <f>E101+E91</f>
        <v>9803.3630000000012</v>
      </c>
      <c r="F103" s="186"/>
      <c r="G103" s="885">
        <f>G101+G91</f>
        <v>11307.669999999998</v>
      </c>
      <c r="H103" s="186"/>
      <c r="I103" s="885">
        <f>I101+I91</f>
        <v>-116.74000000000001</v>
      </c>
      <c r="J103" s="186"/>
      <c r="K103" s="885">
        <f>K91+K101</f>
        <v>24565.93</v>
      </c>
      <c r="L103" s="2112"/>
    </row>
    <row r="104" spans="1:12" ht="10.5" customHeight="1">
      <c r="A104" s="1132"/>
      <c r="B104" s="376"/>
      <c r="C104" s="376"/>
      <c r="D104" s="376"/>
      <c r="E104" s="376"/>
      <c r="F104" s="376"/>
      <c r="G104" s="376"/>
      <c r="H104" s="376"/>
      <c r="I104" s="376"/>
      <c r="J104" s="376"/>
      <c r="K104" s="376"/>
      <c r="L104" s="2112"/>
    </row>
    <row r="105" spans="1:12" ht="16">
      <c r="A105" s="183" t="s">
        <v>572</v>
      </c>
      <c r="B105" s="376"/>
      <c r="C105" s="376"/>
      <c r="D105" s="376"/>
      <c r="E105" s="349"/>
      <c r="F105" s="349"/>
      <c r="G105" s="349"/>
      <c r="H105" s="349"/>
      <c r="I105" s="349"/>
      <c r="J105" s="184"/>
      <c r="K105" s="349"/>
    </row>
    <row r="106" spans="1:12">
      <c r="A106" s="376" t="s">
        <v>733</v>
      </c>
      <c r="B106" s="376"/>
      <c r="C106" s="1776">
        <v>0</v>
      </c>
      <c r="D106" s="1775"/>
      <c r="E106" s="1776">
        <v>0</v>
      </c>
      <c r="F106" s="1775"/>
      <c r="G106" s="1776">
        <v>0</v>
      </c>
      <c r="H106" s="1775"/>
      <c r="I106" s="1776">
        <v>0</v>
      </c>
      <c r="J106" s="375"/>
      <c r="K106" s="324">
        <f t="shared" ref="K106:K112" si="6">ROUND(SUM(C106)+SUM(E106)-SUM(G106)+SUM(I106),3)</f>
        <v>0</v>
      </c>
      <c r="L106" s="2107"/>
    </row>
    <row r="107" spans="1:12">
      <c r="A107" s="376" t="s">
        <v>734</v>
      </c>
      <c r="B107" s="376"/>
      <c r="C107" s="1776">
        <v>114.154</v>
      </c>
      <c r="D107" s="1775"/>
      <c r="E107" s="1776">
        <v>21.364000000000001</v>
      </c>
      <c r="F107" s="1775"/>
      <c r="G107" s="1776">
        <v>0</v>
      </c>
      <c r="H107" s="1775"/>
      <c r="I107" s="1776">
        <v>243.476</v>
      </c>
      <c r="J107" s="375"/>
      <c r="K107" s="324">
        <f>ROUND(SUM(C107)+SUM(E107)-SUM(G107)+SUM(I107),3)</f>
        <v>378.99400000000003</v>
      </c>
      <c r="L107" s="2108"/>
    </row>
    <row r="108" spans="1:12">
      <c r="A108" s="376" t="s">
        <v>735</v>
      </c>
      <c r="B108" s="376"/>
      <c r="C108" s="1776">
        <v>131.49299999999999</v>
      </c>
      <c r="D108" s="1775"/>
      <c r="E108" s="1776">
        <v>2437.1799999999998</v>
      </c>
      <c r="F108" s="1775"/>
      <c r="G108" s="1776">
        <v>5.0620000000000003</v>
      </c>
      <c r="H108" s="1775"/>
      <c r="I108" s="1776">
        <v>-2338.4580000000001</v>
      </c>
      <c r="J108" s="375"/>
      <c r="K108" s="324">
        <f t="shared" si="6"/>
        <v>225.15299999999999</v>
      </c>
      <c r="L108" s="2108"/>
    </row>
    <row r="109" spans="1:12">
      <c r="A109" s="376" t="s">
        <v>736</v>
      </c>
      <c r="B109" s="376"/>
      <c r="C109" s="1776">
        <v>0</v>
      </c>
      <c r="D109" s="1775"/>
      <c r="E109" s="1776">
        <v>0.505</v>
      </c>
      <c r="F109" s="1775"/>
      <c r="G109" s="1776">
        <v>0</v>
      </c>
      <c r="H109" s="1775"/>
      <c r="I109" s="1776">
        <v>-0.505</v>
      </c>
      <c r="J109" s="375"/>
      <c r="K109" s="324">
        <f t="shared" si="6"/>
        <v>0</v>
      </c>
      <c r="L109" s="2107"/>
    </row>
    <row r="110" spans="1:12">
      <c r="A110" s="376" t="s">
        <v>737</v>
      </c>
      <c r="B110" s="376"/>
      <c r="C110" s="1776">
        <v>24.750999999999998</v>
      </c>
      <c r="D110" s="1775"/>
      <c r="E110" s="1776">
        <v>32.619999999999997</v>
      </c>
      <c r="F110" s="1775"/>
      <c r="G110" s="1776">
        <v>10.484</v>
      </c>
      <c r="H110" s="1775"/>
      <c r="I110" s="1776">
        <v>-7.5549999999999997</v>
      </c>
      <c r="J110" s="375"/>
      <c r="K110" s="324">
        <f t="shared" si="6"/>
        <v>39.332000000000001</v>
      </c>
      <c r="L110" s="2108"/>
    </row>
    <row r="111" spans="1:12">
      <c r="A111" s="376" t="s">
        <v>738</v>
      </c>
      <c r="B111" s="376"/>
      <c r="C111" s="1776">
        <v>8.2319999999999993</v>
      </c>
      <c r="D111" s="1775"/>
      <c r="E111" s="1776">
        <v>71.572999999999993</v>
      </c>
      <c r="F111" s="1775"/>
      <c r="G111" s="1776">
        <v>0</v>
      </c>
      <c r="H111" s="1775"/>
      <c r="I111" s="1776">
        <v>-68.914000000000001</v>
      </c>
      <c r="J111" s="375"/>
      <c r="K111" s="324">
        <f t="shared" si="6"/>
        <v>10.891</v>
      </c>
      <c r="L111" s="2108" t="s">
        <v>104</v>
      </c>
    </row>
    <row r="112" spans="1:12">
      <c r="A112" s="377" t="s">
        <v>739</v>
      </c>
      <c r="B112" s="376"/>
      <c r="C112" s="1776">
        <v>0</v>
      </c>
      <c r="D112" s="1775"/>
      <c r="E112" s="1776">
        <v>0</v>
      </c>
      <c r="F112" s="1775"/>
      <c r="G112" s="1776">
        <v>0</v>
      </c>
      <c r="H112" s="1775"/>
      <c r="I112" s="1776">
        <v>0</v>
      </c>
      <c r="J112" s="375"/>
      <c r="K112" s="324">
        <f t="shared" si="6"/>
        <v>0</v>
      </c>
      <c r="L112" s="2108" t="s">
        <v>104</v>
      </c>
    </row>
    <row r="113" spans="1:12">
      <c r="A113" s="186" t="s">
        <v>740</v>
      </c>
      <c r="B113" s="1133"/>
      <c r="C113" s="1645">
        <f>ROUND(SUM(C106:C112),3)</f>
        <v>278.63</v>
      </c>
      <c r="D113" s="187"/>
      <c r="E113" s="1645">
        <f>ROUND(SUM(E106:E112),3)</f>
        <v>2563.2420000000002</v>
      </c>
      <c r="F113" s="187"/>
      <c r="G113" s="1645">
        <f>ROUND(SUM(G106:G112),3)</f>
        <v>15.545999999999999</v>
      </c>
      <c r="H113" s="187"/>
      <c r="I113" s="1645">
        <f>ROUND(SUM(I106:I112),3)</f>
        <v>-2171.9560000000001</v>
      </c>
      <c r="J113" s="187"/>
      <c r="K113" s="1645">
        <f>ROUND(SUM(K106:K112),3)</f>
        <v>654.37</v>
      </c>
      <c r="L113" s="2111" t="s">
        <v>104</v>
      </c>
    </row>
    <row r="114" spans="1:12">
      <c r="A114" s="376"/>
      <c r="B114" s="376"/>
      <c r="C114" s="376"/>
      <c r="D114" s="376"/>
      <c r="E114" s="376"/>
      <c r="F114" s="376"/>
      <c r="G114" s="376"/>
      <c r="H114" s="376"/>
      <c r="I114" s="376"/>
      <c r="J114" s="376"/>
      <c r="K114" s="376" t="s">
        <v>104</v>
      </c>
    </row>
    <row r="115" spans="1:12">
      <c r="A115" s="1134" t="s">
        <v>741</v>
      </c>
      <c r="B115" s="376"/>
      <c r="K115" s="378"/>
      <c r="L115" s="2108"/>
    </row>
    <row r="116" spans="1:12">
      <c r="A116" s="376" t="s">
        <v>742</v>
      </c>
      <c r="B116" s="375"/>
      <c r="C116" s="1776">
        <v>0</v>
      </c>
      <c r="D116" s="1775"/>
      <c r="E116" s="1776">
        <v>1.744</v>
      </c>
      <c r="F116" s="1775"/>
      <c r="G116" s="2147">
        <v>418</v>
      </c>
      <c r="H116" s="1775"/>
      <c r="I116" s="1776">
        <v>416.25599999999997</v>
      </c>
      <c r="J116" s="375"/>
      <c r="K116" s="324">
        <f>ROUND(SUM(C116)+SUM(E116)-SUM(G116)+SUM(I116),3)</f>
        <v>0</v>
      </c>
      <c r="L116" s="2107"/>
    </row>
    <row r="117" spans="1:12">
      <c r="A117" s="376" t="s">
        <v>743</v>
      </c>
      <c r="B117" s="377"/>
      <c r="C117" s="1776">
        <v>130.71899999999999</v>
      </c>
      <c r="D117" s="1775"/>
      <c r="E117" s="2147">
        <v>181.85599999999999</v>
      </c>
      <c r="F117" s="1775"/>
      <c r="G117" s="1776">
        <v>221.67500000000001</v>
      </c>
      <c r="H117" s="1775"/>
      <c r="I117" s="2147">
        <v>-4.5659999999999998</v>
      </c>
      <c r="J117" s="2148"/>
      <c r="K117" s="2149">
        <f t="shared" ref="K117:K131" si="7">ROUND(SUM(C117)+SUM(E117)-SUM(G117)+SUM(I117),3)</f>
        <v>86.334000000000003</v>
      </c>
      <c r="L117" s="2108"/>
    </row>
    <row r="118" spans="1:12">
      <c r="A118" s="376" t="s">
        <v>744</v>
      </c>
      <c r="B118" s="376"/>
      <c r="C118" s="1776">
        <v>125.889</v>
      </c>
      <c r="D118" s="1775"/>
      <c r="E118" s="1776">
        <v>0.59499999999999997</v>
      </c>
      <c r="F118" s="1775"/>
      <c r="G118" s="1776">
        <v>12.196</v>
      </c>
      <c r="H118" s="1775"/>
      <c r="I118" s="1776">
        <v>0</v>
      </c>
      <c r="J118" s="375"/>
      <c r="K118" s="324">
        <f t="shared" si="7"/>
        <v>114.288</v>
      </c>
      <c r="L118" s="2108"/>
    </row>
    <row r="119" spans="1:12">
      <c r="A119" s="376" t="s">
        <v>745</v>
      </c>
      <c r="B119" s="376"/>
      <c r="C119" s="1776">
        <v>14.26</v>
      </c>
      <c r="D119" s="1775"/>
      <c r="E119" s="1776">
        <v>0.66600000000000004</v>
      </c>
      <c r="F119" s="1775"/>
      <c r="G119" s="1776">
        <v>0</v>
      </c>
      <c r="H119" s="1775"/>
      <c r="I119" s="1776">
        <v>0</v>
      </c>
      <c r="J119" s="375"/>
      <c r="K119" s="324">
        <f t="shared" si="7"/>
        <v>14.926</v>
      </c>
      <c r="L119" s="2108"/>
    </row>
    <row r="120" spans="1:12">
      <c r="A120" s="376" t="s">
        <v>746</v>
      </c>
      <c r="B120" s="376"/>
      <c r="C120" s="1776">
        <v>-197.06100000000001</v>
      </c>
      <c r="D120" s="1775"/>
      <c r="E120" s="1776">
        <v>14</v>
      </c>
      <c r="F120" s="1775"/>
      <c r="G120" s="1776">
        <v>14.209000000000001</v>
      </c>
      <c r="H120" s="1775"/>
      <c r="I120" s="1776">
        <v>0</v>
      </c>
      <c r="J120" s="375"/>
      <c r="K120" s="324">
        <f t="shared" si="7"/>
        <v>-197.27</v>
      </c>
      <c r="L120" s="2108"/>
    </row>
    <row r="121" spans="1:12">
      <c r="A121" s="376" t="s">
        <v>747</v>
      </c>
      <c r="B121" s="376"/>
      <c r="C121" s="1776">
        <v>1.6E-2</v>
      </c>
      <c r="D121" s="1775"/>
      <c r="E121" s="1776">
        <v>0</v>
      </c>
      <c r="F121" s="1775"/>
      <c r="G121" s="1776">
        <v>0</v>
      </c>
      <c r="H121" s="1775"/>
      <c r="I121" s="1776">
        <v>0</v>
      </c>
      <c r="J121" s="375"/>
      <c r="K121" s="324">
        <f t="shared" si="7"/>
        <v>1.6E-2</v>
      </c>
      <c r="L121" s="2108"/>
    </row>
    <row r="122" spans="1:12">
      <c r="A122" s="376" t="s">
        <v>748</v>
      </c>
      <c r="B122" s="376"/>
      <c r="C122" s="1776">
        <v>320.32599999999996</v>
      </c>
      <c r="D122" s="1775"/>
      <c r="E122" s="1776">
        <v>28.488</v>
      </c>
      <c r="F122" s="1775"/>
      <c r="G122" s="1776">
        <v>31.804000000000002</v>
      </c>
      <c r="H122" s="1775"/>
      <c r="I122" s="1776">
        <v>0</v>
      </c>
      <c r="J122" s="375"/>
      <c r="K122" s="324">
        <f t="shared" si="7"/>
        <v>317.01</v>
      </c>
      <c r="L122" s="2108"/>
    </row>
    <row r="123" spans="1:12">
      <c r="A123" s="376" t="s">
        <v>749</v>
      </c>
      <c r="B123" s="376"/>
      <c r="C123" s="1776">
        <v>0</v>
      </c>
      <c r="D123" s="1775"/>
      <c r="E123" s="1776">
        <v>0</v>
      </c>
      <c r="F123" s="1775"/>
      <c r="G123" s="1776">
        <v>0</v>
      </c>
      <c r="H123" s="1775"/>
      <c r="I123" s="1776">
        <v>0</v>
      </c>
      <c r="J123" s="375"/>
      <c r="K123" s="324">
        <f t="shared" si="7"/>
        <v>0</v>
      </c>
      <c r="L123" s="2108"/>
    </row>
    <row r="124" spans="1:12">
      <c r="A124" s="376" t="s">
        <v>750</v>
      </c>
      <c r="B124" s="376"/>
      <c r="C124" s="1776">
        <v>0.16400000000000001</v>
      </c>
      <c r="D124" s="1775"/>
      <c r="E124" s="1776">
        <v>0</v>
      </c>
      <c r="F124" s="1775"/>
      <c r="G124" s="1776">
        <v>0</v>
      </c>
      <c r="H124" s="1775"/>
      <c r="I124" s="1776">
        <v>0</v>
      </c>
      <c r="J124" s="375"/>
      <c r="K124" s="324">
        <f t="shared" si="7"/>
        <v>0.16400000000000001</v>
      </c>
      <c r="L124" s="2108"/>
    </row>
    <row r="125" spans="1:12">
      <c r="A125" s="376" t="s">
        <v>751</v>
      </c>
      <c r="B125" s="376"/>
      <c r="C125" s="1776">
        <v>0</v>
      </c>
      <c r="D125" s="1775"/>
      <c r="E125" s="1776">
        <v>0</v>
      </c>
      <c r="F125" s="1775"/>
      <c r="G125" s="1776">
        <v>0</v>
      </c>
      <c r="H125" s="1775"/>
      <c r="I125" s="1776">
        <v>0</v>
      </c>
      <c r="J125" s="375"/>
      <c r="K125" s="324">
        <f t="shared" si="7"/>
        <v>0</v>
      </c>
      <c r="L125" s="2108"/>
    </row>
    <row r="126" spans="1:12">
      <c r="A126" s="376" t="s">
        <v>752</v>
      </c>
      <c r="B126" s="376"/>
      <c r="C126" s="1776">
        <v>0</v>
      </c>
      <c r="D126" s="1775"/>
      <c r="E126" s="1776">
        <v>0</v>
      </c>
      <c r="F126" s="1775"/>
      <c r="G126" s="1776">
        <v>0</v>
      </c>
      <c r="H126" s="1775"/>
      <c r="I126" s="1776">
        <v>0</v>
      </c>
      <c r="J126" s="375"/>
      <c r="K126" s="324">
        <f t="shared" si="7"/>
        <v>0</v>
      </c>
      <c r="L126" s="2108"/>
    </row>
    <row r="127" spans="1:12">
      <c r="A127" s="376" t="s">
        <v>753</v>
      </c>
      <c r="B127" s="376"/>
      <c r="C127" s="1776">
        <v>3.3279999999999998</v>
      </c>
      <c r="D127" s="1775"/>
      <c r="E127" s="1776">
        <v>0</v>
      </c>
      <c r="F127" s="1775"/>
      <c r="G127" s="1776">
        <v>0</v>
      </c>
      <c r="H127" s="1775"/>
      <c r="I127" s="1776">
        <v>0</v>
      </c>
      <c r="J127" s="375"/>
      <c r="K127" s="324">
        <f t="shared" si="7"/>
        <v>3.3279999999999998</v>
      </c>
      <c r="L127" s="2108"/>
    </row>
    <row r="128" spans="1:12">
      <c r="A128" s="376" t="s">
        <v>754</v>
      </c>
      <c r="B128" s="376"/>
      <c r="C128" s="1776">
        <v>0.73699999999999999</v>
      </c>
      <c r="D128" s="1775"/>
      <c r="E128" s="1776">
        <v>0</v>
      </c>
      <c r="F128" s="1775"/>
      <c r="G128" s="1776">
        <v>0</v>
      </c>
      <c r="H128" s="1775"/>
      <c r="I128" s="1776">
        <v>0</v>
      </c>
      <c r="J128" s="375"/>
      <c r="K128" s="324">
        <f t="shared" si="7"/>
        <v>0.73699999999999999</v>
      </c>
      <c r="L128" s="2108"/>
    </row>
    <row r="129" spans="1:12">
      <c r="A129" s="376" t="s">
        <v>755</v>
      </c>
      <c r="B129" s="376"/>
      <c r="C129" s="1776">
        <v>17.21</v>
      </c>
      <c r="D129" s="1775"/>
      <c r="E129" s="1776">
        <v>0</v>
      </c>
      <c r="F129" s="1775"/>
      <c r="G129" s="1776">
        <v>0</v>
      </c>
      <c r="H129" s="1775"/>
      <c r="I129" s="1776">
        <v>-10.848000000000001</v>
      </c>
      <c r="J129" s="375"/>
      <c r="K129" s="324">
        <f t="shared" si="7"/>
        <v>6.3620000000000001</v>
      </c>
      <c r="L129" s="2108"/>
    </row>
    <row r="130" spans="1:12">
      <c r="A130" s="376" t="s">
        <v>756</v>
      </c>
      <c r="B130" s="376"/>
      <c r="C130" s="1776">
        <v>4.2549999999999999</v>
      </c>
      <c r="D130" s="1775"/>
      <c r="E130" s="1776">
        <v>0</v>
      </c>
      <c r="F130" s="1775"/>
      <c r="G130" s="1776">
        <v>0</v>
      </c>
      <c r="H130" s="1775"/>
      <c r="I130" s="1776">
        <v>0</v>
      </c>
      <c r="J130" s="375"/>
      <c r="K130" s="324">
        <f t="shared" si="7"/>
        <v>4.2549999999999999</v>
      </c>
      <c r="L130" s="2108"/>
    </row>
    <row r="131" spans="1:12">
      <c r="A131" s="376" t="s">
        <v>757</v>
      </c>
      <c r="B131" s="376"/>
      <c r="C131" s="1776">
        <v>5.55</v>
      </c>
      <c r="D131" s="1775"/>
      <c r="E131" s="1776">
        <v>0</v>
      </c>
      <c r="F131" s="1775"/>
      <c r="G131" s="1776">
        <v>0</v>
      </c>
      <c r="H131" s="1775"/>
      <c r="I131" s="1776">
        <v>0</v>
      </c>
      <c r="J131" s="375"/>
      <c r="K131" s="324">
        <f t="shared" si="7"/>
        <v>5.55</v>
      </c>
      <c r="L131" s="2108"/>
    </row>
    <row r="132" spans="1:12">
      <c r="A132" s="376" t="s">
        <v>758</v>
      </c>
      <c r="B132" s="376"/>
      <c r="C132" s="2150"/>
      <c r="D132"/>
      <c r="E132" s="743"/>
      <c r="F132" s="1775"/>
      <c r="G132" s="743"/>
      <c r="H132" s="1775"/>
      <c r="I132" s="743"/>
      <c r="J132" s="376"/>
      <c r="K132" s="2151"/>
      <c r="L132" s="2108"/>
    </row>
    <row r="133" spans="1:12">
      <c r="A133" s="376" t="s">
        <v>759</v>
      </c>
      <c r="B133" s="376"/>
      <c r="C133" s="1776">
        <v>2.778</v>
      </c>
      <c r="D133" s="1775"/>
      <c r="E133" s="1776">
        <v>0</v>
      </c>
      <c r="F133" s="1775"/>
      <c r="G133" s="1776">
        <v>0</v>
      </c>
      <c r="H133" s="1775"/>
      <c r="I133" s="1776">
        <v>0</v>
      </c>
      <c r="J133" s="375"/>
      <c r="K133" s="324">
        <f t="shared" ref="K133:K155" si="8">ROUND(SUM(C133)+SUM(E133)-SUM(G133)+SUM(I133),3)</f>
        <v>2.778</v>
      </c>
      <c r="L133" s="2108"/>
    </row>
    <row r="134" spans="1:12">
      <c r="A134" s="376" t="s">
        <v>760</v>
      </c>
      <c r="B134" s="376"/>
      <c r="C134" s="1776">
        <v>1.4279999999999999</v>
      </c>
      <c r="D134" s="1775"/>
      <c r="E134" s="1776">
        <v>0</v>
      </c>
      <c r="F134" s="1775"/>
      <c r="G134" s="1776">
        <v>0</v>
      </c>
      <c r="H134" s="1775"/>
      <c r="I134" s="1776">
        <v>0</v>
      </c>
      <c r="J134" s="375"/>
      <c r="K134" s="324">
        <f t="shared" si="8"/>
        <v>1.4279999999999999</v>
      </c>
      <c r="L134" s="2108"/>
    </row>
    <row r="135" spans="1:12">
      <c r="A135" s="376" t="s">
        <v>761</v>
      </c>
      <c r="B135" s="376"/>
      <c r="C135" s="1776">
        <v>0</v>
      </c>
      <c r="D135" s="1775"/>
      <c r="E135" s="1776">
        <v>0</v>
      </c>
      <c r="F135" s="1775"/>
      <c r="G135" s="1776">
        <v>0</v>
      </c>
      <c r="H135" s="1775"/>
      <c r="I135" s="1776">
        <v>0</v>
      </c>
      <c r="J135" s="375"/>
      <c r="K135" s="324">
        <f t="shared" si="8"/>
        <v>0</v>
      </c>
      <c r="L135" s="2108"/>
    </row>
    <row r="136" spans="1:12">
      <c r="A136" s="376" t="s">
        <v>762</v>
      </c>
      <c r="B136" s="376"/>
      <c r="C136" s="1776">
        <v>0</v>
      </c>
      <c r="D136" s="1775"/>
      <c r="E136" s="1776">
        <v>0</v>
      </c>
      <c r="F136" s="1775"/>
      <c r="G136" s="1776">
        <v>0</v>
      </c>
      <c r="H136" s="1775"/>
      <c r="I136" s="1776">
        <v>0</v>
      </c>
      <c r="J136" s="375"/>
      <c r="K136" s="324">
        <f t="shared" si="8"/>
        <v>0</v>
      </c>
      <c r="L136" s="2108"/>
    </row>
    <row r="137" spans="1:12">
      <c r="A137" s="376" t="s">
        <v>763</v>
      </c>
      <c r="B137" s="376"/>
      <c r="C137" s="1776">
        <v>0</v>
      </c>
      <c r="D137" s="1775"/>
      <c r="E137" s="1776">
        <v>0</v>
      </c>
      <c r="F137" s="1775"/>
      <c r="G137" s="1776">
        <v>0</v>
      </c>
      <c r="H137" s="1775"/>
      <c r="I137" s="1776">
        <v>0</v>
      </c>
      <c r="J137" s="375"/>
      <c r="K137" s="324">
        <f>ROUND(SUM(C137)+SUM(E137)-SUM(G137)+SUM(I137),3)</f>
        <v>0</v>
      </c>
      <c r="L137" s="2108"/>
    </row>
    <row r="138" spans="1:12">
      <c r="A138" s="376" t="s">
        <v>764</v>
      </c>
      <c r="B138" s="376"/>
      <c r="C138" s="1776">
        <v>0</v>
      </c>
      <c r="D138" s="1775"/>
      <c r="E138" s="1776">
        <v>0</v>
      </c>
      <c r="F138" s="1775"/>
      <c r="G138" s="1776">
        <v>0</v>
      </c>
      <c r="H138" s="1775"/>
      <c r="I138" s="1776">
        <v>0</v>
      </c>
      <c r="J138" s="375"/>
      <c r="K138" s="324">
        <f t="shared" si="8"/>
        <v>0</v>
      </c>
      <c r="L138" s="2108"/>
    </row>
    <row r="139" spans="1:12">
      <c r="A139" s="376" t="s">
        <v>765</v>
      </c>
      <c r="B139" s="376"/>
      <c r="C139" s="1776">
        <v>0</v>
      </c>
      <c r="D139" s="1775"/>
      <c r="E139" s="1776">
        <v>0</v>
      </c>
      <c r="F139" s="1775"/>
      <c r="G139" s="1776">
        <v>0</v>
      </c>
      <c r="H139" s="1775"/>
      <c r="I139" s="1776">
        <v>0</v>
      </c>
      <c r="J139" s="375"/>
      <c r="K139" s="324">
        <f t="shared" si="8"/>
        <v>0</v>
      </c>
      <c r="L139" s="2108"/>
    </row>
    <row r="140" spans="1:12">
      <c r="A140" s="376" t="s">
        <v>766</v>
      </c>
      <c r="B140" s="376"/>
      <c r="C140" s="1776">
        <v>-584.02700000000004</v>
      </c>
      <c r="D140" s="1775"/>
      <c r="E140" s="2147">
        <v>268.35199999999998</v>
      </c>
      <c r="F140" s="1775"/>
      <c r="G140" s="1776">
        <v>224.14099999999999</v>
      </c>
      <c r="H140" s="1775"/>
      <c r="I140" s="1776">
        <v>0</v>
      </c>
      <c r="J140" s="375"/>
      <c r="K140" s="2149">
        <f t="shared" si="8"/>
        <v>-539.81600000000003</v>
      </c>
      <c r="L140" s="2108"/>
    </row>
    <row r="141" spans="1:12">
      <c r="A141" s="376" t="s">
        <v>767</v>
      </c>
      <c r="B141" s="376"/>
      <c r="C141" s="1776">
        <v>1.141</v>
      </c>
      <c r="D141" s="1775"/>
      <c r="E141" s="1776">
        <v>6.0000000000000001E-3</v>
      </c>
      <c r="F141" s="1775"/>
      <c r="G141" s="1776">
        <v>0</v>
      </c>
      <c r="H141" s="1775"/>
      <c r="I141" s="1776">
        <v>0</v>
      </c>
      <c r="J141" s="375"/>
      <c r="K141" s="324">
        <f t="shared" si="8"/>
        <v>1.147</v>
      </c>
      <c r="L141" s="2107"/>
    </row>
    <row r="142" spans="1:12">
      <c r="A142" s="377" t="s">
        <v>768</v>
      </c>
      <c r="B142" s="376"/>
      <c r="C142" s="1776">
        <v>-168.43799999999999</v>
      </c>
      <c r="D142" s="1775"/>
      <c r="E142" s="1776">
        <v>3.7730000000000001</v>
      </c>
      <c r="F142" s="1775"/>
      <c r="G142" s="1776">
        <v>15.816000000000001</v>
      </c>
      <c r="H142" s="1775"/>
      <c r="I142" s="1776">
        <v>-1.2150000000000001</v>
      </c>
      <c r="J142" s="375"/>
      <c r="K142" s="324">
        <f t="shared" si="8"/>
        <v>-181.696</v>
      </c>
      <c r="L142" s="2108"/>
    </row>
    <row r="143" spans="1:12">
      <c r="A143" s="376" t="s">
        <v>769</v>
      </c>
      <c r="B143" s="376"/>
      <c r="C143" s="1776">
        <v>0.56999999999999995</v>
      </c>
      <c r="D143" s="1775"/>
      <c r="E143" s="1776">
        <v>2E-3</v>
      </c>
      <c r="F143" s="1775"/>
      <c r="G143" s="1776">
        <v>0</v>
      </c>
      <c r="H143" s="1775"/>
      <c r="I143" s="1776">
        <v>0</v>
      </c>
      <c r="J143" s="375"/>
      <c r="K143" s="324">
        <f t="shared" si="8"/>
        <v>0.57199999999999995</v>
      </c>
      <c r="L143" s="2108"/>
    </row>
    <row r="144" spans="1:12">
      <c r="A144" s="376" t="s">
        <v>770</v>
      </c>
      <c r="B144" s="376"/>
      <c r="C144" s="1776">
        <v>-14.038</v>
      </c>
      <c r="D144" s="1775"/>
      <c r="E144" s="1776">
        <v>0</v>
      </c>
      <c r="F144" s="1775"/>
      <c r="G144" s="1776">
        <v>1.4510000000000001</v>
      </c>
      <c r="H144" s="1775"/>
      <c r="I144" s="1776">
        <v>0</v>
      </c>
      <c r="J144" s="375"/>
      <c r="K144" s="324">
        <f t="shared" si="8"/>
        <v>-15.489000000000001</v>
      </c>
      <c r="L144" s="2108"/>
    </row>
    <row r="145" spans="1:12">
      <c r="A145" s="376" t="s">
        <v>771</v>
      </c>
      <c r="B145" s="376"/>
      <c r="C145" s="1776">
        <v>-12.942</v>
      </c>
      <c r="D145" s="1775"/>
      <c r="E145" s="1776">
        <v>0</v>
      </c>
      <c r="F145" s="1775"/>
      <c r="G145" s="1776">
        <v>0</v>
      </c>
      <c r="H145" s="1775"/>
      <c r="I145" s="1776">
        <v>0</v>
      </c>
      <c r="J145" s="375"/>
      <c r="K145" s="324">
        <f t="shared" si="8"/>
        <v>-12.942</v>
      </c>
      <c r="L145" s="2108"/>
    </row>
    <row r="146" spans="1:12">
      <c r="A146" s="376" t="s">
        <v>772</v>
      </c>
      <c r="B146" s="376"/>
      <c r="C146" s="1776">
        <v>-585.38300000000004</v>
      </c>
      <c r="D146" s="1775"/>
      <c r="E146" s="1776">
        <v>0</v>
      </c>
      <c r="F146" s="1775"/>
      <c r="G146" s="1776">
        <v>123.065</v>
      </c>
      <c r="H146" s="1775"/>
      <c r="I146" s="1776">
        <v>0</v>
      </c>
      <c r="J146" s="375"/>
      <c r="K146" s="324">
        <f t="shared" si="8"/>
        <v>-708.44799999999998</v>
      </c>
      <c r="L146" s="2108"/>
    </row>
    <row r="147" spans="1:12">
      <c r="A147" s="376" t="s">
        <v>773</v>
      </c>
      <c r="B147" s="376"/>
      <c r="C147" s="1776">
        <v>25.49</v>
      </c>
      <c r="D147" s="1775"/>
      <c r="E147" s="1776">
        <v>0.65900000000000003</v>
      </c>
      <c r="F147" s="1775"/>
      <c r="G147" s="1776">
        <v>4.0000000000000001E-3</v>
      </c>
      <c r="H147" s="1775"/>
      <c r="I147" s="1776">
        <v>0</v>
      </c>
      <c r="J147" s="375"/>
      <c r="K147" s="324">
        <f t="shared" si="8"/>
        <v>26.145</v>
      </c>
      <c r="L147" s="2108"/>
    </row>
    <row r="148" spans="1:12">
      <c r="A148" s="376" t="s">
        <v>774</v>
      </c>
      <c r="B148" s="376"/>
      <c r="C148" s="1776">
        <v>-12.016</v>
      </c>
      <c r="D148" s="1775"/>
      <c r="E148" s="1776">
        <v>0</v>
      </c>
      <c r="F148" s="1775"/>
      <c r="G148" s="1776">
        <v>0</v>
      </c>
      <c r="H148" s="1775"/>
      <c r="I148" s="1776">
        <v>0</v>
      </c>
      <c r="J148" s="375"/>
      <c r="K148" s="324">
        <f t="shared" si="8"/>
        <v>-12.016</v>
      </c>
      <c r="L148" s="2108"/>
    </row>
    <row r="149" spans="1:12">
      <c r="A149" s="376" t="s">
        <v>775</v>
      </c>
      <c r="B149" s="376"/>
      <c r="C149" s="1776">
        <v>153.99700000000001</v>
      </c>
      <c r="D149" s="1775"/>
      <c r="E149" s="1776">
        <v>3.2559999999999998</v>
      </c>
      <c r="F149" s="1775"/>
      <c r="G149" s="1776">
        <v>4.0140000000000002</v>
      </c>
      <c r="H149" s="1775"/>
      <c r="I149" s="1776">
        <v>1.7490000000000001</v>
      </c>
      <c r="J149" s="375"/>
      <c r="K149" s="324">
        <f t="shared" si="8"/>
        <v>154.988</v>
      </c>
      <c r="L149" s="2108"/>
    </row>
    <row r="150" spans="1:12">
      <c r="A150" s="376" t="s">
        <v>776</v>
      </c>
      <c r="B150" s="376"/>
      <c r="C150" s="1776">
        <v>9.0999999999999998E-2</v>
      </c>
      <c r="D150" s="1775"/>
      <c r="E150" s="1776">
        <v>0</v>
      </c>
      <c r="F150" s="1775"/>
      <c r="G150" s="1776">
        <v>0</v>
      </c>
      <c r="H150" s="1775"/>
      <c r="I150" s="1776">
        <v>0</v>
      </c>
      <c r="J150" s="375"/>
      <c r="K150" s="324">
        <f t="shared" si="8"/>
        <v>9.0999999999999998E-2</v>
      </c>
      <c r="L150" s="2108"/>
    </row>
    <row r="151" spans="1:12">
      <c r="A151" s="376" t="s">
        <v>777</v>
      </c>
      <c r="B151" s="376"/>
      <c r="C151" s="1776">
        <v>-730.04399999999998</v>
      </c>
      <c r="D151" s="1775"/>
      <c r="E151" s="1776">
        <v>3.3839999999999999</v>
      </c>
      <c r="F151" s="1775"/>
      <c r="G151" s="1776">
        <v>43.396999999999998</v>
      </c>
      <c r="H151" s="1775"/>
      <c r="I151" s="1776">
        <v>0</v>
      </c>
      <c r="J151" s="375"/>
      <c r="K151" s="324">
        <f t="shared" si="8"/>
        <v>-770.05700000000002</v>
      </c>
      <c r="L151" s="2107"/>
    </row>
    <row r="152" spans="1:12">
      <c r="A152" s="376" t="s">
        <v>778</v>
      </c>
      <c r="B152" s="376"/>
      <c r="C152" s="1776">
        <v>-421.06900000000002</v>
      </c>
      <c r="D152" s="1775"/>
      <c r="E152" s="1776">
        <v>0</v>
      </c>
      <c r="F152" s="1775"/>
      <c r="G152" s="1776">
        <v>23.135000000000002</v>
      </c>
      <c r="H152" s="1775"/>
      <c r="I152" s="1776">
        <v>0</v>
      </c>
      <c r="J152" s="375"/>
      <c r="K152" s="324">
        <f t="shared" si="8"/>
        <v>-444.20400000000001</v>
      </c>
      <c r="L152" s="2108"/>
    </row>
    <row r="153" spans="1:12">
      <c r="A153" s="376" t="s">
        <v>779</v>
      </c>
      <c r="B153" s="376"/>
      <c r="C153" s="1776">
        <v>91.805000000000007</v>
      </c>
      <c r="D153" s="1775"/>
      <c r="E153" s="1776">
        <v>0.42599999999999999</v>
      </c>
      <c r="F153" s="1775"/>
      <c r="G153" s="1776">
        <v>3.177</v>
      </c>
      <c r="H153" s="1775"/>
      <c r="I153" s="1776">
        <v>-6.3E-2</v>
      </c>
      <c r="J153" s="375"/>
      <c r="K153" s="324">
        <f t="shared" si="8"/>
        <v>88.991</v>
      </c>
      <c r="L153" s="2108"/>
    </row>
    <row r="154" spans="1:12">
      <c r="A154" s="376" t="s">
        <v>780</v>
      </c>
      <c r="B154" s="376"/>
      <c r="C154" s="1776">
        <v>-33.786999999999999</v>
      </c>
      <c r="D154" s="1775"/>
      <c r="E154" s="1776">
        <v>0.22900000000000001</v>
      </c>
      <c r="F154" s="1775"/>
      <c r="G154" s="1776">
        <v>0</v>
      </c>
      <c r="H154" s="1775"/>
      <c r="I154" s="1776">
        <v>0</v>
      </c>
      <c r="J154" s="375"/>
      <c r="K154" s="324">
        <f t="shared" si="8"/>
        <v>-33.558</v>
      </c>
      <c r="L154" s="2108"/>
    </row>
    <row r="155" spans="1:12">
      <c r="A155" s="376" t="s">
        <v>781</v>
      </c>
      <c r="B155" s="376"/>
      <c r="C155" s="1776">
        <v>31.443999999999999</v>
      </c>
      <c r="D155" s="1775"/>
      <c r="E155" s="1776">
        <v>0</v>
      </c>
      <c r="F155" s="1775"/>
      <c r="G155" s="1776">
        <v>22.888999999999999</v>
      </c>
      <c r="H155" s="1775"/>
      <c r="I155" s="1776">
        <v>70</v>
      </c>
      <c r="J155" s="375"/>
      <c r="K155" s="324">
        <f t="shared" si="8"/>
        <v>78.555000000000007</v>
      </c>
      <c r="L155" s="2108"/>
    </row>
    <row r="156" spans="1:12">
      <c r="A156" s="186" t="s">
        <v>782</v>
      </c>
      <c r="B156" s="376"/>
      <c r="C156" s="1645">
        <f>ROUND(SUM(C116:C155),3)</f>
        <v>-1827.607</v>
      </c>
      <c r="D156" s="186"/>
      <c r="E156" s="1645">
        <f>ROUND(SUM(E116:E155),3)</f>
        <v>507.43599999999998</v>
      </c>
      <c r="F156" s="186"/>
      <c r="G156" s="1645">
        <f>ROUND(SUM(G116:G155),3)</f>
        <v>1158.973</v>
      </c>
      <c r="H156" s="186"/>
      <c r="I156" s="1645">
        <f>ROUND(SUM(I116:I155),3)</f>
        <v>471.31299999999999</v>
      </c>
      <c r="J156" s="186"/>
      <c r="K156" s="1645">
        <f>ROUND(SUM(K116:K155),3)</f>
        <v>-2007.8309999999999</v>
      </c>
      <c r="L156" s="2111"/>
    </row>
    <row r="157" spans="1:12">
      <c r="A157" s="186"/>
      <c r="B157" s="376"/>
      <c r="C157" s="376"/>
      <c r="D157" s="376"/>
      <c r="E157" s="1780"/>
      <c r="F157" s="1780"/>
      <c r="G157" s="1780"/>
      <c r="H157" s="1780"/>
      <c r="I157" s="1780"/>
      <c r="J157" s="376"/>
      <c r="K157" s="376"/>
    </row>
    <row r="158" spans="1:12" ht="16" thickBot="1">
      <c r="A158" s="186" t="s">
        <v>783</v>
      </c>
      <c r="B158" s="187"/>
      <c r="C158" s="1781">
        <f>ROUND(SUM(C24+C103+C113+C156),3)</f>
        <v>72062.902000000002</v>
      </c>
      <c r="D158" s="187"/>
      <c r="E158" s="1781">
        <f>ROUND(SUM(E24+E103+E113+E156),3)</f>
        <v>15964.018</v>
      </c>
      <c r="F158" s="1782"/>
      <c r="G158" s="1781">
        <f>ROUND(SUM(G24+G103+G113+G156),3)</f>
        <v>18681.012999999999</v>
      </c>
      <c r="H158" s="1782"/>
      <c r="I158" s="1781">
        <f>ROUND(SUM(I24+I103+I113+I156),3)</f>
        <v>-7.1</v>
      </c>
      <c r="J158" s="187"/>
      <c r="K158" s="1781">
        <f>ROUND(SUM(K24+K103+K113+K156),3)</f>
        <v>69338.807000000001</v>
      </c>
      <c r="L158" s="2111"/>
    </row>
    <row r="159" spans="1:12" ht="16" thickTop="1">
      <c r="A159" s="376"/>
      <c r="B159" s="376"/>
      <c r="C159" s="376" t="s">
        <v>104</v>
      </c>
      <c r="D159" s="376"/>
      <c r="E159" s="376"/>
      <c r="F159" s="376"/>
      <c r="G159" s="376"/>
      <c r="H159" s="376"/>
      <c r="I159" s="376"/>
      <c r="J159" s="376"/>
      <c r="K159" s="376"/>
    </row>
    <row r="160" spans="1:12">
      <c r="A160" s="376"/>
      <c r="B160" s="376"/>
      <c r="C160" s="376" t="s">
        <v>104</v>
      </c>
      <c r="D160" s="376"/>
      <c r="E160" s="376"/>
      <c r="F160" s="376"/>
      <c r="G160" s="376"/>
      <c r="H160" s="376"/>
      <c r="I160" s="376"/>
      <c r="J160" s="376"/>
      <c r="K160" s="376" t="s">
        <v>104</v>
      </c>
    </row>
    <row r="161" spans="1:11">
      <c r="A161" s="185"/>
      <c r="B161" s="376"/>
      <c r="C161" s="376"/>
      <c r="D161" s="376"/>
      <c r="E161" s="1783"/>
      <c r="F161" s="376"/>
      <c r="G161" s="376" t="s">
        <v>104</v>
      </c>
      <c r="H161" s="376"/>
      <c r="I161" s="1780" t="s">
        <v>104</v>
      </c>
      <c r="J161" s="376"/>
      <c r="K161" s="1195" t="s">
        <v>104</v>
      </c>
    </row>
    <row r="162" spans="1:11">
      <c r="A162" s="376" t="s">
        <v>104</v>
      </c>
      <c r="B162" s="376"/>
      <c r="C162" s="376"/>
      <c r="D162" s="376"/>
      <c r="E162" s="376"/>
      <c r="F162" s="376"/>
      <c r="G162" s="378" t="s">
        <v>104</v>
      </c>
      <c r="H162" s="376"/>
      <c r="I162" s="376" t="s">
        <v>104</v>
      </c>
      <c r="J162" s="376"/>
      <c r="K162" s="376" t="s">
        <v>104</v>
      </c>
    </row>
    <row r="163" spans="1:11">
      <c r="A163" s="376"/>
      <c r="B163" s="376"/>
      <c r="C163" s="376"/>
      <c r="D163" s="376"/>
      <c r="E163" s="376"/>
      <c r="F163" s="376"/>
      <c r="G163" s="376"/>
      <c r="H163" s="376"/>
      <c r="I163" s="376" t="s">
        <v>104</v>
      </c>
      <c r="J163" s="376"/>
      <c r="K163" s="376" t="s">
        <v>104</v>
      </c>
    </row>
    <row r="164" spans="1:11">
      <c r="A164" s="380"/>
      <c r="B164" s="376"/>
      <c r="C164" s="376"/>
      <c r="D164" s="376"/>
      <c r="E164" s="376"/>
      <c r="F164" s="376"/>
      <c r="G164" s="376"/>
      <c r="H164" s="376"/>
      <c r="I164" s="381" t="s">
        <v>104</v>
      </c>
      <c r="J164" s="376"/>
      <c r="K164" s="376" t="s">
        <v>104</v>
      </c>
    </row>
    <row r="165" spans="1:11">
      <c r="I165" s="1784" t="s">
        <v>104</v>
      </c>
      <c r="K165" s="1130" t="s">
        <v>104</v>
      </c>
    </row>
    <row r="169" spans="1:11">
      <c r="I169" s="188"/>
    </row>
  </sheetData>
  <printOptions horizontalCentered="1"/>
  <pageMargins left="0.5" right="0.25" top="0.32" bottom="0.25" header="0.27" footer="0.1"/>
  <pageSetup scale="59" firstPageNumber="38" fitToHeight="3" orientation="landscape" useFirstPageNumber="1" r:id="rId1"/>
  <headerFooter scaleWithDoc="0" alignWithMargins="0">
    <oddFooter>&amp;C&amp;8&amp;P</oddFooter>
    <firstFooter>&amp;C28</firstFooter>
  </headerFooter>
  <rowBreaks count="2" manualBreakCount="2">
    <brk id="60" max="11" man="1"/>
    <brk id="113" max="11" man="1"/>
  </rowBreaks>
  <customProperties>
    <customPr name="SheetOptions" r:id="rId2"/>
  </customPropertie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9">
    <pageSetUpPr autoPageBreaks="0"/>
  </sheetPr>
  <dimension ref="A1:O95"/>
  <sheetViews>
    <sheetView showGridLines="0" zoomScale="80" zoomScaleNormal="90" workbookViewId="0"/>
  </sheetViews>
  <sheetFormatPr defaultColWidth="8.84375" defaultRowHeight="17.5"/>
  <cols>
    <col min="1" max="1" width="55.84375" style="886" customWidth="1"/>
    <col min="2" max="2" width="6.07421875" style="886" customWidth="1"/>
    <col min="3" max="3" width="20.07421875" style="886" customWidth="1"/>
    <col min="4" max="4" width="3.07421875" style="886" customWidth="1"/>
    <col min="5" max="5" width="17.07421875" style="886" customWidth="1"/>
    <col min="6" max="6" width="3.53515625" style="886" customWidth="1"/>
    <col min="7" max="7" width="18.07421875" style="886" customWidth="1"/>
    <col min="8" max="8" width="3.07421875" style="886" customWidth="1"/>
    <col min="9" max="9" width="18.53515625" style="886" customWidth="1"/>
    <col min="10" max="10" width="3.4609375" style="886" customWidth="1"/>
    <col min="11" max="11" width="22.07421875" style="886" customWidth="1"/>
    <col min="12" max="12" width="15.53515625" style="886" customWidth="1"/>
    <col min="13" max="13" width="9.84375" style="886" bestFit="1" customWidth="1"/>
    <col min="14" max="16384" width="8.84375" style="886"/>
  </cols>
  <sheetData>
    <row r="1" spans="1:11">
      <c r="A1" s="326" t="s">
        <v>98</v>
      </c>
    </row>
    <row r="2" spans="1:11">
      <c r="A2" s="1143"/>
    </row>
    <row r="3" spans="1:11" s="189" customFormat="1" ht="18" customHeight="1">
      <c r="A3" s="193" t="s">
        <v>99</v>
      </c>
      <c r="B3" s="1144"/>
      <c r="C3" s="1144"/>
      <c r="D3" s="1144"/>
      <c r="E3" s="1785"/>
      <c r="F3" s="1785"/>
      <c r="I3" s="193"/>
      <c r="J3" s="193"/>
      <c r="K3" s="196" t="s">
        <v>784</v>
      </c>
    </row>
    <row r="4" spans="1:11" s="189" customFormat="1" ht="18" customHeight="1">
      <c r="A4" s="193" t="s">
        <v>223</v>
      </c>
      <c r="B4" s="1144"/>
      <c r="C4" s="1144"/>
      <c r="D4" s="1144"/>
      <c r="E4" s="1785"/>
      <c r="F4" s="1785"/>
      <c r="I4" s="193"/>
      <c r="J4" s="193"/>
      <c r="K4" s="193"/>
    </row>
    <row r="5" spans="1:11" s="189" customFormat="1" ht="18" customHeight="1">
      <c r="A5" s="199" t="s">
        <v>785</v>
      </c>
      <c r="B5" s="1144"/>
      <c r="C5" s="1144"/>
      <c r="D5" s="1144"/>
      <c r="E5" s="1785"/>
      <c r="F5" s="1785"/>
      <c r="I5" s="193"/>
      <c r="J5" s="193"/>
      <c r="K5" s="193"/>
    </row>
    <row r="6" spans="1:11" s="189" customFormat="1" ht="18" customHeight="1">
      <c r="A6" s="199" t="s">
        <v>786</v>
      </c>
      <c r="B6" s="1144"/>
      <c r="C6" s="1144"/>
      <c r="D6" s="1144"/>
      <c r="E6" s="1785"/>
      <c r="F6" s="1785"/>
      <c r="I6" s="193"/>
      <c r="J6" s="193"/>
      <c r="K6" s="193"/>
    </row>
    <row r="7" spans="1:11" s="189" customFormat="1" ht="18" customHeight="1">
      <c r="A7" s="199" t="str">
        <f>'Sch 1 '!A7</f>
        <v>FISCAL YEAR 2023-2024</v>
      </c>
      <c r="B7" s="1144"/>
      <c r="C7" s="1144"/>
      <c r="D7" s="1144"/>
      <c r="E7" s="1785"/>
      <c r="F7" s="1785"/>
      <c r="I7" s="193"/>
      <c r="J7" s="193"/>
      <c r="K7" s="193"/>
    </row>
    <row r="8" spans="1:11" s="189" customFormat="1" ht="18" customHeight="1">
      <c r="A8" s="199" t="str">
        <f>'Sch 1 '!A8</f>
        <v>FOR THE MONTH OF NOVEMBER 2023</v>
      </c>
      <c r="B8" s="1144"/>
      <c r="C8" s="1144"/>
      <c r="D8" s="1144"/>
      <c r="E8" s="1785" t="s">
        <v>104</v>
      </c>
      <c r="G8" s="1785"/>
      <c r="I8" s="193"/>
      <c r="J8" s="193"/>
      <c r="K8" s="193"/>
    </row>
    <row r="9" spans="1:11" s="189" customFormat="1" ht="18" customHeight="1">
      <c r="A9" s="193" t="s">
        <v>103</v>
      </c>
      <c r="B9" s="1144"/>
      <c r="C9" s="1144"/>
      <c r="D9" s="1144"/>
      <c r="E9" s="1785"/>
      <c r="F9" s="1785"/>
      <c r="I9" s="193"/>
      <c r="J9" s="193"/>
      <c r="K9" s="193"/>
    </row>
    <row r="10" spans="1:11" s="189" customFormat="1" ht="18">
      <c r="A10" s="193"/>
      <c r="B10" s="193"/>
      <c r="D10" s="193"/>
    </row>
    <row r="11" spans="1:11" s="189" customFormat="1" ht="18">
      <c r="A11" s="193"/>
      <c r="B11" s="193"/>
      <c r="C11" s="193"/>
      <c r="D11" s="193"/>
      <c r="E11" s="193"/>
      <c r="F11" s="193"/>
      <c r="G11" s="193"/>
      <c r="H11" s="193"/>
      <c r="I11" s="193"/>
      <c r="J11" s="193"/>
      <c r="K11" s="193"/>
    </row>
    <row r="12" spans="1:11" s="189" customFormat="1" ht="18">
      <c r="A12" s="193"/>
      <c r="B12" s="193"/>
      <c r="C12" s="209"/>
      <c r="D12" s="193"/>
      <c r="E12" s="193"/>
      <c r="F12" s="193"/>
      <c r="G12" s="193"/>
      <c r="H12" s="193"/>
      <c r="I12" s="209" t="s">
        <v>787</v>
      </c>
      <c r="J12" s="193"/>
      <c r="K12" s="209"/>
    </row>
    <row r="13" spans="1:11" s="189" customFormat="1" ht="18">
      <c r="A13" s="193"/>
      <c r="B13" s="193"/>
      <c r="C13" s="209" t="s">
        <v>643</v>
      </c>
      <c r="D13" s="193"/>
      <c r="E13" s="193"/>
      <c r="F13" s="193"/>
      <c r="G13" s="193"/>
      <c r="H13" s="193"/>
      <c r="I13" s="209" t="s">
        <v>788</v>
      </c>
      <c r="J13" s="193"/>
      <c r="K13" s="209" t="s">
        <v>643</v>
      </c>
    </row>
    <row r="14" spans="1:11" s="189" customFormat="1" ht="18">
      <c r="A14" s="208" t="s">
        <v>789</v>
      </c>
      <c r="B14" s="193"/>
      <c r="C14" s="1786" t="str">
        <f>'Sch 1 '!C11</f>
        <v>NOVEMBER 1, 2023</v>
      </c>
      <c r="D14" s="193"/>
      <c r="E14" s="209" t="s">
        <v>645</v>
      </c>
      <c r="F14" s="193"/>
      <c r="G14" s="209" t="s">
        <v>646</v>
      </c>
      <c r="H14" s="193"/>
      <c r="I14" s="209" t="s">
        <v>647</v>
      </c>
      <c r="J14" s="193"/>
      <c r="K14" s="473" t="str">
        <f>'Sch 1 '!K11</f>
        <v>NOVEMBER 30, 2023</v>
      </c>
    </row>
    <row r="15" spans="1:11" s="189" customFormat="1" ht="12" customHeight="1">
      <c r="C15" s="1787"/>
      <c r="E15" s="1646"/>
      <c r="G15" s="1646"/>
      <c r="I15" s="1646"/>
      <c r="K15" s="1646"/>
    </row>
    <row r="16" spans="1:11" s="189" customFormat="1" ht="18">
      <c r="A16" s="200" t="s">
        <v>623</v>
      </c>
      <c r="E16" s="197"/>
    </row>
    <row r="17" spans="1:12" s="189" customFormat="1" ht="12" customHeight="1">
      <c r="E17" s="197"/>
    </row>
    <row r="18" spans="1:12" s="189" customFormat="1" ht="16.5" customHeight="1">
      <c r="A18" s="1319" t="s">
        <v>790</v>
      </c>
      <c r="C18" s="736">
        <v>374.45499999999998</v>
      </c>
      <c r="D18" s="737"/>
      <c r="E18" s="736">
        <v>5.3860000000000001</v>
      </c>
      <c r="F18" s="737"/>
      <c r="G18" s="736">
        <v>9.8699999999999992</v>
      </c>
      <c r="H18" s="737"/>
      <c r="I18" s="736">
        <v>0</v>
      </c>
      <c r="J18" s="738"/>
      <c r="K18" s="739">
        <f t="shared" ref="K18" si="0">ROUND(SUM(C18)+SUM(E18)-SUM(G18)+SUM(I18),3)</f>
        <v>369.971</v>
      </c>
      <c r="L18" s="360"/>
    </row>
    <row r="19" spans="1:12" s="189" customFormat="1" ht="16.399999999999999" customHeight="1">
      <c r="A19" s="189" t="s">
        <v>791</v>
      </c>
      <c r="B19" s="190"/>
      <c r="C19" s="740">
        <v>0.13200000000000001</v>
      </c>
      <c r="D19" s="737"/>
      <c r="E19" s="740">
        <v>8.9999999999999993E-3</v>
      </c>
      <c r="F19" s="737"/>
      <c r="G19" s="740">
        <v>2E-3</v>
      </c>
      <c r="H19" s="737"/>
      <c r="I19" s="740">
        <v>0</v>
      </c>
      <c r="J19" s="738"/>
      <c r="K19" s="741">
        <f t="shared" ref="K19:K25" si="1">ROUND(SUM(C19)+SUM(E19)-SUM(G19)+SUM(I19),3)</f>
        <v>0.13900000000000001</v>
      </c>
      <c r="L19" s="360"/>
    </row>
    <row r="20" spans="1:12" s="189" customFormat="1" ht="15.75" customHeight="1">
      <c r="A20" s="189" t="s">
        <v>792</v>
      </c>
      <c r="C20" s="740">
        <v>5.9589999999999996</v>
      </c>
      <c r="D20" s="737"/>
      <c r="E20" s="740">
        <v>0.873</v>
      </c>
      <c r="F20" s="737"/>
      <c r="G20" s="740">
        <v>1.61</v>
      </c>
      <c r="H20" s="737"/>
      <c r="I20" s="740">
        <v>0</v>
      </c>
      <c r="J20" s="738"/>
      <c r="K20" s="741">
        <f>ROUND(SUM(C20)+SUM(E20)-SUM(G20)+SUM(I20),3)</f>
        <v>5.2220000000000004</v>
      </c>
      <c r="L20" s="360"/>
    </row>
    <row r="21" spans="1:12" s="189" customFormat="1" ht="16.399999999999999" customHeight="1">
      <c r="A21" s="189" t="s">
        <v>793</v>
      </c>
      <c r="C21" s="740">
        <v>3.31</v>
      </c>
      <c r="D21" s="737"/>
      <c r="E21" s="740">
        <v>3.492</v>
      </c>
      <c r="F21" s="737"/>
      <c r="G21" s="740">
        <v>3.851</v>
      </c>
      <c r="H21" s="737"/>
      <c r="I21" s="740">
        <v>0</v>
      </c>
      <c r="J21" s="738"/>
      <c r="K21" s="741">
        <f t="shared" si="1"/>
        <v>2.9510000000000001</v>
      </c>
      <c r="L21" s="360"/>
    </row>
    <row r="22" spans="1:12" s="189" customFormat="1" ht="16.399999999999999" customHeight="1">
      <c r="A22" s="189" t="s">
        <v>794</v>
      </c>
      <c r="C22" s="740">
        <v>19.937999999999999</v>
      </c>
      <c r="D22" s="737"/>
      <c r="E22" s="740">
        <v>2.4990000000000001</v>
      </c>
      <c r="F22" s="737"/>
      <c r="G22" s="740">
        <v>2.3140000000000001</v>
      </c>
      <c r="H22" s="737"/>
      <c r="I22" s="740">
        <v>0</v>
      </c>
      <c r="J22" s="738"/>
      <c r="K22" s="741">
        <f t="shared" si="1"/>
        <v>20.123000000000001</v>
      </c>
      <c r="L22" s="360"/>
    </row>
    <row r="23" spans="1:12" s="189" customFormat="1" ht="16.399999999999999" customHeight="1">
      <c r="A23" s="189" t="s">
        <v>795</v>
      </c>
      <c r="C23" s="740">
        <v>1.9530000000000001</v>
      </c>
      <c r="D23" s="737"/>
      <c r="E23" s="740">
        <v>8.9999999999999993E-3</v>
      </c>
      <c r="F23" s="737"/>
      <c r="G23" s="740">
        <v>1.0999999999999999E-2</v>
      </c>
      <c r="H23" s="737"/>
      <c r="I23" s="740">
        <v>0</v>
      </c>
      <c r="J23" s="738"/>
      <c r="K23" s="741">
        <f t="shared" si="1"/>
        <v>1.9510000000000001</v>
      </c>
      <c r="L23" s="360"/>
    </row>
    <row r="24" spans="1:12" s="189" customFormat="1" ht="16.399999999999999" customHeight="1">
      <c r="A24" s="189" t="s">
        <v>796</v>
      </c>
      <c r="C24" s="740">
        <v>2.149</v>
      </c>
      <c r="D24" s="737"/>
      <c r="E24" s="740">
        <v>7.9000000000000001E-2</v>
      </c>
      <c r="F24" s="737"/>
      <c r="G24" s="740">
        <v>6.0000000000000001E-3</v>
      </c>
      <c r="H24" s="737"/>
      <c r="I24" s="740">
        <v>0</v>
      </c>
      <c r="J24" s="738"/>
      <c r="K24" s="741">
        <f t="shared" si="1"/>
        <v>2.222</v>
      </c>
      <c r="L24" s="360"/>
    </row>
    <row r="25" spans="1:12" s="189" customFormat="1" ht="16.399999999999999" customHeight="1">
      <c r="A25" s="189" t="s">
        <v>797</v>
      </c>
      <c r="C25" s="740">
        <v>6.01</v>
      </c>
      <c r="D25" s="737"/>
      <c r="E25" s="740">
        <v>0.16400000000000001</v>
      </c>
      <c r="F25" s="737"/>
      <c r="G25" s="740">
        <v>7.1999999999999995E-2</v>
      </c>
      <c r="H25" s="737"/>
      <c r="I25" s="740">
        <v>0</v>
      </c>
      <c r="J25" s="738"/>
      <c r="K25" s="741">
        <f t="shared" si="1"/>
        <v>6.1020000000000003</v>
      </c>
      <c r="L25" s="360"/>
    </row>
    <row r="26" spans="1:12" s="189" customFormat="1" ht="16.399999999999999" customHeight="1">
      <c r="A26" s="1188" t="s">
        <v>798</v>
      </c>
      <c r="C26" s="740">
        <v>127.21900000000001</v>
      </c>
      <c r="D26" s="737"/>
      <c r="E26" s="740">
        <v>232.839</v>
      </c>
      <c r="F26" s="737"/>
      <c r="G26" s="740">
        <v>228.38899999999998</v>
      </c>
      <c r="H26" s="737"/>
      <c r="I26" s="740">
        <v>0</v>
      </c>
      <c r="J26" s="738"/>
      <c r="K26" s="741">
        <f>ROUND(SUM(C26)+SUM(E26)-SUM(G26)+SUM(I26),3)</f>
        <v>131.66900000000001</v>
      </c>
      <c r="L26" s="360"/>
    </row>
    <row r="27" spans="1:12" s="189" customFormat="1" ht="16.399999999999999" customHeight="1">
      <c r="A27" s="197" t="s">
        <v>799</v>
      </c>
      <c r="C27" s="740">
        <v>113.87</v>
      </c>
      <c r="D27" s="737"/>
      <c r="E27" s="740">
        <v>240.09399999999999</v>
      </c>
      <c r="F27" s="737"/>
      <c r="G27" s="740">
        <v>294.12099999999998</v>
      </c>
      <c r="H27" s="737"/>
      <c r="I27" s="740">
        <v>0</v>
      </c>
      <c r="J27" s="738"/>
      <c r="K27" s="741">
        <f>ROUND(SUM(C27)+SUM(E27)-SUM(G27)+SUM(I27),3)</f>
        <v>59.843000000000004</v>
      </c>
      <c r="L27" s="360"/>
    </row>
    <row r="28" spans="1:12" s="189" customFormat="1" ht="20.149999999999999" customHeight="1">
      <c r="A28" s="193" t="s">
        <v>800</v>
      </c>
      <c r="C28" s="1647">
        <f>ROUND(SUM(C18:C27),3)</f>
        <v>654.995</v>
      </c>
      <c r="D28" s="355"/>
      <c r="E28" s="1647">
        <f>ROUND(SUM(E18:E27),3)</f>
        <v>485.44400000000002</v>
      </c>
      <c r="F28" s="355"/>
      <c r="G28" s="1647">
        <f>ROUND(SUM(G18:G27),3)</f>
        <v>540.24599999999998</v>
      </c>
      <c r="H28" s="355"/>
      <c r="I28" s="1647">
        <f>ROUND(SUM(I18:I27),3)</f>
        <v>0</v>
      </c>
      <c r="J28" s="355"/>
      <c r="K28" s="1647">
        <f>ROUND(SUM(K18:K27),3)</f>
        <v>600.19299999999998</v>
      </c>
      <c r="L28" s="360"/>
    </row>
    <row r="29" spans="1:12" s="189" customFormat="1" ht="15" customHeight="1">
      <c r="C29" s="1648"/>
      <c r="D29" s="191"/>
      <c r="E29" s="1648"/>
      <c r="F29" s="191"/>
      <c r="G29" s="1648"/>
      <c r="H29" s="191"/>
      <c r="I29" s="191"/>
      <c r="J29" s="191"/>
      <c r="K29" s="1648"/>
      <c r="L29" s="360"/>
    </row>
    <row r="30" spans="1:12" s="189" customFormat="1" ht="15" customHeight="1">
      <c r="C30" s="191"/>
      <c r="D30" s="1788" t="s">
        <v>642</v>
      </c>
      <c r="E30" s="191"/>
      <c r="F30" s="191"/>
      <c r="G30" s="191"/>
      <c r="H30" s="191"/>
      <c r="I30" s="191"/>
      <c r="J30" s="191"/>
      <c r="K30" s="191"/>
      <c r="L30" s="360"/>
    </row>
    <row r="31" spans="1:12" s="189" customFormat="1" ht="15" customHeight="1">
      <c r="C31" s="191"/>
      <c r="D31" s="191"/>
      <c r="E31" s="191"/>
      <c r="F31" s="191"/>
      <c r="G31" s="191"/>
      <c r="H31" s="191"/>
      <c r="I31" s="191"/>
      <c r="J31" s="191"/>
      <c r="K31" s="191"/>
      <c r="L31" s="360"/>
    </row>
    <row r="32" spans="1:12" s="189" customFormat="1" ht="18" customHeight="1">
      <c r="A32" s="200" t="s">
        <v>631</v>
      </c>
      <c r="C32" s="191"/>
      <c r="D32" s="191"/>
      <c r="E32" s="191"/>
      <c r="F32" s="191"/>
      <c r="G32" s="191"/>
      <c r="H32" s="191"/>
      <c r="I32" s="191"/>
      <c r="J32" s="191"/>
      <c r="K32" s="191"/>
      <c r="L32" s="360"/>
    </row>
    <row r="33" spans="1:15" s="189" customFormat="1" ht="15" customHeight="1">
      <c r="A33" s="200"/>
      <c r="C33" s="191"/>
      <c r="D33" s="191"/>
      <c r="E33" s="191"/>
      <c r="F33" s="191"/>
      <c r="G33" s="191"/>
      <c r="H33" s="191"/>
      <c r="I33" s="191"/>
      <c r="J33" s="191"/>
      <c r="K33" s="191"/>
      <c r="L33" s="360"/>
    </row>
    <row r="34" spans="1:15" s="189" customFormat="1" ht="16.399999999999999" customHeight="1">
      <c r="A34" s="189" t="s">
        <v>801</v>
      </c>
      <c r="C34" s="740">
        <v>-26.724</v>
      </c>
      <c r="D34" s="737"/>
      <c r="E34" s="740">
        <v>26.071999999999999</v>
      </c>
      <c r="F34" s="737"/>
      <c r="G34" s="740">
        <v>37.412999999999997</v>
      </c>
      <c r="H34" s="737"/>
      <c r="I34" s="1789">
        <v>0.32200000000000001</v>
      </c>
      <c r="J34" s="738"/>
      <c r="K34" s="741">
        <f t="shared" ref="K34:K41" si="2">ROUND(SUM(C34)+SUM(E34)-SUM(G34)+SUM(I34),3)</f>
        <v>-37.743000000000002</v>
      </c>
      <c r="L34" s="360"/>
      <c r="M34" s="191"/>
    </row>
    <row r="35" spans="1:15" s="189" customFormat="1" ht="16.399999999999999" customHeight="1">
      <c r="A35" s="189" t="s">
        <v>802</v>
      </c>
      <c r="C35" s="740">
        <v>-25.254000000000001</v>
      </c>
      <c r="D35" s="737"/>
      <c r="E35" s="740">
        <v>10.792</v>
      </c>
      <c r="F35" s="737"/>
      <c r="G35" s="740">
        <v>2.02</v>
      </c>
      <c r="H35" s="737"/>
      <c r="I35" s="740">
        <v>7.25</v>
      </c>
      <c r="J35" s="738"/>
      <c r="K35" s="741">
        <f t="shared" si="2"/>
        <v>-9.2319999999999993</v>
      </c>
      <c r="L35" s="360"/>
      <c r="M35" s="191"/>
    </row>
    <row r="36" spans="1:15" s="189" customFormat="1" ht="16.399999999999999" customHeight="1">
      <c r="A36" s="189" t="s">
        <v>803</v>
      </c>
      <c r="C36" s="740">
        <v>-1.4E-2</v>
      </c>
      <c r="D36" s="737"/>
      <c r="E36" s="740">
        <v>4.5999999999999999E-2</v>
      </c>
      <c r="F36" s="737"/>
      <c r="G36" s="740">
        <v>5.2999999999999999E-2</v>
      </c>
      <c r="H36" s="737"/>
      <c r="I36" s="740">
        <v>0</v>
      </c>
      <c r="J36" s="738"/>
      <c r="K36" s="741">
        <f t="shared" si="2"/>
        <v>-2.1000000000000001E-2</v>
      </c>
      <c r="L36" s="360"/>
      <c r="M36" s="191"/>
    </row>
    <row r="37" spans="1:15" s="189" customFormat="1" ht="16.399999999999999" customHeight="1">
      <c r="A37" s="189" t="s">
        <v>804</v>
      </c>
      <c r="C37" s="740">
        <v>4.8000000000000001E-2</v>
      </c>
      <c r="D37" s="737"/>
      <c r="E37" s="740">
        <v>0</v>
      </c>
      <c r="F37" s="737"/>
      <c r="G37" s="740">
        <v>0</v>
      </c>
      <c r="H37" s="737"/>
      <c r="I37" s="740">
        <v>0</v>
      </c>
      <c r="J37" s="738"/>
      <c r="K37" s="741">
        <f t="shared" si="2"/>
        <v>4.8000000000000001E-2</v>
      </c>
      <c r="L37" s="360"/>
      <c r="M37" s="191"/>
    </row>
    <row r="38" spans="1:15" s="189" customFormat="1" ht="16.399999999999999" customHeight="1">
      <c r="A38" s="189" t="s">
        <v>805</v>
      </c>
      <c r="C38" s="740">
        <v>1.319</v>
      </c>
      <c r="D38" s="737"/>
      <c r="E38" s="740">
        <v>6.0000000000000001E-3</v>
      </c>
      <c r="F38" s="737"/>
      <c r="G38" s="740">
        <v>0.11700000000000001</v>
      </c>
      <c r="H38" s="737"/>
      <c r="I38" s="740">
        <v>-3.0000000000000001E-3</v>
      </c>
      <c r="J38" s="738"/>
      <c r="K38" s="741">
        <f t="shared" si="2"/>
        <v>1.2050000000000001</v>
      </c>
      <c r="L38" s="360"/>
      <c r="M38" s="191"/>
    </row>
    <row r="39" spans="1:15" s="189" customFormat="1" ht="16.399999999999999" customHeight="1">
      <c r="A39" s="189" t="s">
        <v>806</v>
      </c>
      <c r="C39" s="740">
        <v>-80.271000000000001</v>
      </c>
      <c r="D39" s="737"/>
      <c r="E39" s="740">
        <v>2.1999999999999999E-2</v>
      </c>
      <c r="F39" s="737"/>
      <c r="G39" s="740">
        <v>7.423</v>
      </c>
      <c r="H39" s="737"/>
      <c r="I39" s="740">
        <v>0</v>
      </c>
      <c r="J39" s="738"/>
      <c r="K39" s="741">
        <f t="shared" si="2"/>
        <v>-87.671999999999997</v>
      </c>
      <c r="L39" s="360"/>
      <c r="M39" s="191" t="s">
        <v>104</v>
      </c>
    </row>
    <row r="40" spans="1:15" s="189" customFormat="1" ht="16.399999999999999" customHeight="1">
      <c r="A40" s="189" t="s">
        <v>807</v>
      </c>
      <c r="C40" s="740">
        <v>-10.228</v>
      </c>
      <c r="D40" s="737"/>
      <c r="E40" s="740">
        <v>2.2149999999999999</v>
      </c>
      <c r="F40" s="737"/>
      <c r="G40" s="740">
        <v>1.1299999999999999</v>
      </c>
      <c r="H40" s="737"/>
      <c r="I40" s="740">
        <v>-0.46899999999999997</v>
      </c>
      <c r="J40" s="738"/>
      <c r="K40" s="741">
        <f t="shared" si="2"/>
        <v>-9.6120000000000001</v>
      </c>
      <c r="L40" s="360"/>
      <c r="M40" s="191" t="s">
        <v>104</v>
      </c>
    </row>
    <row r="41" spans="1:15" s="189" customFormat="1" ht="16.399999999999999" customHeight="1">
      <c r="A41" s="189" t="s">
        <v>808</v>
      </c>
      <c r="C41" s="740">
        <v>-14.893000000000001</v>
      </c>
      <c r="D41" s="737"/>
      <c r="E41" s="740">
        <v>2.54</v>
      </c>
      <c r="F41" s="737"/>
      <c r="G41" s="740">
        <v>5.9690000000000003</v>
      </c>
      <c r="H41" s="737"/>
      <c r="I41" s="740">
        <v>0</v>
      </c>
      <c r="J41" s="738"/>
      <c r="K41" s="741">
        <f t="shared" si="2"/>
        <v>-18.321999999999999</v>
      </c>
      <c r="L41" s="360"/>
      <c r="M41" s="191"/>
    </row>
    <row r="42" spans="1:15" s="189" customFormat="1" ht="20.149999999999999" customHeight="1">
      <c r="A42" s="193" t="s">
        <v>809</v>
      </c>
      <c r="C42" s="1647">
        <f>ROUND(SUM(C34:C41),3)</f>
        <v>-156.017</v>
      </c>
      <c r="D42" s="356"/>
      <c r="E42" s="1647">
        <f>ROUND(SUM(E34:E41),3)</f>
        <v>41.692999999999998</v>
      </c>
      <c r="F42" s="356"/>
      <c r="G42" s="1647">
        <f>ROUND(SUM(G34:G41),3)</f>
        <v>54.125</v>
      </c>
      <c r="H42" s="356"/>
      <c r="I42" s="1647">
        <f>ROUND(SUM(I34:I41),3)</f>
        <v>7.1</v>
      </c>
      <c r="J42" s="356"/>
      <c r="K42" s="1647">
        <f>ROUND(SUM(K34:K41),3)</f>
        <v>-161.34899999999999</v>
      </c>
      <c r="L42" s="360"/>
    </row>
    <row r="43" spans="1:15" s="189" customFormat="1" ht="15" customHeight="1">
      <c r="A43" s="193"/>
      <c r="C43" s="1790"/>
      <c r="D43" s="887"/>
      <c r="E43" s="1649"/>
      <c r="F43" s="887"/>
      <c r="G43" s="1649"/>
      <c r="H43" s="887"/>
      <c r="I43" s="1791"/>
      <c r="J43" s="887"/>
      <c r="K43" s="1649"/>
      <c r="L43" s="360"/>
    </row>
    <row r="44" spans="1:15" s="189" customFormat="1" ht="15" customHeight="1">
      <c r="A44" s="193"/>
      <c r="C44" s="1791"/>
      <c r="D44" s="887"/>
      <c r="E44" s="887"/>
      <c r="F44" s="887"/>
      <c r="G44" s="887" t="s">
        <v>104</v>
      </c>
      <c r="H44" s="887"/>
      <c r="I44" s="1791"/>
      <c r="J44" s="887"/>
      <c r="K44" s="887"/>
      <c r="L44" s="360"/>
    </row>
    <row r="45" spans="1:15" s="189" customFormat="1" ht="20.149999999999999" customHeight="1" thickBot="1">
      <c r="A45" s="193" t="s">
        <v>226</v>
      </c>
      <c r="B45" s="190"/>
      <c r="C45" s="888">
        <f>ROUND(SUM(C42)+SUM(C28),3)</f>
        <v>498.97800000000001</v>
      </c>
      <c r="D45" s="362"/>
      <c r="E45" s="888">
        <f>ROUND(SUM(E42)+SUM(E28),3)</f>
        <v>527.13699999999994</v>
      </c>
      <c r="F45" s="362"/>
      <c r="G45" s="888">
        <f>ROUND(SUM(G42)+SUM(G28),3)</f>
        <v>594.37099999999998</v>
      </c>
      <c r="H45" s="362"/>
      <c r="I45" s="888">
        <f>ROUND(SUM(I42)+SUM(I28),3)</f>
        <v>7.1</v>
      </c>
      <c r="J45" s="362"/>
      <c r="K45" s="888">
        <f>ROUND(SUM(K42)+SUM(K28),3)</f>
        <v>438.84399999999999</v>
      </c>
      <c r="L45" s="360"/>
    </row>
    <row r="46" spans="1:15" s="189" customFormat="1" ht="18" thickTop="1">
      <c r="C46" s="889"/>
      <c r="D46" s="887"/>
      <c r="E46" s="889" t="s">
        <v>104</v>
      </c>
      <c r="F46" s="887"/>
      <c r="G46" s="889"/>
      <c r="H46" s="887"/>
      <c r="I46" s="354"/>
      <c r="J46" s="887"/>
      <c r="K46" s="889"/>
    </row>
    <row r="47" spans="1:15" s="189" customFormat="1">
      <c r="A47" s="1145"/>
      <c r="B47" s="886"/>
      <c r="C47" s="890"/>
      <c r="D47" s="890"/>
      <c r="E47" s="1792" t="s">
        <v>104</v>
      </c>
      <c r="F47" s="1792"/>
      <c r="G47" s="1793"/>
      <c r="H47" s="1792" t="s">
        <v>104</v>
      </c>
      <c r="I47" s="1794" t="s">
        <v>104</v>
      </c>
      <c r="J47" s="890"/>
      <c r="K47" s="1146"/>
      <c r="L47" s="886"/>
      <c r="M47" s="886"/>
      <c r="N47" s="886"/>
      <c r="O47" s="886"/>
    </row>
    <row r="48" spans="1:15" s="189" customFormat="1">
      <c r="A48" s="886"/>
      <c r="B48" s="886"/>
      <c r="C48" s="890"/>
      <c r="D48" s="890"/>
      <c r="E48" s="366" t="s">
        <v>104</v>
      </c>
      <c r="F48" s="366"/>
      <c r="G48" s="366"/>
      <c r="H48" s="366"/>
      <c r="I48" s="366" t="s">
        <v>104</v>
      </c>
      <c r="J48" s="366"/>
      <c r="K48" s="366"/>
      <c r="L48" s="886"/>
      <c r="M48" s="886"/>
      <c r="N48" s="886"/>
      <c r="O48" s="886"/>
    </row>
    <row r="49" spans="1:15" s="189" customFormat="1">
      <c r="A49" s="886"/>
      <c r="B49" s="886"/>
      <c r="C49" s="890"/>
      <c r="D49" s="890"/>
      <c r="E49" s="890" t="s">
        <v>104</v>
      </c>
      <c r="F49" s="890"/>
      <c r="G49" s="1795"/>
      <c r="H49" s="886"/>
      <c r="I49" s="1796" t="s">
        <v>104</v>
      </c>
      <c r="J49" s="890"/>
      <c r="K49" s="890"/>
      <c r="L49" s="886"/>
      <c r="M49" s="886"/>
      <c r="N49" s="886"/>
      <c r="O49" s="886"/>
    </row>
    <row r="50" spans="1:15" s="189" customFormat="1">
      <c r="A50" s="886"/>
      <c r="B50" s="886"/>
      <c r="C50" s="890"/>
      <c r="D50" s="890"/>
      <c r="E50" s="366" t="s">
        <v>104</v>
      </c>
      <c r="F50" s="890"/>
      <c r="G50" s="890"/>
      <c r="H50" s="886"/>
      <c r="I50" s="1796" t="s">
        <v>104</v>
      </c>
      <c r="J50" s="890"/>
      <c r="K50" s="890"/>
      <c r="L50" s="886"/>
      <c r="M50" s="886"/>
      <c r="N50" s="886"/>
      <c r="O50" s="886"/>
    </row>
    <row r="51" spans="1:15" s="189" customFormat="1">
      <c r="A51" s="886"/>
      <c r="B51" s="886"/>
      <c r="C51" s="890"/>
      <c r="D51" s="890"/>
      <c r="E51" s="366" t="s">
        <v>104</v>
      </c>
      <c r="F51" s="890"/>
      <c r="G51" s="890"/>
      <c r="H51" s="886"/>
      <c r="I51" s="1796" t="s">
        <v>104</v>
      </c>
      <c r="J51" s="890"/>
      <c r="K51" s="890"/>
      <c r="L51" s="886"/>
      <c r="M51" s="886"/>
      <c r="N51" s="886"/>
      <c r="O51" s="886"/>
    </row>
    <row r="52" spans="1:15" s="189" customFormat="1">
      <c r="A52" s="886"/>
      <c r="B52" s="886"/>
      <c r="C52" s="890"/>
      <c r="D52" s="890"/>
      <c r="E52" s="890"/>
      <c r="F52" s="890"/>
      <c r="G52" s="890"/>
      <c r="H52" s="886"/>
      <c r="I52" s="1796" t="s">
        <v>104</v>
      </c>
      <c r="J52" s="890"/>
      <c r="K52" s="890"/>
      <c r="L52" s="886"/>
      <c r="M52" s="886"/>
      <c r="N52" s="886"/>
      <c r="O52" s="886"/>
    </row>
    <row r="53" spans="1:15" s="189" customFormat="1">
      <c r="B53" s="886"/>
      <c r="C53" s="890"/>
      <c r="D53" s="890"/>
      <c r="E53" s="890"/>
      <c r="F53" s="890"/>
      <c r="G53" s="890"/>
      <c r="H53" s="886"/>
      <c r="I53" s="1796" t="s">
        <v>104</v>
      </c>
      <c r="J53" s="890"/>
      <c r="K53" s="890"/>
      <c r="L53" s="886"/>
      <c r="M53" s="886"/>
      <c r="N53" s="886"/>
      <c r="O53" s="886"/>
    </row>
    <row r="54" spans="1:15" s="189" customFormat="1">
      <c r="A54" s="886"/>
      <c r="B54" s="886"/>
      <c r="C54" s="890"/>
      <c r="D54" s="890"/>
      <c r="E54" s="890"/>
      <c r="F54" s="890"/>
      <c r="G54" s="890"/>
      <c r="H54" s="886"/>
      <c r="I54" s="886"/>
      <c r="J54" s="890"/>
      <c r="K54" s="890"/>
      <c r="L54" s="886"/>
      <c r="M54" s="886"/>
      <c r="N54" s="886"/>
      <c r="O54" s="886"/>
    </row>
    <row r="55" spans="1:15" s="189" customFormat="1">
      <c r="A55" s="886"/>
      <c r="B55" s="886"/>
      <c r="C55" s="890"/>
      <c r="D55" s="890"/>
      <c r="E55" s="890"/>
      <c r="F55" s="890"/>
      <c r="G55" s="890"/>
      <c r="H55" s="886"/>
      <c r="I55" s="886"/>
      <c r="J55" s="890"/>
      <c r="K55" s="890"/>
      <c r="L55" s="886"/>
      <c r="M55" s="886"/>
      <c r="N55" s="886"/>
      <c r="O55" s="886"/>
    </row>
    <row r="56" spans="1:15" s="189" customFormat="1">
      <c r="A56" s="886"/>
      <c r="B56" s="886"/>
      <c r="C56" s="890"/>
      <c r="D56" s="890"/>
      <c r="E56" s="890"/>
      <c r="F56" s="890"/>
      <c r="G56" s="890"/>
      <c r="H56" s="886"/>
      <c r="I56" s="886"/>
      <c r="J56" s="890"/>
      <c r="K56" s="890"/>
      <c r="L56" s="886"/>
      <c r="M56" s="886"/>
      <c r="N56" s="886"/>
      <c r="O56" s="886"/>
    </row>
    <row r="57" spans="1:15" s="189" customFormat="1">
      <c r="A57" s="886"/>
      <c r="B57" s="886"/>
      <c r="C57" s="890"/>
      <c r="D57" s="890"/>
      <c r="E57" s="890"/>
      <c r="F57" s="890"/>
      <c r="G57" s="890"/>
      <c r="H57" s="886"/>
      <c r="I57" s="886"/>
      <c r="J57" s="890"/>
      <c r="K57" s="890"/>
      <c r="L57" s="886"/>
      <c r="M57" s="886"/>
      <c r="N57" s="886"/>
      <c r="O57" s="886"/>
    </row>
    <row r="58" spans="1:15" s="189" customFormat="1">
      <c r="A58" s="886"/>
      <c r="B58" s="886"/>
      <c r="C58" s="890"/>
      <c r="D58" s="890"/>
      <c r="E58" s="890"/>
      <c r="F58" s="890"/>
      <c r="G58" s="890"/>
      <c r="H58" s="886"/>
      <c r="I58" s="886"/>
      <c r="J58" s="890"/>
      <c r="K58" s="890"/>
      <c r="L58" s="886"/>
      <c r="M58" s="886"/>
      <c r="N58" s="886"/>
      <c r="O58" s="886"/>
    </row>
    <row r="59" spans="1:15" s="189" customFormat="1">
      <c r="A59" s="886"/>
      <c r="B59" s="886"/>
      <c r="C59" s="890"/>
      <c r="D59" s="890"/>
      <c r="E59" s="890"/>
      <c r="F59" s="890"/>
      <c r="G59" s="890"/>
      <c r="H59" s="886"/>
      <c r="I59" s="886"/>
      <c r="J59" s="890"/>
      <c r="K59" s="890"/>
      <c r="L59" s="886"/>
      <c r="M59" s="886"/>
      <c r="N59" s="886"/>
      <c r="O59" s="886"/>
    </row>
    <row r="60" spans="1:15" s="189" customFormat="1">
      <c r="A60" s="886"/>
      <c r="B60" s="886"/>
      <c r="C60" s="890"/>
      <c r="D60" s="890"/>
      <c r="E60" s="890"/>
      <c r="F60" s="890"/>
      <c r="G60" s="890"/>
      <c r="H60" s="886"/>
      <c r="I60" s="886"/>
      <c r="J60" s="890"/>
      <c r="K60" s="890"/>
      <c r="L60" s="886"/>
      <c r="M60" s="886"/>
      <c r="N60" s="886"/>
      <c r="O60" s="886"/>
    </row>
    <row r="61" spans="1:15" s="189" customFormat="1">
      <c r="A61" s="886"/>
      <c r="B61" s="886"/>
      <c r="C61" s="890"/>
      <c r="D61" s="890"/>
      <c r="E61" s="890"/>
      <c r="F61" s="890"/>
      <c r="G61" s="890"/>
      <c r="H61" s="886"/>
      <c r="I61" s="886"/>
      <c r="J61" s="890"/>
      <c r="K61" s="890"/>
      <c r="L61" s="886"/>
      <c r="M61" s="886"/>
      <c r="N61" s="886"/>
      <c r="O61" s="886"/>
    </row>
    <row r="62" spans="1:15" s="189" customFormat="1">
      <c r="A62" s="886"/>
      <c r="B62" s="886"/>
      <c r="C62" s="890"/>
      <c r="D62" s="890"/>
      <c r="E62" s="890"/>
      <c r="F62" s="890"/>
      <c r="G62" s="890"/>
      <c r="H62" s="886"/>
      <c r="I62" s="886"/>
      <c r="J62" s="890"/>
      <c r="K62" s="890"/>
      <c r="L62" s="886"/>
      <c r="M62" s="886"/>
      <c r="N62" s="886"/>
      <c r="O62" s="886"/>
    </row>
    <row r="63" spans="1:15" s="189" customFormat="1">
      <c r="A63" s="886"/>
      <c r="B63" s="886"/>
      <c r="C63" s="890"/>
      <c r="D63" s="890"/>
      <c r="E63" s="890"/>
      <c r="F63" s="890"/>
      <c r="G63" s="890"/>
      <c r="H63" s="886"/>
      <c r="I63" s="886"/>
      <c r="J63" s="890"/>
      <c r="K63" s="890"/>
      <c r="L63" s="886"/>
      <c r="M63" s="886"/>
      <c r="N63" s="886"/>
      <c r="O63" s="886"/>
    </row>
    <row r="64" spans="1:15" s="189" customFormat="1">
      <c r="A64" s="886"/>
      <c r="B64" s="886"/>
      <c r="C64" s="890"/>
      <c r="D64" s="890"/>
      <c r="E64" s="890"/>
      <c r="F64" s="890"/>
      <c r="G64" s="890"/>
      <c r="H64" s="886"/>
      <c r="I64" s="886"/>
      <c r="J64" s="890"/>
      <c r="K64" s="890"/>
      <c r="L64" s="886"/>
      <c r="M64" s="886"/>
      <c r="N64" s="886"/>
      <c r="O64" s="886"/>
    </row>
    <row r="65" spans="1:15" s="189" customFormat="1">
      <c r="A65" s="886"/>
      <c r="B65" s="886"/>
      <c r="C65" s="890"/>
      <c r="D65" s="890"/>
      <c r="E65" s="890"/>
      <c r="F65" s="890"/>
      <c r="G65" s="890"/>
      <c r="H65" s="886"/>
      <c r="I65" s="886"/>
      <c r="J65" s="890"/>
      <c r="K65" s="890"/>
      <c r="L65" s="886"/>
      <c r="M65" s="886"/>
      <c r="N65" s="886"/>
      <c r="O65" s="886"/>
    </row>
    <row r="66" spans="1:15" s="189" customFormat="1">
      <c r="A66" s="886"/>
      <c r="B66" s="886"/>
      <c r="C66" s="890"/>
      <c r="D66" s="890"/>
      <c r="E66" s="890"/>
      <c r="F66" s="890"/>
      <c r="G66" s="890"/>
      <c r="H66" s="886"/>
      <c r="I66" s="886"/>
      <c r="J66" s="890"/>
      <c r="K66" s="890"/>
      <c r="L66" s="886"/>
      <c r="M66" s="886"/>
      <c r="N66" s="886"/>
      <c r="O66" s="886"/>
    </row>
    <row r="67" spans="1:15" s="189" customFormat="1">
      <c r="A67" s="886"/>
      <c r="B67" s="886"/>
      <c r="C67" s="890"/>
      <c r="D67" s="890"/>
      <c r="E67" s="890"/>
      <c r="F67" s="890"/>
      <c r="G67" s="890"/>
      <c r="H67" s="886"/>
      <c r="I67" s="886"/>
      <c r="J67" s="890"/>
      <c r="K67" s="890"/>
      <c r="L67" s="886"/>
      <c r="M67" s="886"/>
      <c r="N67" s="886"/>
      <c r="O67" s="886"/>
    </row>
    <row r="68" spans="1:15" s="189" customFormat="1">
      <c r="A68" s="886"/>
      <c r="B68" s="886"/>
      <c r="C68" s="890"/>
      <c r="D68" s="890"/>
      <c r="E68" s="890"/>
      <c r="F68" s="890"/>
      <c r="G68" s="890"/>
      <c r="H68" s="886"/>
      <c r="I68" s="886"/>
      <c r="J68" s="890"/>
      <c r="K68" s="890"/>
      <c r="L68" s="886"/>
      <c r="M68" s="886"/>
      <c r="N68" s="886"/>
      <c r="O68" s="886"/>
    </row>
    <row r="69" spans="1:15" s="189" customFormat="1">
      <c r="A69" s="886"/>
      <c r="B69" s="886"/>
      <c r="C69" s="890"/>
      <c r="D69" s="890"/>
      <c r="E69" s="890"/>
      <c r="F69" s="890"/>
      <c r="G69" s="890"/>
      <c r="H69" s="886"/>
      <c r="I69" s="886"/>
      <c r="J69" s="890"/>
      <c r="K69" s="890"/>
      <c r="L69" s="886"/>
      <c r="M69" s="886"/>
      <c r="N69" s="886"/>
      <c r="O69" s="886"/>
    </row>
    <row r="70" spans="1:15" s="189" customFormat="1">
      <c r="A70" s="886"/>
      <c r="B70" s="886"/>
      <c r="C70" s="890"/>
      <c r="D70" s="890"/>
      <c r="E70" s="890"/>
      <c r="F70" s="890"/>
      <c r="G70" s="890"/>
      <c r="H70" s="886"/>
      <c r="I70" s="886"/>
      <c r="J70" s="890"/>
      <c r="K70" s="890"/>
      <c r="L70" s="886"/>
      <c r="M70" s="886"/>
      <c r="N70" s="886"/>
      <c r="O70" s="886"/>
    </row>
    <row r="71" spans="1:15" s="189" customFormat="1">
      <c r="A71" s="886"/>
      <c r="B71" s="886"/>
      <c r="C71" s="890"/>
      <c r="D71" s="890"/>
      <c r="E71" s="890"/>
      <c r="F71" s="890"/>
      <c r="G71" s="890"/>
      <c r="H71" s="886"/>
      <c r="I71" s="886"/>
      <c r="J71" s="890"/>
      <c r="K71" s="890"/>
      <c r="L71" s="886"/>
      <c r="M71" s="886"/>
      <c r="N71" s="886"/>
      <c r="O71" s="886"/>
    </row>
    <row r="72" spans="1:15" s="189" customFormat="1">
      <c r="A72" s="886"/>
      <c r="B72" s="886"/>
      <c r="C72" s="890"/>
      <c r="D72" s="890"/>
      <c r="E72" s="890"/>
      <c r="F72" s="890"/>
      <c r="G72" s="890"/>
      <c r="H72" s="886"/>
      <c r="I72" s="886"/>
      <c r="J72" s="890"/>
      <c r="K72" s="890"/>
      <c r="L72" s="886"/>
      <c r="M72" s="886"/>
      <c r="N72" s="886"/>
      <c r="O72" s="886"/>
    </row>
    <row r="73" spans="1:15" s="189" customFormat="1">
      <c r="A73" s="886"/>
      <c r="B73" s="886"/>
      <c r="C73" s="890"/>
      <c r="D73" s="890"/>
      <c r="E73" s="890"/>
      <c r="F73" s="890"/>
      <c r="G73" s="890"/>
      <c r="H73" s="886"/>
      <c r="I73" s="886"/>
      <c r="J73" s="890"/>
      <c r="K73" s="890"/>
      <c r="L73" s="886"/>
      <c r="M73" s="886"/>
      <c r="N73" s="886"/>
      <c r="O73" s="886"/>
    </row>
    <row r="74" spans="1:15" s="189" customFormat="1">
      <c r="A74" s="886"/>
      <c r="B74" s="886"/>
      <c r="C74" s="890"/>
      <c r="D74" s="890"/>
      <c r="E74" s="890"/>
      <c r="F74" s="890"/>
      <c r="G74" s="890"/>
      <c r="H74" s="886"/>
      <c r="I74" s="886"/>
      <c r="J74" s="890"/>
      <c r="K74" s="890"/>
      <c r="L74" s="886"/>
      <c r="M74" s="886"/>
      <c r="N74" s="886"/>
      <c r="O74" s="886"/>
    </row>
    <row r="75" spans="1:15" s="189" customFormat="1">
      <c r="A75" s="886"/>
      <c r="B75" s="886"/>
      <c r="C75" s="890"/>
      <c r="D75" s="890"/>
      <c r="E75" s="890"/>
      <c r="F75" s="890"/>
      <c r="G75" s="890"/>
      <c r="H75" s="886"/>
      <c r="I75" s="886"/>
      <c r="J75" s="890"/>
      <c r="K75" s="890"/>
      <c r="L75" s="886"/>
      <c r="M75" s="886"/>
      <c r="N75" s="886"/>
      <c r="O75" s="886"/>
    </row>
    <row r="76" spans="1:15" s="189" customFormat="1">
      <c r="A76" s="886"/>
      <c r="B76" s="886"/>
      <c r="C76" s="890"/>
      <c r="D76" s="890"/>
      <c r="E76" s="890"/>
      <c r="F76" s="890"/>
      <c r="G76" s="890"/>
      <c r="H76" s="886"/>
      <c r="I76" s="886"/>
      <c r="J76" s="890"/>
      <c r="K76" s="890"/>
      <c r="L76" s="886"/>
      <c r="M76" s="886"/>
      <c r="N76" s="886"/>
      <c r="O76" s="886"/>
    </row>
    <row r="77" spans="1:15" s="189" customFormat="1">
      <c r="A77" s="886"/>
      <c r="B77" s="886"/>
      <c r="C77" s="890"/>
      <c r="D77" s="890"/>
      <c r="E77" s="890"/>
      <c r="F77" s="890"/>
      <c r="G77" s="890"/>
      <c r="H77" s="886"/>
      <c r="I77" s="886"/>
      <c r="J77" s="890"/>
      <c r="K77" s="890"/>
      <c r="L77" s="886"/>
      <c r="M77" s="886"/>
      <c r="N77" s="886"/>
      <c r="O77" s="886"/>
    </row>
    <row r="78" spans="1:15" s="189" customFormat="1">
      <c r="A78" s="886"/>
      <c r="B78" s="886"/>
      <c r="C78" s="890"/>
      <c r="D78" s="890"/>
      <c r="E78" s="890"/>
      <c r="F78" s="890"/>
      <c r="G78" s="890"/>
      <c r="H78" s="886"/>
      <c r="I78" s="886"/>
      <c r="J78" s="890"/>
      <c r="K78" s="890"/>
      <c r="L78" s="886"/>
      <c r="M78" s="886"/>
      <c r="N78" s="886"/>
      <c r="O78" s="886"/>
    </row>
    <row r="79" spans="1:15" s="189" customFormat="1">
      <c r="A79" s="886"/>
      <c r="B79" s="886"/>
      <c r="C79" s="890"/>
      <c r="D79" s="890"/>
      <c r="E79" s="890"/>
      <c r="F79" s="890"/>
      <c r="G79" s="890"/>
      <c r="H79" s="886"/>
      <c r="I79" s="886"/>
      <c r="J79" s="890"/>
      <c r="K79" s="890"/>
      <c r="L79" s="886"/>
      <c r="M79" s="886"/>
      <c r="N79" s="886"/>
      <c r="O79" s="886"/>
    </row>
    <row r="80" spans="1:15" s="189" customFormat="1">
      <c r="A80" s="886"/>
      <c r="B80" s="886"/>
      <c r="C80" s="890"/>
      <c r="D80" s="890"/>
      <c r="E80" s="890"/>
      <c r="F80" s="890"/>
      <c r="G80" s="890"/>
      <c r="H80" s="886"/>
      <c r="I80" s="886"/>
      <c r="J80" s="890"/>
      <c r="K80" s="890"/>
      <c r="L80" s="886"/>
      <c r="M80" s="886"/>
      <c r="N80" s="886"/>
      <c r="O80" s="886"/>
    </row>
    <row r="81" spans="1:15" s="189" customFormat="1">
      <c r="A81" s="886"/>
      <c r="B81" s="886"/>
      <c r="C81" s="890"/>
      <c r="D81" s="890"/>
      <c r="E81" s="890"/>
      <c r="F81" s="890"/>
      <c r="G81" s="890"/>
      <c r="H81" s="886"/>
      <c r="I81" s="886"/>
      <c r="J81" s="890"/>
      <c r="K81" s="890"/>
      <c r="L81" s="886"/>
      <c r="M81" s="886"/>
      <c r="N81" s="886"/>
      <c r="O81" s="886"/>
    </row>
    <row r="82" spans="1:15" s="189" customFormat="1">
      <c r="A82" s="886"/>
      <c r="B82" s="886"/>
      <c r="C82" s="890"/>
      <c r="D82" s="890"/>
      <c r="E82" s="890"/>
      <c r="F82" s="890"/>
      <c r="G82" s="890"/>
      <c r="H82" s="886"/>
      <c r="I82" s="886"/>
      <c r="J82" s="890"/>
      <c r="K82" s="890"/>
      <c r="L82" s="886"/>
      <c r="M82" s="886"/>
      <c r="N82" s="886"/>
      <c r="O82" s="886"/>
    </row>
    <row r="83" spans="1:15" s="189" customFormat="1">
      <c r="A83" s="886"/>
      <c r="B83" s="886"/>
      <c r="C83" s="890"/>
      <c r="D83" s="890"/>
      <c r="E83" s="890"/>
      <c r="F83" s="890"/>
      <c r="G83" s="890"/>
      <c r="H83" s="886"/>
      <c r="I83" s="886"/>
      <c r="J83" s="890"/>
      <c r="K83" s="890"/>
      <c r="L83" s="886"/>
      <c r="M83" s="886"/>
      <c r="N83" s="886"/>
      <c r="O83" s="886"/>
    </row>
    <row r="84" spans="1:15" s="189" customFormat="1">
      <c r="A84" s="886"/>
      <c r="B84" s="886"/>
      <c r="C84" s="890"/>
      <c r="D84" s="890"/>
      <c r="E84" s="890"/>
      <c r="F84" s="890"/>
      <c r="G84" s="890"/>
      <c r="H84" s="886"/>
      <c r="I84" s="886"/>
      <c r="J84" s="890"/>
      <c r="K84" s="890"/>
      <c r="L84" s="886"/>
      <c r="M84" s="886"/>
      <c r="N84" s="886"/>
      <c r="O84" s="886"/>
    </row>
    <row r="85" spans="1:15" s="189" customFormat="1">
      <c r="A85" s="886"/>
      <c r="B85" s="886"/>
      <c r="C85" s="890"/>
      <c r="D85" s="890"/>
      <c r="E85" s="890"/>
      <c r="F85" s="890"/>
      <c r="G85" s="890"/>
      <c r="H85" s="886"/>
      <c r="I85" s="886"/>
      <c r="J85" s="890"/>
      <c r="K85" s="890"/>
      <c r="L85" s="886"/>
      <c r="M85" s="886"/>
      <c r="N85" s="886"/>
      <c r="O85" s="886"/>
    </row>
    <row r="86" spans="1:15" s="189" customFormat="1">
      <c r="A86" s="886"/>
      <c r="B86" s="886"/>
      <c r="C86" s="890"/>
      <c r="D86" s="890"/>
      <c r="E86" s="890"/>
      <c r="F86" s="890"/>
      <c r="G86" s="890"/>
      <c r="H86" s="886"/>
      <c r="I86" s="886"/>
      <c r="J86" s="890"/>
      <c r="K86" s="890"/>
      <c r="L86" s="886"/>
      <c r="M86" s="886"/>
      <c r="N86" s="886"/>
      <c r="O86" s="886"/>
    </row>
    <row r="87" spans="1:15" s="189" customFormat="1">
      <c r="A87" s="886"/>
      <c r="B87" s="886"/>
      <c r="C87" s="890"/>
      <c r="D87" s="890"/>
      <c r="E87" s="890"/>
      <c r="F87" s="890"/>
      <c r="G87" s="890"/>
      <c r="H87" s="886"/>
      <c r="I87" s="886"/>
      <c r="J87" s="890"/>
      <c r="K87" s="890"/>
      <c r="L87" s="886"/>
      <c r="M87" s="886"/>
      <c r="N87" s="886"/>
      <c r="O87" s="886"/>
    </row>
    <row r="88" spans="1:15" s="189" customFormat="1">
      <c r="A88" s="886"/>
      <c r="B88" s="886"/>
      <c r="C88" s="890"/>
      <c r="D88" s="890"/>
      <c r="E88" s="890"/>
      <c r="F88" s="890"/>
      <c r="G88" s="890"/>
      <c r="H88" s="886"/>
      <c r="I88" s="886"/>
      <c r="J88" s="890"/>
      <c r="K88" s="890"/>
      <c r="L88" s="886"/>
      <c r="M88" s="886"/>
      <c r="N88" s="886"/>
      <c r="O88" s="886"/>
    </row>
    <row r="89" spans="1:15" s="189" customFormat="1">
      <c r="A89" s="886"/>
      <c r="B89" s="886"/>
      <c r="C89" s="890"/>
      <c r="D89" s="890"/>
      <c r="E89" s="890"/>
      <c r="F89" s="890"/>
      <c r="G89" s="890"/>
      <c r="H89" s="886"/>
      <c r="I89" s="886"/>
      <c r="J89" s="890"/>
      <c r="K89" s="890"/>
      <c r="L89" s="886"/>
      <c r="M89" s="886"/>
      <c r="N89" s="886"/>
      <c r="O89" s="886"/>
    </row>
    <row r="90" spans="1:15" s="189" customFormat="1">
      <c r="A90" s="886"/>
      <c r="B90" s="886"/>
      <c r="C90" s="890"/>
      <c r="D90" s="890"/>
      <c r="E90" s="890"/>
      <c r="F90" s="890"/>
      <c r="G90" s="890"/>
      <c r="H90" s="886"/>
      <c r="I90" s="886"/>
      <c r="J90" s="890"/>
      <c r="K90" s="890"/>
      <c r="L90" s="886"/>
      <c r="M90" s="886"/>
      <c r="N90" s="886"/>
      <c r="O90" s="886"/>
    </row>
    <row r="91" spans="1:15" s="189" customFormat="1">
      <c r="A91" s="886"/>
      <c r="B91" s="886"/>
      <c r="C91" s="890"/>
      <c r="D91" s="890"/>
      <c r="E91" s="890"/>
      <c r="F91" s="890"/>
      <c r="G91" s="890"/>
      <c r="H91" s="886"/>
      <c r="I91" s="886"/>
      <c r="J91" s="890"/>
      <c r="K91" s="890"/>
      <c r="L91" s="886"/>
      <c r="M91" s="886"/>
      <c r="N91" s="886"/>
      <c r="O91" s="886"/>
    </row>
    <row r="92" spans="1:15" s="189" customFormat="1">
      <c r="A92" s="886"/>
      <c r="B92" s="886"/>
      <c r="C92" s="890"/>
      <c r="D92" s="890"/>
      <c r="E92" s="890"/>
      <c r="F92" s="890"/>
      <c r="G92" s="890"/>
      <c r="H92" s="886"/>
      <c r="I92" s="886"/>
      <c r="J92" s="890"/>
      <c r="K92" s="890"/>
      <c r="L92" s="886"/>
      <c r="M92" s="886"/>
      <c r="N92" s="886"/>
      <c r="O92" s="886"/>
    </row>
    <row r="93" spans="1:15" s="189" customFormat="1">
      <c r="A93" s="886"/>
      <c r="B93" s="886"/>
      <c r="C93" s="890"/>
      <c r="D93" s="890"/>
      <c r="E93" s="890"/>
      <c r="F93" s="890"/>
      <c r="G93" s="890"/>
      <c r="H93" s="886"/>
      <c r="I93" s="886"/>
      <c r="J93" s="890"/>
      <c r="K93" s="890"/>
      <c r="L93" s="886"/>
      <c r="M93" s="886"/>
      <c r="N93" s="886"/>
      <c r="O93" s="886"/>
    </row>
    <row r="94" spans="1:15" s="189" customFormat="1">
      <c r="A94" s="886"/>
      <c r="B94" s="886"/>
      <c r="C94" s="890"/>
      <c r="D94" s="890"/>
      <c r="E94" s="890"/>
      <c r="F94" s="890"/>
      <c r="G94" s="890"/>
      <c r="H94" s="886"/>
      <c r="I94" s="886"/>
      <c r="J94" s="890"/>
      <c r="K94" s="890"/>
      <c r="L94" s="886"/>
      <c r="M94" s="886"/>
      <c r="N94" s="886"/>
      <c r="O94" s="886"/>
    </row>
    <row r="95" spans="1:15" s="189" customFormat="1">
      <c r="A95" s="886"/>
      <c r="B95" s="886"/>
      <c r="C95" s="890"/>
      <c r="D95" s="890"/>
      <c r="E95" s="890"/>
      <c r="F95" s="890"/>
      <c r="G95" s="890"/>
      <c r="H95" s="886"/>
      <c r="I95" s="886"/>
      <c r="J95" s="890"/>
      <c r="K95" s="890"/>
      <c r="L95" s="886"/>
      <c r="M95" s="886"/>
      <c r="N95" s="886"/>
      <c r="O95" s="886"/>
    </row>
  </sheetData>
  <pageMargins left="0.75" right="0.5" top="0.5" bottom="0.5" header="0" footer="0.25"/>
  <pageSetup scale="60" firstPageNumber="41" orientation="landscape" useFirstPageNumber="1" r:id="rId1"/>
  <headerFooter scaleWithDoc="0" alignWithMargins="0">
    <oddFooter>&amp;C&amp;8&amp;P</oddFooter>
  </headerFooter>
  <customProperties>
    <customPr name="SheetOptions" r:id="rId2"/>
  </customProperties>
  <ignoredErrors>
    <ignoredError sqref="K19" formula="1"/>
  </ignoredError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0">
    <pageSetUpPr fitToPage="1"/>
  </sheetPr>
  <dimension ref="A1:N139"/>
  <sheetViews>
    <sheetView showGridLines="0" zoomScale="80" zoomScaleNormal="90" workbookViewId="0"/>
  </sheetViews>
  <sheetFormatPr defaultColWidth="8.84375" defaultRowHeight="12.5"/>
  <cols>
    <col min="1" max="1" width="56.07421875" style="192" customWidth="1"/>
    <col min="2" max="2" width="5.84375" style="192" customWidth="1"/>
    <col min="3" max="3" width="9.84375" style="192" customWidth="1"/>
    <col min="4" max="4" width="20.84375" style="192" customWidth="1"/>
    <col min="5" max="5" width="1.84375" style="192" customWidth="1"/>
    <col min="6" max="6" width="20.84375" style="192" customWidth="1"/>
    <col min="7" max="7" width="2.07421875" style="192" customWidth="1"/>
    <col min="8" max="8" width="20.84375" style="192" customWidth="1"/>
    <col min="9" max="9" width="1.84375" style="192" customWidth="1"/>
    <col min="10" max="10" width="20.84375" style="192" customWidth="1"/>
    <col min="11" max="11" width="2.07421875" style="192" customWidth="1"/>
    <col min="12" max="12" width="22.84375" style="192" customWidth="1"/>
    <col min="13" max="13" width="2.4609375" style="192" customWidth="1"/>
    <col min="14" max="16384" width="8.84375" style="192"/>
  </cols>
  <sheetData>
    <row r="1" spans="1:13" ht="15.5">
      <c r="A1" s="326" t="s">
        <v>98</v>
      </c>
    </row>
    <row r="2" spans="1:13" ht="18" customHeight="1"/>
    <row r="3" spans="1:13" ht="18">
      <c r="A3" s="193" t="s">
        <v>99</v>
      </c>
      <c r="B3" s="194"/>
      <c r="C3" s="194"/>
      <c r="D3" s="195"/>
      <c r="E3" s="195"/>
      <c r="F3" s="194"/>
      <c r="G3" s="194" t="s">
        <v>104</v>
      </c>
      <c r="H3" s="194"/>
      <c r="I3" s="194"/>
      <c r="J3" s="194"/>
      <c r="K3" s="194"/>
      <c r="L3" s="196" t="s">
        <v>810</v>
      </c>
      <c r="M3" s="195"/>
    </row>
    <row r="4" spans="1:13" ht="18">
      <c r="A4" s="193" t="s">
        <v>811</v>
      </c>
      <c r="B4" s="194"/>
      <c r="C4" s="194"/>
      <c r="D4" s="195"/>
      <c r="E4" s="195"/>
      <c r="F4" s="194"/>
      <c r="G4" s="194"/>
      <c r="H4" s="194"/>
      <c r="I4" s="194"/>
      <c r="J4" s="194"/>
      <c r="K4" s="194"/>
      <c r="L4" s="198"/>
      <c r="M4" s="195"/>
    </row>
    <row r="5" spans="1:13" ht="18">
      <c r="A5" s="199" t="s">
        <v>812</v>
      </c>
      <c r="B5" s="194"/>
      <c r="C5" s="194"/>
      <c r="D5" s="195"/>
      <c r="E5" s="195"/>
      <c r="F5" s="194"/>
      <c r="G5" s="194"/>
      <c r="H5" s="194"/>
      <c r="I5" s="194"/>
      <c r="J5" s="194"/>
      <c r="K5" s="194"/>
      <c r="L5" s="194"/>
      <c r="M5" s="195"/>
    </row>
    <row r="6" spans="1:13" ht="18">
      <c r="A6" s="199" t="s">
        <v>786</v>
      </c>
      <c r="B6" s="194"/>
      <c r="C6" s="194"/>
      <c r="D6" s="195"/>
      <c r="E6" s="195"/>
      <c r="F6" s="194"/>
      <c r="G6" s="194"/>
      <c r="H6" s="194"/>
      <c r="I6" s="194"/>
      <c r="J6" s="194"/>
      <c r="K6" s="194"/>
      <c r="L6" s="194"/>
      <c r="M6" s="195"/>
    </row>
    <row r="7" spans="1:13" ht="18">
      <c r="A7" s="199" t="str">
        <f>'Sch 2 '!A7</f>
        <v>FISCAL YEAR 2023-2024</v>
      </c>
      <c r="B7" s="194"/>
      <c r="C7" s="194"/>
      <c r="D7" s="195"/>
      <c r="E7" s="195"/>
      <c r="F7" s="194"/>
      <c r="G7" s="194"/>
      <c r="H7" s="194"/>
      <c r="I7" s="194"/>
      <c r="J7" s="194"/>
      <c r="K7" s="194"/>
      <c r="L7" s="194"/>
      <c r="M7" s="195"/>
    </row>
    <row r="8" spans="1:13" ht="18">
      <c r="A8" s="199" t="str">
        <f>'Sch 2 '!A8</f>
        <v>FOR THE MONTH OF NOVEMBER 2023</v>
      </c>
      <c r="B8" s="194"/>
      <c r="C8" s="194"/>
      <c r="D8" s="195"/>
      <c r="E8" s="195"/>
      <c r="F8" s="194"/>
      <c r="G8" s="194"/>
      <c r="H8" s="194"/>
      <c r="I8" s="194"/>
      <c r="J8" s="194"/>
      <c r="K8" s="194"/>
      <c r="L8" s="194"/>
      <c r="M8" s="195"/>
    </row>
    <row r="9" spans="1:13" ht="18">
      <c r="A9" s="418" t="s">
        <v>103</v>
      </c>
      <c r="B9" s="194"/>
      <c r="C9" s="194"/>
      <c r="D9" s="195"/>
      <c r="E9" s="195"/>
      <c r="F9" s="194"/>
      <c r="G9" s="194"/>
      <c r="H9" s="194"/>
      <c r="I9" s="194"/>
      <c r="J9" s="194"/>
      <c r="K9" s="194"/>
      <c r="L9" s="194"/>
      <c r="M9" s="195"/>
    </row>
    <row r="10" spans="1:13" ht="18">
      <c r="A10" s="193"/>
      <c r="B10" s="193"/>
      <c r="C10" s="193"/>
      <c r="D10" s="209"/>
      <c r="E10" s="193"/>
      <c r="F10" s="193"/>
      <c r="G10" s="193"/>
      <c r="H10" s="193"/>
      <c r="I10" s="193"/>
      <c r="J10" s="209" t="s">
        <v>787</v>
      </c>
      <c r="K10" s="193"/>
      <c r="L10" s="209"/>
      <c r="M10" s="195"/>
    </row>
    <row r="11" spans="1:13" ht="18">
      <c r="A11" s="193"/>
      <c r="B11" s="193"/>
      <c r="C11" s="193"/>
      <c r="D11" s="209" t="s">
        <v>643</v>
      </c>
      <c r="E11" s="193"/>
      <c r="F11" s="193"/>
      <c r="G11" s="193"/>
      <c r="H11" s="193"/>
      <c r="I11" s="193"/>
      <c r="J11" s="209" t="s">
        <v>788</v>
      </c>
      <c r="K11" s="193"/>
      <c r="L11" s="209" t="s">
        <v>643</v>
      </c>
      <c r="M11" s="195"/>
    </row>
    <row r="12" spans="1:13" ht="18">
      <c r="A12" s="208" t="s">
        <v>789</v>
      </c>
      <c r="B12" s="193"/>
      <c r="C12" s="193"/>
      <c r="D12" s="473" t="str">
        <f>'Sch 1 '!C11</f>
        <v>NOVEMBER 1, 2023</v>
      </c>
      <c r="E12" s="193"/>
      <c r="F12" s="209" t="s">
        <v>645</v>
      </c>
      <c r="G12" s="193"/>
      <c r="H12" s="209" t="s">
        <v>646</v>
      </c>
      <c r="I12" s="193"/>
      <c r="J12" s="209" t="s">
        <v>647</v>
      </c>
      <c r="K12" s="193"/>
      <c r="L12" s="473" t="str">
        <f>'Sch 1 '!K11</f>
        <v>NOVEMBER 30, 2023</v>
      </c>
      <c r="M12" s="195"/>
    </row>
    <row r="13" spans="1:13" ht="9.75" customHeight="1">
      <c r="A13" s="193" t="s">
        <v>104</v>
      </c>
      <c r="B13" s="193"/>
      <c r="C13" s="193"/>
      <c r="D13" s="1650" t="s">
        <v>104</v>
      </c>
      <c r="E13" s="193"/>
      <c r="F13" s="1650" t="s">
        <v>104</v>
      </c>
      <c r="G13" s="193"/>
      <c r="H13" s="1650" t="s">
        <v>104</v>
      </c>
      <c r="I13" s="193"/>
      <c r="J13" s="1650" t="s">
        <v>104</v>
      </c>
      <c r="K13" s="193" t="s">
        <v>104</v>
      </c>
      <c r="L13" s="1650" t="s">
        <v>104</v>
      </c>
      <c r="M13" s="195"/>
    </row>
    <row r="14" spans="1:13" ht="18" customHeight="1">
      <c r="A14" s="200" t="s">
        <v>242</v>
      </c>
      <c r="B14" s="197"/>
      <c r="C14" s="197"/>
      <c r="D14" s="354"/>
      <c r="E14" s="354"/>
      <c r="F14" s="211"/>
      <c r="G14" s="189"/>
      <c r="H14" s="211"/>
      <c r="I14" s="354"/>
      <c r="J14" s="354"/>
      <c r="K14" s="354"/>
      <c r="L14" s="354"/>
      <c r="M14" s="201"/>
    </row>
    <row r="15" spans="1:13" ht="7.5" customHeight="1">
      <c r="A15" s="193"/>
      <c r="B15" s="197"/>
      <c r="C15" s="197"/>
      <c r="D15" s="354"/>
      <c r="E15" s="354"/>
      <c r="F15" s="354"/>
      <c r="G15" s="354"/>
      <c r="H15" s="354"/>
      <c r="I15" s="354"/>
      <c r="J15" s="354"/>
      <c r="K15" s="354"/>
      <c r="L15" s="354"/>
      <c r="M15" s="201"/>
    </row>
    <row r="16" spans="1:13" ht="15.75" customHeight="1">
      <c r="A16" s="197" t="s">
        <v>813</v>
      </c>
      <c r="B16" s="197"/>
      <c r="C16" s="197"/>
      <c r="D16" s="736">
        <v>-8.3000000000000004E-2</v>
      </c>
      <c r="E16" s="737"/>
      <c r="F16" s="736">
        <v>7.2889999999999997</v>
      </c>
      <c r="G16" s="737"/>
      <c r="H16" s="736">
        <v>19.138000000000002</v>
      </c>
      <c r="I16" s="737"/>
      <c r="J16" s="736">
        <v>0</v>
      </c>
      <c r="K16" s="738"/>
      <c r="L16" s="739">
        <f>ROUND(SUM(D16)+SUM(F16)-SUM(H16)+SUM(J16),3)</f>
        <v>-11.932</v>
      </c>
      <c r="M16" s="201"/>
    </row>
    <row r="17" spans="1:13" ht="15.75" customHeight="1">
      <c r="A17" s="197" t="s">
        <v>814</v>
      </c>
      <c r="B17" s="197"/>
      <c r="C17" s="197"/>
      <c r="D17" s="2023">
        <v>1282.8689999999999</v>
      </c>
      <c r="E17" s="737"/>
      <c r="F17" s="1651">
        <v>5.9130000000000003</v>
      </c>
      <c r="G17" s="737"/>
      <c r="H17" s="1651">
        <v>0</v>
      </c>
      <c r="I17" s="737"/>
      <c r="J17" s="1651">
        <v>0</v>
      </c>
      <c r="K17" s="738"/>
      <c r="L17" s="1652">
        <f>ROUND(SUM(D17)+SUM(F17)-SUM(H17)+SUM(J17),3)</f>
        <v>1288.7819999999999</v>
      </c>
      <c r="M17" s="201"/>
    </row>
    <row r="18" spans="1:13" ht="6.75" customHeight="1">
      <c r="A18" s="193"/>
      <c r="B18" s="197"/>
      <c r="C18" s="197"/>
      <c r="D18" s="1196" t="s">
        <v>104</v>
      </c>
      <c r="E18" s="354"/>
      <c r="F18" s="1797" t="s">
        <v>104</v>
      </c>
      <c r="G18" s="354"/>
      <c r="H18" s="1797" t="s">
        <v>104</v>
      </c>
      <c r="I18" s="354"/>
      <c r="J18" s="1653" t="s">
        <v>104</v>
      </c>
      <c r="K18" s="354"/>
      <c r="L18" s="1654" t="s">
        <v>104</v>
      </c>
      <c r="M18" s="201"/>
    </row>
    <row r="19" spans="1:13" ht="17.25" customHeight="1">
      <c r="A19" s="193" t="s">
        <v>815</v>
      </c>
      <c r="B19" s="197"/>
      <c r="C19" s="197"/>
      <c r="D19" s="355">
        <f>ROUND(SUM(D16:D17),3)</f>
        <v>1282.7860000000001</v>
      </c>
      <c r="E19" s="356"/>
      <c r="F19" s="355">
        <f>ROUND(SUM(F16:F17),3)</f>
        <v>13.202</v>
      </c>
      <c r="G19" s="356"/>
      <c r="H19" s="355">
        <f>ROUND(SUM(H16:H17),3)</f>
        <v>19.138000000000002</v>
      </c>
      <c r="I19" s="356"/>
      <c r="J19" s="1655">
        <f>ROUND(SUM(J16:J17),3)</f>
        <v>0</v>
      </c>
      <c r="K19" s="356"/>
      <c r="L19" s="355">
        <f>ROUND(SUM(L16:L17),3)</f>
        <v>1276.8499999999999</v>
      </c>
      <c r="M19" s="202"/>
    </row>
    <row r="20" spans="1:13" ht="12" customHeight="1">
      <c r="A20" s="193"/>
      <c r="B20" s="197"/>
      <c r="C20" s="197"/>
      <c r="D20" s="1648"/>
      <c r="E20" s="191"/>
      <c r="F20" s="1648"/>
      <c r="G20" s="191"/>
      <c r="H20" s="1648"/>
      <c r="I20" s="191"/>
      <c r="J20" s="191"/>
      <c r="K20" s="191"/>
      <c r="L20" s="1648"/>
      <c r="M20" s="201"/>
    </row>
    <row r="21" spans="1:13" ht="18" customHeight="1">
      <c r="A21" s="200" t="s">
        <v>637</v>
      </c>
      <c r="B21" s="193"/>
      <c r="C21" s="193"/>
      <c r="D21" s="356"/>
      <c r="E21" s="356"/>
      <c r="F21" s="356"/>
      <c r="G21" s="356"/>
      <c r="H21" s="356"/>
      <c r="I21" s="356"/>
      <c r="J21" s="356"/>
      <c r="K21" s="356"/>
      <c r="L21" s="356"/>
      <c r="M21" s="195"/>
    </row>
    <row r="22" spans="1:13" ht="7.5" customHeight="1">
      <c r="A22" s="193"/>
      <c r="B22" s="193"/>
      <c r="C22" s="193"/>
      <c r="D22" s="356"/>
      <c r="E22" s="356"/>
      <c r="F22" s="356"/>
      <c r="G22" s="356"/>
      <c r="H22" s="356"/>
      <c r="I22" s="356"/>
      <c r="J22" s="356"/>
      <c r="K22" s="356"/>
      <c r="L22" s="191"/>
      <c r="M22" s="195"/>
    </row>
    <row r="23" spans="1:13" ht="17.899999999999999" customHeight="1">
      <c r="A23" s="357" t="s">
        <v>816</v>
      </c>
      <c r="B23" s="193"/>
      <c r="C23" s="193"/>
      <c r="D23" s="740">
        <v>44.271000000000001</v>
      </c>
      <c r="E23" s="737"/>
      <c r="F23" s="740">
        <v>1.099</v>
      </c>
      <c r="G23" s="737"/>
      <c r="H23" s="740">
        <v>1.7000000000000001E-2</v>
      </c>
      <c r="I23" s="737"/>
      <c r="J23" s="740">
        <v>0</v>
      </c>
      <c r="K23" s="738"/>
      <c r="L23" s="741">
        <f>ROUND(SUM(D23)+SUM(F23)-SUM(H23)+SUM(J23),3)</f>
        <v>45.353000000000002</v>
      </c>
      <c r="M23" s="195"/>
    </row>
    <row r="24" spans="1:13" ht="16.5" customHeight="1">
      <c r="A24" s="357" t="s">
        <v>817</v>
      </c>
      <c r="B24" s="193"/>
      <c r="C24" s="210"/>
      <c r="D24" s="740">
        <v>3.4809999999999999</v>
      </c>
      <c r="E24" s="737"/>
      <c r="F24" s="740">
        <v>1.7000000000000001E-2</v>
      </c>
      <c r="G24" s="737"/>
      <c r="H24" s="740">
        <v>8.0000000000000002E-3</v>
      </c>
      <c r="I24" s="737"/>
      <c r="J24" s="740">
        <v>0</v>
      </c>
      <c r="K24" s="738"/>
      <c r="L24" s="741">
        <f>ROUND(SUM(D24)+SUM(F24)-SUM(H24)+SUM(J24),3)</f>
        <v>3.49</v>
      </c>
      <c r="M24" s="195"/>
    </row>
    <row r="25" spans="1:13" ht="15.75" customHeight="1">
      <c r="A25" s="357" t="s">
        <v>818</v>
      </c>
      <c r="B25" s="193"/>
      <c r="C25" s="193"/>
      <c r="D25" s="1651">
        <v>13.306999999999999</v>
      </c>
      <c r="E25" s="737"/>
      <c r="F25" s="1651">
        <v>0.121</v>
      </c>
      <c r="G25" s="737"/>
      <c r="H25" s="1651">
        <v>4.1000000000000002E-2</v>
      </c>
      <c r="I25" s="737"/>
      <c r="J25" s="1651">
        <v>0</v>
      </c>
      <c r="K25" s="738"/>
      <c r="L25" s="1652">
        <f>ROUND(SUM(D25)+SUM(F25)-SUM(H25)+SUM(J25),3)</f>
        <v>13.387</v>
      </c>
      <c r="M25" s="195"/>
    </row>
    <row r="26" spans="1:13" ht="6.75" customHeight="1">
      <c r="A26" s="357"/>
      <c r="B26" s="193"/>
      <c r="C26" s="193"/>
      <c r="D26" s="191"/>
      <c r="E26" s="191"/>
      <c r="F26" s="191"/>
      <c r="G26" s="191"/>
      <c r="H26" s="1798"/>
      <c r="I26" s="191"/>
      <c r="J26" s="358"/>
      <c r="K26" s="191"/>
      <c r="L26" s="191"/>
      <c r="M26" s="195"/>
    </row>
    <row r="27" spans="1:13" ht="17.25" customHeight="1">
      <c r="A27" s="199" t="s">
        <v>819</v>
      </c>
      <c r="B27" s="193"/>
      <c r="C27" s="210"/>
      <c r="D27" s="359">
        <f>ROUND(SUM(D23:D25),3)</f>
        <v>61.058999999999997</v>
      </c>
      <c r="E27" s="356"/>
      <c r="F27" s="359">
        <f>ROUND(SUM(F23:F25),3)</f>
        <v>1.2370000000000001</v>
      </c>
      <c r="G27" s="356"/>
      <c r="H27" s="359">
        <f>ROUND(SUM(H23:H25),3)</f>
        <v>6.6000000000000003E-2</v>
      </c>
      <c r="I27" s="356"/>
      <c r="J27" s="359">
        <f>ROUND(SUM(J23:J25),3)</f>
        <v>0</v>
      </c>
      <c r="K27" s="356"/>
      <c r="L27" s="359">
        <f>ROUND(SUM(L23:L25),3)</f>
        <v>62.23</v>
      </c>
      <c r="M27" s="203"/>
    </row>
    <row r="28" spans="1:13" ht="12" customHeight="1">
      <c r="A28" s="193"/>
      <c r="B28" s="193"/>
      <c r="C28" s="193"/>
      <c r="D28" s="356"/>
      <c r="E28" s="356"/>
      <c r="F28" s="356"/>
      <c r="G28" s="356"/>
      <c r="H28" s="356"/>
      <c r="I28" s="356"/>
      <c r="J28" s="356"/>
      <c r="K28" s="356"/>
      <c r="L28" s="356"/>
      <c r="M28" s="195"/>
    </row>
    <row r="29" spans="1:13" ht="18">
      <c r="A29" s="200" t="s">
        <v>820</v>
      </c>
      <c r="B29" s="193"/>
      <c r="C29" s="193"/>
      <c r="D29" s="356"/>
      <c r="E29" s="356"/>
      <c r="F29" s="356"/>
      <c r="G29" s="356"/>
      <c r="H29" s="356"/>
      <c r="I29" s="356"/>
      <c r="J29" s="356"/>
      <c r="K29" s="356"/>
      <c r="L29" s="356"/>
      <c r="M29" s="195"/>
    </row>
    <row r="30" spans="1:13" ht="7.5" customHeight="1">
      <c r="A30" s="197" t="s">
        <v>104</v>
      </c>
      <c r="B30" s="197"/>
      <c r="C30" s="197"/>
      <c r="D30" s="191"/>
      <c r="E30" s="191"/>
      <c r="F30" s="191"/>
      <c r="G30" s="191"/>
      <c r="H30" s="191"/>
      <c r="I30" s="191"/>
      <c r="J30" s="191"/>
      <c r="K30" s="191"/>
      <c r="L30" s="191"/>
      <c r="M30" s="195"/>
    </row>
    <row r="31" spans="1:13" ht="16.5" customHeight="1">
      <c r="A31" s="197" t="s">
        <v>821</v>
      </c>
      <c r="B31" s="197"/>
      <c r="C31" s="197" t="s">
        <v>104</v>
      </c>
      <c r="D31" s="740">
        <v>6.3360000000000003</v>
      </c>
      <c r="E31" s="737"/>
      <c r="F31" s="740">
        <v>0.88200000000000001</v>
      </c>
      <c r="G31" s="737"/>
      <c r="H31" s="740">
        <v>1.8960000000000001</v>
      </c>
      <c r="I31" s="737"/>
      <c r="J31" s="740">
        <v>0</v>
      </c>
      <c r="K31" s="738"/>
      <c r="L31" s="741">
        <f t="shared" ref="L31:L46" si="0">ROUND(SUM(D31)+SUM(F31)-SUM(H31)+SUM(J31),3)</f>
        <v>5.3220000000000001</v>
      </c>
      <c r="M31" s="201"/>
    </row>
    <row r="32" spans="1:13" ht="15.75" customHeight="1">
      <c r="A32" s="357" t="s">
        <v>822</v>
      </c>
      <c r="B32" s="197"/>
      <c r="C32" s="197"/>
      <c r="D32" s="740">
        <v>0.64900000000000002</v>
      </c>
      <c r="E32" s="737"/>
      <c r="F32" s="740">
        <v>4.0000000000000001E-3</v>
      </c>
      <c r="G32" s="737"/>
      <c r="H32" s="740">
        <v>0</v>
      </c>
      <c r="I32" s="737"/>
      <c r="J32" s="740">
        <v>0</v>
      </c>
      <c r="K32" s="738"/>
      <c r="L32" s="741">
        <f t="shared" si="0"/>
        <v>0.65300000000000002</v>
      </c>
      <c r="M32" s="201"/>
    </row>
    <row r="33" spans="1:14" ht="16.5" customHeight="1">
      <c r="A33" s="197" t="s">
        <v>823</v>
      </c>
      <c r="B33" s="197"/>
      <c r="C33" s="197"/>
      <c r="D33" s="740">
        <v>716.03499999999997</v>
      </c>
      <c r="E33" s="737"/>
      <c r="F33" s="740">
        <v>1051.412</v>
      </c>
      <c r="G33" s="737"/>
      <c r="H33" s="740">
        <v>1236.1949999999999</v>
      </c>
      <c r="I33" s="737"/>
      <c r="J33" s="740">
        <v>0</v>
      </c>
      <c r="K33" s="738"/>
      <c r="L33" s="741">
        <f t="shared" si="0"/>
        <v>531.25199999999995</v>
      </c>
      <c r="M33" s="201"/>
    </row>
    <row r="34" spans="1:14" ht="16.5" customHeight="1">
      <c r="A34" s="197" t="s">
        <v>824</v>
      </c>
      <c r="B34" s="197"/>
      <c r="C34" s="197" t="s">
        <v>104</v>
      </c>
      <c r="D34" s="740">
        <v>15.237</v>
      </c>
      <c r="E34" s="737"/>
      <c r="F34" s="740">
        <v>138.90899999999999</v>
      </c>
      <c r="G34" s="737"/>
      <c r="H34" s="740">
        <v>139.059</v>
      </c>
      <c r="I34" s="737"/>
      <c r="J34" s="740">
        <v>0</v>
      </c>
      <c r="K34" s="738"/>
      <c r="L34" s="741">
        <f>ROUND(SUM(D34)+SUM(F34)-SUM(H34)+SUM(J34),3)</f>
        <v>15.087</v>
      </c>
      <c r="M34" s="201"/>
    </row>
    <row r="35" spans="1:14" ht="16.5" customHeight="1">
      <c r="A35" s="197" t="s">
        <v>825</v>
      </c>
      <c r="B35" s="197"/>
      <c r="C35" s="197"/>
      <c r="D35" s="740">
        <v>26.780999999999999</v>
      </c>
      <c r="E35" s="737"/>
      <c r="F35" s="740">
        <v>520.404</v>
      </c>
      <c r="G35" s="737"/>
      <c r="H35" s="740">
        <v>523.34299999999996</v>
      </c>
      <c r="I35" s="737"/>
      <c r="J35" s="740">
        <v>0</v>
      </c>
      <c r="K35" s="738"/>
      <c r="L35" s="741">
        <f t="shared" si="0"/>
        <v>23.841999999999999</v>
      </c>
      <c r="M35" s="201"/>
    </row>
    <row r="36" spans="1:14" ht="16.5" customHeight="1">
      <c r="A36" s="197" t="s">
        <v>826</v>
      </c>
      <c r="B36" s="197"/>
      <c r="C36" s="197" t="s">
        <v>104</v>
      </c>
      <c r="D36" s="740">
        <v>12.488</v>
      </c>
      <c r="E36" s="737"/>
      <c r="F36" s="740">
        <v>4.9859999999999998</v>
      </c>
      <c r="G36" s="737"/>
      <c r="H36" s="740">
        <v>6.0019999999999998</v>
      </c>
      <c r="I36" s="737"/>
      <c r="J36" s="740">
        <v>0</v>
      </c>
      <c r="K36" s="738"/>
      <c r="L36" s="741">
        <f t="shared" si="0"/>
        <v>11.472</v>
      </c>
      <c r="M36" s="201"/>
    </row>
    <row r="37" spans="1:14" ht="15.75" customHeight="1">
      <c r="A37" s="197" t="s">
        <v>827</v>
      </c>
      <c r="B37" s="197"/>
      <c r="C37" s="197"/>
      <c r="D37" s="740">
        <v>0.77400000000000002</v>
      </c>
      <c r="E37" s="737"/>
      <c r="F37" s="740">
        <v>0.92100000000000004</v>
      </c>
      <c r="G37" s="737"/>
      <c r="H37" s="740">
        <v>1.4350000000000001</v>
      </c>
      <c r="I37" s="737"/>
      <c r="J37" s="740">
        <v>0</v>
      </c>
      <c r="K37" s="738"/>
      <c r="L37" s="741">
        <f t="shared" si="0"/>
        <v>0.26</v>
      </c>
      <c r="M37" s="201"/>
      <c r="N37" s="192" t="s">
        <v>104</v>
      </c>
    </row>
    <row r="38" spans="1:14" ht="15.75" customHeight="1">
      <c r="A38" s="197" t="s">
        <v>828</v>
      </c>
      <c r="B38" s="197"/>
      <c r="C38" s="197"/>
      <c r="D38" s="740">
        <v>712.64499999999998</v>
      </c>
      <c r="E38" s="737"/>
      <c r="F38" s="740">
        <v>123.76300000000001</v>
      </c>
      <c r="G38" s="737"/>
      <c r="H38" s="740">
        <v>93.363</v>
      </c>
      <c r="I38" s="737"/>
      <c r="J38" s="740">
        <v>0</v>
      </c>
      <c r="K38" s="738"/>
      <c r="L38" s="741">
        <f t="shared" si="0"/>
        <v>743.04499999999996</v>
      </c>
      <c r="M38" s="205"/>
    </row>
    <row r="39" spans="1:14" ht="16.5" customHeight="1">
      <c r="A39" s="197" t="s">
        <v>829</v>
      </c>
      <c r="B39" s="197"/>
      <c r="C39" s="197"/>
      <c r="D39" s="740">
        <v>0</v>
      </c>
      <c r="E39" s="737"/>
      <c r="F39" s="740">
        <v>0</v>
      </c>
      <c r="G39" s="737"/>
      <c r="H39" s="740">
        <v>0</v>
      </c>
      <c r="I39" s="737"/>
      <c r="J39" s="740">
        <v>0</v>
      </c>
      <c r="K39" s="738"/>
      <c r="L39" s="741">
        <f t="shared" si="0"/>
        <v>0</v>
      </c>
      <c r="M39" s="201"/>
    </row>
    <row r="40" spans="1:14" ht="16.5" customHeight="1">
      <c r="A40" s="197" t="s">
        <v>830</v>
      </c>
      <c r="B40" s="197"/>
      <c r="C40" s="197"/>
      <c r="D40" s="740">
        <v>1039.577</v>
      </c>
      <c r="E40" s="737"/>
      <c r="F40" s="740">
        <v>712.48400000000004</v>
      </c>
      <c r="G40" s="737"/>
      <c r="H40" s="740">
        <v>724.83199999999999</v>
      </c>
      <c r="I40" s="737"/>
      <c r="J40" s="740">
        <v>0</v>
      </c>
      <c r="K40" s="738"/>
      <c r="L40" s="741">
        <f t="shared" si="0"/>
        <v>1027.229</v>
      </c>
      <c r="M40" s="201"/>
    </row>
    <row r="41" spans="1:14" ht="16.5" customHeight="1">
      <c r="A41" s="197" t="s">
        <v>831</v>
      </c>
      <c r="B41" s="197"/>
      <c r="C41" s="197"/>
      <c r="D41" s="740">
        <v>33.473999999999997</v>
      </c>
      <c r="E41" s="737"/>
      <c r="F41" s="740">
        <v>3.3569999999999998</v>
      </c>
      <c r="G41" s="737"/>
      <c r="H41" s="740">
        <v>6.32</v>
      </c>
      <c r="I41" s="737"/>
      <c r="J41" s="740">
        <v>0</v>
      </c>
      <c r="K41" s="738"/>
      <c r="L41" s="741">
        <f t="shared" si="0"/>
        <v>30.510999999999999</v>
      </c>
      <c r="M41" s="201"/>
    </row>
    <row r="42" spans="1:14" ht="16.5" customHeight="1">
      <c r="A42" s="197" t="s">
        <v>832</v>
      </c>
      <c r="B42" s="197"/>
      <c r="C42" s="197"/>
      <c r="D42" s="740">
        <v>546.15899999999999</v>
      </c>
      <c r="E42" s="737"/>
      <c r="F42" s="740">
        <v>9395.4959999999992</v>
      </c>
      <c r="G42" s="737"/>
      <c r="H42" s="740">
        <v>9616.5959999999995</v>
      </c>
      <c r="I42" s="737"/>
      <c r="J42" s="740">
        <v>0</v>
      </c>
      <c r="K42" s="738"/>
      <c r="L42" s="741">
        <f t="shared" si="0"/>
        <v>325.05900000000003</v>
      </c>
      <c r="M42" s="201"/>
    </row>
    <row r="43" spans="1:14" ht="15.75" customHeight="1">
      <c r="A43" s="197" t="s">
        <v>833</v>
      </c>
      <c r="B43" s="197"/>
      <c r="C43" s="197"/>
      <c r="D43" s="740">
        <v>0</v>
      </c>
      <c r="E43" s="737"/>
      <c r="F43" s="740">
        <v>0</v>
      </c>
      <c r="G43" s="737"/>
      <c r="H43" s="740">
        <v>0</v>
      </c>
      <c r="I43" s="737"/>
      <c r="J43" s="740">
        <v>0</v>
      </c>
      <c r="K43" s="738"/>
      <c r="L43" s="741">
        <f t="shared" si="0"/>
        <v>0</v>
      </c>
      <c r="M43" s="201"/>
    </row>
    <row r="44" spans="1:14" ht="15.75" customHeight="1">
      <c r="A44" s="197" t="s">
        <v>834</v>
      </c>
      <c r="B44" s="197"/>
      <c r="C44" s="197"/>
      <c r="D44" s="740">
        <v>128.66200000000001</v>
      </c>
      <c r="E44" s="737"/>
      <c r="F44" s="740">
        <v>-35.195999999999998</v>
      </c>
      <c r="G44" s="737"/>
      <c r="H44" s="740">
        <v>0</v>
      </c>
      <c r="I44" s="737"/>
      <c r="J44" s="740">
        <v>0</v>
      </c>
      <c r="K44" s="738"/>
      <c r="L44" s="741">
        <f t="shared" si="0"/>
        <v>93.465999999999994</v>
      </c>
      <c r="M44" s="201"/>
    </row>
    <row r="45" spans="1:14" ht="15.75" customHeight="1">
      <c r="A45" s="197" t="s">
        <v>835</v>
      </c>
      <c r="B45" s="197"/>
      <c r="C45" s="197"/>
      <c r="D45" s="740">
        <v>-1.0069999999999999</v>
      </c>
      <c r="E45" s="737"/>
      <c r="F45" s="740">
        <v>20.92</v>
      </c>
      <c r="G45" s="737"/>
      <c r="H45" s="740">
        <v>22.213000000000001</v>
      </c>
      <c r="I45" s="737"/>
      <c r="J45" s="740">
        <v>0</v>
      </c>
      <c r="K45" s="738"/>
      <c r="L45" s="741">
        <f t="shared" si="0"/>
        <v>-2.2999999999999998</v>
      </c>
      <c r="M45" s="201"/>
    </row>
    <row r="46" spans="1:14" ht="18" customHeight="1">
      <c r="A46" s="197" t="s">
        <v>836</v>
      </c>
      <c r="B46" s="197"/>
      <c r="C46" s="197"/>
      <c r="D46" s="740">
        <v>0</v>
      </c>
      <c r="E46" s="737"/>
      <c r="F46" s="740">
        <v>0</v>
      </c>
      <c r="G46" s="737"/>
      <c r="H46" s="740">
        <v>0</v>
      </c>
      <c r="I46" s="737"/>
      <c r="J46" s="740">
        <v>0</v>
      </c>
      <c r="K46" s="738"/>
      <c r="L46" s="741">
        <f t="shared" si="0"/>
        <v>0</v>
      </c>
      <c r="M46" s="201"/>
    </row>
    <row r="47" spans="1:14" ht="6.75" customHeight="1">
      <c r="A47" s="357"/>
      <c r="B47" s="193"/>
      <c r="C47" s="193"/>
      <c r="D47" s="191"/>
      <c r="E47" s="191"/>
      <c r="F47" s="191"/>
      <c r="G47" s="191"/>
      <c r="H47" s="1798"/>
      <c r="I47" s="191"/>
      <c r="J47" s="358"/>
      <c r="K47" s="191"/>
      <c r="L47" s="191"/>
      <c r="M47" s="195"/>
    </row>
    <row r="48" spans="1:14" ht="17.25" customHeight="1">
      <c r="A48" s="193" t="s">
        <v>837</v>
      </c>
      <c r="B48" s="197"/>
      <c r="C48" s="197"/>
      <c r="D48" s="1656">
        <f>ROUND(SUM(D31:D46),3)</f>
        <v>3237.81</v>
      </c>
      <c r="E48" s="355"/>
      <c r="F48" s="1656">
        <f>ROUND(SUM(F31:F46),3)</f>
        <v>11938.342000000001</v>
      </c>
      <c r="G48" s="355"/>
      <c r="H48" s="1656">
        <f>ROUND(SUM(H31:H46),3)</f>
        <v>12371.254000000001</v>
      </c>
      <c r="I48" s="355"/>
      <c r="J48" s="1656">
        <f>ROUND(SUM(J31:J46),3)</f>
        <v>0</v>
      </c>
      <c r="K48" s="355"/>
      <c r="L48" s="1656">
        <f>ROUND(SUM(L31:L46),3)</f>
        <v>2804.8980000000001</v>
      </c>
      <c r="M48" s="202"/>
    </row>
    <row r="49" spans="1:13" ht="12" customHeight="1">
      <c r="A49" s="193"/>
      <c r="B49" s="197"/>
      <c r="C49" s="197"/>
      <c r="D49" s="1648" t="s">
        <v>104</v>
      </c>
      <c r="E49" s="191"/>
      <c r="F49" s="1648" t="s">
        <v>104</v>
      </c>
      <c r="G49" s="191"/>
      <c r="H49" s="1648" t="s">
        <v>104</v>
      </c>
      <c r="I49" s="191"/>
      <c r="J49" s="191" t="s">
        <v>104</v>
      </c>
      <c r="K49" s="191"/>
      <c r="L49" s="1648" t="s">
        <v>104</v>
      </c>
      <c r="M49" s="201"/>
    </row>
    <row r="50" spans="1:13" ht="3" customHeight="1">
      <c r="A50" s="193"/>
      <c r="B50" s="197"/>
      <c r="C50" s="197"/>
      <c r="D50" s="360"/>
      <c r="E50" s="360"/>
      <c r="F50" s="360"/>
      <c r="G50" s="360"/>
      <c r="H50" s="360"/>
      <c r="I50" s="360"/>
      <c r="J50" s="360"/>
      <c r="K50" s="360"/>
      <c r="L50" s="360"/>
      <c r="M50" s="201"/>
    </row>
    <row r="51" spans="1:13" ht="18.5" thickBot="1">
      <c r="A51" s="193" t="s">
        <v>838</v>
      </c>
      <c r="B51" s="197"/>
      <c r="C51" s="210"/>
      <c r="D51" s="361">
        <f>ROUND(D19+D27+D48,3)</f>
        <v>4581.6549999999997</v>
      </c>
      <c r="E51" s="362"/>
      <c r="F51" s="361">
        <f>ROUND(F19+F27+F48,3)</f>
        <v>11952.781000000001</v>
      </c>
      <c r="G51" s="362"/>
      <c r="H51" s="361">
        <f>ROUND(H19+H27+H48,3)</f>
        <v>12390.458000000001</v>
      </c>
      <c r="I51" s="363"/>
      <c r="J51" s="361">
        <f>ROUND(J19+J27+J48,3)</f>
        <v>0</v>
      </c>
      <c r="K51" s="362"/>
      <c r="L51" s="361">
        <f>ROUND(L19+L27+L48,3)</f>
        <v>4143.9780000000001</v>
      </c>
      <c r="M51" s="202"/>
    </row>
    <row r="52" spans="1:13" ht="12" customHeight="1" thickTop="1">
      <c r="A52" s="197"/>
      <c r="B52" s="197"/>
      <c r="C52" s="197"/>
      <c r="D52" s="364" t="s">
        <v>104</v>
      </c>
      <c r="E52" s="354"/>
      <c r="F52" s="364" t="s">
        <v>104</v>
      </c>
      <c r="G52" s="354"/>
      <c r="H52" s="364" t="s">
        <v>104</v>
      </c>
      <c r="I52" s="354"/>
      <c r="J52" s="354" t="s">
        <v>104</v>
      </c>
      <c r="K52" s="354"/>
      <c r="L52" s="364" t="s">
        <v>104</v>
      </c>
      <c r="M52" s="201"/>
    </row>
    <row r="53" spans="1:13" ht="15.75" customHeight="1">
      <c r="A53" s="365"/>
      <c r="B53" s="197"/>
      <c r="C53" s="197"/>
      <c r="D53" s="197"/>
      <c r="E53" s="197"/>
      <c r="F53" s="197"/>
      <c r="G53" s="197"/>
      <c r="H53" s="197"/>
      <c r="I53" s="197"/>
      <c r="J53" s="197" t="s">
        <v>104</v>
      </c>
      <c r="K53" s="197"/>
      <c r="L53" s="197"/>
      <c r="M53" s="197"/>
    </row>
    <row r="54" spans="1:13" ht="18">
      <c r="A54" s="197"/>
      <c r="B54" s="197"/>
      <c r="C54" s="197"/>
      <c r="D54" s="204"/>
      <c r="E54" s="197"/>
      <c r="F54" s="740" t="s">
        <v>104</v>
      </c>
      <c r="G54" s="197"/>
      <c r="H54" s="197"/>
      <c r="I54" s="197"/>
      <c r="J54" s="197" t="s">
        <v>104</v>
      </c>
      <c r="K54" s="197"/>
      <c r="L54" s="206"/>
      <c r="M54" s="197"/>
    </row>
    <row r="55" spans="1:13" ht="18">
      <c r="A55" s="204"/>
      <c r="B55" s="197"/>
      <c r="C55" s="197"/>
      <c r="D55" s="197"/>
      <c r="E55" s="197"/>
      <c r="F55" s="197"/>
      <c r="G55" s="197"/>
      <c r="H55" s="197"/>
      <c r="I55" s="197"/>
      <c r="J55" s="197" t="s">
        <v>104</v>
      </c>
      <c r="K55" s="197"/>
      <c r="L55" s="197"/>
      <c r="M55" s="197"/>
    </row>
    <row r="56" spans="1:13" ht="18">
      <c r="A56" s="204"/>
      <c r="B56" s="197"/>
      <c r="C56" s="197"/>
      <c r="D56" s="197"/>
      <c r="E56" s="197"/>
      <c r="F56" s="197"/>
      <c r="G56" s="197"/>
      <c r="H56" s="197"/>
      <c r="I56" s="197"/>
      <c r="J56" s="197"/>
      <c r="K56" s="197"/>
      <c r="L56" s="197"/>
      <c r="M56" s="197"/>
    </row>
    <row r="57" spans="1:13" ht="18">
      <c r="A57" s="204"/>
      <c r="B57" s="197"/>
      <c r="C57" s="197"/>
      <c r="D57" s="197"/>
      <c r="E57" s="197"/>
      <c r="F57" s="197"/>
      <c r="G57" s="197"/>
      <c r="H57" s="197"/>
      <c r="I57" s="197"/>
      <c r="J57" s="197"/>
      <c r="K57" s="197"/>
      <c r="L57" s="197"/>
      <c r="M57" s="197"/>
    </row>
    <row r="58" spans="1:13" ht="18">
      <c r="A58" s="204"/>
      <c r="B58" s="197"/>
      <c r="C58" s="197"/>
      <c r="D58" s="197"/>
      <c r="E58" s="197"/>
      <c r="F58" s="197"/>
      <c r="G58" s="197"/>
      <c r="H58" s="197"/>
      <c r="I58" s="197"/>
      <c r="J58" s="197"/>
      <c r="K58" s="197"/>
      <c r="L58" s="197"/>
      <c r="M58" s="197"/>
    </row>
    <row r="59" spans="1:13" ht="18">
      <c r="A59" s="204"/>
      <c r="B59" s="197"/>
      <c r="C59" s="197"/>
      <c r="D59" s="197"/>
      <c r="E59" s="197"/>
      <c r="F59" s="197"/>
      <c r="G59" s="197"/>
      <c r="H59" s="197"/>
      <c r="I59" s="197"/>
      <c r="J59" s="197"/>
      <c r="K59" s="197"/>
      <c r="L59" s="197"/>
      <c r="M59" s="197"/>
    </row>
    <row r="60" spans="1:13" ht="17.5">
      <c r="A60" s="197"/>
      <c r="B60" s="197"/>
      <c r="C60" s="197"/>
      <c r="D60" s="197"/>
      <c r="E60" s="197"/>
      <c r="F60" s="197"/>
      <c r="G60" s="197"/>
      <c r="H60" s="197"/>
      <c r="I60" s="197"/>
      <c r="J60" s="197"/>
      <c r="K60" s="197"/>
      <c r="L60" s="197"/>
      <c r="M60" s="197"/>
    </row>
    <row r="61" spans="1:13" ht="17.5">
      <c r="A61" s="197"/>
      <c r="B61" s="197"/>
      <c r="C61" s="197"/>
      <c r="D61" s="197"/>
      <c r="E61" s="197"/>
      <c r="F61" s="197"/>
      <c r="G61" s="197"/>
      <c r="H61" s="197"/>
      <c r="I61" s="197"/>
      <c r="J61" s="197"/>
      <c r="K61" s="197"/>
      <c r="L61" s="197"/>
      <c r="M61" s="197"/>
    </row>
    <row r="62" spans="1:13" ht="17.5">
      <c r="A62" s="197"/>
      <c r="B62" s="197"/>
      <c r="C62" s="197"/>
      <c r="D62" s="197"/>
      <c r="E62" s="197"/>
      <c r="F62" s="197"/>
      <c r="G62" s="197"/>
      <c r="H62" s="197"/>
      <c r="I62" s="197"/>
      <c r="J62" s="197"/>
      <c r="K62" s="197"/>
      <c r="L62" s="197"/>
      <c r="M62" s="197"/>
    </row>
    <row r="63" spans="1:13" ht="17.5">
      <c r="A63" s="197"/>
      <c r="B63" s="197"/>
      <c r="C63" s="197"/>
      <c r="D63" s="197"/>
      <c r="E63" s="197"/>
      <c r="F63" s="197"/>
      <c r="G63" s="197"/>
      <c r="H63" s="197"/>
      <c r="I63" s="197"/>
      <c r="J63" s="197"/>
      <c r="K63" s="197"/>
      <c r="L63" s="197"/>
      <c r="M63" s="197"/>
    </row>
    <row r="64" spans="1:13" ht="18">
      <c r="A64" s="197"/>
      <c r="B64" s="197"/>
      <c r="C64" s="197"/>
      <c r="D64" s="207"/>
      <c r="E64" s="197"/>
      <c r="F64" s="197"/>
      <c r="G64" s="197"/>
      <c r="H64" s="197"/>
      <c r="I64" s="197"/>
      <c r="J64" s="207"/>
      <c r="K64" s="197"/>
      <c r="L64" s="207"/>
      <c r="M64" s="197"/>
    </row>
    <row r="65" spans="1:13" ht="18">
      <c r="A65" s="197"/>
      <c r="B65" s="197"/>
      <c r="C65" s="197"/>
      <c r="D65" s="207"/>
      <c r="E65" s="197"/>
      <c r="F65" s="197"/>
      <c r="G65" s="197"/>
      <c r="H65" s="197"/>
      <c r="I65" s="197"/>
      <c r="J65" s="207"/>
      <c r="K65" s="197"/>
      <c r="L65" s="207"/>
      <c r="M65" s="197"/>
    </row>
    <row r="66" spans="1:13" ht="18">
      <c r="A66" s="208"/>
      <c r="B66" s="197"/>
      <c r="C66" s="197"/>
      <c r="D66" s="209"/>
      <c r="E66" s="197"/>
      <c r="F66" s="209"/>
      <c r="G66" s="197"/>
      <c r="H66" s="209"/>
      <c r="I66" s="197"/>
      <c r="J66" s="209"/>
      <c r="K66" s="197"/>
      <c r="L66" s="209"/>
      <c r="M66" s="197"/>
    </row>
    <row r="67" spans="1:13" ht="17.5">
      <c r="A67" s="197"/>
      <c r="B67" s="197"/>
      <c r="C67" s="197"/>
      <c r="D67" s="197"/>
      <c r="E67" s="197"/>
      <c r="F67" s="197"/>
      <c r="G67" s="197"/>
      <c r="H67" s="197"/>
      <c r="I67" s="197"/>
      <c r="J67" s="197"/>
      <c r="K67" s="197"/>
      <c r="L67" s="197"/>
      <c r="M67" s="197"/>
    </row>
    <row r="68" spans="1:13" ht="18">
      <c r="A68" s="200"/>
      <c r="B68" s="197"/>
      <c r="C68" s="197"/>
      <c r="D68" s="197"/>
      <c r="E68" s="197"/>
      <c r="F68" s="197"/>
      <c r="G68" s="197"/>
      <c r="H68" s="197"/>
      <c r="I68" s="197"/>
      <c r="J68" s="197"/>
      <c r="K68" s="197"/>
      <c r="L68" s="197"/>
      <c r="M68" s="197"/>
    </row>
    <row r="69" spans="1:13" ht="17.5">
      <c r="A69" s="197"/>
      <c r="B69" s="197"/>
      <c r="C69" s="197"/>
      <c r="D69" s="197"/>
      <c r="E69" s="197"/>
      <c r="F69" s="197"/>
      <c r="G69" s="197"/>
      <c r="H69" s="197"/>
      <c r="I69" s="197"/>
      <c r="J69" s="197"/>
      <c r="K69" s="197"/>
      <c r="L69" s="197"/>
      <c r="M69" s="197"/>
    </row>
    <row r="70" spans="1:13" ht="20.149999999999999" customHeight="1">
      <c r="A70" s="197"/>
      <c r="B70" s="197"/>
      <c r="C70" s="210"/>
      <c r="D70" s="211"/>
      <c r="E70" s="210"/>
      <c r="F70" s="1799"/>
      <c r="G70" s="210"/>
      <c r="H70" s="1800"/>
      <c r="I70" s="210"/>
      <c r="J70" s="212"/>
      <c r="K70" s="210"/>
      <c r="L70" s="211"/>
      <c r="M70" s="197"/>
    </row>
    <row r="71" spans="1:13" ht="20.149999999999999" customHeight="1">
      <c r="A71" s="197"/>
      <c r="B71" s="197"/>
      <c r="C71" s="197"/>
      <c r="D71" s="211"/>
      <c r="E71" s="197"/>
      <c r="F71" s="197"/>
      <c r="G71" s="197"/>
      <c r="H71" s="1800"/>
      <c r="I71" s="197"/>
      <c r="J71" s="212"/>
      <c r="K71" s="197"/>
      <c r="L71" s="211"/>
      <c r="M71" s="197"/>
    </row>
    <row r="72" spans="1:13" ht="20.149999999999999" customHeight="1">
      <c r="A72" s="197"/>
      <c r="B72" s="197"/>
      <c r="C72" s="197"/>
      <c r="D72" s="211"/>
      <c r="E72" s="197"/>
      <c r="F72" s="197"/>
      <c r="G72" s="197"/>
      <c r="H72" s="1801"/>
      <c r="I72" s="197"/>
      <c r="J72" s="212"/>
      <c r="K72" s="197"/>
      <c r="L72" s="211"/>
      <c r="M72" s="197"/>
    </row>
    <row r="73" spans="1:13" ht="20.149999999999999" customHeight="1">
      <c r="A73" s="197"/>
      <c r="B73" s="197"/>
      <c r="C73" s="197"/>
      <c r="D73" s="211"/>
      <c r="E73" s="197"/>
      <c r="F73" s="197"/>
      <c r="G73" s="197"/>
      <c r="H73" s="1800"/>
      <c r="I73" s="197"/>
      <c r="J73" s="212"/>
      <c r="K73" s="197"/>
      <c r="L73" s="211"/>
      <c r="M73" s="197"/>
    </row>
    <row r="74" spans="1:13" ht="20.149999999999999" customHeight="1">
      <c r="A74" s="197"/>
      <c r="B74" s="197"/>
      <c r="C74" s="197"/>
      <c r="D74" s="211"/>
      <c r="E74" s="197"/>
      <c r="F74" s="197"/>
      <c r="G74" s="197"/>
      <c r="H74" s="1800"/>
      <c r="I74" s="197"/>
      <c r="J74" s="212"/>
      <c r="K74" s="197"/>
      <c r="L74" s="211"/>
      <c r="M74" s="197"/>
    </row>
    <row r="75" spans="1:13" ht="20.149999999999999" customHeight="1">
      <c r="A75" s="197"/>
      <c r="B75" s="197"/>
      <c r="C75" s="197"/>
      <c r="D75" s="211"/>
      <c r="E75" s="197"/>
      <c r="F75" s="197"/>
      <c r="G75" s="197"/>
      <c r="H75" s="1802"/>
      <c r="I75" s="197"/>
      <c r="J75" s="212"/>
      <c r="K75" s="197"/>
      <c r="L75" s="211"/>
      <c r="M75" s="197"/>
    </row>
    <row r="76" spans="1:13" ht="17.5">
      <c r="A76" s="366"/>
      <c r="B76" s="197"/>
      <c r="C76" s="197"/>
      <c r="D76" s="197"/>
      <c r="E76" s="197"/>
      <c r="F76" s="197"/>
      <c r="G76" s="197"/>
      <c r="H76" s="197"/>
      <c r="I76" s="197"/>
      <c r="J76" s="197"/>
      <c r="K76" s="197"/>
      <c r="L76" s="197"/>
      <c r="M76" s="197"/>
    </row>
    <row r="77" spans="1:13" ht="17.5">
      <c r="A77" s="213"/>
      <c r="B77" s="197"/>
      <c r="C77" s="197"/>
      <c r="D77" s="197"/>
      <c r="E77" s="197"/>
      <c r="F77" s="197"/>
      <c r="G77" s="197"/>
      <c r="H77" s="197"/>
      <c r="I77" s="197"/>
      <c r="J77" s="197"/>
      <c r="K77" s="197"/>
      <c r="L77" s="197"/>
      <c r="M77" s="197"/>
    </row>
    <row r="78" spans="1:13" ht="17.5">
      <c r="A78" s="197"/>
      <c r="B78" s="197"/>
      <c r="C78" s="197"/>
      <c r="D78" s="197"/>
      <c r="E78" s="197"/>
      <c r="F78" s="197"/>
      <c r="G78" s="197"/>
      <c r="H78" s="197"/>
      <c r="I78" s="197"/>
      <c r="J78" s="197"/>
      <c r="K78" s="197"/>
      <c r="L78" s="197"/>
      <c r="M78" s="197"/>
    </row>
    <row r="79" spans="1:13" ht="17.5">
      <c r="A79" s="197"/>
      <c r="B79" s="197"/>
      <c r="C79" s="197"/>
      <c r="D79" s="197"/>
      <c r="E79" s="197"/>
      <c r="F79" s="197"/>
      <c r="G79" s="197"/>
      <c r="H79" s="197"/>
      <c r="I79" s="197"/>
      <c r="J79" s="197"/>
      <c r="K79" s="197"/>
      <c r="L79" s="197"/>
      <c r="M79" s="197"/>
    </row>
    <row r="80" spans="1:13" ht="17.5">
      <c r="A80" s="197"/>
      <c r="B80" s="197"/>
      <c r="C80" s="197"/>
      <c r="D80" s="197"/>
      <c r="E80" s="197"/>
      <c r="F80" s="197"/>
      <c r="G80" s="197"/>
      <c r="H80" s="197"/>
      <c r="I80" s="197"/>
      <c r="J80" s="197"/>
      <c r="K80" s="197"/>
      <c r="L80" s="197"/>
      <c r="M80" s="197"/>
    </row>
    <row r="81" spans="1:13" ht="17.5">
      <c r="A81" s="197"/>
      <c r="B81" s="197"/>
      <c r="C81" s="197"/>
      <c r="D81" s="197"/>
      <c r="E81" s="197"/>
      <c r="F81" s="197"/>
      <c r="G81" s="197"/>
      <c r="H81" s="197"/>
      <c r="I81" s="197"/>
      <c r="J81" s="197"/>
      <c r="K81" s="197"/>
      <c r="L81" s="197"/>
      <c r="M81" s="197"/>
    </row>
    <row r="82" spans="1:13" ht="17.5">
      <c r="A82" s="197"/>
      <c r="B82" s="197"/>
      <c r="C82" s="197"/>
      <c r="D82" s="197"/>
      <c r="E82" s="197"/>
      <c r="F82" s="197"/>
      <c r="G82" s="197"/>
      <c r="H82" s="197"/>
      <c r="I82" s="197"/>
      <c r="J82" s="197"/>
      <c r="K82" s="197"/>
      <c r="L82" s="197"/>
      <c r="M82" s="197"/>
    </row>
    <row r="83" spans="1:13" ht="17.5">
      <c r="A83" s="366"/>
      <c r="B83" s="197"/>
      <c r="C83" s="197"/>
      <c r="D83" s="197"/>
      <c r="E83" s="197"/>
      <c r="F83" s="197"/>
      <c r="G83" s="197"/>
      <c r="H83" s="197"/>
      <c r="I83" s="197"/>
      <c r="J83" s="197"/>
      <c r="K83" s="197"/>
      <c r="L83" s="197"/>
      <c r="M83" s="197"/>
    </row>
    <row r="84" spans="1:13" s="197" customFormat="1" ht="17.5"/>
    <row r="85" spans="1:13" ht="17.5">
      <c r="A85" s="197"/>
      <c r="B85" s="197"/>
      <c r="C85" s="197"/>
      <c r="D85" s="197"/>
      <c r="E85" s="197"/>
      <c r="F85" s="197"/>
      <c r="G85" s="197"/>
      <c r="H85" s="197"/>
      <c r="I85" s="197"/>
      <c r="J85" s="197"/>
      <c r="K85" s="197"/>
      <c r="L85" s="197"/>
      <c r="M85" s="197"/>
    </row>
    <row r="86" spans="1:13" s="197" customFormat="1" ht="17.5"/>
    <row r="87" spans="1:13" s="197" customFormat="1" ht="17.5"/>
    <row r="88" spans="1:13" s="197" customFormat="1" ht="17.5"/>
    <row r="89" spans="1:13" ht="17.5">
      <c r="A89" s="197"/>
      <c r="B89" s="197"/>
      <c r="C89" s="197"/>
      <c r="D89" s="197"/>
      <c r="E89" s="197"/>
      <c r="F89" s="197"/>
      <c r="G89" s="197"/>
      <c r="H89" s="197"/>
      <c r="I89" s="197"/>
      <c r="J89" s="197"/>
      <c r="K89" s="197"/>
      <c r="L89" s="197"/>
      <c r="M89" s="197"/>
    </row>
    <row r="90" spans="1:13" s="197" customFormat="1" ht="17.5"/>
    <row r="91" spans="1:13" s="197" customFormat="1" ht="17.5"/>
    <row r="92" spans="1:13" s="197" customFormat="1" ht="17.5"/>
    <row r="93" spans="1:13" s="197" customFormat="1" ht="17.5"/>
    <row r="94" spans="1:13" s="197" customFormat="1" ht="17.5"/>
    <row r="95" spans="1:13" s="197" customFormat="1" ht="17.5"/>
    <row r="96" spans="1:13" s="197" customFormat="1" ht="17.5"/>
    <row r="97" s="197" customFormat="1" ht="17.5"/>
    <row r="98" s="197" customFormat="1" ht="17.5"/>
    <row r="99" s="197" customFormat="1" ht="17.5"/>
    <row r="100" s="197" customFormat="1" ht="17.5"/>
    <row r="101" s="197" customFormat="1" ht="17.5"/>
    <row r="102" s="197" customFormat="1" ht="17.5"/>
    <row r="103" s="197" customFormat="1" ht="17.5"/>
    <row r="104" s="197" customFormat="1" ht="17.5"/>
    <row r="105" s="197" customFormat="1" ht="17.5"/>
    <row r="106" s="197" customFormat="1" ht="17.5"/>
    <row r="107" s="197" customFormat="1" ht="17.5"/>
    <row r="108" s="197" customFormat="1" ht="17.5"/>
    <row r="109" s="197" customFormat="1" ht="17.5"/>
    <row r="110" s="197" customFormat="1" ht="17.5"/>
    <row r="111" s="197" customFormat="1" ht="17.5"/>
    <row r="112" s="197" customFormat="1" ht="17.5"/>
    <row r="113" s="197" customFormat="1" ht="17.5"/>
    <row r="114" s="197" customFormat="1" ht="17.5"/>
    <row r="115" s="197" customFormat="1" ht="17.5"/>
    <row r="116" s="197" customFormat="1" ht="17.5"/>
    <row r="117" s="197" customFormat="1" ht="17.5"/>
    <row r="118" s="197" customFormat="1" ht="17.5"/>
    <row r="119" s="197" customFormat="1" ht="17.5"/>
    <row r="120" s="197" customFormat="1" ht="17.5"/>
    <row r="121" s="197" customFormat="1" ht="17.5"/>
    <row r="122" s="197" customFormat="1" ht="17.5"/>
    <row r="123" s="197" customFormat="1" ht="17.5"/>
    <row r="124" s="197" customFormat="1" ht="17.5"/>
    <row r="125" s="197" customFormat="1" ht="17.5"/>
    <row r="126" s="197" customFormat="1" ht="17.5"/>
    <row r="127" s="197" customFormat="1" ht="17.5"/>
    <row r="128" s="197" customFormat="1" ht="17.5"/>
    <row r="129" s="197" customFormat="1" ht="17.5"/>
    <row r="130" s="197" customFormat="1" ht="17.5"/>
    <row r="131" s="197" customFormat="1" ht="17.5"/>
    <row r="132" s="197" customFormat="1" ht="17.5"/>
    <row r="133" s="197" customFormat="1" ht="17.5"/>
    <row r="134" s="197" customFormat="1" ht="17.5"/>
    <row r="135" s="197" customFormat="1" ht="17.5"/>
    <row r="136" s="197" customFormat="1" ht="17.5"/>
    <row r="137" s="197" customFormat="1" ht="17.5"/>
    <row r="138" s="197" customFormat="1" ht="17.5"/>
    <row r="139" s="197" customFormat="1" ht="17.5"/>
  </sheetData>
  <pageMargins left="0.5" right="0.5" top="0.5" bottom="0.5" header="0" footer="0.25"/>
  <pageSetup scale="56" firstPageNumber="42" orientation="landscape" useFirstPageNumber="1" r:id="rId1"/>
  <headerFooter scaleWithDoc="0" alignWithMargins="0">
    <oddFooter>&amp;C&amp;8&amp;P</oddFooter>
  </headerFooter>
  <customProperties>
    <customPr name="SheetOptions" r:id="rId2"/>
  </customPropertie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1">
    <pageSetUpPr fitToPage="1"/>
  </sheetPr>
  <dimension ref="A1:N54"/>
  <sheetViews>
    <sheetView showGridLines="0" zoomScale="90" workbookViewId="0"/>
  </sheetViews>
  <sheetFormatPr defaultColWidth="8.84375" defaultRowHeight="12.5"/>
  <cols>
    <col min="1" max="1" width="53.53515625" style="797" customWidth="1"/>
    <col min="2" max="2" width="1.84375" style="797" customWidth="1"/>
    <col min="3" max="3" width="2.84375" style="797" customWidth="1"/>
    <col min="4" max="4" width="20.07421875" style="797" customWidth="1"/>
    <col min="5" max="5" width="7.84375" style="797" customWidth="1"/>
    <col min="6" max="6" width="18.84375" style="797" customWidth="1"/>
    <col min="7" max="7" width="7.84375" style="797" customWidth="1"/>
    <col min="8" max="8" width="18.84375" style="797" customWidth="1"/>
    <col min="9" max="9" width="7.84375" style="797" customWidth="1"/>
    <col min="10" max="10" width="21.84375" style="797" customWidth="1"/>
    <col min="11" max="11" width="10.84375" style="797" customWidth="1"/>
    <col min="12" max="16384" width="8.84375" style="797"/>
  </cols>
  <sheetData>
    <row r="1" spans="1:10" ht="15.5">
      <c r="A1" s="326" t="s">
        <v>98</v>
      </c>
    </row>
    <row r="2" spans="1:10" ht="15.5">
      <c r="A2" s="584"/>
    </row>
    <row r="3" spans="1:10" ht="18">
      <c r="A3" s="798" t="s">
        <v>99</v>
      </c>
      <c r="B3" s="799"/>
      <c r="C3" s="799"/>
      <c r="D3" s="799"/>
      <c r="E3" s="799"/>
      <c r="F3" s="799"/>
      <c r="G3" s="798"/>
      <c r="H3" s="798"/>
      <c r="I3" s="798"/>
      <c r="J3" s="801" t="s">
        <v>839</v>
      </c>
    </row>
    <row r="4" spans="1:10" ht="18">
      <c r="A4" s="798" t="s">
        <v>840</v>
      </c>
      <c r="B4" s="799"/>
      <c r="C4" s="798"/>
      <c r="D4" s="799"/>
      <c r="E4" s="799"/>
      <c r="F4" s="799"/>
      <c r="G4" s="798"/>
      <c r="H4" s="798"/>
      <c r="I4" s="798"/>
      <c r="J4" s="798"/>
    </row>
    <row r="5" spans="1:10" ht="18">
      <c r="A5" s="798" t="s">
        <v>841</v>
      </c>
      <c r="B5" s="799"/>
      <c r="C5" s="798"/>
      <c r="D5" s="799"/>
      <c r="E5" s="799"/>
      <c r="F5" s="799"/>
      <c r="G5" s="798"/>
      <c r="H5" s="798"/>
      <c r="I5" s="798"/>
      <c r="J5" s="798"/>
    </row>
    <row r="6" spans="1:10" ht="18">
      <c r="A6" s="798" t="str">
        <f>'Sch 3 '!A7</f>
        <v>FISCAL YEAR 2023-2024</v>
      </c>
      <c r="B6" s="799"/>
      <c r="C6" s="798"/>
      <c r="D6" s="799"/>
      <c r="E6" s="799"/>
      <c r="F6" s="799"/>
      <c r="G6" s="798"/>
      <c r="H6" s="798"/>
      <c r="I6" s="798"/>
      <c r="J6" s="798"/>
    </row>
    <row r="7" spans="1:10" ht="18">
      <c r="A7" s="800" t="str">
        <f>'Sch 3 '!A8</f>
        <v>FOR THE MONTH OF NOVEMBER 2023</v>
      </c>
      <c r="B7" s="799"/>
      <c r="C7" s="798"/>
      <c r="D7" s="799"/>
      <c r="E7" s="799"/>
      <c r="F7" s="799"/>
      <c r="G7" s="798"/>
      <c r="H7" s="798"/>
      <c r="I7" s="798"/>
      <c r="J7" s="798"/>
    </row>
    <row r="8" spans="1:10" ht="18">
      <c r="A8" s="798" t="s">
        <v>103</v>
      </c>
      <c r="B8" s="799"/>
      <c r="C8" s="798"/>
      <c r="D8" s="799"/>
      <c r="E8" s="799"/>
      <c r="F8" s="799"/>
      <c r="G8" s="798"/>
      <c r="H8" s="798"/>
      <c r="I8" s="798"/>
      <c r="J8" s="798"/>
    </row>
    <row r="9" spans="1:10" ht="18">
      <c r="A9" s="798"/>
      <c r="B9" s="799"/>
      <c r="C9" s="798"/>
      <c r="D9" s="799"/>
      <c r="E9" s="799"/>
      <c r="F9" s="799"/>
      <c r="G9" s="798"/>
      <c r="H9" s="798"/>
      <c r="I9" s="798"/>
      <c r="J9" s="798"/>
    </row>
    <row r="10" spans="1:10" ht="18">
      <c r="A10" s="798"/>
      <c r="B10" s="798"/>
      <c r="C10" s="798"/>
      <c r="D10" s="798"/>
      <c r="E10" s="798"/>
      <c r="F10" s="798"/>
      <c r="G10" s="798"/>
      <c r="H10" s="798"/>
      <c r="I10" s="798"/>
      <c r="J10" s="798"/>
    </row>
    <row r="11" spans="1:10" ht="18">
      <c r="A11" s="798"/>
      <c r="B11" s="798"/>
      <c r="C11" s="798"/>
      <c r="D11" s="801"/>
      <c r="E11" s="798"/>
      <c r="F11" s="798"/>
      <c r="G11" s="798"/>
      <c r="H11" s="798"/>
      <c r="I11" s="798"/>
      <c r="J11" s="801"/>
    </row>
    <row r="12" spans="1:10" ht="18">
      <c r="A12" s="798"/>
      <c r="B12" s="798"/>
      <c r="C12" s="798"/>
      <c r="D12" s="801" t="s">
        <v>643</v>
      </c>
      <c r="E12" s="798"/>
      <c r="F12" s="798"/>
      <c r="G12" s="798"/>
      <c r="H12" s="798"/>
      <c r="I12" s="798"/>
      <c r="J12" s="801" t="s">
        <v>643</v>
      </c>
    </row>
    <row r="13" spans="1:10" ht="18">
      <c r="A13" s="802" t="s">
        <v>789</v>
      </c>
      <c r="B13" s="798"/>
      <c r="C13" s="798"/>
      <c r="D13" s="803" t="str">
        <f>'Sch 3 '!D12</f>
        <v>NOVEMBER 1, 2023</v>
      </c>
      <c r="E13" s="798"/>
      <c r="F13" s="801" t="s">
        <v>645</v>
      </c>
      <c r="G13" s="798"/>
      <c r="H13" s="801" t="s">
        <v>646</v>
      </c>
      <c r="I13" s="798"/>
      <c r="J13" s="803" t="str">
        <f>'Sch 3 '!L12</f>
        <v>NOVEMBER 30, 2023</v>
      </c>
    </row>
    <row r="14" spans="1:10" ht="18">
      <c r="A14" s="802"/>
      <c r="B14" s="798"/>
      <c r="C14" s="798"/>
      <c r="D14" s="804"/>
      <c r="E14" s="798"/>
      <c r="F14" s="804"/>
      <c r="G14" s="798"/>
      <c r="H14" s="805" t="s">
        <v>642</v>
      </c>
      <c r="I14" s="798"/>
      <c r="J14" s="804"/>
    </row>
    <row r="15" spans="1:10" ht="18">
      <c r="A15" s="806" t="s">
        <v>842</v>
      </c>
      <c r="B15" s="798"/>
      <c r="C15" s="798"/>
      <c r="D15" s="798"/>
      <c r="E15" s="798"/>
      <c r="F15" s="1156"/>
      <c r="G15" s="798"/>
      <c r="H15" s="798"/>
      <c r="I15" s="798"/>
      <c r="J15" s="798"/>
    </row>
    <row r="16" spans="1:10" ht="25.4" customHeight="1">
      <c r="A16" s="799" t="s">
        <v>843</v>
      </c>
      <c r="B16" s="798"/>
      <c r="C16" s="799"/>
      <c r="D16" s="736">
        <v>3.0459999999999998</v>
      </c>
      <c r="E16" s="807"/>
      <c r="F16" s="736">
        <v>1.4E-2</v>
      </c>
      <c r="G16" s="807"/>
      <c r="H16" s="736">
        <v>0</v>
      </c>
      <c r="I16" s="807"/>
      <c r="J16" s="807">
        <f>ROUND(D16+F16-H16,3)</f>
        <v>3.06</v>
      </c>
    </row>
    <row r="17" spans="1:14" ht="25.4" customHeight="1">
      <c r="A17" s="799" t="s">
        <v>844</v>
      </c>
      <c r="B17" s="799"/>
      <c r="C17" s="799"/>
      <c r="D17" s="740">
        <v>387.55399999999997</v>
      </c>
      <c r="E17" s="809"/>
      <c r="F17" s="740">
        <v>312.97000000000003</v>
      </c>
      <c r="G17" s="807"/>
      <c r="H17" s="740">
        <v>348.43799999999999</v>
      </c>
      <c r="I17" s="809"/>
      <c r="J17" s="810">
        <f>ROUND(D17+F17-H17,3)</f>
        <v>352.08600000000001</v>
      </c>
    </row>
    <row r="18" spans="1:14" ht="25.4" customHeight="1">
      <c r="A18" s="808" t="s">
        <v>845</v>
      </c>
      <c r="B18" s="799"/>
      <c r="C18" s="799"/>
      <c r="D18" s="740">
        <v>3423.1039999999998</v>
      </c>
      <c r="E18" s="809"/>
      <c r="F18" s="740">
        <v>3449.8</v>
      </c>
      <c r="G18" s="807"/>
      <c r="H18" s="740">
        <v>3404.5059999999999</v>
      </c>
      <c r="I18" s="809"/>
      <c r="J18" s="810">
        <f>ROUND(D18+F18-H18,3)</f>
        <v>3468.3980000000001</v>
      </c>
    </row>
    <row r="19" spans="1:14" ht="25.4" customHeight="1">
      <c r="A19" s="799" t="s">
        <v>846</v>
      </c>
      <c r="B19" s="799"/>
      <c r="C19" s="799"/>
      <c r="D19" s="740">
        <v>0</v>
      </c>
      <c r="E19" s="809"/>
      <c r="F19" s="740">
        <v>292.72300000000001</v>
      </c>
      <c r="G19" s="807"/>
      <c r="H19" s="740">
        <v>292.72300000000001</v>
      </c>
      <c r="I19" s="809"/>
      <c r="J19" s="810">
        <f>ROUND(D19+F19-H19,3)</f>
        <v>0</v>
      </c>
    </row>
    <row r="20" spans="1:14" ht="25.4" customHeight="1" thickBot="1">
      <c r="A20" s="811" t="s">
        <v>847</v>
      </c>
      <c r="B20" s="799"/>
      <c r="C20" s="799"/>
      <c r="D20" s="812">
        <f>ROUND(SUM(D16:D19),3)</f>
        <v>3813.7040000000002</v>
      </c>
      <c r="E20" s="1157"/>
      <c r="F20" s="812">
        <f>ROUND(SUM(F16:F19),3)</f>
        <v>4055.5070000000001</v>
      </c>
      <c r="G20" s="1157"/>
      <c r="H20" s="812">
        <f>ROUND(SUM(H16:H19),3)</f>
        <v>4045.6669999999999</v>
      </c>
      <c r="I20" s="1157"/>
      <c r="J20" s="812">
        <f>ROUND(SUM(J16:J19),3)</f>
        <v>3823.5439999999999</v>
      </c>
      <c r="K20" s="813"/>
      <c r="L20" s="813"/>
      <c r="M20" s="813"/>
      <c r="N20" s="813"/>
    </row>
    <row r="21" spans="1:14" ht="18" thickTop="1">
      <c r="A21" s="799"/>
      <c r="B21" s="799"/>
      <c r="C21" s="799"/>
      <c r="D21" s="799"/>
      <c r="E21" s="799"/>
      <c r="F21" s="799"/>
      <c r="G21" s="799"/>
      <c r="H21" s="799"/>
      <c r="I21" s="799"/>
      <c r="J21" s="799"/>
    </row>
    <row r="22" spans="1:14" ht="17.5">
      <c r="A22" s="799"/>
      <c r="B22" s="799"/>
      <c r="C22" s="799"/>
      <c r="D22" s="799"/>
      <c r="E22" s="799"/>
      <c r="F22" s="799"/>
      <c r="G22" s="799"/>
      <c r="H22" s="799"/>
      <c r="I22" s="799"/>
      <c r="J22" s="799"/>
    </row>
    <row r="23" spans="1:14" ht="6.75" customHeight="1">
      <c r="A23" s="799"/>
      <c r="B23" s="799"/>
      <c r="C23" s="799"/>
      <c r="D23" s="799"/>
      <c r="E23" s="799"/>
      <c r="F23" s="799"/>
      <c r="G23" s="799"/>
      <c r="H23" s="799"/>
      <c r="I23" s="799"/>
      <c r="J23" s="799"/>
    </row>
    <row r="24" spans="1:14" ht="17.5">
      <c r="A24" s="878" t="s">
        <v>848</v>
      </c>
      <c r="B24" s="799"/>
      <c r="C24" s="799"/>
      <c r="D24" s="799"/>
      <c r="E24" s="799"/>
      <c r="F24" s="799" t="s">
        <v>104</v>
      </c>
      <c r="G24" s="799"/>
      <c r="H24" s="799"/>
      <c r="I24" s="799"/>
      <c r="J24" s="799"/>
    </row>
    <row r="25" spans="1:14" ht="6" customHeight="1"/>
    <row r="26" spans="1:14" ht="59.25" customHeight="1">
      <c r="A26" s="2245" t="s">
        <v>849</v>
      </c>
      <c r="B26" s="2245"/>
      <c r="C26" s="2245"/>
      <c r="D26" s="2245"/>
      <c r="E26" s="2245"/>
      <c r="F26" s="2245"/>
      <c r="G26" s="2245"/>
      <c r="H26" s="2245"/>
      <c r="I26" s="2245"/>
      <c r="J26" s="2245"/>
    </row>
    <row r="27" spans="1:14" ht="43.4" customHeight="1">
      <c r="A27" s="2246" t="s">
        <v>1565</v>
      </c>
      <c r="B27" s="2246"/>
      <c r="C27" s="2246"/>
      <c r="D27" s="2246"/>
      <c r="E27" s="2246"/>
      <c r="F27" s="2246"/>
      <c r="G27" s="2246"/>
      <c r="H27" s="2246"/>
      <c r="I27" s="2246"/>
      <c r="J27" s="2246"/>
    </row>
    <row r="28" spans="1:14" ht="18.75" customHeight="1">
      <c r="A28" s="2247"/>
      <c r="B28" s="2247"/>
      <c r="C28" s="2247"/>
      <c r="D28" s="2247"/>
      <c r="E28" s="2247"/>
      <c r="F28" s="2247"/>
      <c r="G28" s="2247"/>
      <c r="H28" s="2247"/>
      <c r="I28" s="2247"/>
      <c r="J28" s="2247"/>
    </row>
    <row r="29" spans="1:14" ht="18" customHeight="1">
      <c r="A29" s="2018"/>
      <c r="B29" s="561"/>
      <c r="C29" s="561"/>
      <c r="D29" s="561"/>
      <c r="E29" s="561"/>
      <c r="F29" s="740"/>
      <c r="G29" s="561"/>
      <c r="H29" s="561"/>
      <c r="I29" s="561"/>
      <c r="J29" s="561"/>
    </row>
    <row r="30" spans="1:14" ht="20.25" customHeight="1">
      <c r="A30" s="2248"/>
      <c r="B30" s="2248"/>
      <c r="C30" s="2248"/>
      <c r="D30" s="2248"/>
      <c r="E30" s="2248"/>
      <c r="F30" s="2248"/>
      <c r="G30" s="2248"/>
      <c r="H30" s="2248"/>
      <c r="I30" s="2248"/>
      <c r="J30" s="2248"/>
    </row>
    <row r="31" spans="1:14" ht="20.25" customHeight="1">
      <c r="A31" s="2018"/>
      <c r="B31" s="561"/>
      <c r="C31" s="561"/>
      <c r="D31" s="561"/>
      <c r="E31" s="561"/>
      <c r="F31" s="1285" t="s">
        <v>104</v>
      </c>
      <c r="G31" s="561"/>
      <c r="H31" s="561"/>
      <c r="I31" s="561"/>
      <c r="J31" s="561"/>
    </row>
    <row r="32" spans="1:14" ht="20.25" customHeight="1">
      <c r="A32" s="2018"/>
      <c r="B32" s="561"/>
      <c r="C32" s="561"/>
      <c r="D32" s="561"/>
      <c r="E32" s="561"/>
      <c r="F32" s="561"/>
      <c r="G32" s="561"/>
      <c r="H32" s="561"/>
      <c r="I32" s="561"/>
      <c r="J32" s="561"/>
    </row>
    <row r="33" spans="1:10" ht="20.25" customHeight="1">
      <c r="A33" s="2018"/>
      <c r="B33" s="561"/>
      <c r="C33" s="561"/>
      <c r="D33" s="561"/>
      <c r="E33" s="561"/>
      <c r="F33" s="561"/>
      <c r="G33" s="561"/>
      <c r="H33" s="561"/>
      <c r="I33" s="561"/>
      <c r="J33" s="561"/>
    </row>
    <row r="34" spans="1:10" ht="20.25" customHeight="1">
      <c r="A34" s="2018"/>
      <c r="B34" s="561"/>
      <c r="C34" s="561"/>
      <c r="D34" s="561"/>
      <c r="E34" s="561"/>
      <c r="F34" s="561"/>
      <c r="G34" s="561"/>
      <c r="H34" s="561"/>
      <c r="I34" s="561"/>
      <c r="J34" s="561"/>
    </row>
    <row r="35" spans="1:10" ht="20.25" customHeight="1">
      <c r="A35" s="2018"/>
      <c r="B35" s="561"/>
      <c r="C35" s="561"/>
      <c r="D35" s="561"/>
      <c r="E35" s="561"/>
      <c r="F35" s="561"/>
      <c r="G35" s="561"/>
      <c r="H35" s="561"/>
      <c r="I35" s="561"/>
      <c r="J35" s="561"/>
    </row>
    <row r="36" spans="1:10" ht="20.25" customHeight="1">
      <c r="A36" s="2018"/>
      <c r="B36" s="561"/>
      <c r="C36" s="561"/>
      <c r="D36" s="561"/>
      <c r="E36" s="561"/>
      <c r="F36" s="561"/>
      <c r="G36" s="561"/>
      <c r="H36" s="561"/>
      <c r="I36" s="561"/>
      <c r="J36" s="561"/>
    </row>
    <row r="37" spans="1:10" ht="20.25" customHeight="1">
      <c r="A37" s="2018"/>
      <c r="B37" s="561"/>
      <c r="C37" s="561"/>
      <c r="D37" s="561"/>
      <c r="E37" s="561"/>
      <c r="F37" s="561"/>
      <c r="G37" s="561"/>
      <c r="H37" s="561"/>
      <c r="I37" s="561"/>
      <c r="J37" s="561"/>
    </row>
    <row r="38" spans="1:10" ht="20.25" customHeight="1">
      <c r="A38" s="2018"/>
      <c r="B38" s="561"/>
      <c r="C38" s="561"/>
      <c r="D38" s="561"/>
      <c r="E38" s="561"/>
      <c r="F38" s="561"/>
      <c r="G38" s="561"/>
      <c r="H38" s="561"/>
      <c r="I38" s="561"/>
      <c r="J38" s="561"/>
    </row>
    <row r="39" spans="1:10" ht="20.25" customHeight="1">
      <c r="A39" s="2018"/>
      <c r="B39" s="561"/>
      <c r="C39" s="561"/>
      <c r="D39" s="561"/>
      <c r="E39" s="561"/>
      <c r="F39" s="561"/>
      <c r="G39" s="561"/>
      <c r="H39" s="561"/>
      <c r="I39" s="561"/>
      <c r="J39" s="561"/>
    </row>
    <row r="40" spans="1:10" ht="20.25" customHeight="1">
      <c r="A40" s="2018"/>
      <c r="B40" s="561"/>
      <c r="C40" s="561"/>
      <c r="D40" s="561"/>
      <c r="E40" s="561"/>
      <c r="F40" s="561"/>
      <c r="G40" s="561"/>
      <c r="H40" s="561"/>
      <c r="I40" s="561"/>
      <c r="J40" s="561"/>
    </row>
    <row r="41" spans="1:10" ht="20.25" customHeight="1">
      <c r="A41" s="2018"/>
      <c r="B41" s="561"/>
      <c r="C41" s="561"/>
      <c r="D41" s="561"/>
      <c r="E41" s="561"/>
      <c r="F41" s="561"/>
      <c r="G41" s="561"/>
      <c r="H41" s="561"/>
      <c r="I41" s="561"/>
      <c r="J41" s="561"/>
    </row>
    <row r="42" spans="1:10" ht="20.25" customHeight="1">
      <c r="A42" s="2018"/>
      <c r="B42" s="561"/>
      <c r="C42" s="561"/>
      <c r="D42" s="561"/>
      <c r="E42" s="561"/>
      <c r="F42" s="561"/>
      <c r="G42" s="561"/>
      <c r="H42" s="561"/>
      <c r="I42" s="561"/>
      <c r="J42" s="561"/>
    </row>
    <row r="43" spans="1:10" ht="21" customHeight="1"/>
    <row r="44" spans="1:10" ht="21" customHeight="1">
      <c r="A44" s="2018"/>
      <c r="B44" s="561"/>
      <c r="C44" s="561"/>
      <c r="D44" s="561"/>
      <c r="E44" s="561"/>
      <c r="F44" s="561"/>
      <c r="G44" s="561"/>
      <c r="H44" s="561"/>
      <c r="I44" s="561"/>
      <c r="J44" s="561"/>
    </row>
    <row r="45" spans="1:10" ht="18" customHeight="1">
      <c r="A45" s="814"/>
      <c r="C45" s="815"/>
      <c r="D45" s="816"/>
      <c r="E45" s="815"/>
      <c r="F45" s="816"/>
      <c r="G45" s="815"/>
      <c r="H45" s="816"/>
      <c r="I45" s="816"/>
    </row>
    <row r="46" spans="1:10" ht="18" customHeight="1">
      <c r="A46" s="817"/>
      <c r="D46" s="816"/>
      <c r="F46" s="818"/>
      <c r="G46" s="816"/>
      <c r="H46" s="816"/>
      <c r="I46" s="816"/>
    </row>
    <row r="47" spans="1:10" ht="18" customHeight="1">
      <c r="A47" s="817"/>
      <c r="D47" s="816"/>
      <c r="F47" s="818"/>
      <c r="G47" s="816"/>
      <c r="H47" s="816"/>
      <c r="I47" s="816"/>
    </row>
    <row r="48" spans="1:10" ht="18" customHeight="1">
      <c r="A48" s="817"/>
      <c r="D48" s="816"/>
      <c r="F48" s="818"/>
      <c r="G48" s="816"/>
      <c r="H48" s="816"/>
      <c r="I48" s="816"/>
    </row>
    <row r="49" spans="1:9" ht="18" customHeight="1">
      <c r="A49" s="817"/>
      <c r="D49" s="816"/>
      <c r="F49" s="816"/>
      <c r="G49" s="816"/>
      <c r="H49" s="819"/>
      <c r="I49" s="816"/>
    </row>
    <row r="50" spans="1:9" ht="18" customHeight="1">
      <c r="A50" s="820"/>
      <c r="D50" s="816"/>
      <c r="F50" s="816"/>
      <c r="G50" s="816"/>
      <c r="H50" s="816"/>
      <c r="I50" s="816"/>
    </row>
    <row r="51" spans="1:9" ht="18" customHeight="1">
      <c r="A51" s="821"/>
      <c r="D51" s="816"/>
      <c r="F51" s="819"/>
      <c r="G51" s="816"/>
      <c r="H51" s="816"/>
      <c r="I51" s="816"/>
    </row>
    <row r="52" spans="1:9" ht="18" customHeight="1">
      <c r="A52" s="817"/>
      <c r="D52" s="816"/>
      <c r="F52" s="818"/>
      <c r="G52" s="816"/>
      <c r="H52" s="816"/>
      <c r="I52" s="816"/>
    </row>
    <row r="53" spans="1:9" ht="18" customHeight="1">
      <c r="A53" s="817"/>
      <c r="D53" s="816"/>
      <c r="F53" s="822"/>
      <c r="G53" s="816"/>
      <c r="H53" s="819"/>
      <c r="I53" s="816"/>
    </row>
    <row r="54" spans="1:9" ht="18" customHeight="1">
      <c r="A54" s="820"/>
      <c r="C54" s="815"/>
      <c r="D54" s="823"/>
      <c r="E54" s="815"/>
      <c r="G54" s="815"/>
      <c r="H54" s="823"/>
      <c r="I54" s="816"/>
    </row>
  </sheetData>
  <mergeCells count="4">
    <mergeCell ref="A26:J26"/>
    <mergeCell ref="A27:J27"/>
    <mergeCell ref="A28:J28"/>
    <mergeCell ref="A30:J30"/>
  </mergeCells>
  <pageMargins left="0.5" right="0.5" top="0.5" bottom="0.5" header="0" footer="0.25"/>
  <pageSetup scale="66" firstPageNumber="43" orientation="landscape" useFirstPageNumber="1" r:id="rId1"/>
  <headerFooter scaleWithDoc="0" alignWithMargins="0">
    <oddFooter>&amp;C&amp;8&amp;P</oddFooter>
  </headerFooter>
  <rowBreaks count="1" manualBreakCount="1">
    <brk id="72" max="16383" man="1"/>
  </rowBreaks>
  <customProperties>
    <customPr name="SheetOptions" r:id="rId2"/>
  </customProperties>
  <drawing r:id="rId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2">
    <pageSetUpPr fitToPage="1"/>
  </sheetPr>
  <dimension ref="A1:X92"/>
  <sheetViews>
    <sheetView showGridLines="0" zoomScale="90" zoomScaleNormal="90" workbookViewId="0"/>
  </sheetViews>
  <sheetFormatPr defaultColWidth="8.84375" defaultRowHeight="12.5"/>
  <cols>
    <col min="1" max="1" width="42" style="317" customWidth="1"/>
    <col min="2" max="2" width="2.07421875" style="317" customWidth="1"/>
    <col min="3" max="3" width="17.07421875" style="419" customWidth="1"/>
    <col min="4" max="4" width="3" style="419" customWidth="1"/>
    <col min="5" max="5" width="15.4609375" style="317" customWidth="1"/>
    <col min="6" max="6" width="2.07421875" style="317" customWidth="1"/>
    <col min="7" max="7" width="16.07421875" style="317" customWidth="1"/>
    <col min="8" max="8" width="2.07421875" style="317" customWidth="1"/>
    <col min="9" max="9" width="15.53515625" style="318" customWidth="1"/>
    <col min="10" max="10" width="2.07421875" style="317" customWidth="1"/>
    <col min="11" max="11" width="16.4609375" style="318" bestFit="1" customWidth="1"/>
    <col min="12" max="12" width="2.07421875" style="317" customWidth="1"/>
    <col min="13" max="13" width="17.07421875" style="419" customWidth="1"/>
    <col min="14" max="14" width="1.84375" style="317" customWidth="1"/>
    <col min="15" max="15" width="1.07421875" style="317" customWidth="1"/>
    <col min="16" max="16" width="2" style="317" customWidth="1"/>
    <col min="17" max="17" width="15.4609375" style="317" customWidth="1"/>
    <col min="18" max="18" width="2.07421875" style="317" customWidth="1"/>
    <col min="19" max="19" width="16.4609375" style="317" bestFit="1" customWidth="1"/>
    <col min="20" max="20" width="11.84375" style="317" customWidth="1"/>
    <col min="21" max="21" width="12.4609375" style="317" customWidth="1"/>
    <col min="22" max="22" width="9.84375" style="317" bestFit="1" customWidth="1"/>
    <col min="23" max="16384" width="8.84375" style="317"/>
  </cols>
  <sheetData>
    <row r="1" spans="1:23" ht="15.5">
      <c r="A1" s="490" t="s">
        <v>98</v>
      </c>
    </row>
    <row r="2" spans="1:23" ht="15.5">
      <c r="A2" s="326"/>
    </row>
    <row r="3" spans="1:23" ht="18">
      <c r="A3" s="316" t="s">
        <v>99</v>
      </c>
      <c r="S3" s="316" t="s">
        <v>850</v>
      </c>
    </row>
    <row r="4" spans="1:23" ht="18">
      <c r="A4" s="316" t="s">
        <v>572</v>
      </c>
      <c r="J4" s="317" t="s">
        <v>104</v>
      </c>
    </row>
    <row r="5" spans="1:23" ht="18">
      <c r="A5" s="316" t="s">
        <v>851</v>
      </c>
    </row>
    <row r="6" spans="1:23" ht="18">
      <c r="A6" s="708" t="str">
        <f>'Cashflow Governmental'!A6</f>
        <v>FISCAL YEAR 2023-2024</v>
      </c>
    </row>
    <row r="9" spans="1:23" ht="15.65" customHeight="1">
      <c r="C9" s="1218"/>
      <c r="D9" s="1218"/>
      <c r="E9" s="2249" t="s">
        <v>1560</v>
      </c>
      <c r="F9" s="2249"/>
      <c r="G9" s="2249"/>
      <c r="H9" s="1803"/>
      <c r="I9" s="1804" t="s">
        <v>852</v>
      </c>
      <c r="J9" s="1804"/>
      <c r="K9" s="1804"/>
      <c r="L9" s="1805"/>
      <c r="M9" s="1805"/>
      <c r="N9" s="1805"/>
      <c r="O9" s="1806"/>
      <c r="P9" s="1805"/>
      <c r="Q9" s="1804" t="s">
        <v>853</v>
      </c>
      <c r="R9" s="1804"/>
      <c r="S9" s="1804"/>
    </row>
    <row r="10" spans="1:23" ht="13">
      <c r="C10" s="686" t="s">
        <v>854</v>
      </c>
      <c r="D10" s="686"/>
      <c r="E10" s="1807"/>
      <c r="F10" s="685"/>
      <c r="G10" s="1808"/>
      <c r="H10" s="1805"/>
      <c r="I10" s="1808"/>
      <c r="J10" s="1808"/>
      <c r="K10" s="1808"/>
      <c r="L10" s="1805"/>
      <c r="M10" s="686" t="s">
        <v>854</v>
      </c>
      <c r="N10" s="1805"/>
      <c r="O10" s="1809"/>
      <c r="P10" s="1805"/>
    </row>
    <row r="11" spans="1:23" ht="13">
      <c r="C11" s="686" t="s">
        <v>855</v>
      </c>
      <c r="D11" s="686"/>
      <c r="E11" s="1808" t="s">
        <v>110</v>
      </c>
      <c r="F11" s="685"/>
      <c r="G11" s="687" t="s">
        <v>1554</v>
      </c>
      <c r="H11" s="1805"/>
      <c r="I11" s="685" t="s">
        <v>856</v>
      </c>
      <c r="J11" s="1810" t="s">
        <v>104</v>
      </c>
      <c r="K11" s="685" t="str">
        <f>G11</f>
        <v>8 MONTHS ENDED</v>
      </c>
      <c r="L11" s="1805"/>
      <c r="M11" s="686" t="s">
        <v>855</v>
      </c>
      <c r="N11" s="1805"/>
      <c r="O11" s="1809"/>
      <c r="P11" s="1805"/>
      <c r="Q11" s="685" t="s">
        <v>856</v>
      </c>
      <c r="R11" s="1810" t="s">
        <v>104</v>
      </c>
      <c r="S11" s="685" t="str">
        <f>K11</f>
        <v>8 MONTHS ENDED</v>
      </c>
    </row>
    <row r="12" spans="1:23" ht="13">
      <c r="A12" s="1657" t="s">
        <v>857</v>
      </c>
      <c r="C12" s="1658" t="s">
        <v>858</v>
      </c>
      <c r="D12" s="2120"/>
      <c r="E12" s="1811" t="s">
        <v>365</v>
      </c>
      <c r="F12" s="687"/>
      <c r="G12" s="1811" t="s">
        <v>1555</v>
      </c>
      <c r="H12" s="1805"/>
      <c r="I12" s="1811" t="s">
        <v>365</v>
      </c>
      <c r="J12" s="1805"/>
      <c r="K12" s="1812" t="str">
        <f>G12</f>
        <v>NOVEMBER 30, 2023</v>
      </c>
      <c r="L12" s="1805"/>
      <c r="M12" s="1812" t="str">
        <f>K12</f>
        <v>NOVEMBER 30, 2023</v>
      </c>
      <c r="N12" s="1805"/>
      <c r="O12" s="1809"/>
      <c r="P12" s="1805"/>
      <c r="Q12" s="1811" t="s">
        <v>365</v>
      </c>
      <c r="R12" s="1805"/>
      <c r="S12" s="1812" t="str">
        <f>M12</f>
        <v>NOVEMBER 30, 2023</v>
      </c>
    </row>
    <row r="13" spans="1:23">
      <c r="K13" s="1813"/>
      <c r="O13" s="1814"/>
    </row>
    <row r="14" spans="1:23" ht="13">
      <c r="A14" s="319" t="s">
        <v>859</v>
      </c>
      <c r="K14" s="1813"/>
      <c r="O14" s="1814"/>
      <c r="Q14" s="318"/>
    </row>
    <row r="15" spans="1:23" ht="12" customHeight="1">
      <c r="A15" s="319"/>
      <c r="K15" s="1813"/>
      <c r="M15" s="419" t="s">
        <v>104</v>
      </c>
      <c r="O15" s="1814"/>
      <c r="Q15" s="318"/>
    </row>
    <row r="16" spans="1:23">
      <c r="A16" s="317" t="s">
        <v>860</v>
      </c>
      <c r="B16" s="318"/>
      <c r="C16" s="1815">
        <v>6923692</v>
      </c>
      <c r="D16" s="1815"/>
      <c r="E16" s="1815">
        <v>0</v>
      </c>
      <c r="F16" s="696"/>
      <c r="G16" s="1815">
        <v>0</v>
      </c>
      <c r="H16" s="1815"/>
      <c r="I16" s="1815">
        <v>0</v>
      </c>
      <c r="J16" s="696"/>
      <c r="K16" s="1815">
        <v>799410</v>
      </c>
      <c r="L16" s="696" t="s">
        <v>104</v>
      </c>
      <c r="M16" s="1815">
        <f>ROUND(SUM(C16)-SUM(K16)+SUM(G16),0)</f>
        <v>6124282</v>
      </c>
      <c r="O16" s="1814"/>
      <c r="P16" s="318"/>
      <c r="Q16" s="1815">
        <v>0</v>
      </c>
      <c r="R16" s="1815"/>
      <c r="S16" s="1815">
        <v>125254</v>
      </c>
      <c r="T16" s="320"/>
      <c r="U16" s="696"/>
      <c r="V16" s="872"/>
      <c r="W16" s="373"/>
    </row>
    <row r="17" spans="1:23">
      <c r="E17" s="321"/>
      <c r="F17" s="320"/>
      <c r="G17" s="419"/>
      <c r="I17" s="321"/>
      <c r="K17" s="1813"/>
      <c r="O17" s="1814"/>
      <c r="Q17" s="321"/>
      <c r="S17" s="1813"/>
      <c r="U17" s="321"/>
      <c r="V17" s="372"/>
      <c r="W17" s="373"/>
    </row>
    <row r="18" spans="1:23">
      <c r="A18" s="317" t="s">
        <v>861</v>
      </c>
      <c r="E18" s="318"/>
      <c r="F18" s="320"/>
      <c r="G18" s="419"/>
      <c r="J18" s="318"/>
      <c r="K18" s="1813"/>
      <c r="O18" s="1814"/>
      <c r="Q18" s="318"/>
      <c r="R18" s="318"/>
      <c r="S18" s="1813"/>
      <c r="U18" s="318"/>
      <c r="V18" s="372"/>
      <c r="W18" s="320"/>
    </row>
    <row r="19" spans="1:23" ht="12" customHeight="1">
      <c r="A19" s="317" t="s">
        <v>862</v>
      </c>
      <c r="C19" s="1216">
        <v>945768</v>
      </c>
      <c r="D19" s="1216"/>
      <c r="E19" s="1216">
        <v>0</v>
      </c>
      <c r="F19" s="697"/>
      <c r="G19" s="1216">
        <v>183867</v>
      </c>
      <c r="H19" s="1216"/>
      <c r="I19" s="1216">
        <v>0</v>
      </c>
      <c r="J19" s="697"/>
      <c r="K19" s="1216">
        <v>0</v>
      </c>
      <c r="L19" s="697" t="s">
        <v>104</v>
      </c>
      <c r="M19" s="1216">
        <f>ROUND(SUM(C19)-SUM(K19)+SUM(G19),0)</f>
        <v>1129635</v>
      </c>
      <c r="O19" s="1814"/>
      <c r="P19" s="317" t="s">
        <v>104</v>
      </c>
      <c r="Q19" s="1216">
        <v>0</v>
      </c>
      <c r="R19" s="1216"/>
      <c r="S19" s="1216">
        <v>14875</v>
      </c>
      <c r="T19" s="320"/>
      <c r="U19" s="419"/>
      <c r="V19" s="372"/>
      <c r="W19" s="373"/>
    </row>
    <row r="20" spans="1:23">
      <c r="A20" s="317" t="s">
        <v>863</v>
      </c>
      <c r="C20" s="1216">
        <v>0</v>
      </c>
      <c r="D20" s="1216"/>
      <c r="E20" s="1216">
        <v>0</v>
      </c>
      <c r="F20" s="697"/>
      <c r="G20" s="1216">
        <v>0</v>
      </c>
      <c r="H20" s="1216"/>
      <c r="I20" s="1216">
        <v>0</v>
      </c>
      <c r="J20" s="697"/>
      <c r="K20" s="1216">
        <v>0</v>
      </c>
      <c r="L20" s="697"/>
      <c r="M20" s="1216">
        <f>ROUND(SUM(C20)-SUM(K20)+SUM(G20),0)</f>
        <v>0</v>
      </c>
      <c r="O20" s="1814"/>
      <c r="Q20" s="1216">
        <v>0</v>
      </c>
      <c r="R20" s="1216"/>
      <c r="S20" s="1216">
        <v>0</v>
      </c>
      <c r="T20" s="320"/>
      <c r="U20" s="419"/>
      <c r="V20" s="372"/>
      <c r="W20" s="373"/>
    </row>
    <row r="21" spans="1:23">
      <c r="A21" s="317" t="s">
        <v>864</v>
      </c>
      <c r="C21" s="1216">
        <v>230202496</v>
      </c>
      <c r="D21" s="1216"/>
      <c r="E21" s="1216">
        <v>0</v>
      </c>
      <c r="F21" s="697"/>
      <c r="G21" s="1216">
        <v>-75903</v>
      </c>
      <c r="H21" s="1216"/>
      <c r="I21" s="1216">
        <v>0</v>
      </c>
      <c r="J21" s="697"/>
      <c r="K21" s="1216">
        <v>5171308</v>
      </c>
      <c r="L21" s="697" t="s">
        <v>104</v>
      </c>
      <c r="M21" s="1216">
        <f>ROUND(SUM(C21)-SUM(K21)+SUM(G21),0)</f>
        <v>224955285</v>
      </c>
      <c r="O21" s="1814"/>
      <c r="Q21" s="1216">
        <v>0</v>
      </c>
      <c r="R21" s="1216"/>
      <c r="S21" s="1216">
        <v>3702227</v>
      </c>
      <c r="T21" s="320"/>
      <c r="U21" s="419"/>
      <c r="V21" s="372"/>
      <c r="W21" s="373"/>
    </row>
    <row r="22" spans="1:23">
      <c r="A22" s="317" t="s">
        <v>865</v>
      </c>
      <c r="C22" s="1216">
        <v>6429422</v>
      </c>
      <c r="D22" s="1216"/>
      <c r="E22" s="1216">
        <v>0</v>
      </c>
      <c r="F22" s="697"/>
      <c r="G22" s="1216">
        <v>-37178</v>
      </c>
      <c r="H22" s="1216"/>
      <c r="I22" s="1216">
        <v>0</v>
      </c>
      <c r="J22" s="697"/>
      <c r="K22" s="1216">
        <v>185825</v>
      </c>
      <c r="L22" s="697" t="s">
        <v>104</v>
      </c>
      <c r="M22" s="1216">
        <f>ROUND(SUM(C22)-SUM(K22)+SUM(G22),0)</f>
        <v>6206419</v>
      </c>
      <c r="O22" s="1814"/>
      <c r="Q22" s="1216">
        <v>0</v>
      </c>
      <c r="R22" s="1216"/>
      <c r="S22" s="1216">
        <v>105053</v>
      </c>
      <c r="T22" s="320"/>
      <c r="U22" s="419"/>
      <c r="V22" s="372"/>
      <c r="W22" s="373"/>
    </row>
    <row r="23" spans="1:23">
      <c r="A23" s="317" t="s">
        <v>866</v>
      </c>
      <c r="C23" s="1216">
        <v>30169419</v>
      </c>
      <c r="D23" s="1216"/>
      <c r="E23" s="1216">
        <v>0</v>
      </c>
      <c r="F23" s="697"/>
      <c r="G23" s="1216">
        <v>-682438</v>
      </c>
      <c r="H23" s="1216"/>
      <c r="I23" s="1216">
        <v>0</v>
      </c>
      <c r="J23" s="697"/>
      <c r="K23" s="1216">
        <v>0</v>
      </c>
      <c r="L23" s="697" t="s">
        <v>104</v>
      </c>
      <c r="M23" s="1216">
        <f>ROUND(SUM(C23)-SUM(K23)+SUM(G23),0)</f>
        <v>29486981</v>
      </c>
      <c r="O23" s="1814"/>
      <c r="Q23" s="1216">
        <v>0</v>
      </c>
      <c r="R23" s="1216" t="s">
        <v>104</v>
      </c>
      <c r="S23" s="1216">
        <v>430819</v>
      </c>
      <c r="T23" s="320" t="s">
        <v>104</v>
      </c>
      <c r="U23" s="419"/>
      <c r="V23" s="372"/>
      <c r="W23" s="373"/>
    </row>
    <row r="24" spans="1:23">
      <c r="C24" s="1216"/>
      <c r="D24" s="1216"/>
      <c r="E24" s="1216"/>
      <c r="F24" s="697"/>
      <c r="G24" s="1216"/>
      <c r="H24" s="1216"/>
      <c r="I24" s="1216"/>
      <c r="J24" s="697"/>
      <c r="K24" s="1216"/>
      <c r="L24" s="697"/>
      <c r="M24" s="1216"/>
      <c r="O24" s="1814"/>
      <c r="Q24" s="1216"/>
      <c r="R24" s="1216"/>
      <c r="S24" s="1216"/>
      <c r="T24" s="320"/>
      <c r="U24" s="419"/>
      <c r="V24" s="372"/>
      <c r="W24" s="373"/>
    </row>
    <row r="25" spans="1:23">
      <c r="A25" s="317" t="s">
        <v>867</v>
      </c>
      <c r="C25" s="1216" t="s">
        <v>104</v>
      </c>
      <c r="D25" s="1216"/>
      <c r="E25" s="1216" t="s">
        <v>104</v>
      </c>
      <c r="F25" s="1216"/>
      <c r="G25" s="1216" t="s">
        <v>104</v>
      </c>
      <c r="H25" s="1216"/>
      <c r="I25" s="1216" t="s">
        <v>104</v>
      </c>
      <c r="J25" s="1216"/>
      <c r="K25" s="1216" t="s">
        <v>104</v>
      </c>
      <c r="L25" s="1216"/>
      <c r="M25" s="1216" t="s">
        <v>104</v>
      </c>
      <c r="N25" s="730"/>
      <c r="O25" s="1816"/>
      <c r="P25" s="730"/>
      <c r="Q25" s="1216" t="s">
        <v>104</v>
      </c>
      <c r="R25" s="1216"/>
      <c r="S25" s="1216" t="s">
        <v>104</v>
      </c>
      <c r="T25" s="320"/>
      <c r="U25" s="419"/>
      <c r="V25" s="372"/>
      <c r="W25" s="373"/>
    </row>
    <row r="26" spans="1:23">
      <c r="A26" s="317" t="s">
        <v>868</v>
      </c>
      <c r="C26" s="1216">
        <v>0</v>
      </c>
      <c r="D26" s="1216"/>
      <c r="E26" s="1216">
        <v>0</v>
      </c>
      <c r="F26" s="1216"/>
      <c r="G26" s="1216">
        <v>0</v>
      </c>
      <c r="H26" s="1216"/>
      <c r="I26" s="1216">
        <v>0</v>
      </c>
      <c r="J26" s="1216"/>
      <c r="K26" s="1216">
        <v>0</v>
      </c>
      <c r="L26" s="1216"/>
      <c r="M26" s="1216">
        <v>0</v>
      </c>
      <c r="N26" s="730"/>
      <c r="O26" s="1816"/>
      <c r="P26" s="730"/>
      <c r="Q26" s="1216">
        <v>0</v>
      </c>
      <c r="R26" s="1216"/>
      <c r="S26" s="1216">
        <v>0</v>
      </c>
      <c r="T26" s="320"/>
      <c r="U26" s="419"/>
      <c r="V26" s="372"/>
      <c r="W26" s="373"/>
    </row>
    <row r="27" spans="1:23">
      <c r="A27" s="317" t="s">
        <v>869</v>
      </c>
      <c r="C27" s="1216">
        <v>0</v>
      </c>
      <c r="D27" s="1216"/>
      <c r="E27" s="1216">
        <v>0</v>
      </c>
      <c r="F27" s="1216"/>
      <c r="G27" s="1216">
        <v>0</v>
      </c>
      <c r="H27" s="1216"/>
      <c r="I27" s="1216">
        <v>0</v>
      </c>
      <c r="J27" s="1216"/>
      <c r="K27" s="1216">
        <v>0</v>
      </c>
      <c r="L27" s="1216"/>
      <c r="M27" s="1216">
        <v>0</v>
      </c>
      <c r="N27" s="730"/>
      <c r="O27" s="1816"/>
      <c r="P27" s="730"/>
      <c r="Q27" s="1216">
        <v>0</v>
      </c>
      <c r="R27" s="1216"/>
      <c r="S27" s="1216">
        <v>0</v>
      </c>
      <c r="T27" s="320"/>
      <c r="U27" s="419"/>
      <c r="V27" s="372"/>
      <c r="W27" s="373"/>
    </row>
    <row r="28" spans="1:23">
      <c r="A28" s="317" t="s">
        <v>870</v>
      </c>
      <c r="C28" s="1216">
        <v>0</v>
      </c>
      <c r="D28" s="1216"/>
      <c r="E28" s="1216">
        <v>0</v>
      </c>
      <c r="F28" s="1216"/>
      <c r="G28" s="1216">
        <v>0</v>
      </c>
      <c r="H28" s="1216"/>
      <c r="I28" s="1216">
        <v>0</v>
      </c>
      <c r="J28" s="1216"/>
      <c r="K28" s="1216">
        <v>0</v>
      </c>
      <c r="L28" s="1216"/>
      <c r="M28" s="1216">
        <v>0</v>
      </c>
      <c r="N28" s="730"/>
      <c r="O28" s="1816"/>
      <c r="P28" s="730"/>
      <c r="Q28" s="1216">
        <v>0</v>
      </c>
      <c r="R28" s="1216"/>
      <c r="S28" s="1216">
        <v>0</v>
      </c>
      <c r="T28" s="320"/>
      <c r="U28" s="419"/>
      <c r="V28" s="372"/>
      <c r="W28" s="373"/>
    </row>
    <row r="29" spans="1:23">
      <c r="A29" s="317" t="s">
        <v>871</v>
      </c>
      <c r="C29" s="1216">
        <v>0</v>
      </c>
      <c r="D29" s="1216"/>
      <c r="E29" s="1216">
        <v>0</v>
      </c>
      <c r="F29" s="1216"/>
      <c r="G29" s="1216">
        <v>0</v>
      </c>
      <c r="H29" s="1216"/>
      <c r="I29" s="1216">
        <v>0</v>
      </c>
      <c r="J29" s="1216"/>
      <c r="K29" s="1216">
        <v>0</v>
      </c>
      <c r="L29" s="1216"/>
      <c r="M29" s="1216">
        <v>0</v>
      </c>
      <c r="N29" s="730"/>
      <c r="O29" s="1816"/>
      <c r="P29" s="730"/>
      <c r="Q29" s="1216">
        <v>0</v>
      </c>
      <c r="R29" s="1216"/>
      <c r="S29" s="1216">
        <v>0</v>
      </c>
      <c r="T29" s="320"/>
      <c r="U29" s="419"/>
      <c r="V29" s="372"/>
      <c r="W29" s="373"/>
    </row>
    <row r="30" spans="1:23">
      <c r="A30" s="317" t="s">
        <v>872</v>
      </c>
      <c r="C30" s="1216">
        <v>0</v>
      </c>
      <c r="D30" s="1216"/>
      <c r="E30" s="1216">
        <v>0</v>
      </c>
      <c r="F30" s="1216"/>
      <c r="G30" s="1216">
        <v>0</v>
      </c>
      <c r="H30" s="1216"/>
      <c r="I30" s="1216">
        <v>0</v>
      </c>
      <c r="J30" s="1216"/>
      <c r="K30" s="1216">
        <v>0</v>
      </c>
      <c r="L30" s="1216"/>
      <c r="M30" s="1216">
        <v>0</v>
      </c>
      <c r="N30" s="730"/>
      <c r="O30" s="1816"/>
      <c r="P30" s="730"/>
      <c r="Q30" s="1216">
        <v>0</v>
      </c>
      <c r="R30" s="1216"/>
      <c r="S30" s="1216">
        <v>0</v>
      </c>
      <c r="T30" s="320"/>
      <c r="U30" s="419"/>
      <c r="V30" s="372"/>
      <c r="W30" s="373"/>
    </row>
    <row r="31" spans="1:23">
      <c r="C31" s="1216"/>
      <c r="D31" s="1216"/>
      <c r="E31" s="1216"/>
      <c r="F31" s="697"/>
      <c r="G31" s="1216"/>
      <c r="H31" s="1216"/>
      <c r="I31" s="1216"/>
      <c r="J31" s="697"/>
      <c r="K31" s="1216"/>
      <c r="L31" s="697"/>
      <c r="M31" s="1216"/>
      <c r="O31" s="1814"/>
      <c r="Q31" s="1216"/>
      <c r="R31" s="1216"/>
      <c r="S31" s="1216"/>
      <c r="T31" s="320"/>
      <c r="U31" s="419"/>
      <c r="V31" s="372"/>
      <c r="W31" s="373"/>
    </row>
    <row r="32" spans="1:23">
      <c r="A32" s="317" t="s">
        <v>873</v>
      </c>
      <c r="C32" s="1216"/>
      <c r="D32" s="1216"/>
      <c r="E32" s="730"/>
      <c r="F32" s="419"/>
      <c r="G32" s="1216"/>
      <c r="H32" s="730"/>
      <c r="I32" s="730"/>
      <c r="J32" s="419"/>
      <c r="K32" s="730"/>
      <c r="L32" s="419"/>
      <c r="M32" s="1216" t="s">
        <v>104</v>
      </c>
      <c r="O32" s="1814"/>
      <c r="Q32" s="1216"/>
      <c r="R32" s="1216"/>
      <c r="S32" s="1216"/>
      <c r="U32" s="321"/>
      <c r="V32" s="372"/>
      <c r="W32" s="320"/>
    </row>
    <row r="33" spans="1:24">
      <c r="A33" s="317" t="s">
        <v>874</v>
      </c>
      <c r="C33" s="1216">
        <v>587505</v>
      </c>
      <c r="D33" s="1216"/>
      <c r="E33" s="1216">
        <v>0</v>
      </c>
      <c r="F33" s="697"/>
      <c r="G33" s="1216">
        <v>170</v>
      </c>
      <c r="H33" s="1216"/>
      <c r="I33" s="1216">
        <v>0</v>
      </c>
      <c r="J33" s="697"/>
      <c r="K33" s="1216">
        <v>155308</v>
      </c>
      <c r="L33" s="697"/>
      <c r="M33" s="1216">
        <f>ROUND(SUM(C33)-SUM(K33)+SUM(G33),0)</f>
        <v>432367</v>
      </c>
      <c r="O33" s="1814"/>
      <c r="Q33" s="1216">
        <v>0</v>
      </c>
      <c r="R33" s="1216"/>
      <c r="S33" s="1216">
        <v>16959</v>
      </c>
      <c r="T33" s="320"/>
      <c r="U33" s="419"/>
      <c r="V33" s="372"/>
      <c r="W33" s="373"/>
    </row>
    <row r="34" spans="1:24">
      <c r="C34" s="1216"/>
      <c r="D34" s="1216"/>
      <c r="E34" s="730"/>
      <c r="F34" s="419"/>
      <c r="G34" s="1216"/>
      <c r="H34" s="730"/>
      <c r="I34" s="730"/>
      <c r="J34" s="419"/>
      <c r="K34" s="730"/>
      <c r="L34" s="419"/>
      <c r="M34" s="1216" t="s">
        <v>104</v>
      </c>
      <c r="O34" s="1814"/>
      <c r="Q34" s="1216"/>
      <c r="R34" s="1216"/>
      <c r="S34" s="1216"/>
      <c r="U34" s="321"/>
      <c r="V34" s="372"/>
      <c r="W34" s="373"/>
    </row>
    <row r="35" spans="1:24">
      <c r="A35" s="317" t="s">
        <v>875</v>
      </c>
      <c r="C35" s="1216"/>
      <c r="D35" s="1216"/>
      <c r="E35" s="730"/>
      <c r="F35" s="419"/>
      <c r="G35" s="1216"/>
      <c r="H35" s="730"/>
      <c r="I35" s="730"/>
      <c r="J35" s="419"/>
      <c r="K35" s="730"/>
      <c r="L35" s="419"/>
      <c r="M35" s="1216" t="s">
        <v>104</v>
      </c>
      <c r="O35" s="1814"/>
      <c r="Q35" s="1216"/>
      <c r="R35" s="1216"/>
      <c r="S35" s="1216"/>
      <c r="U35" s="321"/>
      <c r="V35" s="372"/>
    </row>
    <row r="36" spans="1:24">
      <c r="A36" s="317" t="s">
        <v>876</v>
      </c>
      <c r="C36" s="1216">
        <v>0</v>
      </c>
      <c r="D36" s="1216"/>
      <c r="E36" s="1216">
        <v>0</v>
      </c>
      <c r="F36" s="697"/>
      <c r="G36" s="1216">
        <v>0</v>
      </c>
      <c r="H36" s="1216"/>
      <c r="I36" s="1216">
        <v>0</v>
      </c>
      <c r="J36" s="697"/>
      <c r="K36" s="1216">
        <v>0</v>
      </c>
      <c r="L36" s="697"/>
      <c r="M36" s="1216">
        <f>ROUND(SUM(C36)-SUM(K36)+SUM(G36),0)</f>
        <v>0</v>
      </c>
      <c r="O36" s="1814"/>
      <c r="Q36" s="1216">
        <v>0</v>
      </c>
      <c r="R36" s="1216"/>
      <c r="S36" s="1216">
        <v>0</v>
      </c>
      <c r="T36" s="320"/>
      <c r="U36" s="419"/>
      <c r="V36" s="372"/>
      <c r="W36" s="373"/>
    </row>
    <row r="37" spans="1:24">
      <c r="A37" s="317" t="s">
        <v>877</v>
      </c>
      <c r="C37" s="1216">
        <v>2866760</v>
      </c>
      <c r="D37" s="1216"/>
      <c r="E37" s="1216">
        <v>0</v>
      </c>
      <c r="F37" s="697"/>
      <c r="G37" s="1216">
        <v>0</v>
      </c>
      <c r="H37" s="1216"/>
      <c r="I37" s="1216">
        <v>0</v>
      </c>
      <c r="J37" s="697" t="s">
        <v>104</v>
      </c>
      <c r="K37" s="1216">
        <v>0</v>
      </c>
      <c r="L37" s="697"/>
      <c r="M37" s="1216">
        <f>ROUND(SUM(C37)-SUM(K37)+SUM(G37),0)</f>
        <v>2866760</v>
      </c>
      <c r="O37" s="1814"/>
      <c r="Q37" s="1216">
        <v>0</v>
      </c>
      <c r="R37" s="1216"/>
      <c r="S37" s="1216">
        <v>69800</v>
      </c>
      <c r="T37" s="320" t="s">
        <v>104</v>
      </c>
      <c r="U37" s="419" t="s">
        <v>104</v>
      </c>
      <c r="V37" s="372"/>
      <c r="W37" s="373"/>
    </row>
    <row r="38" spans="1:24">
      <c r="A38" s="317" t="s">
        <v>878</v>
      </c>
      <c r="C38" s="1216">
        <v>2858290</v>
      </c>
      <c r="D38" s="1216"/>
      <c r="E38" s="1216">
        <v>0</v>
      </c>
      <c r="F38" s="697"/>
      <c r="G38" s="1216">
        <v>1539621</v>
      </c>
      <c r="H38" s="1216"/>
      <c r="I38" s="1216">
        <v>0</v>
      </c>
      <c r="J38" s="697"/>
      <c r="K38" s="1216">
        <v>350000</v>
      </c>
      <c r="L38" s="697"/>
      <c r="M38" s="1216">
        <f>ROUND(SUM(C38)-SUM(K38)+SUM(G38),0)</f>
        <v>4047911</v>
      </c>
      <c r="O38" s="1814"/>
      <c r="Q38" s="1216">
        <v>0</v>
      </c>
      <c r="R38" s="1216"/>
      <c r="S38" s="1216">
        <v>42932</v>
      </c>
      <c r="T38" s="320" t="s">
        <v>104</v>
      </c>
      <c r="U38" s="419" t="s">
        <v>104</v>
      </c>
      <c r="V38" s="372"/>
      <c r="W38" s="373"/>
    </row>
    <row r="39" spans="1:24">
      <c r="C39" s="1216"/>
      <c r="D39" s="1216"/>
      <c r="E39" s="730"/>
      <c r="F39" s="419"/>
      <c r="G39" s="1216"/>
      <c r="H39" s="730"/>
      <c r="I39" s="730"/>
      <c r="J39" s="419"/>
      <c r="K39" s="730"/>
      <c r="L39" s="419"/>
      <c r="M39" s="1216" t="s">
        <v>104</v>
      </c>
      <c r="O39" s="1814"/>
      <c r="Q39" s="1216"/>
      <c r="R39" s="1216"/>
      <c r="S39" s="1216"/>
      <c r="T39" s="320" t="s">
        <v>104</v>
      </c>
      <c r="U39" s="321"/>
      <c r="V39" s="372"/>
      <c r="W39" s="373"/>
    </row>
    <row r="40" spans="1:24">
      <c r="A40" s="317" t="s">
        <v>879</v>
      </c>
      <c r="C40" s="1216"/>
      <c r="D40" s="1216"/>
      <c r="E40" s="730"/>
      <c r="F40" s="419"/>
      <c r="G40" s="1216"/>
      <c r="H40" s="730"/>
      <c r="I40" s="730"/>
      <c r="J40" s="419"/>
      <c r="K40" s="730"/>
      <c r="L40" s="419"/>
      <c r="M40" s="1216" t="s">
        <v>104</v>
      </c>
      <c r="O40" s="1814"/>
      <c r="Q40" s="1216"/>
      <c r="R40" s="1216"/>
      <c r="S40" s="1216"/>
      <c r="U40" s="321"/>
      <c r="V40" s="372"/>
      <c r="W40" s="320"/>
    </row>
    <row r="41" spans="1:24">
      <c r="A41" s="317" t="s">
        <v>880</v>
      </c>
      <c r="C41" s="1216">
        <v>1743150</v>
      </c>
      <c r="D41" s="1216"/>
      <c r="E41" s="1216">
        <v>0</v>
      </c>
      <c r="F41" s="697"/>
      <c r="G41" s="1216">
        <v>-20540</v>
      </c>
      <c r="H41" s="1216"/>
      <c r="I41" s="1216">
        <v>0</v>
      </c>
      <c r="J41" s="697"/>
      <c r="K41" s="1216">
        <v>63952</v>
      </c>
      <c r="L41" s="697" t="s">
        <v>104</v>
      </c>
      <c r="M41" s="1216">
        <f>ROUND(SUM(C41)-SUM(K41)+SUM(G41),0)</f>
        <v>1658658</v>
      </c>
      <c r="O41" s="1814"/>
      <c r="Q41" s="1216">
        <v>0</v>
      </c>
      <c r="R41" s="1216" t="s">
        <v>104</v>
      </c>
      <c r="S41" s="1216">
        <v>28913</v>
      </c>
      <c r="T41" s="320"/>
      <c r="U41" s="419"/>
      <c r="V41" s="372"/>
      <c r="W41" s="373"/>
    </row>
    <row r="42" spans="1:24">
      <c r="A42" s="317" t="s">
        <v>881</v>
      </c>
      <c r="C42" s="1216">
        <v>53717629</v>
      </c>
      <c r="D42" s="1216"/>
      <c r="E42" s="1216">
        <v>0</v>
      </c>
      <c r="F42" s="697"/>
      <c r="G42" s="1216">
        <v>-934546</v>
      </c>
      <c r="H42" s="1216"/>
      <c r="I42" s="1216">
        <v>0</v>
      </c>
      <c r="J42" s="697"/>
      <c r="K42" s="1216">
        <v>6236458</v>
      </c>
      <c r="L42" s="697"/>
      <c r="M42" s="1216">
        <f>ROUND(SUM(C42)-SUM(K42)+SUM(G42),0)</f>
        <v>46546625</v>
      </c>
      <c r="O42" s="1814"/>
      <c r="Q42" s="1216">
        <v>0</v>
      </c>
      <c r="R42" s="1216"/>
      <c r="S42" s="1216">
        <v>953460</v>
      </c>
      <c r="T42" s="320"/>
      <c r="U42" s="419"/>
      <c r="V42" s="372"/>
      <c r="W42" s="373"/>
      <c r="X42" s="320"/>
    </row>
    <row r="43" spans="1:24">
      <c r="C43" s="1216"/>
      <c r="D43" s="1216"/>
      <c r="E43" s="730"/>
      <c r="F43" s="419"/>
      <c r="G43" s="1216"/>
      <c r="H43" s="730"/>
      <c r="I43" s="730"/>
      <c r="J43" s="419"/>
      <c r="K43" s="730"/>
      <c r="L43" s="419"/>
      <c r="M43" s="1216" t="s">
        <v>104</v>
      </c>
      <c r="O43" s="1814"/>
      <c r="Q43" s="1216"/>
      <c r="R43" s="1216"/>
      <c r="S43" s="1216"/>
      <c r="U43" s="321"/>
      <c r="V43" s="372"/>
      <c r="W43" s="373"/>
    </row>
    <row r="44" spans="1:24">
      <c r="A44" s="317" t="s">
        <v>882</v>
      </c>
      <c r="C44" s="1216"/>
      <c r="D44" s="1216"/>
      <c r="E44" s="730"/>
      <c r="F44" s="419"/>
      <c r="G44" s="1216"/>
      <c r="H44" s="730"/>
      <c r="I44" s="730"/>
      <c r="J44" s="419"/>
      <c r="K44" s="730"/>
      <c r="L44" s="419"/>
      <c r="M44" s="1216" t="s">
        <v>104</v>
      </c>
      <c r="O44" s="1814"/>
      <c r="Q44" s="1216"/>
      <c r="R44" s="1216"/>
      <c r="S44" s="1216"/>
      <c r="U44" s="1378"/>
      <c r="V44" s="372"/>
      <c r="W44" s="320"/>
    </row>
    <row r="45" spans="1:24">
      <c r="A45" s="317" t="s">
        <v>883</v>
      </c>
      <c r="C45" s="1216">
        <v>0</v>
      </c>
      <c r="D45" s="1216"/>
      <c r="E45" s="1216">
        <v>0</v>
      </c>
      <c r="F45" s="697"/>
      <c r="G45" s="1216">
        <v>0</v>
      </c>
      <c r="H45" s="1216"/>
      <c r="I45" s="1216">
        <v>0</v>
      </c>
      <c r="J45" s="697"/>
      <c r="K45" s="1216">
        <v>0</v>
      </c>
      <c r="L45" s="697"/>
      <c r="M45" s="1216">
        <f>ROUND(SUM(C45)-SUM(K45)+SUM(G45),0)</f>
        <v>0</v>
      </c>
      <c r="O45" s="1814"/>
      <c r="Q45" s="1216">
        <v>0</v>
      </c>
      <c r="R45" s="1216"/>
      <c r="S45" s="1216">
        <v>0</v>
      </c>
      <c r="T45" s="320"/>
      <c r="U45" s="419"/>
      <c r="V45" s="372"/>
      <c r="W45" s="373"/>
    </row>
    <row r="46" spans="1:24">
      <c r="A46" s="317" t="s">
        <v>884</v>
      </c>
      <c r="C46" s="1216">
        <v>0</v>
      </c>
      <c r="D46" s="1216"/>
      <c r="E46" s="1216">
        <v>0</v>
      </c>
      <c r="F46" s="697"/>
      <c r="G46" s="1216">
        <v>0</v>
      </c>
      <c r="H46" s="1216"/>
      <c r="I46" s="1216">
        <v>0</v>
      </c>
      <c r="J46" s="697"/>
      <c r="K46" s="1817">
        <v>0</v>
      </c>
      <c r="L46" s="697"/>
      <c r="M46" s="1216">
        <f>ROUND(SUM(C46)-SUM(K46)+SUM(G46),0)</f>
        <v>0</v>
      </c>
      <c r="O46" s="1814"/>
      <c r="Q46" s="1216">
        <v>0</v>
      </c>
      <c r="R46" s="1216"/>
      <c r="S46" s="1216">
        <v>0</v>
      </c>
      <c r="T46" s="320"/>
      <c r="U46" s="419"/>
      <c r="V46" s="372"/>
      <c r="W46" s="373"/>
    </row>
    <row r="47" spans="1:24">
      <c r="C47" s="1216"/>
      <c r="D47" s="1216"/>
      <c r="E47" s="730"/>
      <c r="F47" s="419"/>
      <c r="G47" s="1216"/>
      <c r="H47" s="730"/>
      <c r="I47" s="730"/>
      <c r="J47" s="419"/>
      <c r="K47" s="730"/>
      <c r="L47" s="419"/>
      <c r="M47" s="1216" t="s">
        <v>104</v>
      </c>
      <c r="O47" s="1814"/>
      <c r="Q47" s="1216"/>
      <c r="R47" s="1216"/>
      <c r="S47" s="1216"/>
      <c r="U47" s="1378"/>
      <c r="V47" s="372"/>
      <c r="W47" s="373"/>
    </row>
    <row r="48" spans="1:24">
      <c r="A48" s="317" t="s">
        <v>885</v>
      </c>
      <c r="C48" s="1216">
        <v>0</v>
      </c>
      <c r="D48" s="1216"/>
      <c r="E48" s="1216">
        <v>0</v>
      </c>
      <c r="F48" s="697"/>
      <c r="G48" s="1216">
        <v>0</v>
      </c>
      <c r="H48" s="1216"/>
      <c r="I48" s="1216">
        <v>0</v>
      </c>
      <c r="J48" s="697"/>
      <c r="K48" s="1216">
        <v>0</v>
      </c>
      <c r="L48" s="697"/>
      <c r="M48" s="1216">
        <f>ROUND(SUM(C48)-SUM(K48)+SUM(G48),0)</f>
        <v>0</v>
      </c>
      <c r="O48" s="1814"/>
      <c r="Q48" s="1216">
        <v>0</v>
      </c>
      <c r="R48" s="1216"/>
      <c r="S48" s="1216">
        <v>0</v>
      </c>
      <c r="T48" s="320"/>
      <c r="U48" s="419"/>
      <c r="V48" s="372"/>
      <c r="W48" s="373"/>
    </row>
    <row r="49" spans="1:23">
      <c r="C49" s="1216"/>
      <c r="D49" s="1216"/>
      <c r="E49" s="1216"/>
      <c r="F49" s="697"/>
      <c r="G49" s="1216"/>
      <c r="H49" s="1216"/>
      <c r="I49" s="1216"/>
      <c r="J49" s="697"/>
      <c r="K49" s="1216"/>
      <c r="L49" s="697"/>
      <c r="M49" s="1216" t="s">
        <v>104</v>
      </c>
      <c r="O49" s="1814"/>
      <c r="Q49" s="1216"/>
      <c r="R49" s="1216"/>
      <c r="S49" s="1216"/>
      <c r="U49" s="1378"/>
      <c r="V49" s="372"/>
      <c r="W49" s="373"/>
    </row>
    <row r="50" spans="1:23">
      <c r="A50" s="317" t="s">
        <v>886</v>
      </c>
      <c r="C50" s="1216">
        <v>11235678</v>
      </c>
      <c r="D50" s="1216"/>
      <c r="E50" s="1216">
        <v>0</v>
      </c>
      <c r="F50" s="697"/>
      <c r="G50" s="1216">
        <v>3509120</v>
      </c>
      <c r="H50" s="1216"/>
      <c r="I50" s="1216">
        <v>0</v>
      </c>
      <c r="J50" s="697"/>
      <c r="K50" s="1216">
        <v>463381</v>
      </c>
      <c r="L50" s="697"/>
      <c r="M50" s="1216">
        <f>ROUND(SUM(C50)-SUM(K50)+SUM(G50),0)</f>
        <v>14281417</v>
      </c>
      <c r="O50" s="1814"/>
      <c r="Q50" s="1216">
        <v>0</v>
      </c>
      <c r="R50" s="1216"/>
      <c r="S50" s="1216">
        <v>228913</v>
      </c>
      <c r="T50" s="320"/>
      <c r="U50" s="419"/>
      <c r="V50" s="372"/>
      <c r="W50" s="373"/>
    </row>
    <row r="51" spans="1:23">
      <c r="C51" s="1216"/>
      <c r="D51" s="1216"/>
      <c r="E51" s="1216"/>
      <c r="F51" s="697"/>
      <c r="G51" s="1216"/>
      <c r="H51" s="1216"/>
      <c r="I51" s="1216"/>
      <c r="J51" s="697"/>
      <c r="K51" s="1216"/>
      <c r="L51" s="697"/>
      <c r="M51" s="1216" t="s">
        <v>104</v>
      </c>
      <c r="O51" s="1814"/>
      <c r="Q51" s="1216"/>
      <c r="R51" s="1216"/>
      <c r="S51" s="1216"/>
      <c r="U51" s="1379"/>
      <c r="V51" s="372"/>
      <c r="W51" s="373"/>
    </row>
    <row r="52" spans="1:23">
      <c r="A52" s="317" t="s">
        <v>887</v>
      </c>
      <c r="C52" s="1216">
        <v>0</v>
      </c>
      <c r="D52" s="1216"/>
      <c r="E52" s="1216">
        <v>0</v>
      </c>
      <c r="F52" s="697"/>
      <c r="G52" s="1216">
        <v>0</v>
      </c>
      <c r="H52" s="1216"/>
      <c r="I52" s="1216">
        <v>0</v>
      </c>
      <c r="J52" s="697"/>
      <c r="K52" s="1216">
        <v>0</v>
      </c>
      <c r="L52" s="697"/>
      <c r="M52" s="1216">
        <f>ROUND(SUM(C52)-SUM(K52)+SUM(G52),0)</f>
        <v>0</v>
      </c>
      <c r="O52" s="1814"/>
      <c r="Q52" s="1216">
        <v>0</v>
      </c>
      <c r="R52" s="1216"/>
      <c r="S52" s="1216">
        <v>0</v>
      </c>
      <c r="T52" s="320"/>
      <c r="U52" s="419"/>
      <c r="V52" s="372"/>
      <c r="W52" s="373"/>
    </row>
    <row r="53" spans="1:23">
      <c r="C53" s="1216"/>
      <c r="D53" s="1216"/>
      <c r="E53" s="1216"/>
      <c r="F53" s="697"/>
      <c r="G53" s="1216"/>
      <c r="H53" s="1216"/>
      <c r="I53" s="1216"/>
      <c r="J53" s="697"/>
      <c r="K53" s="1216"/>
      <c r="L53" s="697"/>
      <c r="M53" s="1216" t="s">
        <v>104</v>
      </c>
      <c r="O53" s="1814"/>
      <c r="Q53" s="1216"/>
      <c r="R53" s="1216"/>
      <c r="S53" s="1216"/>
      <c r="U53" s="321"/>
      <c r="V53" s="372"/>
      <c r="W53" s="373"/>
    </row>
    <row r="54" spans="1:23">
      <c r="A54" s="317" t="s">
        <v>888</v>
      </c>
      <c r="C54" s="1216"/>
      <c r="D54" s="1216"/>
      <c r="E54" s="1818"/>
      <c r="F54" s="698"/>
      <c r="G54" s="1216"/>
      <c r="H54" s="1818"/>
      <c r="I54" s="1818"/>
      <c r="J54" s="698"/>
      <c r="K54" s="1818"/>
      <c r="L54" s="698"/>
      <c r="M54" s="1216" t="s">
        <v>104</v>
      </c>
      <c r="O54" s="1814"/>
      <c r="Q54" s="1216"/>
      <c r="R54" s="1216"/>
      <c r="S54" s="1216"/>
      <c r="U54" s="1378"/>
      <c r="V54" s="372"/>
      <c r="W54" s="373"/>
    </row>
    <row r="55" spans="1:23">
      <c r="A55" s="317" t="s">
        <v>889</v>
      </c>
      <c r="C55" s="1216">
        <v>467792448</v>
      </c>
      <c r="D55" s="1216"/>
      <c r="E55" s="1216">
        <v>0</v>
      </c>
      <c r="F55" s="698"/>
      <c r="G55" s="1216">
        <v>-10488078</v>
      </c>
      <c r="H55" s="1818"/>
      <c r="I55" s="1216">
        <v>0</v>
      </c>
      <c r="J55" s="698"/>
      <c r="K55" s="1216">
        <v>0</v>
      </c>
      <c r="L55" s="698" t="s">
        <v>104</v>
      </c>
      <c r="M55" s="1216">
        <f t="shared" ref="M55:M60" si="0">ROUND(SUM(C55)-SUM(K55)+SUM(G55),0)</f>
        <v>457304370</v>
      </c>
      <c r="O55" s="1814"/>
      <c r="Q55" s="1216">
        <v>0</v>
      </c>
      <c r="R55" s="1216"/>
      <c r="S55" s="1216">
        <v>6461145</v>
      </c>
      <c r="T55" s="1380"/>
      <c r="U55" s="419"/>
      <c r="V55" s="372"/>
      <c r="W55" s="373"/>
    </row>
    <row r="56" spans="1:23">
      <c r="A56" s="317" t="s">
        <v>890</v>
      </c>
      <c r="C56" s="1216">
        <v>4344370</v>
      </c>
      <c r="D56" s="1216"/>
      <c r="E56" s="1216">
        <v>0</v>
      </c>
      <c r="F56" s="698"/>
      <c r="G56" s="1216">
        <v>0</v>
      </c>
      <c r="H56" s="1818"/>
      <c r="I56" s="1216">
        <v>0</v>
      </c>
      <c r="J56" s="698" t="s">
        <v>104</v>
      </c>
      <c r="K56" s="1216">
        <v>0</v>
      </c>
      <c r="L56" s="698"/>
      <c r="M56" s="1216">
        <f t="shared" si="0"/>
        <v>4344370</v>
      </c>
      <c r="O56" s="1814"/>
      <c r="Q56" s="1216">
        <v>0</v>
      </c>
      <c r="R56" s="1216" t="s">
        <v>104</v>
      </c>
      <c r="S56" s="1216">
        <v>81681</v>
      </c>
      <c r="T56" s="1380" t="s">
        <v>104</v>
      </c>
      <c r="U56" s="419"/>
      <c r="V56" s="372"/>
      <c r="W56" s="373"/>
    </row>
    <row r="57" spans="1:23">
      <c r="A57" s="317" t="s">
        <v>891</v>
      </c>
      <c r="C57" s="1216">
        <v>37453431</v>
      </c>
      <c r="D57" s="1216"/>
      <c r="E57" s="1216">
        <v>0</v>
      </c>
      <c r="F57" s="698"/>
      <c r="G57" s="1216">
        <v>-351825</v>
      </c>
      <c r="H57" s="1818"/>
      <c r="I57" s="1216">
        <v>0</v>
      </c>
      <c r="J57" s="698"/>
      <c r="K57" s="1216">
        <v>0</v>
      </c>
      <c r="L57" s="698"/>
      <c r="M57" s="1216">
        <f t="shared" si="0"/>
        <v>37101606</v>
      </c>
      <c r="O57" s="1814"/>
      <c r="Q57" s="1216">
        <v>0</v>
      </c>
      <c r="R57" s="1216" t="s">
        <v>104</v>
      </c>
      <c r="S57" s="1216">
        <v>504739</v>
      </c>
      <c r="T57" s="1380" t="s">
        <v>104</v>
      </c>
      <c r="U57" s="419"/>
      <c r="V57" s="372"/>
      <c r="W57" s="373"/>
    </row>
    <row r="58" spans="1:23">
      <c r="A58" s="317" t="s">
        <v>892</v>
      </c>
      <c r="C58" s="1216">
        <v>79123739</v>
      </c>
      <c r="D58" s="1216"/>
      <c r="E58" s="1216">
        <v>0</v>
      </c>
      <c r="F58" s="698"/>
      <c r="G58" s="1216">
        <v>-161796</v>
      </c>
      <c r="H58" s="1818"/>
      <c r="I58" s="1216">
        <v>0</v>
      </c>
      <c r="J58" s="698"/>
      <c r="K58" s="1216">
        <v>0</v>
      </c>
      <c r="L58" s="698"/>
      <c r="M58" s="1216">
        <f t="shared" si="0"/>
        <v>78961943</v>
      </c>
      <c r="O58" s="1814"/>
      <c r="Q58" s="1216">
        <v>0</v>
      </c>
      <c r="R58" s="1216"/>
      <c r="S58" s="1216">
        <v>1167726</v>
      </c>
      <c r="T58" s="1380" t="s">
        <v>104</v>
      </c>
      <c r="U58" s="419"/>
      <c r="V58" s="372"/>
      <c r="W58" s="373"/>
    </row>
    <row r="59" spans="1:23">
      <c r="A59" s="317" t="s">
        <v>893</v>
      </c>
      <c r="C59" s="1216">
        <v>10562486</v>
      </c>
      <c r="D59" s="1216"/>
      <c r="E59" s="1216">
        <v>0</v>
      </c>
      <c r="F59" s="698"/>
      <c r="G59" s="1216">
        <v>-183791</v>
      </c>
      <c r="H59" s="1818"/>
      <c r="I59" s="1216">
        <v>0</v>
      </c>
      <c r="J59" s="698"/>
      <c r="K59" s="1216">
        <v>0</v>
      </c>
      <c r="L59" s="698"/>
      <c r="M59" s="1216">
        <f t="shared" si="0"/>
        <v>10378695</v>
      </c>
      <c r="O59" s="1814"/>
      <c r="Q59" s="1216">
        <v>0</v>
      </c>
      <c r="R59" s="1216" t="s">
        <v>104</v>
      </c>
      <c r="S59" s="1216">
        <v>207086</v>
      </c>
      <c r="T59" s="1380" t="s">
        <v>104</v>
      </c>
      <c r="U59" s="419"/>
      <c r="V59" s="372"/>
      <c r="W59" s="373"/>
    </row>
    <row r="60" spans="1:23">
      <c r="A60" s="317" t="s">
        <v>894</v>
      </c>
      <c r="C60" s="1216">
        <v>642588088</v>
      </c>
      <c r="D60" s="1216"/>
      <c r="E60" s="1216">
        <v>0</v>
      </c>
      <c r="F60" s="697"/>
      <c r="G60" s="1216">
        <v>242007561</v>
      </c>
      <c r="H60" s="1216"/>
      <c r="I60" s="1216">
        <v>0</v>
      </c>
      <c r="J60" s="697" t="s">
        <v>104</v>
      </c>
      <c r="K60" s="1216">
        <v>0</v>
      </c>
      <c r="L60" s="697"/>
      <c r="M60" s="1216">
        <f t="shared" si="0"/>
        <v>884595649</v>
      </c>
      <c r="O60" s="1814"/>
      <c r="Q60" s="1216">
        <v>0</v>
      </c>
      <c r="R60" s="1216"/>
      <c r="S60" s="1216">
        <v>9421664</v>
      </c>
      <c r="T60" s="1380"/>
      <c r="U60" s="419"/>
      <c r="V60" s="372"/>
      <c r="W60" s="373"/>
    </row>
    <row r="61" spans="1:23">
      <c r="C61" s="1216"/>
      <c r="D61" s="1216"/>
      <c r="E61" s="1216"/>
      <c r="F61" s="697"/>
      <c r="G61" s="1216"/>
      <c r="H61" s="1216"/>
      <c r="I61" s="1216"/>
      <c r="J61" s="697"/>
      <c r="K61" s="1216"/>
      <c r="L61" s="697"/>
      <c r="M61" s="1216" t="s">
        <v>104</v>
      </c>
      <c r="O61" s="1814"/>
      <c r="Q61" s="1216"/>
      <c r="R61" s="1216"/>
      <c r="S61" s="1216"/>
      <c r="U61" s="321"/>
      <c r="V61" s="372"/>
      <c r="W61" s="373"/>
    </row>
    <row r="62" spans="1:23">
      <c r="A62" s="317" t="s">
        <v>895</v>
      </c>
      <c r="C62" s="1216"/>
      <c r="D62" s="1216"/>
      <c r="E62" s="1216"/>
      <c r="F62" s="697"/>
      <c r="G62" s="1216"/>
      <c r="H62" s="1216"/>
      <c r="I62" s="1216"/>
      <c r="J62" s="697"/>
      <c r="K62" s="1216"/>
      <c r="L62" s="697"/>
      <c r="M62" s="1216" t="s">
        <v>104</v>
      </c>
      <c r="O62" s="1814"/>
      <c r="Q62" s="1216"/>
      <c r="R62" s="1216"/>
      <c r="S62" s="1216"/>
      <c r="U62" s="1378"/>
      <c r="V62" s="372"/>
      <c r="W62" s="320"/>
    </row>
    <row r="63" spans="1:23">
      <c r="A63" s="317" t="s">
        <v>896</v>
      </c>
      <c r="C63" s="1216">
        <v>6221</v>
      </c>
      <c r="D63" s="1216"/>
      <c r="E63" s="1216">
        <v>0</v>
      </c>
      <c r="F63" s="697"/>
      <c r="G63" s="1216">
        <v>0</v>
      </c>
      <c r="H63" s="1216"/>
      <c r="I63" s="1216">
        <v>0</v>
      </c>
      <c r="J63" s="697"/>
      <c r="K63" s="1216">
        <v>0</v>
      </c>
      <c r="L63" s="697"/>
      <c r="M63" s="1216">
        <f>ROUND(SUM(C63)-SUM(K63)+SUM(G63),0)</f>
        <v>6221</v>
      </c>
      <c r="O63" s="1814"/>
      <c r="Q63" s="1216">
        <v>0</v>
      </c>
      <c r="R63" s="1216"/>
      <c r="S63" s="1216">
        <v>156</v>
      </c>
      <c r="T63" s="320" t="s">
        <v>104</v>
      </c>
      <c r="U63" s="419"/>
      <c r="V63" s="372"/>
      <c r="W63" s="373"/>
    </row>
    <row r="64" spans="1:23">
      <c r="A64" s="478" t="s">
        <v>897</v>
      </c>
      <c r="C64" s="1216">
        <v>798264</v>
      </c>
      <c r="D64" s="1216"/>
      <c r="E64" s="1216">
        <v>0</v>
      </c>
      <c r="F64" s="697"/>
      <c r="G64" s="1216">
        <v>0</v>
      </c>
      <c r="H64" s="1216"/>
      <c r="I64" s="1216">
        <v>0</v>
      </c>
      <c r="J64" s="697"/>
      <c r="K64" s="1216">
        <v>383447</v>
      </c>
      <c r="L64" s="697"/>
      <c r="M64" s="1216">
        <f>ROUND(SUM(C64)-SUM(K64)+SUM(G64),0)</f>
        <v>414817</v>
      </c>
      <c r="O64" s="1814"/>
      <c r="Q64" s="1819">
        <v>0</v>
      </c>
      <c r="R64" s="1819"/>
      <c r="S64" s="1819">
        <v>26939</v>
      </c>
      <c r="T64" s="320" t="s">
        <v>104</v>
      </c>
      <c r="U64" s="419"/>
      <c r="V64" s="372"/>
      <c r="W64" s="373"/>
    </row>
    <row r="65" spans="1:23" ht="13.5" customHeight="1">
      <c r="C65" s="1216"/>
      <c r="D65" s="1216"/>
      <c r="E65" s="1216"/>
      <c r="F65" s="697"/>
      <c r="G65" s="1216"/>
      <c r="H65" s="1216"/>
      <c r="I65" s="1216"/>
      <c r="J65" s="697"/>
      <c r="K65" s="1216"/>
      <c r="L65" s="697"/>
      <c r="M65" s="1216" t="s">
        <v>104</v>
      </c>
      <c r="O65" s="1814"/>
      <c r="Q65" s="1216"/>
      <c r="R65" s="1216"/>
      <c r="S65" s="1216"/>
      <c r="T65" s="317" t="s">
        <v>104</v>
      </c>
      <c r="U65" s="321"/>
      <c r="V65" s="372"/>
      <c r="W65" s="373"/>
    </row>
    <row r="66" spans="1:23">
      <c r="A66" s="317" t="s">
        <v>898</v>
      </c>
      <c r="C66" s="1216">
        <v>244247633</v>
      </c>
      <c r="D66" s="1216"/>
      <c r="E66" s="1216">
        <v>0</v>
      </c>
      <c r="F66" s="697"/>
      <c r="G66" s="1216">
        <v>203190756</v>
      </c>
      <c r="H66" s="1216"/>
      <c r="I66" s="1216">
        <v>0</v>
      </c>
      <c r="J66" s="697"/>
      <c r="K66" s="1216">
        <v>0</v>
      </c>
      <c r="L66" s="697"/>
      <c r="M66" s="1216">
        <f>ROUND(SUM(C66)-SUM(K66)+SUM(G66),0)</f>
        <v>447438389</v>
      </c>
      <c r="O66" s="1814"/>
      <c r="Q66" s="1216">
        <v>0</v>
      </c>
      <c r="R66" s="1216"/>
      <c r="S66" s="1216">
        <v>4812959</v>
      </c>
      <c r="T66" s="320"/>
      <c r="U66" s="419"/>
      <c r="V66" s="372"/>
      <c r="W66" s="373"/>
    </row>
    <row r="67" spans="1:23" ht="13.5" customHeight="1">
      <c r="C67" s="1216"/>
      <c r="D67" s="1216"/>
      <c r="E67" s="1216"/>
      <c r="F67" s="697"/>
      <c r="G67" s="1216"/>
      <c r="H67" s="1216"/>
      <c r="I67" s="1216"/>
      <c r="J67" s="697"/>
      <c r="K67" s="1216"/>
      <c r="L67" s="697"/>
      <c r="M67" s="1216" t="s">
        <v>104</v>
      </c>
      <c r="O67" s="1814"/>
      <c r="Q67" s="1216"/>
      <c r="R67" s="1216"/>
      <c r="S67" s="1216"/>
      <c r="U67" s="321"/>
      <c r="V67" s="372"/>
      <c r="W67" s="373"/>
    </row>
    <row r="68" spans="1:23">
      <c r="A68" s="317" t="s">
        <v>899</v>
      </c>
      <c r="C68" s="1216"/>
      <c r="D68" s="1216"/>
      <c r="E68" s="1216"/>
      <c r="F68" s="697"/>
      <c r="G68" s="1216"/>
      <c r="H68" s="1216"/>
      <c r="I68" s="1216"/>
      <c r="J68" s="697"/>
      <c r="K68" s="1216"/>
      <c r="L68" s="697"/>
      <c r="M68" s="1216" t="s">
        <v>104</v>
      </c>
      <c r="O68" s="1814"/>
      <c r="Q68" s="1216"/>
      <c r="R68" s="1216"/>
      <c r="S68" s="1216"/>
      <c r="U68" s="1378"/>
      <c r="V68" s="372"/>
      <c r="W68" s="320"/>
    </row>
    <row r="69" spans="1:23">
      <c r="A69" s="317" t="s">
        <v>891</v>
      </c>
      <c r="C69" s="1216">
        <v>498510</v>
      </c>
      <c r="D69" s="1216"/>
      <c r="E69" s="1216">
        <v>0</v>
      </c>
      <c r="F69" s="697"/>
      <c r="G69" s="1216">
        <v>0</v>
      </c>
      <c r="H69" s="1216"/>
      <c r="I69" s="1216">
        <v>0</v>
      </c>
      <c r="J69" s="697"/>
      <c r="K69" s="1216">
        <v>350911</v>
      </c>
      <c r="L69" s="697"/>
      <c r="M69" s="1216">
        <f>ROUND(SUM(C69)-SUM(K69)+SUM(G69),0)</f>
        <v>147599</v>
      </c>
      <c r="O69" s="1814"/>
      <c r="Q69" s="1216">
        <v>0</v>
      </c>
      <c r="R69" s="1216"/>
      <c r="S69" s="1216">
        <v>15046</v>
      </c>
      <c r="T69" s="320" t="s">
        <v>104</v>
      </c>
      <c r="U69" s="419"/>
      <c r="V69" s="372"/>
      <c r="W69" s="373"/>
    </row>
    <row r="70" spans="1:23">
      <c r="A70" s="317" t="s">
        <v>900</v>
      </c>
      <c r="C70" s="1216">
        <v>0</v>
      </c>
      <c r="D70" s="1216"/>
      <c r="E70" s="1216">
        <v>0</v>
      </c>
      <c r="F70" s="697"/>
      <c r="G70" s="1216">
        <v>0</v>
      </c>
      <c r="H70" s="1216"/>
      <c r="I70" s="1216">
        <v>0</v>
      </c>
      <c r="J70" s="697"/>
      <c r="K70" s="1216">
        <v>0</v>
      </c>
      <c r="L70" s="697"/>
      <c r="M70" s="1216">
        <f>ROUND(SUM(C70)-SUM(K70)+SUM(G70),0)</f>
        <v>0</v>
      </c>
      <c r="O70" s="1814"/>
      <c r="Q70" s="1216">
        <v>0</v>
      </c>
      <c r="R70" s="1216"/>
      <c r="S70" s="1216">
        <v>0</v>
      </c>
      <c r="T70" s="320"/>
      <c r="U70" s="419"/>
      <c r="V70" s="372"/>
      <c r="W70" s="373"/>
    </row>
    <row r="71" spans="1:23">
      <c r="E71" s="1820"/>
      <c r="F71" s="320"/>
      <c r="G71" s="1820"/>
      <c r="H71" s="1820"/>
      <c r="I71" s="1820"/>
      <c r="J71" s="1820"/>
      <c r="K71" s="1820"/>
      <c r="L71" s="1820"/>
      <c r="M71" s="1820"/>
      <c r="O71" s="1814"/>
      <c r="Q71" s="1378"/>
      <c r="S71" s="1813"/>
    </row>
    <row r="72" spans="1:23" ht="15" customHeight="1" thickBot="1">
      <c r="A72" s="319" t="s">
        <v>901</v>
      </c>
      <c r="B72" s="709"/>
      <c r="C72" s="1217">
        <f>ROUND(SUM(C16:C70),2)</f>
        <v>1835094999</v>
      </c>
      <c r="D72" s="2121"/>
      <c r="E72" s="1217">
        <f>ROUND(SUM(E16:E71),2)</f>
        <v>0</v>
      </c>
      <c r="F72" s="873"/>
      <c r="G72" s="1217">
        <f>ROUND(SUM(G16:G70),2)</f>
        <v>437495000</v>
      </c>
      <c r="H72" s="709"/>
      <c r="I72" s="1217">
        <f>ROUND(SUM(I16:I70),2)</f>
        <v>0</v>
      </c>
      <c r="J72" s="709"/>
      <c r="K72" s="1217">
        <f>ROUND(SUM(K16:K70),0)</f>
        <v>14160000</v>
      </c>
      <c r="L72" s="709"/>
      <c r="M72" s="1217">
        <f>ROUND(SUM(M16:M70),2)</f>
        <v>2258429999</v>
      </c>
      <c r="N72" s="319"/>
      <c r="O72" s="1821"/>
      <c r="P72" s="709"/>
      <c r="Q72" s="1217">
        <f>ROUND(SUM(Q16:Q70),2)</f>
        <v>0</v>
      </c>
      <c r="R72" s="709"/>
      <c r="S72" s="1217">
        <f>ROUND(SUM(S16:S70),0)</f>
        <v>28418346</v>
      </c>
      <c r="T72" s="710"/>
      <c r="U72" s="873"/>
      <c r="V72" s="403"/>
      <c r="W72" s="403"/>
    </row>
    <row r="73" spans="1:23" ht="15" customHeight="1" thickTop="1">
      <c r="A73" s="711"/>
      <c r="B73" s="712"/>
      <c r="C73" s="460"/>
      <c r="D73" s="460"/>
      <c r="E73" s="1822"/>
      <c r="F73" s="710"/>
      <c r="G73" s="1822"/>
      <c r="H73" s="712"/>
      <c r="I73" s="710"/>
      <c r="J73" s="712"/>
      <c r="K73" s="1823"/>
      <c r="L73" s="712"/>
      <c r="M73" s="460"/>
      <c r="N73" s="319"/>
      <c r="O73" s="319"/>
      <c r="P73" s="712"/>
      <c r="Q73" s="1823"/>
      <c r="R73" s="712"/>
      <c r="S73" s="710"/>
      <c r="U73" s="322"/>
      <c r="V73" s="322"/>
      <c r="W73" s="322"/>
    </row>
    <row r="74" spans="1:23">
      <c r="A74" s="1318" t="s">
        <v>1561</v>
      </c>
      <c r="I74" s="317"/>
      <c r="K74" s="1815" t="s">
        <v>104</v>
      </c>
      <c r="P74" s="374"/>
    </row>
    <row r="75" spans="1:23">
      <c r="A75" s="374" t="s">
        <v>104</v>
      </c>
      <c r="H75" s="372"/>
      <c r="I75" s="1815"/>
      <c r="J75" s="372"/>
      <c r="K75" s="1815" t="s">
        <v>104</v>
      </c>
      <c r="L75" s="373"/>
      <c r="M75" s="419" t="s">
        <v>104</v>
      </c>
      <c r="P75" s="373"/>
      <c r="Q75" s="696"/>
      <c r="R75" s="320"/>
      <c r="S75" s="696"/>
    </row>
    <row r="76" spans="1:23">
      <c r="A76" s="323"/>
      <c r="C76" s="419" t="s">
        <v>104</v>
      </c>
      <c r="E76" s="1824"/>
      <c r="G76" s="1825"/>
      <c r="I76" s="321"/>
      <c r="K76" s="321" t="s">
        <v>104</v>
      </c>
      <c r="Q76" s="320"/>
      <c r="S76" s="320"/>
      <c r="T76" s="1381"/>
    </row>
    <row r="77" spans="1:23">
      <c r="C77" s="419" t="s">
        <v>104</v>
      </c>
      <c r="K77" s="1826"/>
      <c r="Q77" s="374"/>
    </row>
    <row r="78" spans="1:23">
      <c r="C78" s="419" t="s">
        <v>104</v>
      </c>
      <c r="E78" s="1827"/>
      <c r="F78" s="320"/>
      <c r="G78" s="1827"/>
      <c r="I78" s="321"/>
      <c r="K78" s="321" t="s">
        <v>104</v>
      </c>
      <c r="M78" s="1828"/>
      <c r="Q78" s="1829"/>
      <c r="S78" s="320"/>
    </row>
    <row r="79" spans="1:23">
      <c r="C79" s="419" t="s">
        <v>104</v>
      </c>
      <c r="E79" s="1827"/>
      <c r="F79" s="320"/>
      <c r="G79" s="373"/>
      <c r="I79" s="321"/>
      <c r="K79" s="321"/>
      <c r="M79" s="1830"/>
      <c r="Q79" s="373"/>
      <c r="S79" s="320"/>
    </row>
    <row r="80" spans="1:23">
      <c r="E80" s="1827"/>
      <c r="F80" s="320"/>
      <c r="G80" s="320"/>
      <c r="I80" s="321"/>
      <c r="K80" s="321"/>
      <c r="Q80" s="1379"/>
      <c r="S80" s="320"/>
    </row>
    <row r="81" spans="1:20">
      <c r="E81" s="1827"/>
      <c r="F81" s="320"/>
      <c r="G81" s="1827"/>
      <c r="I81" s="321"/>
      <c r="K81" s="321"/>
      <c r="M81" s="1828"/>
      <c r="Q81" s="1829"/>
      <c r="S81" s="320"/>
      <c r="T81" s="1381"/>
    </row>
    <row r="82" spans="1:20">
      <c r="E82" s="1827"/>
      <c r="F82" s="320"/>
      <c r="G82" s="1827"/>
      <c r="I82" s="321"/>
      <c r="K82" s="321"/>
      <c r="M82" s="1828"/>
      <c r="Q82" s="1829"/>
      <c r="S82" s="320"/>
    </row>
    <row r="83" spans="1:20">
      <c r="E83" s="1827"/>
      <c r="F83" s="320"/>
      <c r="G83" s="373"/>
      <c r="I83" s="321"/>
      <c r="K83" s="321"/>
      <c r="M83" s="1830"/>
      <c r="Q83" s="373"/>
      <c r="S83" s="320"/>
    </row>
    <row r="84" spans="1:20">
      <c r="E84" s="1827"/>
      <c r="F84" s="320"/>
      <c r="G84" s="320"/>
      <c r="I84" s="321"/>
      <c r="K84" s="321"/>
      <c r="Q84" s="1379"/>
      <c r="S84" s="320"/>
    </row>
    <row r="85" spans="1:20">
      <c r="E85" s="1827"/>
      <c r="F85" s="320"/>
      <c r="G85" s="1827"/>
      <c r="I85" s="321"/>
      <c r="K85" s="321"/>
      <c r="M85" s="1828"/>
      <c r="Q85" s="1829"/>
      <c r="S85" s="320"/>
    </row>
    <row r="86" spans="1:20" ht="13">
      <c r="C86" s="460"/>
      <c r="D86" s="460"/>
      <c r="E86" s="1822"/>
      <c r="F86" s="322"/>
      <c r="G86" s="1822"/>
      <c r="H86" s="319"/>
      <c r="I86" s="1831"/>
      <c r="J86" s="319"/>
      <c r="K86" s="1831"/>
      <c r="L86" s="319"/>
      <c r="M86" s="1832"/>
      <c r="N86" s="319"/>
      <c r="O86" s="319"/>
      <c r="P86" s="319"/>
      <c r="Q86" s="1822"/>
      <c r="R86" s="319"/>
      <c r="S86" s="322"/>
    </row>
    <row r="87" spans="1:20" ht="13">
      <c r="A87" s="319"/>
      <c r="C87" s="460"/>
      <c r="D87" s="460"/>
      <c r="E87" s="322"/>
      <c r="F87" s="322"/>
      <c r="G87" s="322"/>
      <c r="H87" s="319"/>
      <c r="I87" s="1831"/>
      <c r="J87" s="319"/>
      <c r="K87" s="1831"/>
      <c r="L87" s="319"/>
      <c r="M87" s="460"/>
      <c r="N87" s="319"/>
      <c r="O87" s="319"/>
      <c r="P87" s="319"/>
      <c r="Q87" s="322"/>
      <c r="R87" s="319"/>
      <c r="S87" s="322"/>
    </row>
    <row r="88" spans="1:20" ht="13">
      <c r="A88" s="319"/>
    </row>
    <row r="89" spans="1:20">
      <c r="C89" s="1219"/>
      <c r="D89" s="1219"/>
      <c r="F89" s="374"/>
    </row>
    <row r="90" spans="1:20">
      <c r="C90" s="1220"/>
      <c r="D90" s="1220"/>
      <c r="F90" s="323"/>
    </row>
    <row r="91" spans="1:20">
      <c r="E91" s="1833"/>
      <c r="G91" s="1834"/>
    </row>
    <row r="92" spans="1:20">
      <c r="E92" s="1835"/>
      <c r="G92" s="1825"/>
    </row>
  </sheetData>
  <mergeCells count="1">
    <mergeCell ref="E9:G9"/>
  </mergeCells>
  <pageMargins left="0.5" right="0.5" top="0.5" bottom="0.25" header="0.3" footer="0.3"/>
  <pageSetup scale="56" firstPageNumber="44" orientation="landscape" useFirstPageNumber="1" r:id="rId1"/>
  <headerFooter scaleWithDoc="0" alignWithMargins="0">
    <oddFooter>&amp;C&amp;8&amp;P</oddFooter>
  </headerFooter>
  <rowBreaks count="1" manualBreakCount="1">
    <brk id="2" max="21" man="1"/>
  </rowBreaks>
  <colBreaks count="1" manualBreakCount="1">
    <brk id="19" min="2" max="64" man="1"/>
  </colBreaks>
  <customProperties>
    <customPr name="SheetOptions" r:id="rId2"/>
  </customPropertie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U40"/>
  <sheetViews>
    <sheetView showGridLines="0" zoomScale="80" zoomScaleNormal="80" workbookViewId="0"/>
  </sheetViews>
  <sheetFormatPr defaultColWidth="8.84375" defaultRowHeight="12.5"/>
  <cols>
    <col min="1" max="1" width="3.84375" style="713" customWidth="1"/>
    <col min="2" max="2" width="43.84375" style="713" customWidth="1"/>
    <col min="3" max="3" width="2.07421875" style="713" customWidth="1"/>
    <col min="4" max="4" width="13.84375" style="713" customWidth="1"/>
    <col min="5" max="5" width="2.07421875" style="713" customWidth="1"/>
    <col min="6" max="6" width="24" style="713" bestFit="1" customWidth="1"/>
    <col min="7" max="7" width="2.07421875" style="713" customWidth="1"/>
    <col min="8" max="8" width="20.07421875" style="713" customWidth="1"/>
    <col min="9" max="9" width="2.07421875" style="713" customWidth="1"/>
    <col min="10" max="10" width="19.84375" style="713" bestFit="1" customWidth="1"/>
    <col min="11" max="11" width="2.07421875" style="713" customWidth="1"/>
    <col min="12" max="12" width="18.4609375" style="713" bestFit="1" customWidth="1"/>
    <col min="13" max="13" width="2.07421875" style="713" customWidth="1"/>
    <col min="14" max="14" width="19.84375" style="713" customWidth="1"/>
    <col min="15" max="15" width="2.07421875" style="713" customWidth="1"/>
    <col min="16" max="16" width="19.84375" style="713" bestFit="1" customWidth="1"/>
    <col min="17" max="17" width="2.07421875" style="713" customWidth="1"/>
    <col min="18" max="18" width="20.84375" style="713" bestFit="1" customWidth="1"/>
    <col min="19" max="19" width="17.07421875" style="713" customWidth="1"/>
    <col min="20" max="20" width="18.53515625" style="713" customWidth="1"/>
    <col min="21" max="21" width="35.07421875" style="713" bestFit="1" customWidth="1"/>
    <col min="22" max="16384" width="8.84375" style="713"/>
  </cols>
  <sheetData>
    <row r="1" spans="1:19" ht="15.5">
      <c r="B1" s="490" t="s">
        <v>98</v>
      </c>
    </row>
    <row r="2" spans="1:19" ht="15.5">
      <c r="B2" s="844"/>
      <c r="C2" s="844"/>
      <c r="D2" s="844"/>
      <c r="E2" s="844"/>
      <c r="F2" s="844"/>
      <c r="G2" s="844"/>
      <c r="H2" s="844"/>
      <c r="I2" s="844"/>
      <c r="J2" s="844"/>
      <c r="K2" s="844"/>
      <c r="L2" s="844"/>
      <c r="M2" s="844"/>
      <c r="N2" s="844"/>
      <c r="O2" s="844"/>
      <c r="P2" s="844"/>
      <c r="Q2" s="844"/>
      <c r="R2" s="844"/>
      <c r="S2" s="844"/>
    </row>
    <row r="3" spans="1:19" ht="18">
      <c r="A3" s="714"/>
      <c r="B3" s="845" t="s">
        <v>99</v>
      </c>
      <c r="C3" s="846"/>
      <c r="D3" s="846"/>
      <c r="E3" s="846"/>
      <c r="F3" s="844"/>
      <c r="G3" s="844"/>
      <c r="H3" s="844"/>
      <c r="I3" s="844"/>
      <c r="J3" s="844"/>
      <c r="K3" s="844"/>
      <c r="L3" s="844"/>
      <c r="M3" s="844"/>
      <c r="N3" s="844"/>
      <c r="O3" s="844"/>
      <c r="P3" s="844"/>
      <c r="Q3" s="844"/>
      <c r="R3" s="1836" t="s">
        <v>902</v>
      </c>
      <c r="S3" s="1837"/>
    </row>
    <row r="4" spans="1:19" ht="18">
      <c r="A4" s="714"/>
      <c r="B4" s="845" t="s">
        <v>903</v>
      </c>
      <c r="C4" s="846"/>
      <c r="D4" s="846"/>
      <c r="E4" s="846"/>
      <c r="F4" s="844"/>
      <c r="G4" s="844"/>
      <c r="H4" s="844"/>
      <c r="I4" s="844"/>
      <c r="J4" s="844"/>
      <c r="K4" s="844"/>
      <c r="L4" s="844"/>
      <c r="M4" s="844"/>
      <c r="N4" s="844"/>
      <c r="O4" s="844"/>
      <c r="P4" s="844"/>
      <c r="Q4" s="844"/>
      <c r="R4" s="844"/>
      <c r="S4" s="844"/>
    </row>
    <row r="5" spans="1:19" ht="18">
      <c r="A5" s="714"/>
      <c r="B5" s="845" t="s">
        <v>904</v>
      </c>
      <c r="C5" s="846"/>
      <c r="D5" s="846"/>
      <c r="E5" s="846"/>
      <c r="F5" s="844" t="s">
        <v>104</v>
      </c>
      <c r="G5" s="844"/>
      <c r="H5" s="844"/>
      <c r="I5" s="844"/>
      <c r="J5" s="844"/>
      <c r="K5" s="844"/>
      <c r="L5" s="844"/>
      <c r="M5" s="844"/>
      <c r="N5" s="844"/>
      <c r="O5" s="844"/>
      <c r="P5" s="844"/>
      <c r="Q5" s="844"/>
      <c r="R5" s="844"/>
      <c r="S5" s="844"/>
    </row>
    <row r="6" spans="1:19" ht="18">
      <c r="A6" s="714"/>
      <c r="B6" s="847" t="s">
        <v>1593</v>
      </c>
      <c r="C6" s="848"/>
      <c r="D6" s="846"/>
      <c r="E6" s="846"/>
      <c r="F6" s="844"/>
      <c r="G6" s="844"/>
      <c r="H6" s="844"/>
      <c r="I6" s="844"/>
      <c r="J6" s="844"/>
      <c r="K6" s="844"/>
      <c r="L6" s="844"/>
      <c r="M6" s="844"/>
      <c r="N6" s="844"/>
      <c r="O6" s="844"/>
      <c r="P6" s="844"/>
      <c r="Q6" s="844"/>
      <c r="R6" s="844"/>
      <c r="S6" s="844"/>
    </row>
    <row r="7" spans="1:19" ht="16">
      <c r="A7" s="714"/>
      <c r="B7" s="849"/>
      <c r="C7" s="849"/>
      <c r="D7" s="846"/>
      <c r="E7" s="846"/>
      <c r="F7" s="844"/>
      <c r="G7" s="844"/>
      <c r="H7" s="844"/>
      <c r="I7" s="844"/>
      <c r="J7" s="844"/>
      <c r="K7" s="844"/>
      <c r="L7" s="844"/>
      <c r="M7" s="844"/>
      <c r="N7" s="844"/>
      <c r="O7" s="844"/>
      <c r="P7" s="844"/>
      <c r="Q7" s="844"/>
      <c r="R7" s="844"/>
      <c r="S7" s="844"/>
    </row>
    <row r="8" spans="1:19" ht="5.25" customHeight="1">
      <c r="B8" s="850"/>
      <c r="C8" s="850"/>
      <c r="D8" s="844"/>
      <c r="E8" s="844"/>
      <c r="F8" s="844"/>
      <c r="G8" s="844"/>
      <c r="H8" s="844"/>
      <c r="I8" s="844"/>
      <c r="J8" s="844"/>
      <c r="K8" s="844"/>
      <c r="L8" s="844"/>
      <c r="M8" s="844"/>
      <c r="N8" s="844"/>
      <c r="O8" s="844"/>
      <c r="P8" s="844"/>
      <c r="Q8" s="844"/>
      <c r="R8" s="844"/>
      <c r="S8" s="844"/>
    </row>
    <row r="9" spans="1:19" ht="16">
      <c r="B9" s="844"/>
      <c r="C9" s="844"/>
      <c r="E9" s="851"/>
      <c r="F9" s="851"/>
      <c r="G9" s="851"/>
      <c r="H9" s="851"/>
      <c r="I9" s="851"/>
      <c r="J9" s="851"/>
      <c r="K9" s="851"/>
      <c r="L9" s="851"/>
      <c r="M9" s="851"/>
      <c r="N9" s="844"/>
      <c r="O9" s="844"/>
      <c r="P9" s="844"/>
      <c r="Q9" s="844"/>
      <c r="R9" s="844"/>
      <c r="S9" s="844"/>
    </row>
    <row r="10" spans="1:19" ht="16">
      <c r="B10" s="844"/>
      <c r="C10" s="844"/>
      <c r="D10" s="851" t="s">
        <v>854</v>
      </c>
      <c r="E10" s="852"/>
      <c r="F10" s="852" t="s">
        <v>905</v>
      </c>
      <c r="G10" s="852"/>
      <c r="H10" s="852" t="s">
        <v>906</v>
      </c>
      <c r="I10" s="852"/>
      <c r="J10" s="852" t="s">
        <v>907</v>
      </c>
      <c r="K10" s="852"/>
      <c r="L10" s="852" t="s">
        <v>908</v>
      </c>
      <c r="M10" s="852"/>
      <c r="N10" s="844"/>
      <c r="O10" s="844"/>
      <c r="P10" s="844"/>
      <c r="Q10" s="844"/>
      <c r="R10" s="844"/>
      <c r="S10" s="844"/>
    </row>
    <row r="11" spans="1:19" ht="16">
      <c r="B11" s="844"/>
      <c r="C11" s="844"/>
      <c r="D11" s="852" t="s">
        <v>909</v>
      </c>
      <c r="E11" s="852"/>
      <c r="F11" s="852" t="s">
        <v>854</v>
      </c>
      <c r="G11" s="852"/>
      <c r="H11" s="852" t="s">
        <v>910</v>
      </c>
      <c r="I11" s="852"/>
      <c r="J11" s="1838" t="s">
        <v>911</v>
      </c>
      <c r="K11" s="852"/>
      <c r="L11" s="852" t="s">
        <v>912</v>
      </c>
      <c r="M11" s="852"/>
      <c r="N11" s="1839" t="s">
        <v>913</v>
      </c>
      <c r="O11" s="1839"/>
      <c r="P11" s="1839"/>
      <c r="Q11" s="844"/>
      <c r="R11" s="844"/>
      <c r="S11" s="844"/>
    </row>
    <row r="12" spans="1:19" ht="16">
      <c r="B12" s="844"/>
      <c r="C12" s="844"/>
      <c r="D12" s="852" t="s">
        <v>914</v>
      </c>
      <c r="E12" s="852"/>
      <c r="F12" s="852" t="s">
        <v>915</v>
      </c>
      <c r="G12" s="852"/>
      <c r="H12" s="852" t="s">
        <v>916</v>
      </c>
      <c r="I12" s="852"/>
      <c r="J12" s="1838" t="s">
        <v>917</v>
      </c>
      <c r="K12" s="1838"/>
      <c r="L12" s="852" t="s">
        <v>918</v>
      </c>
      <c r="M12" s="852"/>
      <c r="N12" s="2095" t="s">
        <v>1590</v>
      </c>
      <c r="O12" s="1840"/>
      <c r="P12" s="1840"/>
      <c r="Q12" s="844"/>
      <c r="R12" s="851" t="s">
        <v>919</v>
      </c>
      <c r="S12" s="852"/>
    </row>
    <row r="13" spans="1:19" ht="16">
      <c r="A13" s="715"/>
      <c r="B13" s="1659" t="s">
        <v>920</v>
      </c>
      <c r="C13" s="846"/>
      <c r="D13" s="1660" t="s">
        <v>921</v>
      </c>
      <c r="E13" s="852"/>
      <c r="F13" s="1660" t="s">
        <v>922</v>
      </c>
      <c r="G13" s="852"/>
      <c r="H13" s="1841" t="s">
        <v>923</v>
      </c>
      <c r="I13" s="852"/>
      <c r="J13" s="1842" t="s">
        <v>924</v>
      </c>
      <c r="K13" s="852"/>
      <c r="L13" s="1842" t="s">
        <v>925</v>
      </c>
      <c r="M13" s="852"/>
      <c r="N13" s="1843">
        <v>2023</v>
      </c>
      <c r="O13" s="1843"/>
      <c r="P13" s="1843">
        <v>2022</v>
      </c>
      <c r="Q13" s="852"/>
      <c r="R13" s="1844" t="s">
        <v>926</v>
      </c>
      <c r="S13" s="852"/>
    </row>
    <row r="14" spans="1:19" ht="16">
      <c r="B14" s="846" t="s">
        <v>927</v>
      </c>
      <c r="C14" s="846"/>
      <c r="D14" s="853"/>
      <c r="E14" s="853"/>
      <c r="F14" s="1845"/>
      <c r="G14" s="1845"/>
      <c r="H14" s="1846"/>
      <c r="I14" s="1846"/>
      <c r="J14" s="853"/>
      <c r="K14" s="853"/>
      <c r="L14" s="853"/>
      <c r="M14" s="853"/>
      <c r="N14" s="1846"/>
      <c r="O14" s="1846"/>
      <c r="P14" s="1847"/>
      <c r="Q14" s="1847"/>
      <c r="R14" s="844"/>
      <c r="S14" s="844"/>
    </row>
    <row r="15" spans="1:19" ht="15.5">
      <c r="A15" s="716"/>
      <c r="B15" s="850" t="s">
        <v>928</v>
      </c>
      <c r="C15" s="850"/>
      <c r="D15" s="854">
        <v>0</v>
      </c>
      <c r="E15" s="854"/>
      <c r="F15" s="854">
        <v>12576481</v>
      </c>
      <c r="G15" s="854"/>
      <c r="H15" s="854">
        <v>0</v>
      </c>
      <c r="I15" s="854"/>
      <c r="J15" s="854">
        <v>0</v>
      </c>
      <c r="K15" s="854"/>
      <c r="L15" s="854">
        <v>0</v>
      </c>
      <c r="M15" s="854"/>
      <c r="N15" s="854">
        <f>ROUND(SUM(D15:M15),0)</f>
        <v>12576481</v>
      </c>
      <c r="O15" s="854"/>
      <c r="P15" s="1848">
        <v>9823750</v>
      </c>
      <c r="Q15" s="854"/>
      <c r="R15" s="1849">
        <f>ROUND(N15-P15,0)</f>
        <v>2752731</v>
      </c>
      <c r="S15" s="854"/>
    </row>
    <row r="16" spans="1:19" ht="15.5">
      <c r="A16" s="716"/>
      <c r="B16" s="844" t="s">
        <v>929</v>
      </c>
      <c r="C16" s="844"/>
      <c r="D16" s="855"/>
      <c r="E16" s="855"/>
      <c r="F16" s="855"/>
      <c r="G16" s="855"/>
      <c r="H16" s="855"/>
      <c r="I16" s="855"/>
      <c r="J16" s="855"/>
      <c r="K16" s="1850"/>
      <c r="L16" s="855"/>
      <c r="M16" s="1850"/>
      <c r="N16" s="1850"/>
      <c r="O16" s="1850"/>
      <c r="P16" s="1851"/>
      <c r="Q16" s="1850"/>
      <c r="R16" s="1852"/>
      <c r="S16" s="854"/>
    </row>
    <row r="17" spans="1:21" ht="15.5">
      <c r="A17" s="716"/>
      <c r="B17" s="844" t="s">
        <v>930</v>
      </c>
      <c r="C17" s="844"/>
      <c r="D17" s="855">
        <v>0</v>
      </c>
      <c r="E17" s="855"/>
      <c r="F17" s="855">
        <v>0</v>
      </c>
      <c r="G17" s="855"/>
      <c r="H17" s="855">
        <v>0</v>
      </c>
      <c r="I17" s="855"/>
      <c r="J17" s="855">
        <v>0</v>
      </c>
      <c r="K17" s="855"/>
      <c r="L17" s="855">
        <v>0</v>
      </c>
      <c r="M17" s="855"/>
      <c r="N17" s="1850">
        <f t="shared" ref="N17:N22" si="0">ROUND(SUM(D17:M17),0)</f>
        <v>0</v>
      </c>
      <c r="O17" s="1850"/>
      <c r="P17" s="1853">
        <v>0</v>
      </c>
      <c r="Q17" s="1854"/>
      <c r="R17" s="1854">
        <f t="shared" ref="R17:R22" si="1">SUM(N17-P17,0)</f>
        <v>0</v>
      </c>
      <c r="S17" s="854"/>
    </row>
    <row r="18" spans="1:21" ht="15.5">
      <c r="A18" s="716"/>
      <c r="B18" s="844" t="s">
        <v>931</v>
      </c>
      <c r="C18" s="844"/>
      <c r="D18" s="855">
        <v>0</v>
      </c>
      <c r="E18" s="855"/>
      <c r="F18" s="855">
        <v>0</v>
      </c>
      <c r="G18" s="855"/>
      <c r="H18" s="855">
        <v>0</v>
      </c>
      <c r="I18" s="855"/>
      <c r="J18" s="855">
        <v>201623871</v>
      </c>
      <c r="K18" s="855"/>
      <c r="L18" s="855">
        <v>55202656</v>
      </c>
      <c r="M18" s="855"/>
      <c r="N18" s="1850">
        <f t="shared" si="0"/>
        <v>256826527</v>
      </c>
      <c r="O18" s="1850"/>
      <c r="P18" s="855">
        <v>828586148</v>
      </c>
      <c r="Q18" s="1854"/>
      <c r="R18" s="1854">
        <f t="shared" si="1"/>
        <v>-571759621</v>
      </c>
      <c r="S18" s="854"/>
    </row>
    <row r="19" spans="1:21" ht="15.5">
      <c r="A19" s="716"/>
      <c r="B19" s="844" t="s">
        <v>932</v>
      </c>
      <c r="C19" s="844"/>
      <c r="D19" s="855">
        <v>0</v>
      </c>
      <c r="E19" s="855"/>
      <c r="F19" s="855">
        <v>0</v>
      </c>
      <c r="G19" s="855"/>
      <c r="H19" s="855">
        <v>20653053</v>
      </c>
      <c r="I19" s="855"/>
      <c r="J19" s="855">
        <v>0</v>
      </c>
      <c r="K19" s="855"/>
      <c r="L19" s="855">
        <v>0</v>
      </c>
      <c r="M19" s="855"/>
      <c r="N19" s="1850">
        <f t="shared" si="0"/>
        <v>20653053</v>
      </c>
      <c r="O19" s="1850"/>
      <c r="P19" s="855">
        <v>23213303</v>
      </c>
      <c r="Q19" s="1854"/>
      <c r="R19" s="1854">
        <f t="shared" si="1"/>
        <v>-2560250</v>
      </c>
      <c r="S19" s="854"/>
    </row>
    <row r="20" spans="1:21" ht="15.5">
      <c r="A20" s="716"/>
      <c r="B20" s="844" t="s">
        <v>933</v>
      </c>
      <c r="C20" s="844"/>
      <c r="D20" s="855">
        <v>0</v>
      </c>
      <c r="E20" s="855"/>
      <c r="F20" s="855">
        <v>0</v>
      </c>
      <c r="G20" s="855"/>
      <c r="H20" s="855">
        <v>0</v>
      </c>
      <c r="I20" s="855"/>
      <c r="J20" s="855">
        <v>0</v>
      </c>
      <c r="K20" s="855"/>
      <c r="L20" s="855">
        <v>0</v>
      </c>
      <c r="M20" s="855"/>
      <c r="N20" s="1850">
        <f t="shared" si="0"/>
        <v>0</v>
      </c>
      <c r="O20" s="1850"/>
      <c r="P20" s="855">
        <v>0</v>
      </c>
      <c r="Q20" s="1854"/>
      <c r="R20" s="1854">
        <f t="shared" si="1"/>
        <v>0</v>
      </c>
      <c r="S20" s="854"/>
    </row>
    <row r="21" spans="1:21" ht="15.5">
      <c r="A21" s="716"/>
      <c r="B21" s="844" t="s">
        <v>934</v>
      </c>
      <c r="C21" s="844"/>
      <c r="D21" s="855">
        <v>0</v>
      </c>
      <c r="E21" s="855"/>
      <c r="F21" s="855">
        <v>0</v>
      </c>
      <c r="G21" s="855"/>
      <c r="H21" s="855">
        <v>0</v>
      </c>
      <c r="I21" s="855"/>
      <c r="J21" s="855">
        <v>0</v>
      </c>
      <c r="K21" s="855"/>
      <c r="L21" s="855">
        <v>0</v>
      </c>
      <c r="M21" s="855"/>
      <c r="N21" s="1850">
        <f t="shared" si="0"/>
        <v>0</v>
      </c>
      <c r="O21" s="1850"/>
      <c r="P21" s="855">
        <v>4489575</v>
      </c>
      <c r="Q21" s="1854"/>
      <c r="R21" s="1854">
        <f t="shared" si="1"/>
        <v>-4489575</v>
      </c>
      <c r="S21" s="854"/>
    </row>
    <row r="22" spans="1:21" ht="15.5">
      <c r="A22" s="716"/>
      <c r="B22" s="844" t="s">
        <v>935</v>
      </c>
      <c r="C22" s="844"/>
      <c r="D22" s="855">
        <v>0</v>
      </c>
      <c r="E22" s="855"/>
      <c r="F22" s="855">
        <v>15729435</v>
      </c>
      <c r="G22" s="855"/>
      <c r="H22" s="855">
        <v>0</v>
      </c>
      <c r="I22" s="855"/>
      <c r="J22" s="855">
        <v>0</v>
      </c>
      <c r="K22" s="855"/>
      <c r="L22" s="855">
        <v>0</v>
      </c>
      <c r="M22" s="855"/>
      <c r="N22" s="1850">
        <f t="shared" si="0"/>
        <v>15729435</v>
      </c>
      <c r="O22" s="1850"/>
      <c r="P22" s="855">
        <v>86906420</v>
      </c>
      <c r="Q22" s="1854"/>
      <c r="R22" s="1854">
        <f t="shared" si="1"/>
        <v>-71176985</v>
      </c>
      <c r="S22" s="854"/>
    </row>
    <row r="23" spans="1:21" ht="15.5">
      <c r="A23" s="716"/>
      <c r="B23" s="844" t="s">
        <v>936</v>
      </c>
      <c r="C23" s="844"/>
      <c r="D23" s="855"/>
      <c r="E23" s="855"/>
      <c r="F23" s="855"/>
      <c r="G23" s="1850"/>
      <c r="H23" s="855"/>
      <c r="I23" s="855"/>
      <c r="J23" s="855"/>
      <c r="K23" s="1850"/>
      <c r="L23" s="855"/>
      <c r="M23" s="1850"/>
      <c r="N23" s="1850"/>
      <c r="O23" s="1850"/>
      <c r="P23" s="1853"/>
      <c r="Q23" s="1854"/>
      <c r="R23" s="1850"/>
      <c r="S23" s="854"/>
    </row>
    <row r="24" spans="1:21" ht="17.149999999999999" customHeight="1">
      <c r="A24" s="716"/>
      <c r="B24" s="844" t="s">
        <v>937</v>
      </c>
      <c r="C24" s="844"/>
      <c r="D24" s="855">
        <v>0</v>
      </c>
      <c r="E24" s="855"/>
      <c r="F24" s="855">
        <v>35113219</v>
      </c>
      <c r="G24" s="1850"/>
      <c r="H24" s="855">
        <v>0</v>
      </c>
      <c r="I24" s="855"/>
      <c r="J24" s="855">
        <v>0</v>
      </c>
      <c r="K24" s="1850"/>
      <c r="L24" s="855">
        <v>0</v>
      </c>
      <c r="M24" s="1850"/>
      <c r="N24" s="1850">
        <f>ROUND(SUM(D24:M24),0)</f>
        <v>35113219</v>
      </c>
      <c r="O24" s="1850"/>
      <c r="P24" s="855">
        <v>35716361</v>
      </c>
      <c r="Q24" s="1854"/>
      <c r="R24" s="1854">
        <f t="shared" ref="R24:R29" si="2">SUM(N24-P24,0)</f>
        <v>-603142</v>
      </c>
      <c r="S24" s="854"/>
    </row>
    <row r="25" spans="1:21" ht="15.5">
      <c r="A25" s="716"/>
      <c r="B25" s="844" t="s">
        <v>938</v>
      </c>
      <c r="C25" s="844"/>
      <c r="D25" s="855">
        <v>0</v>
      </c>
      <c r="E25" s="855"/>
      <c r="F25" s="855">
        <v>0</v>
      </c>
      <c r="G25" s="855"/>
      <c r="H25" s="855">
        <v>0</v>
      </c>
      <c r="I25" s="855"/>
      <c r="J25" s="855">
        <v>19791736</v>
      </c>
      <c r="K25" s="855"/>
      <c r="L25" s="855">
        <v>0</v>
      </c>
      <c r="M25" s="855"/>
      <c r="N25" s="1850">
        <f>ROUND(SUM(D25:M25),0)</f>
        <v>19791736</v>
      </c>
      <c r="O25" s="1850"/>
      <c r="P25" s="855">
        <v>61551337</v>
      </c>
      <c r="Q25" s="1854"/>
      <c r="R25" s="1854">
        <f t="shared" si="2"/>
        <v>-41759601</v>
      </c>
      <c r="S25" s="854"/>
    </row>
    <row r="26" spans="1:21" ht="15.5">
      <c r="A26" s="716"/>
      <c r="B26" s="844" t="s">
        <v>939</v>
      </c>
      <c r="C26" s="844"/>
      <c r="D26" s="855"/>
      <c r="E26" s="855"/>
      <c r="F26" s="855"/>
      <c r="G26" s="855"/>
      <c r="H26" s="855"/>
      <c r="I26" s="855"/>
      <c r="J26" s="855"/>
      <c r="K26" s="855"/>
      <c r="L26" s="855"/>
      <c r="M26" s="855"/>
      <c r="N26" s="1850"/>
      <c r="O26" s="1850"/>
      <c r="P26" s="1853"/>
      <c r="Q26" s="1854"/>
      <c r="R26" s="1850"/>
      <c r="S26" s="854"/>
    </row>
    <row r="27" spans="1:21" ht="15.5">
      <c r="A27" s="716"/>
      <c r="B27" s="844" t="s">
        <v>930</v>
      </c>
      <c r="C27" s="844"/>
      <c r="D27" s="855">
        <v>0</v>
      </c>
      <c r="E27" s="855"/>
      <c r="F27" s="855">
        <v>0</v>
      </c>
      <c r="G27" s="855"/>
      <c r="H27" s="855">
        <v>0</v>
      </c>
      <c r="I27" s="855"/>
      <c r="J27" s="855">
        <v>0</v>
      </c>
      <c r="K27" s="855"/>
      <c r="L27" s="855">
        <v>0</v>
      </c>
      <c r="M27" s="855"/>
      <c r="N27" s="1850">
        <f t="shared" ref="N27:N28" si="3">ROUND(SUM(D27:M27),0)</f>
        <v>0</v>
      </c>
      <c r="O27" s="1850"/>
      <c r="P27" s="855">
        <v>0</v>
      </c>
      <c r="Q27" s="1854"/>
      <c r="R27" s="1854">
        <f t="shared" si="2"/>
        <v>0</v>
      </c>
      <c r="S27" s="854"/>
    </row>
    <row r="28" spans="1:21" ht="15.5">
      <c r="A28" s="716"/>
      <c r="B28" s="856" t="s">
        <v>940</v>
      </c>
      <c r="C28" s="857"/>
      <c r="D28" s="855">
        <v>0</v>
      </c>
      <c r="E28" s="855"/>
      <c r="F28" s="855">
        <v>0</v>
      </c>
      <c r="G28" s="855"/>
      <c r="H28" s="855">
        <v>0</v>
      </c>
      <c r="I28" s="855"/>
      <c r="J28" s="855">
        <v>0</v>
      </c>
      <c r="K28" s="855"/>
      <c r="L28" s="855">
        <v>0</v>
      </c>
      <c r="M28" s="855"/>
      <c r="N28" s="1850">
        <f t="shared" si="3"/>
        <v>0</v>
      </c>
      <c r="O28" s="1850"/>
      <c r="P28" s="855">
        <v>0</v>
      </c>
      <c r="Q28" s="1854"/>
      <c r="R28" s="1854">
        <f>SUM(N28-P28,0)</f>
        <v>0</v>
      </c>
      <c r="S28" s="854"/>
    </row>
    <row r="29" spans="1:21" ht="16">
      <c r="A29" s="715"/>
      <c r="B29" s="844" t="s">
        <v>941</v>
      </c>
      <c r="C29" s="844"/>
      <c r="D29" s="855">
        <v>0</v>
      </c>
      <c r="E29" s="855"/>
      <c r="F29" s="855">
        <v>0</v>
      </c>
      <c r="G29" s="855"/>
      <c r="H29" s="855">
        <v>0</v>
      </c>
      <c r="I29" s="855"/>
      <c r="J29" s="855">
        <v>113119529</v>
      </c>
      <c r="K29" s="855"/>
      <c r="L29" s="855">
        <v>64157458</v>
      </c>
      <c r="M29" s="855"/>
      <c r="N29" s="1850">
        <f>ROUND(SUM(D29:M29),0)</f>
        <v>177276987</v>
      </c>
      <c r="O29" s="1850"/>
      <c r="P29" s="855">
        <v>338267938</v>
      </c>
      <c r="Q29" s="1855"/>
      <c r="R29" s="1854">
        <f t="shared" si="2"/>
        <v>-160990951</v>
      </c>
      <c r="S29" s="854"/>
      <c r="U29" s="1856"/>
    </row>
    <row r="30" spans="1:21" ht="16">
      <c r="A30" s="717"/>
      <c r="B30" s="846" t="s">
        <v>942</v>
      </c>
      <c r="C30" s="846"/>
      <c r="D30" s="844"/>
      <c r="E30" s="844"/>
      <c r="F30" s="844"/>
      <c r="G30" s="844"/>
      <c r="H30" s="1847"/>
      <c r="I30" s="1847"/>
      <c r="J30" s="1847"/>
      <c r="K30" s="1847"/>
      <c r="L30" s="1847"/>
      <c r="M30" s="1847"/>
      <c r="N30" s="1847"/>
      <c r="O30" s="1847"/>
      <c r="P30" s="1847"/>
      <c r="Q30" s="1857"/>
      <c r="R30" s="1850"/>
      <c r="S30" s="854"/>
    </row>
    <row r="31" spans="1:21" s="714" customFormat="1" ht="16.5" thickBot="1">
      <c r="B31" s="858" t="s">
        <v>943</v>
      </c>
      <c r="C31" s="848"/>
      <c r="D31" s="859">
        <f>ROUND(SUM(D15:D29),0)</f>
        <v>0</v>
      </c>
      <c r="E31" s="860"/>
      <c r="F31" s="859">
        <f>ROUND(SUM(F15:F29),0)</f>
        <v>63419135</v>
      </c>
      <c r="G31" s="860"/>
      <c r="H31" s="859">
        <f>ROUND(SUM(H15:H29),0)</f>
        <v>20653053</v>
      </c>
      <c r="I31" s="860"/>
      <c r="J31" s="859">
        <f>ROUND(SUM(J15:J29),0)</f>
        <v>334535136</v>
      </c>
      <c r="K31" s="860"/>
      <c r="L31" s="859">
        <f>ROUND(SUM(L15:L29),0)</f>
        <v>119360114</v>
      </c>
      <c r="M31" s="860"/>
      <c r="N31" s="859">
        <f>ROUND(SUM(N15:N29),0)</f>
        <v>537967438</v>
      </c>
      <c r="O31" s="860"/>
      <c r="P31" s="859">
        <f>ROUND(SUM(P15:P29),0)</f>
        <v>1388554832</v>
      </c>
      <c r="Q31" s="860"/>
      <c r="R31" s="859">
        <f>ROUND(SUM(R15:R29),0)</f>
        <v>-850587394</v>
      </c>
      <c r="S31" s="854"/>
    </row>
    <row r="32" spans="1:21" ht="16" thickTop="1">
      <c r="C32" s="850"/>
      <c r="D32" s="844"/>
      <c r="E32" s="844"/>
      <c r="F32" s="844"/>
      <c r="G32" s="844"/>
      <c r="H32" s="844"/>
      <c r="I32" s="844"/>
      <c r="J32" s="844"/>
      <c r="K32" s="844"/>
      <c r="L32" s="844"/>
      <c r="M32" s="844"/>
      <c r="N32" s="844"/>
      <c r="O32" s="844"/>
      <c r="P32" s="844"/>
      <c r="Q32" s="844"/>
      <c r="R32" s="1858"/>
      <c r="S32" s="844"/>
    </row>
    <row r="33" spans="2:18" ht="16">
      <c r="B33" s="466"/>
      <c r="C33" s="844"/>
      <c r="D33" s="844"/>
      <c r="E33" s="844"/>
      <c r="F33" s="844"/>
      <c r="G33" s="844"/>
      <c r="H33" s="844"/>
      <c r="I33" s="844"/>
      <c r="J33" s="844"/>
      <c r="K33" s="844"/>
      <c r="L33" s="1859"/>
      <c r="M33" s="844"/>
      <c r="N33" s="1860" t="s">
        <v>104</v>
      </c>
      <c r="O33" s="844"/>
      <c r="P33" s="844"/>
      <c r="Q33" s="844"/>
      <c r="R33" s="844"/>
    </row>
    <row r="34" spans="2:18" ht="15.5">
      <c r="B34" s="717"/>
      <c r="N34" s="1861" t="s">
        <v>104</v>
      </c>
    </row>
    <row r="35" spans="2:18" ht="15.5">
      <c r="B35" s="717"/>
      <c r="N35" s="1862" t="s">
        <v>104</v>
      </c>
    </row>
    <row r="36" spans="2:18" ht="15.5">
      <c r="B36" s="717"/>
      <c r="N36" s="1861" t="s">
        <v>104</v>
      </c>
    </row>
    <row r="40" spans="2:18">
      <c r="B40" s="713" t="s">
        <v>104</v>
      </c>
    </row>
  </sheetData>
  <dataConsolidate/>
  <pageMargins left="0.25" right="0.25" top="0.5" bottom="0.25" header="0.5" footer="0.25"/>
  <pageSetup scale="50" firstPageNumber="45" orientation="landscape" useFirstPageNumber="1" r:id="rId1"/>
  <headerFooter scaleWithDoc="0" alignWithMargins="0">
    <oddFooter>&amp;C&amp;8&amp;P</oddFooter>
  </headerFooter>
  <customProperties>
    <customPr name="SheetOptions" r:id="rId2"/>
  </customProperties>
  <ignoredErrors>
    <ignoredError sqref="F13 J13:L13" numberStoredAsText="1"/>
  </ignoredError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4">
    <pageSetUpPr autoPageBreaks="0" fitToPage="1"/>
  </sheetPr>
  <dimension ref="B1:L40"/>
  <sheetViews>
    <sheetView showGridLines="0" zoomScaleNormal="100" workbookViewId="0"/>
  </sheetViews>
  <sheetFormatPr defaultColWidth="8.84375" defaultRowHeight="15.5"/>
  <cols>
    <col min="1" max="1" width="2.07421875" style="370" customWidth="1"/>
    <col min="2" max="4" width="9.84375" style="370" customWidth="1"/>
    <col min="5" max="5" width="10.4609375" style="370" customWidth="1"/>
    <col min="6" max="6" width="14.84375" style="370" customWidth="1"/>
    <col min="7" max="7" width="1.07421875" style="370" customWidth="1"/>
    <col min="8" max="8" width="16.84375" style="370" customWidth="1"/>
    <col min="9" max="9" width="1.07421875" style="370" customWidth="1"/>
    <col min="10" max="10" width="16.84375" style="370" bestFit="1" customWidth="1"/>
    <col min="11" max="11" width="9.84375" style="370" customWidth="1"/>
    <col min="12" max="12" width="15.84375" style="370" customWidth="1"/>
    <col min="13" max="16384" width="8.84375" style="370"/>
  </cols>
  <sheetData>
    <row r="1" spans="2:12">
      <c r="B1" s="1233" t="s">
        <v>98</v>
      </c>
    </row>
    <row r="2" spans="2:12">
      <c r="B2" s="432"/>
    </row>
    <row r="3" spans="2:12">
      <c r="B3" s="371" t="s">
        <v>99</v>
      </c>
      <c r="J3" s="544" t="s">
        <v>944</v>
      </c>
    </row>
    <row r="4" spans="2:12">
      <c r="B4" s="433" t="s">
        <v>945</v>
      </c>
    </row>
    <row r="5" spans="2:12">
      <c r="B5" s="825" t="str">
        <f>'Sch 1 '!A8</f>
        <v>FOR THE MONTH OF NOVEMBER 2023</v>
      </c>
      <c r="C5" s="826"/>
      <c r="D5" s="826"/>
      <c r="E5" s="826"/>
      <c r="F5" s="826"/>
      <c r="G5" s="826"/>
      <c r="H5" s="826"/>
      <c r="I5" s="826"/>
      <c r="J5" s="826"/>
      <c r="K5" s="826"/>
      <c r="L5" s="826"/>
    </row>
    <row r="6" spans="2:12">
      <c r="B6" s="825" t="s">
        <v>946</v>
      </c>
      <c r="C6" s="826"/>
      <c r="D6" s="826"/>
      <c r="E6" s="826"/>
      <c r="F6" s="826"/>
      <c r="G6" s="826"/>
      <c r="H6" s="826"/>
      <c r="I6" s="826"/>
      <c r="J6" s="826"/>
      <c r="K6" s="826"/>
      <c r="L6" s="826"/>
    </row>
    <row r="7" spans="2:12" ht="12.65" customHeight="1">
      <c r="B7" s="825" t="s">
        <v>103</v>
      </c>
      <c r="C7" s="827"/>
      <c r="D7" s="827"/>
      <c r="E7" s="827"/>
      <c r="F7" s="827"/>
      <c r="G7" s="827"/>
      <c r="H7" s="827"/>
      <c r="I7" s="827"/>
      <c r="J7" s="827"/>
      <c r="K7" s="827"/>
      <c r="L7" s="827"/>
    </row>
    <row r="8" spans="2:12">
      <c r="B8" s="158"/>
      <c r="G8" s="158"/>
      <c r="I8" s="158"/>
    </row>
    <row r="9" spans="2:12">
      <c r="B9" s="158"/>
      <c r="F9" s="159" t="s">
        <v>110</v>
      </c>
      <c r="G9" s="158"/>
      <c r="H9" s="160" t="s">
        <v>947</v>
      </c>
      <c r="I9" s="158"/>
      <c r="J9" s="159" t="s">
        <v>948</v>
      </c>
    </row>
    <row r="10" spans="2:12">
      <c r="B10" s="158"/>
      <c r="F10" s="161" t="s">
        <v>1557</v>
      </c>
      <c r="G10" s="158"/>
      <c r="H10" s="160" t="s">
        <v>949</v>
      </c>
      <c r="I10" s="158"/>
      <c r="J10" s="160" t="s">
        <v>950</v>
      </c>
    </row>
    <row r="11" spans="2:12">
      <c r="B11" s="158"/>
      <c r="F11" s="795"/>
      <c r="G11" s="158"/>
      <c r="H11" s="795" t="s">
        <v>104</v>
      </c>
      <c r="I11" s="158"/>
      <c r="J11" s="795"/>
    </row>
    <row r="12" spans="2:12">
      <c r="B12" s="162" t="s">
        <v>951</v>
      </c>
      <c r="G12" s="158"/>
      <c r="H12" s="370" t="s">
        <v>104</v>
      </c>
      <c r="I12" s="158"/>
    </row>
    <row r="13" spans="2:12">
      <c r="B13" s="158"/>
      <c r="G13" s="158"/>
      <c r="I13" s="158"/>
    </row>
    <row r="14" spans="2:12">
      <c r="B14" s="340" t="s">
        <v>952</v>
      </c>
      <c r="F14" s="617">
        <v>79759</v>
      </c>
      <c r="G14" s="617"/>
      <c r="H14" s="1191">
        <v>79783</v>
      </c>
      <c r="I14" s="617"/>
      <c r="J14" s="617">
        <v>75444.100000000006</v>
      </c>
    </row>
    <row r="15" spans="2:12">
      <c r="B15" s="340" t="s">
        <v>953</v>
      </c>
      <c r="F15" s="1154">
        <v>5.4559999999999997E-2</v>
      </c>
      <c r="G15" s="368"/>
      <c r="H15" s="1192">
        <v>5.2229999999999999E-2</v>
      </c>
      <c r="I15" s="368"/>
      <c r="J15" s="1154">
        <v>1.8159999999999999E-2</v>
      </c>
    </row>
    <row r="16" spans="2:12">
      <c r="B16" s="368" t="s">
        <v>954</v>
      </c>
      <c r="F16" s="1155">
        <v>356.65800000000002</v>
      </c>
      <c r="G16" s="1193"/>
      <c r="H16" s="1194">
        <v>2776.201</v>
      </c>
      <c r="I16" s="471"/>
      <c r="J16" s="1155">
        <v>846.83199999999999</v>
      </c>
    </row>
    <row r="17" spans="2:11">
      <c r="B17" s="158"/>
      <c r="K17" s="158"/>
    </row>
    <row r="18" spans="2:11">
      <c r="B18" s="158"/>
      <c r="K18" s="158"/>
    </row>
    <row r="19" spans="2:11" ht="15" customHeight="1">
      <c r="B19" s="158"/>
      <c r="K19" s="158"/>
    </row>
    <row r="20" spans="2:11" ht="18">
      <c r="B20" s="461" t="s">
        <v>955</v>
      </c>
      <c r="C20" s="462"/>
      <c r="D20" s="462"/>
      <c r="K20" s="158"/>
    </row>
    <row r="21" spans="2:11">
      <c r="B21" s="158"/>
      <c r="G21" s="315"/>
      <c r="H21" s="315" t="str">
        <f>F10</f>
        <v>NOVEMBER 2023</v>
      </c>
      <c r="I21" s="869"/>
      <c r="J21" s="315" t="s">
        <v>1558</v>
      </c>
      <c r="K21" s="158"/>
    </row>
    <row r="22" spans="2:11">
      <c r="B22" s="158"/>
      <c r="C22" s="463" t="s">
        <v>956</v>
      </c>
      <c r="E22" s="368" t="s">
        <v>104</v>
      </c>
      <c r="G22" s="464"/>
      <c r="H22" s="2094" t="s">
        <v>957</v>
      </c>
      <c r="I22" s="464"/>
      <c r="J22" s="2094" t="s">
        <v>957</v>
      </c>
      <c r="K22" s="158"/>
    </row>
    <row r="23" spans="2:11">
      <c r="B23" s="158"/>
      <c r="C23" s="368" t="s">
        <v>958</v>
      </c>
      <c r="G23" s="618"/>
      <c r="H23" s="619">
        <v>54001.599999999999</v>
      </c>
      <c r="I23" s="618"/>
      <c r="J23" s="619">
        <v>54053</v>
      </c>
      <c r="K23" s="158"/>
    </row>
    <row r="24" spans="2:11">
      <c r="B24" s="158"/>
      <c r="C24" s="368" t="s">
        <v>959</v>
      </c>
      <c r="G24" s="618"/>
      <c r="H24" s="620">
        <v>378</v>
      </c>
      <c r="I24" s="618"/>
      <c r="J24" s="620">
        <v>329.8</v>
      </c>
      <c r="K24" s="158"/>
    </row>
    <row r="25" spans="2:11">
      <c r="B25" s="158"/>
      <c r="C25" s="368" t="s">
        <v>960</v>
      </c>
      <c r="G25" s="618"/>
      <c r="H25" s="620">
        <v>47.5</v>
      </c>
      <c r="I25" s="618"/>
      <c r="J25" s="620">
        <v>1292</v>
      </c>
      <c r="K25" s="158"/>
    </row>
    <row r="26" spans="2:11">
      <c r="B26" s="158"/>
      <c r="C26" s="368" t="s">
        <v>961</v>
      </c>
      <c r="G26" s="621"/>
      <c r="H26" s="620">
        <v>21094.799999999999</v>
      </c>
      <c r="I26" s="621"/>
      <c r="J26" s="620">
        <v>20741.900000000001</v>
      </c>
      <c r="K26" s="158" t="s">
        <v>104</v>
      </c>
    </row>
    <row r="27" spans="2:11">
      <c r="B27" s="158"/>
      <c r="C27" s="368" t="s">
        <v>962</v>
      </c>
      <c r="G27" s="621"/>
      <c r="H27" s="620">
        <v>4073.5</v>
      </c>
      <c r="I27" s="621"/>
      <c r="J27" s="620">
        <v>1801.5</v>
      </c>
      <c r="K27" s="158" t="s">
        <v>104</v>
      </c>
    </row>
    <row r="28" spans="2:11">
      <c r="B28" s="158"/>
      <c r="C28" s="368" t="s">
        <v>963</v>
      </c>
      <c r="G28" s="621"/>
      <c r="H28" s="620">
        <v>3</v>
      </c>
      <c r="I28" s="621"/>
      <c r="J28" s="620">
        <v>13</v>
      </c>
      <c r="K28" s="158"/>
    </row>
    <row r="29" spans="2:11" ht="16" thickBot="1">
      <c r="B29" s="158"/>
      <c r="G29" s="163"/>
      <c r="H29" s="796">
        <f>ROUND(SUM(H23:H28),1)</f>
        <v>79598.399999999994</v>
      </c>
      <c r="I29" s="163"/>
      <c r="J29" s="796">
        <f>ROUND(SUM(J23:J28),1)</f>
        <v>78231.199999999997</v>
      </c>
      <c r="K29" s="158"/>
    </row>
    <row r="30" spans="2:11" ht="16" thickTop="1">
      <c r="B30" s="158"/>
      <c r="G30" s="622"/>
      <c r="H30" s="622"/>
      <c r="I30" s="622"/>
      <c r="K30" s="158"/>
    </row>
    <row r="31" spans="2:11">
      <c r="B31" s="158"/>
      <c r="K31" s="158"/>
    </row>
    <row r="32" spans="2:11">
      <c r="B32" s="162"/>
      <c r="K32" s="158"/>
    </row>
    <row r="33" spans="2:12" ht="192.75" customHeight="1">
      <c r="B33" s="2250" t="s">
        <v>964</v>
      </c>
      <c r="C33" s="2250"/>
      <c r="D33" s="2250"/>
      <c r="E33" s="2250"/>
      <c r="F33" s="2250"/>
      <c r="G33" s="2250"/>
      <c r="H33" s="2250"/>
      <c r="I33" s="2250"/>
      <c r="J33" s="2250"/>
      <c r="K33" s="158"/>
    </row>
    <row r="35" spans="2:12" ht="15" customHeight="1">
      <c r="B35" s="330" t="s">
        <v>965</v>
      </c>
      <c r="C35" s="369"/>
      <c r="D35" s="369"/>
      <c r="E35" s="369"/>
      <c r="F35" s="369"/>
      <c r="G35" s="369"/>
      <c r="H35" s="369"/>
      <c r="I35" s="369"/>
      <c r="J35" s="369"/>
      <c r="K35" s="369"/>
      <c r="L35" s="369"/>
    </row>
    <row r="36" spans="2:12" ht="17.25" customHeight="1">
      <c r="B36" s="367"/>
      <c r="L36" s="158"/>
    </row>
    <row r="37" spans="2:12">
      <c r="B37" s="368"/>
      <c r="C37" s="368"/>
      <c r="L37" s="158"/>
    </row>
    <row r="38" spans="2:12">
      <c r="B38" s="367"/>
      <c r="C38" s="368"/>
      <c r="L38" s="158"/>
    </row>
    <row r="39" spans="2:12">
      <c r="B39" s="158"/>
      <c r="C39" s="368" t="s">
        <v>104</v>
      </c>
      <c r="D39" s="158"/>
      <c r="E39" s="158"/>
      <c r="F39" s="158"/>
      <c r="G39" s="158"/>
      <c r="H39" s="158"/>
      <c r="I39" s="158"/>
      <c r="J39" s="158"/>
    </row>
    <row r="40" spans="2:12">
      <c r="C40" s="368" t="s">
        <v>104</v>
      </c>
    </row>
  </sheetData>
  <mergeCells count="1">
    <mergeCell ref="B33:J33"/>
  </mergeCells>
  <printOptions horizontalCentered="1"/>
  <pageMargins left="0.5" right="0.5" top="1" bottom="0.5" header="0.5" footer="0.25"/>
  <pageSetup scale="70" firstPageNumber="46" orientation="landscape" useFirstPageNumber="1" r:id="rId1"/>
  <headerFooter scaleWithDoc="0" alignWithMargins="0">
    <oddFooter>&amp;C&amp;8&amp;P</oddFooter>
  </headerFooter>
  <customProperties>
    <customPr name="SheetOptions" r:id="rId2"/>
  </customProperties>
  <drawing r:id="rId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5">
    <pageSetUpPr fitToPage="1"/>
  </sheetPr>
  <dimension ref="A1:AG95"/>
  <sheetViews>
    <sheetView showGridLines="0" zoomScale="80" zoomScaleNormal="80" workbookViewId="0"/>
  </sheetViews>
  <sheetFormatPr defaultColWidth="8.84375" defaultRowHeight="15.5"/>
  <cols>
    <col min="1" max="1" width="45.4609375" style="218" customWidth="1"/>
    <col min="2" max="2" width="17" style="702" customWidth="1"/>
    <col min="3" max="3" width="1.84375" style="702" customWidth="1"/>
    <col min="4" max="4" width="17" style="702" customWidth="1"/>
    <col min="5" max="5" width="1.84375" style="701" customWidth="1"/>
    <col min="6" max="6" width="17" style="702" customWidth="1"/>
    <col min="7" max="7" width="1.84375" style="701" customWidth="1"/>
    <col min="8" max="8" width="17" style="702" customWidth="1"/>
    <col min="9" max="9" width="1.84375" style="760" customWidth="1"/>
    <col min="10" max="10" width="17" style="748" customWidth="1"/>
    <col min="11" max="11" width="1.84375" style="748" customWidth="1"/>
    <col min="12" max="12" width="17" style="748" customWidth="1"/>
    <col min="13" max="13" width="1.84375" style="760" customWidth="1"/>
    <col min="14" max="14" width="17" style="748" customWidth="1"/>
    <col min="15" max="15" width="1.84375" style="760" customWidth="1"/>
    <col min="16" max="16" width="17" style="748" customWidth="1"/>
    <col min="17" max="17" width="1.84375" style="760" customWidth="1"/>
    <col min="18" max="18" width="17" style="748" customWidth="1"/>
    <col min="19" max="19" width="1.84375" style="760" customWidth="1"/>
    <col min="20" max="20" width="17" style="748" customWidth="1"/>
    <col min="21" max="21" width="1.84375" style="760" customWidth="1"/>
    <col min="22" max="22" width="17" style="748" customWidth="1"/>
    <col min="23" max="23" width="1.84375" style="760" customWidth="1"/>
    <col min="24" max="24" width="17" style="748" customWidth="1"/>
    <col min="25" max="25" width="1.84375" style="760" customWidth="1"/>
    <col min="26" max="26" width="18.84375" style="761" customWidth="1"/>
    <col min="27" max="27" width="1.53515625" style="603" customWidth="1"/>
    <col min="28" max="28" width="18.84375" style="218" bestFit="1" customWidth="1"/>
    <col min="29" max="29" width="12.84375" style="218" bestFit="1" customWidth="1"/>
    <col min="30" max="16384" width="8.84375" style="218"/>
  </cols>
  <sheetData>
    <row r="1" spans="1:33">
      <c r="A1" s="326" t="s">
        <v>98</v>
      </c>
      <c r="B1" s="599"/>
      <c r="C1" s="599"/>
      <c r="D1" s="599"/>
      <c r="E1" s="599"/>
      <c r="F1" s="599"/>
      <c r="G1" s="599"/>
      <c r="H1" s="599"/>
      <c r="I1" s="599"/>
      <c r="J1" s="599"/>
      <c r="K1" s="599"/>
      <c r="L1" s="599"/>
      <c r="M1" s="599"/>
      <c r="N1" s="599"/>
      <c r="O1" s="599"/>
      <c r="P1" s="599"/>
      <c r="Q1" s="599"/>
      <c r="R1" s="599"/>
      <c r="S1" s="599"/>
      <c r="T1" s="599"/>
      <c r="U1" s="599"/>
      <c r="V1" s="599"/>
      <c r="W1" s="599"/>
      <c r="X1" s="599"/>
      <c r="Y1" s="599"/>
      <c r="Z1" s="599"/>
      <c r="AA1" s="1197"/>
      <c r="AB1" s="599"/>
      <c r="AC1" s="599"/>
      <c r="AD1" s="599"/>
      <c r="AE1" s="599"/>
      <c r="AF1" s="599"/>
      <c r="AG1" s="599"/>
    </row>
    <row r="2" spans="1:33">
      <c r="A2" s="326"/>
      <c r="B2" s="599"/>
      <c r="C2" s="599"/>
      <c r="D2" s="599"/>
      <c r="E2" s="599"/>
      <c r="F2" s="599"/>
      <c r="G2" s="599"/>
      <c r="H2" s="599"/>
      <c r="I2" s="599"/>
      <c r="J2" s="599"/>
      <c r="K2" s="599"/>
      <c r="L2" s="599"/>
      <c r="M2" s="599"/>
      <c r="N2" s="599"/>
      <c r="O2" s="599"/>
      <c r="P2" s="599"/>
      <c r="Q2" s="599"/>
      <c r="R2" s="599"/>
      <c r="S2" s="599"/>
      <c r="T2" s="599"/>
      <c r="U2" s="599"/>
      <c r="V2" s="599"/>
      <c r="W2" s="599"/>
      <c r="X2" s="599"/>
      <c r="Y2" s="599"/>
      <c r="Z2" s="599"/>
      <c r="AA2" s="1197"/>
      <c r="AB2" s="599"/>
      <c r="AC2" s="599"/>
      <c r="AD2" s="599"/>
      <c r="AE2" s="599"/>
      <c r="AF2" s="599"/>
      <c r="AG2" s="599"/>
    </row>
    <row r="3" spans="1:33" ht="17.899999999999999" customHeight="1">
      <c r="A3" s="424" t="s">
        <v>99</v>
      </c>
      <c r="B3" s="215"/>
      <c r="C3" s="215"/>
      <c r="D3" s="216"/>
      <c r="E3" s="217"/>
      <c r="F3" s="216"/>
      <c r="G3" s="217"/>
      <c r="H3" s="216"/>
      <c r="I3" s="217"/>
      <c r="K3" s="215"/>
      <c r="L3" s="749"/>
      <c r="M3" s="215"/>
      <c r="N3" s="216"/>
      <c r="O3" s="217"/>
      <c r="P3" s="216"/>
      <c r="Q3" s="217"/>
      <c r="R3" s="216"/>
      <c r="S3" s="217"/>
      <c r="T3" s="216"/>
      <c r="U3" s="217"/>
      <c r="V3" s="216"/>
      <c r="W3" s="217"/>
      <c r="X3" s="216"/>
      <c r="Y3" s="217"/>
      <c r="Z3" s="750" t="s">
        <v>966</v>
      </c>
      <c r="AA3" s="1198"/>
      <c r="AC3" s="215"/>
      <c r="AE3" s="215"/>
    </row>
    <row r="4" spans="1:33" ht="17.899999999999999" customHeight="1">
      <c r="A4" s="424" t="s">
        <v>967</v>
      </c>
      <c r="B4" s="600"/>
      <c r="C4" s="600"/>
      <c r="D4" s="219"/>
      <c r="E4" s="217"/>
      <c r="F4" s="600"/>
      <c r="G4" s="217"/>
      <c r="H4" s="600"/>
      <c r="I4" s="217"/>
      <c r="J4" s="600"/>
      <c r="K4" s="600"/>
      <c r="L4" s="600"/>
      <c r="M4" s="220"/>
      <c r="N4" s="600"/>
      <c r="O4" s="217"/>
      <c r="P4" s="600"/>
      <c r="Q4" s="217"/>
      <c r="R4" s="600"/>
      <c r="S4" s="217"/>
      <c r="T4" s="600"/>
      <c r="U4" s="217"/>
      <c r="V4" s="600"/>
      <c r="W4" s="217"/>
      <c r="X4" s="600"/>
      <c r="Y4" s="217"/>
      <c r="Z4" s="751"/>
      <c r="AA4" s="1198"/>
      <c r="AC4" s="215"/>
    </row>
    <row r="5" spans="1:33" ht="17.899999999999999" customHeight="1">
      <c r="A5" s="425" t="s">
        <v>968</v>
      </c>
      <c r="B5" s="600"/>
      <c r="C5" s="600"/>
      <c r="D5" s="600"/>
      <c r="E5" s="217"/>
      <c r="F5" s="600"/>
      <c r="G5" s="217"/>
      <c r="H5" s="600"/>
      <c r="I5" s="217"/>
      <c r="J5" s="600"/>
      <c r="K5" s="600"/>
      <c r="L5" s="600"/>
      <c r="M5" s="220"/>
      <c r="N5" s="600"/>
      <c r="O5" s="217"/>
      <c r="P5" s="600"/>
      <c r="Q5" s="217"/>
      <c r="R5" s="600"/>
      <c r="S5" s="217"/>
      <c r="T5" s="600"/>
      <c r="U5" s="217"/>
      <c r="V5" s="600"/>
      <c r="W5" s="217"/>
      <c r="X5" s="600"/>
      <c r="Y5" s="217"/>
      <c r="Z5" s="751"/>
    </row>
    <row r="6" spans="1:33" ht="17.899999999999999" customHeight="1">
      <c r="A6" s="222" t="str">
        <f>'Cashflow Governmental'!A6</f>
        <v>FISCAL YEAR 2023-2024</v>
      </c>
      <c r="B6" s="600"/>
      <c r="C6" s="600"/>
      <c r="D6" s="224"/>
      <c r="E6" s="217"/>
      <c r="F6" s="600"/>
      <c r="G6" s="217"/>
      <c r="H6" s="600"/>
      <c r="I6" s="217"/>
      <c r="J6" s="600"/>
      <c r="K6" s="600"/>
      <c r="L6" s="600"/>
      <c r="M6" s="220"/>
      <c r="N6" s="600"/>
      <c r="O6" s="217"/>
      <c r="P6" s="600"/>
      <c r="Q6" s="217"/>
      <c r="R6" s="600"/>
      <c r="S6" s="217"/>
      <c r="T6" s="600"/>
      <c r="U6" s="217"/>
      <c r="V6" s="600"/>
      <c r="W6" s="217"/>
      <c r="X6" s="600"/>
      <c r="Y6" s="217"/>
      <c r="Z6" s="751"/>
    </row>
    <row r="7" spans="1:33" ht="18">
      <c r="A7" s="223"/>
      <c r="B7" s="600"/>
      <c r="C7" s="600"/>
      <c r="D7" s="600"/>
      <c r="E7" s="217"/>
      <c r="F7" s="600"/>
      <c r="G7" s="217"/>
      <c r="H7" s="600"/>
      <c r="I7" s="217"/>
      <c r="J7" s="600"/>
      <c r="K7" s="600"/>
      <c r="L7" s="600"/>
      <c r="M7" s="220"/>
      <c r="N7" s="600"/>
      <c r="O7" s="217"/>
      <c r="P7" s="600"/>
      <c r="Q7" s="217"/>
      <c r="R7" s="602"/>
      <c r="S7" s="217"/>
      <c r="T7" s="602"/>
      <c r="U7" s="217"/>
      <c r="V7" s="602"/>
      <c r="W7" s="217"/>
      <c r="X7" s="602"/>
      <c r="Y7" s="217"/>
      <c r="Z7" s="751"/>
    </row>
    <row r="8" spans="1:33">
      <c r="A8" s="214"/>
      <c r="B8" s="600"/>
      <c r="C8" s="600"/>
      <c r="D8" s="600"/>
      <c r="E8" s="217"/>
      <c r="F8" s="600"/>
      <c r="G8" s="217"/>
      <c r="H8" s="600"/>
      <c r="I8" s="217"/>
      <c r="J8" s="600"/>
      <c r="K8" s="600"/>
      <c r="L8" s="600"/>
      <c r="M8" s="217"/>
      <c r="N8" s="600"/>
      <c r="O8" s="217"/>
      <c r="P8" s="600"/>
      <c r="Q8" s="217"/>
      <c r="R8" s="600"/>
      <c r="S8" s="217"/>
      <c r="T8" s="600"/>
      <c r="U8" s="217"/>
      <c r="V8" s="600"/>
      <c r="W8" s="217"/>
      <c r="X8" s="600"/>
      <c r="Y8" s="217"/>
      <c r="Z8" s="225"/>
      <c r="AA8" s="226"/>
    </row>
    <row r="9" spans="1:33">
      <c r="A9" s="603"/>
      <c r="B9" s="476" t="str">
        <f>'Cashflow Governmental'!C13</f>
        <v>2023</v>
      </c>
      <c r="C9" s="227"/>
      <c r="D9" s="227"/>
      <c r="E9" s="220"/>
      <c r="F9" s="227"/>
      <c r="G9" s="220"/>
      <c r="H9" s="227"/>
      <c r="I9" s="220"/>
      <c r="J9" s="227"/>
      <c r="K9" s="227"/>
      <c r="L9" s="228"/>
      <c r="M9" s="220"/>
      <c r="N9" s="228"/>
      <c r="O9" s="220"/>
      <c r="P9" s="228"/>
      <c r="Q9" s="220"/>
      <c r="R9" s="228"/>
      <c r="S9" s="220"/>
      <c r="T9" s="476">
        <f>'Cashflow Governmental'!U13</f>
        <v>2024</v>
      </c>
      <c r="U9" s="220"/>
      <c r="V9" s="228"/>
      <c r="W9" s="220"/>
      <c r="X9" s="228"/>
      <c r="Y9" s="220"/>
      <c r="Z9" s="228" t="s">
        <v>1556</v>
      </c>
      <c r="AA9" s="228"/>
    </row>
    <row r="10" spans="1:33">
      <c r="A10" s="603"/>
      <c r="B10" s="229" t="s">
        <v>358</v>
      </c>
      <c r="C10" s="229"/>
      <c r="D10" s="228" t="s">
        <v>359</v>
      </c>
      <c r="E10" s="220"/>
      <c r="F10" s="228" t="s">
        <v>360</v>
      </c>
      <c r="G10" s="220"/>
      <c r="H10" s="228" t="s">
        <v>361</v>
      </c>
      <c r="I10" s="220"/>
      <c r="J10" s="824" t="s">
        <v>362</v>
      </c>
      <c r="K10" s="230"/>
      <c r="L10" s="228" t="s">
        <v>475</v>
      </c>
      <c r="M10" s="220"/>
      <c r="N10" s="228" t="s">
        <v>476</v>
      </c>
      <c r="O10" s="220"/>
      <c r="P10" s="228" t="s">
        <v>365</v>
      </c>
      <c r="Q10" s="220"/>
      <c r="R10" s="228" t="s">
        <v>366</v>
      </c>
      <c r="S10" s="220"/>
      <c r="T10" s="228" t="s">
        <v>367</v>
      </c>
      <c r="U10" s="220"/>
      <c r="V10" s="228" t="s">
        <v>368</v>
      </c>
      <c r="W10" s="220"/>
      <c r="X10" s="228" t="s">
        <v>477</v>
      </c>
      <c r="Y10" s="220"/>
      <c r="Z10" s="231">
        <v>45260</v>
      </c>
      <c r="AA10" s="231"/>
    </row>
    <row r="11" spans="1:33">
      <c r="A11" s="603"/>
      <c r="B11" s="780" t="s">
        <v>104</v>
      </c>
      <c r="C11" s="604"/>
      <c r="D11" s="780"/>
      <c r="E11" s="605"/>
      <c r="F11" s="780"/>
      <c r="G11" s="605"/>
      <c r="H11" s="780"/>
      <c r="I11" s="605"/>
      <c r="J11" s="780"/>
      <c r="K11" s="230"/>
      <c r="L11" s="780"/>
      <c r="M11" s="605"/>
      <c r="N11" s="780"/>
      <c r="O11" s="605"/>
      <c r="P11" s="780"/>
      <c r="Q11" s="605"/>
      <c r="R11" s="780"/>
      <c r="S11" s="605"/>
      <c r="T11" s="780"/>
      <c r="U11" s="605"/>
      <c r="V11" s="780"/>
      <c r="W11" s="605"/>
      <c r="X11" s="780"/>
      <c r="Y11" s="605"/>
      <c r="Z11" s="1661" t="s">
        <v>104</v>
      </c>
    </row>
    <row r="12" spans="1:33" s="233" customFormat="1">
      <c r="A12" s="236" t="s">
        <v>969</v>
      </c>
      <c r="B12" s="232">
        <v>90821267</v>
      </c>
      <c r="C12" s="232"/>
      <c r="D12" s="232">
        <f>B46</f>
        <v>294767158</v>
      </c>
      <c r="E12" s="606"/>
      <c r="F12" s="232">
        <f>D46</f>
        <v>436601115</v>
      </c>
      <c r="G12" s="606"/>
      <c r="H12" s="232">
        <f>F46</f>
        <v>417186846</v>
      </c>
      <c r="I12" s="606"/>
      <c r="J12" s="232">
        <f>H46</f>
        <v>570492526</v>
      </c>
      <c r="K12" s="232"/>
      <c r="L12" s="232">
        <f>J46</f>
        <v>693824034</v>
      </c>
      <c r="M12" s="230"/>
      <c r="N12" s="232">
        <f>L46</f>
        <v>553977860</v>
      </c>
      <c r="O12" s="232"/>
      <c r="P12" s="232">
        <f>N46</f>
        <v>683591701</v>
      </c>
      <c r="Q12" s="232"/>
      <c r="R12" s="232"/>
      <c r="S12" s="232"/>
      <c r="T12" s="232"/>
      <c r="U12" s="232"/>
      <c r="V12" s="232"/>
      <c r="W12" s="232"/>
      <c r="X12" s="232"/>
      <c r="Y12" s="232"/>
      <c r="Z12" s="232">
        <f>+B12</f>
        <v>90821267</v>
      </c>
      <c r="AA12" s="1199"/>
    </row>
    <row r="13" spans="1:33">
      <c r="A13" s="607"/>
      <c r="B13" s="608"/>
      <c r="C13" s="608"/>
      <c r="D13" s="608"/>
      <c r="E13" s="608"/>
      <c r="F13" s="608"/>
      <c r="G13" s="608"/>
      <c r="H13" s="608"/>
      <c r="I13" s="608"/>
      <c r="J13" s="608"/>
      <c r="K13" s="230"/>
      <c r="L13" s="608"/>
      <c r="M13" s="608"/>
      <c r="N13" s="608"/>
      <c r="O13" s="608"/>
      <c r="P13" s="608"/>
      <c r="Q13" s="608"/>
      <c r="R13" s="608"/>
      <c r="S13" s="608"/>
      <c r="T13" s="608"/>
      <c r="U13" s="608"/>
      <c r="V13" s="608"/>
      <c r="W13" s="608"/>
      <c r="X13" s="608"/>
      <c r="Y13" s="608"/>
      <c r="Z13" s="752"/>
    </row>
    <row r="14" spans="1:33">
      <c r="A14" s="234" t="s">
        <v>115</v>
      </c>
      <c r="B14" s="608"/>
      <c r="C14" s="608"/>
      <c r="D14" s="608"/>
      <c r="E14" s="608"/>
      <c r="F14" s="608"/>
      <c r="G14" s="608"/>
      <c r="H14" s="608"/>
      <c r="I14" s="608"/>
      <c r="J14" s="608"/>
      <c r="K14" s="608"/>
      <c r="L14" s="608"/>
      <c r="M14" s="608"/>
      <c r="N14" s="608"/>
      <c r="O14" s="608"/>
      <c r="P14" s="608"/>
      <c r="Q14" s="608"/>
      <c r="R14" s="608"/>
      <c r="S14" s="608"/>
      <c r="T14" s="608"/>
      <c r="U14" s="608"/>
      <c r="V14" s="608"/>
      <c r="W14" s="608"/>
      <c r="X14" s="608"/>
      <c r="Y14" s="608"/>
      <c r="Z14" s="752"/>
    </row>
    <row r="15" spans="1:33">
      <c r="A15" s="426" t="s">
        <v>970</v>
      </c>
      <c r="B15" s="610">
        <v>51854437</v>
      </c>
      <c r="C15" s="610"/>
      <c r="D15" s="610">
        <v>51673109</v>
      </c>
      <c r="E15" s="610"/>
      <c r="F15" s="610">
        <v>48732059</v>
      </c>
      <c r="G15" s="610"/>
      <c r="H15" s="610">
        <v>50556346</v>
      </c>
      <c r="I15" s="610"/>
      <c r="J15" s="610">
        <v>50810274</v>
      </c>
      <c r="K15" s="610"/>
      <c r="L15" s="610">
        <v>46896976</v>
      </c>
      <c r="M15" s="608"/>
      <c r="N15" s="610">
        <v>63094823</v>
      </c>
      <c r="O15" s="610"/>
      <c r="P15" s="610">
        <f>$Z15-$B15-$D15-$F15-$H15-$J15-$L15-$N15</f>
        <v>54314918</v>
      </c>
      <c r="Q15" s="610"/>
      <c r="R15" s="610"/>
      <c r="S15" s="610"/>
      <c r="T15" s="610"/>
      <c r="U15" s="610"/>
      <c r="V15" s="610"/>
      <c r="W15" s="610"/>
      <c r="X15" s="610"/>
      <c r="Y15" s="610"/>
      <c r="Z15" s="610">
        <v>417932942</v>
      </c>
    </row>
    <row r="16" spans="1:33">
      <c r="A16" s="426" t="s">
        <v>971</v>
      </c>
      <c r="B16" s="610">
        <v>1080000</v>
      </c>
      <c r="C16" s="610"/>
      <c r="D16" s="610">
        <v>1056000</v>
      </c>
      <c r="E16" s="610"/>
      <c r="F16" s="610">
        <v>1156000</v>
      </c>
      <c r="G16" s="610"/>
      <c r="H16" s="610">
        <v>1119000</v>
      </c>
      <c r="I16" s="610"/>
      <c r="J16" s="610">
        <v>1210000</v>
      </c>
      <c r="K16" s="610"/>
      <c r="L16" s="610">
        <v>1595000</v>
      </c>
      <c r="M16" s="608"/>
      <c r="N16" s="610">
        <v>1166000</v>
      </c>
      <c r="O16" s="610"/>
      <c r="P16" s="610">
        <f t="shared" ref="P16:P24" si="0">$Z16-$B16-$D16-$F16-$H16-$J16-$L16-$N16</f>
        <v>511000</v>
      </c>
      <c r="Q16" s="610"/>
      <c r="R16" s="610"/>
      <c r="S16" s="610"/>
      <c r="T16" s="610"/>
      <c r="U16" s="610"/>
      <c r="V16" s="610"/>
      <c r="W16" s="610"/>
      <c r="X16" s="610"/>
      <c r="Y16" s="610"/>
      <c r="Z16" s="610">
        <v>8893000</v>
      </c>
    </row>
    <row r="17" spans="1:28">
      <c r="A17" s="426" t="s">
        <v>972</v>
      </c>
      <c r="B17" s="610">
        <v>151905</v>
      </c>
      <c r="C17" s="610"/>
      <c r="D17" s="610">
        <v>374539</v>
      </c>
      <c r="E17" s="610"/>
      <c r="F17" s="610">
        <v>6036495</v>
      </c>
      <c r="G17" s="610"/>
      <c r="H17" s="610">
        <v>101909</v>
      </c>
      <c r="I17" s="610"/>
      <c r="J17" s="610">
        <v>75766</v>
      </c>
      <c r="K17" s="610"/>
      <c r="L17" s="610">
        <v>6383886</v>
      </c>
      <c r="M17" s="608"/>
      <c r="N17" s="610">
        <v>308924</v>
      </c>
      <c r="O17" s="610"/>
      <c r="P17" s="610">
        <f t="shared" si="0"/>
        <v>136759</v>
      </c>
      <c r="Q17" s="610"/>
      <c r="R17" s="610"/>
      <c r="S17" s="610"/>
      <c r="T17" s="610"/>
      <c r="U17" s="610"/>
      <c r="V17" s="610"/>
      <c r="W17" s="610"/>
      <c r="X17" s="610"/>
      <c r="Y17" s="610"/>
      <c r="Z17" s="610">
        <v>13570183</v>
      </c>
    </row>
    <row r="18" spans="1:28">
      <c r="A18" s="426" t="s">
        <v>973</v>
      </c>
      <c r="B18" s="610">
        <v>1949756</v>
      </c>
      <c r="C18" s="610"/>
      <c r="D18" s="610">
        <v>1595643</v>
      </c>
      <c r="E18" s="610"/>
      <c r="F18" s="610">
        <v>2820578</v>
      </c>
      <c r="G18" s="610"/>
      <c r="H18" s="610">
        <v>3436525</v>
      </c>
      <c r="I18" s="610"/>
      <c r="J18" s="610">
        <v>2310438</v>
      </c>
      <c r="K18" s="610"/>
      <c r="L18" s="610">
        <v>4558590</v>
      </c>
      <c r="M18" s="608"/>
      <c r="N18" s="610">
        <v>4323740</v>
      </c>
      <c r="O18" s="610"/>
      <c r="P18" s="610">
        <f t="shared" si="0"/>
        <v>3890644</v>
      </c>
      <c r="Q18" s="610"/>
      <c r="R18" s="610"/>
      <c r="S18" s="610"/>
      <c r="T18" s="610"/>
      <c r="U18" s="610"/>
      <c r="V18" s="610"/>
      <c r="W18" s="610"/>
      <c r="X18" s="610"/>
      <c r="Y18" s="610"/>
      <c r="Z18" s="610">
        <v>24885914</v>
      </c>
    </row>
    <row r="19" spans="1:28">
      <c r="A19" s="426" t="s">
        <v>974</v>
      </c>
      <c r="B19" s="610">
        <v>546447217</v>
      </c>
      <c r="C19" s="610"/>
      <c r="D19" s="610">
        <v>546892522</v>
      </c>
      <c r="E19" s="610"/>
      <c r="F19" s="610">
        <v>514418106</v>
      </c>
      <c r="G19" s="610"/>
      <c r="H19" s="610">
        <v>560757792</v>
      </c>
      <c r="I19" s="610"/>
      <c r="J19" s="610">
        <v>575768723</v>
      </c>
      <c r="K19" s="610"/>
      <c r="L19" s="610">
        <v>508079677</v>
      </c>
      <c r="M19" s="608"/>
      <c r="N19" s="610">
        <v>588109909</v>
      </c>
      <c r="O19" s="610"/>
      <c r="P19" s="610">
        <f t="shared" si="0"/>
        <v>516880316</v>
      </c>
      <c r="Q19" s="610"/>
      <c r="R19" s="610"/>
      <c r="S19" s="610"/>
      <c r="T19" s="610"/>
      <c r="U19" s="610"/>
      <c r="V19" s="610"/>
      <c r="W19" s="610"/>
      <c r="X19" s="610"/>
      <c r="Y19" s="610"/>
      <c r="Z19" s="610">
        <v>4357354262</v>
      </c>
    </row>
    <row r="20" spans="1:28">
      <c r="A20" s="426" t="s">
        <v>975</v>
      </c>
      <c r="B20" s="610">
        <v>126000</v>
      </c>
      <c r="C20" s="612"/>
      <c r="D20" s="610">
        <v>260000</v>
      </c>
      <c r="E20" s="610"/>
      <c r="F20" s="610">
        <v>2398000</v>
      </c>
      <c r="G20" s="610"/>
      <c r="H20" s="610">
        <v>278000</v>
      </c>
      <c r="I20" s="610"/>
      <c r="J20" s="610">
        <v>97000</v>
      </c>
      <c r="K20" s="614"/>
      <c r="L20" s="610">
        <v>292000</v>
      </c>
      <c r="M20" s="608"/>
      <c r="N20" s="610">
        <v>182000</v>
      </c>
      <c r="O20" s="610"/>
      <c r="P20" s="610">
        <f t="shared" si="0"/>
        <v>55000</v>
      </c>
      <c r="Q20" s="610"/>
      <c r="R20" s="610"/>
      <c r="S20" s="610"/>
      <c r="T20" s="610"/>
      <c r="U20" s="610"/>
      <c r="V20" s="610"/>
      <c r="W20" s="612"/>
      <c r="X20" s="610"/>
      <c r="Y20" s="610"/>
      <c r="Z20" s="610">
        <v>3688000</v>
      </c>
    </row>
    <row r="21" spans="1:28">
      <c r="A21" s="426" t="s">
        <v>976</v>
      </c>
      <c r="B21" s="610">
        <v>3829132</v>
      </c>
      <c r="C21" s="612"/>
      <c r="D21" s="610">
        <v>478535</v>
      </c>
      <c r="E21" s="610"/>
      <c r="F21" s="610">
        <v>6906516</v>
      </c>
      <c r="G21" s="610"/>
      <c r="H21" s="610">
        <v>4925505</v>
      </c>
      <c r="I21" s="610"/>
      <c r="J21" s="610">
        <v>3412782</v>
      </c>
      <c r="K21" s="614"/>
      <c r="L21" s="610">
        <v>5555104</v>
      </c>
      <c r="M21" s="608"/>
      <c r="N21" s="610">
        <v>4028761</v>
      </c>
      <c r="O21" s="610"/>
      <c r="P21" s="610">
        <f t="shared" si="0"/>
        <v>89000</v>
      </c>
      <c r="Q21" s="610"/>
      <c r="R21" s="610"/>
      <c r="S21" s="610"/>
      <c r="T21" s="610"/>
      <c r="U21" s="610"/>
      <c r="V21" s="610"/>
      <c r="W21" s="612"/>
      <c r="X21" s="610"/>
      <c r="Y21" s="610"/>
      <c r="Z21" s="610">
        <v>29225335</v>
      </c>
    </row>
    <row r="22" spans="1:28">
      <c r="A22" s="426" t="s">
        <v>977</v>
      </c>
      <c r="B22" s="610">
        <v>0</v>
      </c>
      <c r="C22" s="612"/>
      <c r="D22" s="610">
        <v>0</v>
      </c>
      <c r="E22" s="610"/>
      <c r="F22" s="610">
        <v>0</v>
      </c>
      <c r="G22" s="610"/>
      <c r="H22" s="610">
        <v>0</v>
      </c>
      <c r="I22" s="610"/>
      <c r="J22" s="610">
        <v>0</v>
      </c>
      <c r="K22" s="614"/>
      <c r="L22" s="610">
        <v>0</v>
      </c>
      <c r="M22" s="608"/>
      <c r="N22" s="610">
        <v>0</v>
      </c>
      <c r="O22" s="610"/>
      <c r="P22" s="610">
        <f t="shared" si="0"/>
        <v>0</v>
      </c>
      <c r="Q22" s="610"/>
      <c r="R22" s="610"/>
      <c r="S22" s="610"/>
      <c r="T22" s="610"/>
      <c r="U22" s="610"/>
      <c r="V22" s="610"/>
      <c r="W22" s="612"/>
      <c r="X22" s="610"/>
      <c r="Y22" s="610"/>
      <c r="Z22" s="610">
        <v>0</v>
      </c>
    </row>
    <row r="23" spans="1:28">
      <c r="A23" s="427" t="s">
        <v>978</v>
      </c>
      <c r="B23" s="610">
        <v>0</v>
      </c>
      <c r="C23" s="612"/>
      <c r="D23" s="610">
        <v>0</v>
      </c>
      <c r="E23" s="610"/>
      <c r="F23" s="610">
        <v>0</v>
      </c>
      <c r="G23" s="610"/>
      <c r="H23" s="610">
        <v>0</v>
      </c>
      <c r="I23" s="610"/>
      <c r="J23" s="610">
        <v>0</v>
      </c>
      <c r="K23" s="614"/>
      <c r="L23" s="610">
        <v>0</v>
      </c>
      <c r="M23" s="608"/>
      <c r="N23" s="610">
        <v>0</v>
      </c>
      <c r="O23" s="610"/>
      <c r="P23" s="610">
        <f t="shared" si="0"/>
        <v>0</v>
      </c>
      <c r="Q23" s="610"/>
      <c r="R23" s="610"/>
      <c r="S23" s="610"/>
      <c r="T23" s="610"/>
      <c r="U23" s="610"/>
      <c r="V23" s="610"/>
      <c r="W23" s="612"/>
      <c r="X23" s="610"/>
      <c r="Y23" s="610"/>
      <c r="Z23" s="610">
        <v>0</v>
      </c>
    </row>
    <row r="24" spans="1:28">
      <c r="A24" s="426" t="s">
        <v>979</v>
      </c>
      <c r="B24" s="610">
        <v>0</v>
      </c>
      <c r="C24" s="614"/>
      <c r="D24" s="610">
        <v>0</v>
      </c>
      <c r="E24" s="610"/>
      <c r="F24" s="610">
        <v>0</v>
      </c>
      <c r="G24" s="610"/>
      <c r="H24" s="610">
        <v>0</v>
      </c>
      <c r="I24" s="610"/>
      <c r="J24" s="610">
        <v>137</v>
      </c>
      <c r="K24" s="610"/>
      <c r="L24" s="610">
        <v>75000000</v>
      </c>
      <c r="M24" s="608"/>
      <c r="N24" s="610">
        <v>10464</v>
      </c>
      <c r="O24" s="610"/>
      <c r="P24" s="610">
        <f t="shared" si="0"/>
        <v>0</v>
      </c>
      <c r="Q24" s="610"/>
      <c r="R24" s="610"/>
      <c r="S24" s="610"/>
      <c r="T24" s="610"/>
      <c r="U24" s="610"/>
      <c r="V24" s="610"/>
      <c r="W24" s="610"/>
      <c r="X24" s="610"/>
      <c r="Y24" s="610"/>
      <c r="Z24" s="1864">
        <v>75010601</v>
      </c>
    </row>
    <row r="25" spans="1:28" s="233" customFormat="1">
      <c r="A25" s="234" t="s">
        <v>457</v>
      </c>
      <c r="B25" s="747">
        <f>ROUND(SUM(B15:B24),0)</f>
        <v>605438447</v>
      </c>
      <c r="C25" s="235"/>
      <c r="D25" s="747">
        <f>ROUND(SUM(D15:D24),0)</f>
        <v>602330348</v>
      </c>
      <c r="E25" s="235"/>
      <c r="F25" s="1978">
        <f>ROUND(SUM(F15:F24),0)</f>
        <v>582467754</v>
      </c>
      <c r="G25" s="235"/>
      <c r="H25" s="1978">
        <f>ROUND(SUM(H15:H24),0)</f>
        <v>621175077</v>
      </c>
      <c r="I25" s="235"/>
      <c r="J25" s="747">
        <f>ROUND(SUM(J15:J24),0)</f>
        <v>633685120</v>
      </c>
      <c r="K25" s="235"/>
      <c r="L25" s="747">
        <f>ROUND(SUM(L15:L24),0)</f>
        <v>648361233</v>
      </c>
      <c r="M25" s="230"/>
      <c r="N25" s="747">
        <f>ROUND(SUM(N15:N24),0)</f>
        <v>661224621</v>
      </c>
      <c r="O25" s="235"/>
      <c r="P25" s="747">
        <f>ROUND(SUM(P15:P24),0)</f>
        <v>575877637</v>
      </c>
      <c r="Q25" s="235"/>
      <c r="R25" s="747">
        <f>ROUND(SUM(R15:R24),0)</f>
        <v>0</v>
      </c>
      <c r="S25" s="235"/>
      <c r="T25" s="747">
        <f>ROUND(SUM(T15:T24),0)</f>
        <v>0</v>
      </c>
      <c r="U25" s="235"/>
      <c r="V25" s="747">
        <f>ROUND(SUM(V15:V24),0)</f>
        <v>0</v>
      </c>
      <c r="W25" s="235"/>
      <c r="X25" s="747">
        <f>ROUND(SUM(X15:X24),0)</f>
        <v>0</v>
      </c>
      <c r="Y25" s="235"/>
      <c r="Z25" s="747">
        <f>ROUND(SUM(Z15:Z24),0)</f>
        <v>4930560237</v>
      </c>
      <c r="AA25" s="1199"/>
      <c r="AB25" s="753"/>
    </row>
    <row r="26" spans="1:28">
      <c r="A26" s="607"/>
      <c r="B26" s="610"/>
      <c r="C26" s="610"/>
      <c r="D26" s="610"/>
      <c r="E26" s="610"/>
      <c r="F26" s="610"/>
      <c r="G26" s="610"/>
      <c r="H26" s="610"/>
      <c r="I26" s="610"/>
      <c r="J26" s="610"/>
      <c r="K26" s="610"/>
      <c r="L26" s="610"/>
      <c r="M26" s="608"/>
      <c r="N26" s="610"/>
      <c r="O26" s="610"/>
      <c r="P26" s="610"/>
      <c r="Q26" s="610"/>
      <c r="R26" s="610"/>
      <c r="S26" s="610"/>
      <c r="T26" s="610"/>
      <c r="U26" s="610"/>
      <c r="V26" s="610"/>
      <c r="W26" s="610"/>
      <c r="X26" s="610"/>
      <c r="Y26" s="610"/>
      <c r="Z26" s="611"/>
    </row>
    <row r="27" spans="1:28">
      <c r="A27" s="234" t="s">
        <v>123</v>
      </c>
      <c r="B27" s="610"/>
      <c r="C27" s="610"/>
      <c r="D27" s="610"/>
      <c r="E27" s="610"/>
      <c r="F27" s="610"/>
      <c r="G27" s="610"/>
      <c r="H27" s="610"/>
      <c r="I27" s="610"/>
      <c r="J27" s="610"/>
      <c r="K27" s="610"/>
      <c r="L27" s="610"/>
      <c r="M27" s="608"/>
      <c r="N27" s="610"/>
      <c r="O27" s="610"/>
      <c r="P27" s="610"/>
      <c r="Q27" s="610"/>
      <c r="R27" s="610"/>
      <c r="S27" s="610"/>
      <c r="T27" s="610"/>
      <c r="U27" s="610"/>
      <c r="V27" s="610"/>
      <c r="W27" s="610"/>
      <c r="X27" s="610"/>
      <c r="Y27" s="610"/>
      <c r="Z27" s="611"/>
    </row>
    <row r="28" spans="1:28">
      <c r="A28" s="426" t="s">
        <v>980</v>
      </c>
      <c r="B28" s="610">
        <v>399440913</v>
      </c>
      <c r="C28" s="610"/>
      <c r="D28" s="610">
        <v>455108005</v>
      </c>
      <c r="E28" s="610"/>
      <c r="F28" s="610">
        <v>593649284</v>
      </c>
      <c r="G28" s="610"/>
      <c r="H28" s="610">
        <v>464678359</v>
      </c>
      <c r="I28" s="610"/>
      <c r="J28" s="610">
        <v>502400352</v>
      </c>
      <c r="K28" s="610"/>
      <c r="L28" s="610">
        <v>780627788</v>
      </c>
      <c r="M28" s="608"/>
      <c r="N28" s="610">
        <v>525437701</v>
      </c>
      <c r="O28" s="610"/>
      <c r="P28" s="610">
        <f t="shared" ref="P28:P32" si="1">$Z28-$B28-$D28-$F28-$H28-$J28-$L28-$N28</f>
        <v>548987188</v>
      </c>
      <c r="Q28" s="610"/>
      <c r="R28" s="610"/>
      <c r="S28" s="610"/>
      <c r="T28" s="610"/>
      <c r="U28" s="610"/>
      <c r="V28" s="610"/>
      <c r="W28" s="610"/>
      <c r="X28" s="610"/>
      <c r="Y28" s="610"/>
      <c r="Z28" s="610">
        <v>4270329590</v>
      </c>
    </row>
    <row r="29" spans="1:28">
      <c r="A29" s="426" t="s">
        <v>981</v>
      </c>
      <c r="B29" s="610">
        <v>1783</v>
      </c>
      <c r="C29" s="610"/>
      <c r="D29" s="610">
        <v>-1129</v>
      </c>
      <c r="E29" s="610"/>
      <c r="F29" s="610">
        <v>1281</v>
      </c>
      <c r="G29" s="610"/>
      <c r="H29" s="610">
        <v>958</v>
      </c>
      <c r="I29" s="610"/>
      <c r="J29" s="610">
        <v>1982</v>
      </c>
      <c r="K29" s="610"/>
      <c r="L29" s="610">
        <v>5907</v>
      </c>
      <c r="M29" s="608"/>
      <c r="N29" s="610">
        <v>3714</v>
      </c>
      <c r="O29" s="610"/>
      <c r="P29" s="610">
        <f t="shared" si="1"/>
        <v>6520</v>
      </c>
      <c r="Q29" s="610"/>
      <c r="R29" s="610"/>
      <c r="S29" s="610"/>
      <c r="T29" s="610"/>
      <c r="U29" s="610"/>
      <c r="V29" s="610"/>
      <c r="W29" s="610"/>
      <c r="X29" s="610"/>
      <c r="Y29" s="610"/>
      <c r="Z29" s="610">
        <v>21016</v>
      </c>
      <c r="AB29" s="754"/>
    </row>
    <row r="30" spans="1:28">
      <c r="A30" s="426" t="s">
        <v>982</v>
      </c>
      <c r="B30" s="610">
        <v>977392</v>
      </c>
      <c r="C30" s="610"/>
      <c r="D30" s="610">
        <v>471010</v>
      </c>
      <c r="E30" s="610"/>
      <c r="F30" s="610">
        <v>899517</v>
      </c>
      <c r="G30" s="610"/>
      <c r="H30" s="610">
        <v>415075</v>
      </c>
      <c r="I30" s="610"/>
      <c r="J30" s="610">
        <v>2065497</v>
      </c>
      <c r="K30" s="610"/>
      <c r="L30" s="610">
        <v>905924</v>
      </c>
      <c r="M30" s="608"/>
      <c r="N30" s="610">
        <v>1528485</v>
      </c>
      <c r="O30" s="610"/>
      <c r="P30" s="610">
        <f t="shared" si="1"/>
        <v>738713</v>
      </c>
      <c r="Q30" s="610"/>
      <c r="R30" s="610"/>
      <c r="S30" s="610"/>
      <c r="T30" s="610"/>
      <c r="U30" s="610"/>
      <c r="V30" s="610"/>
      <c r="W30" s="610"/>
      <c r="X30" s="610"/>
      <c r="Y30" s="610"/>
      <c r="Z30" s="610">
        <v>8001613</v>
      </c>
    </row>
    <row r="31" spans="1:28">
      <c r="A31" s="426" t="s">
        <v>983</v>
      </c>
      <c r="B31" s="610">
        <v>809549</v>
      </c>
      <c r="C31" s="610"/>
      <c r="D31" s="610">
        <v>3794530</v>
      </c>
      <c r="E31" s="610"/>
      <c r="F31" s="610">
        <v>5179721</v>
      </c>
      <c r="G31" s="610"/>
      <c r="H31" s="610">
        <v>1713732.5499999989</v>
      </c>
      <c r="I31" s="610"/>
      <c r="J31" s="610">
        <v>4916865.4800000004</v>
      </c>
      <c r="K31" s="610"/>
      <c r="L31" s="610">
        <v>5593430.1399999987</v>
      </c>
      <c r="M31" s="608"/>
      <c r="N31" s="610">
        <v>2631184.1400000043</v>
      </c>
      <c r="O31" s="610"/>
      <c r="P31" s="610">
        <f t="shared" si="1"/>
        <v>6883723.0999999959</v>
      </c>
      <c r="Q31" s="610"/>
      <c r="R31" s="610"/>
      <c r="S31" s="610"/>
      <c r="T31" s="610"/>
      <c r="U31" s="610"/>
      <c r="V31" s="610"/>
      <c r="W31" s="610"/>
      <c r="X31" s="610"/>
      <c r="Y31" s="610"/>
      <c r="Z31" s="610">
        <v>31522735.41</v>
      </c>
    </row>
    <row r="32" spans="1:28">
      <c r="A32" s="426" t="s">
        <v>984</v>
      </c>
      <c r="B32" s="610">
        <v>0</v>
      </c>
      <c r="C32" s="610"/>
      <c r="D32" s="610">
        <v>812618</v>
      </c>
      <c r="E32" s="610"/>
      <c r="F32" s="610">
        <v>761609</v>
      </c>
      <c r="G32" s="610"/>
      <c r="H32" s="610">
        <v>277444</v>
      </c>
      <c r="I32" s="610"/>
      <c r="J32" s="610">
        <v>614984</v>
      </c>
      <c r="K32" s="610"/>
      <c r="L32" s="610">
        <v>1074358</v>
      </c>
      <c r="M32" s="608"/>
      <c r="N32" s="610">
        <v>609001</v>
      </c>
      <c r="O32" s="610"/>
      <c r="P32" s="610">
        <f t="shared" si="1"/>
        <v>1213920</v>
      </c>
      <c r="Q32" s="610"/>
      <c r="R32" s="610"/>
      <c r="S32" s="610"/>
      <c r="T32" s="610"/>
      <c r="U32" s="610"/>
      <c r="V32" s="610"/>
      <c r="W32" s="610"/>
      <c r="X32" s="610"/>
      <c r="Y32" s="610"/>
      <c r="Z32" s="610">
        <v>5363934</v>
      </c>
    </row>
    <row r="33" spans="1:28">
      <c r="A33" s="234" t="s">
        <v>487</v>
      </c>
      <c r="B33" s="747">
        <f>ROUND(SUM(B28:B32),0)</f>
        <v>401229637</v>
      </c>
      <c r="C33" s="610"/>
      <c r="D33" s="747">
        <f>ROUND(SUM(D28:D32),0)</f>
        <v>460185034</v>
      </c>
      <c r="E33" s="610"/>
      <c r="F33" s="747">
        <f>ROUND(SUM(F28:F32),0)</f>
        <v>600491412</v>
      </c>
      <c r="G33" s="610"/>
      <c r="H33" s="747">
        <f>ROUND(SUM(H28:H32),0)</f>
        <v>467085569</v>
      </c>
      <c r="I33" s="610"/>
      <c r="J33" s="747">
        <f>ROUND(SUM(J28:J32),0)</f>
        <v>509999680</v>
      </c>
      <c r="K33" s="610"/>
      <c r="L33" s="747">
        <f>ROUND(SUM(L28:L32),0)</f>
        <v>788207407</v>
      </c>
      <c r="M33" s="608"/>
      <c r="N33" s="747">
        <f>ROUND(SUM(N28:N32),0)</f>
        <v>530210085</v>
      </c>
      <c r="O33" s="610"/>
      <c r="P33" s="747">
        <f>ROUND(SUM(P28:P32),0)</f>
        <v>557830064</v>
      </c>
      <c r="Q33" s="610"/>
      <c r="R33" s="747">
        <f>ROUND(SUM(R28:R32),0)</f>
        <v>0</v>
      </c>
      <c r="S33" s="610"/>
      <c r="T33" s="747">
        <f>ROUND(SUM(T28:T32),0)</f>
        <v>0</v>
      </c>
      <c r="U33" s="610"/>
      <c r="V33" s="747">
        <f>ROUND(SUM(V28:V32),0)</f>
        <v>0</v>
      </c>
      <c r="W33" s="610"/>
      <c r="X33" s="747">
        <f>ROUND(SUM(X28:X32),0)</f>
        <v>0</v>
      </c>
      <c r="Y33" s="610"/>
      <c r="Z33" s="747">
        <f>ROUND(SUM(Z28:Z32),0)</f>
        <v>4315238888</v>
      </c>
    </row>
    <row r="34" spans="1:28">
      <c r="A34" s="234"/>
      <c r="B34" s="610"/>
      <c r="C34" s="610"/>
      <c r="D34" s="610"/>
      <c r="E34" s="610"/>
      <c r="F34" s="612"/>
      <c r="G34" s="610"/>
      <c r="H34" s="612"/>
      <c r="I34" s="610"/>
      <c r="J34" s="610"/>
      <c r="K34" s="610"/>
      <c r="L34" s="610"/>
      <c r="M34" s="608"/>
      <c r="N34" s="610"/>
      <c r="O34" s="610"/>
      <c r="P34" s="610"/>
      <c r="Q34" s="610"/>
      <c r="R34" s="610"/>
      <c r="S34" s="610"/>
      <c r="T34" s="610"/>
      <c r="U34" s="610"/>
      <c r="V34" s="610"/>
      <c r="W34" s="610"/>
      <c r="X34" s="610"/>
      <c r="Y34" s="610"/>
      <c r="Z34" s="611"/>
    </row>
    <row r="35" spans="1:28">
      <c r="A35" s="236" t="s">
        <v>985</v>
      </c>
      <c r="B35" s="612"/>
      <c r="C35" s="612"/>
      <c r="D35" s="612"/>
      <c r="E35" s="610"/>
      <c r="F35" s="615"/>
      <c r="G35" s="610"/>
      <c r="H35" s="612"/>
      <c r="I35" s="610"/>
      <c r="J35" s="612"/>
      <c r="K35" s="610"/>
      <c r="L35" s="612"/>
      <c r="M35" s="608"/>
      <c r="N35" s="612"/>
      <c r="O35" s="610"/>
      <c r="P35" s="612"/>
      <c r="Q35" s="610"/>
      <c r="R35" s="612"/>
      <c r="S35" s="610"/>
      <c r="T35" s="612"/>
      <c r="U35" s="610"/>
      <c r="V35" s="612"/>
      <c r="W35" s="610"/>
      <c r="X35" s="612"/>
      <c r="Y35" s="610"/>
      <c r="Z35" s="611"/>
    </row>
    <row r="36" spans="1:28">
      <c r="A36" s="426" t="s">
        <v>986</v>
      </c>
      <c r="B36" s="610">
        <v>0</v>
      </c>
      <c r="C36" s="612"/>
      <c r="D36" s="610">
        <v>0</v>
      </c>
      <c r="E36" s="610"/>
      <c r="F36" s="610">
        <v>0</v>
      </c>
      <c r="G36" s="610"/>
      <c r="H36" s="610">
        <v>0</v>
      </c>
      <c r="I36" s="610"/>
      <c r="J36" s="610">
        <v>0</v>
      </c>
      <c r="K36" s="610"/>
      <c r="L36" s="610">
        <v>0</v>
      </c>
      <c r="M36" s="608"/>
      <c r="N36" s="610">
        <v>0</v>
      </c>
      <c r="O36" s="610"/>
      <c r="P36" s="610">
        <f t="shared" ref="P36:P41" si="2">$Z36-$B36-$D36-$F36-$H36-$J36-$L36-$N36</f>
        <v>0</v>
      </c>
      <c r="Q36" s="610"/>
      <c r="R36" s="610"/>
      <c r="S36" s="610"/>
      <c r="T36" s="610"/>
      <c r="U36" s="610"/>
      <c r="V36" s="610"/>
      <c r="W36" s="610"/>
      <c r="X36" s="610"/>
      <c r="Y36" s="610"/>
      <c r="Z36" s="610">
        <v>0</v>
      </c>
    </row>
    <row r="37" spans="1:28">
      <c r="A37" s="426" t="s">
        <v>987</v>
      </c>
      <c r="B37" s="610">
        <v>0</v>
      </c>
      <c r="C37" s="612"/>
      <c r="D37" s="610">
        <v>0</v>
      </c>
      <c r="E37" s="610"/>
      <c r="F37" s="610">
        <v>0</v>
      </c>
      <c r="G37" s="610"/>
      <c r="H37" s="610">
        <v>0</v>
      </c>
      <c r="I37" s="610"/>
      <c r="J37" s="610">
        <v>353932</v>
      </c>
      <c r="K37" s="610"/>
      <c r="L37" s="610">
        <v>0</v>
      </c>
      <c r="M37" s="608"/>
      <c r="N37" s="610">
        <v>0</v>
      </c>
      <c r="O37" s="610"/>
      <c r="P37" s="610">
        <f t="shared" si="2"/>
        <v>0</v>
      </c>
      <c r="Q37" s="610"/>
      <c r="R37" s="610"/>
      <c r="S37" s="610"/>
      <c r="T37" s="610"/>
      <c r="U37" s="610"/>
      <c r="V37" s="610"/>
      <c r="W37" s="610"/>
      <c r="X37" s="610"/>
      <c r="Y37" s="610"/>
      <c r="Z37" s="610">
        <v>353932</v>
      </c>
    </row>
    <row r="38" spans="1:28">
      <c r="A38" s="426" t="s">
        <v>988</v>
      </c>
      <c r="B38" s="610" t="s">
        <v>104</v>
      </c>
      <c r="C38" s="755"/>
      <c r="D38" s="610"/>
      <c r="E38" s="755"/>
      <c r="F38" s="610" t="s">
        <v>104</v>
      </c>
      <c r="G38" s="755"/>
      <c r="H38" s="610"/>
      <c r="I38" s="755"/>
      <c r="J38" s="610"/>
      <c r="K38" s="755"/>
      <c r="L38" s="610"/>
      <c r="M38" s="608"/>
      <c r="N38" s="610"/>
      <c r="O38" s="755"/>
      <c r="P38" s="610"/>
      <c r="Q38" s="755"/>
      <c r="R38" s="610"/>
      <c r="S38" s="755"/>
      <c r="T38" s="610"/>
      <c r="U38" s="755"/>
      <c r="V38" s="610"/>
      <c r="W38" s="755"/>
      <c r="X38" s="610"/>
      <c r="Y38" s="755"/>
      <c r="Z38" s="755" t="s">
        <v>104</v>
      </c>
    </row>
    <row r="39" spans="1:28">
      <c r="A39" s="426" t="s">
        <v>989</v>
      </c>
      <c r="B39" s="610">
        <v>0</v>
      </c>
      <c r="C39" s="612"/>
      <c r="D39" s="610">
        <v>0</v>
      </c>
      <c r="E39" s="610"/>
      <c r="F39" s="610">
        <v>0</v>
      </c>
      <c r="G39" s="610"/>
      <c r="H39" s="610">
        <v>483754</v>
      </c>
      <c r="I39" s="610"/>
      <c r="J39" s="610">
        <v>0</v>
      </c>
      <c r="K39" s="610"/>
      <c r="L39" s="610">
        <v>0</v>
      </c>
      <c r="M39" s="608"/>
      <c r="N39" s="610">
        <v>308823</v>
      </c>
      <c r="O39" s="610"/>
      <c r="P39" s="610">
        <f t="shared" si="2"/>
        <v>0</v>
      </c>
      <c r="Q39" s="610"/>
      <c r="R39" s="610"/>
      <c r="S39" s="610"/>
      <c r="T39" s="610"/>
      <c r="U39" s="610"/>
      <c r="V39" s="610"/>
      <c r="W39" s="610"/>
      <c r="X39" s="610"/>
      <c r="Y39" s="610"/>
      <c r="Z39" s="610">
        <v>792577</v>
      </c>
    </row>
    <row r="40" spans="1:28">
      <c r="A40" s="426" t="s">
        <v>990</v>
      </c>
      <c r="B40" s="610">
        <v>0</v>
      </c>
      <c r="C40" s="612"/>
      <c r="D40" s="610">
        <v>0</v>
      </c>
      <c r="E40" s="610"/>
      <c r="F40" s="610">
        <v>1040000</v>
      </c>
      <c r="G40" s="610"/>
      <c r="H40" s="610">
        <v>0</v>
      </c>
      <c r="I40" s="610"/>
      <c r="J40" s="610">
        <v>0</v>
      </c>
      <c r="K40" s="610"/>
      <c r="L40" s="610">
        <v>0</v>
      </c>
      <c r="M40" s="608"/>
      <c r="N40" s="610">
        <v>0</v>
      </c>
      <c r="O40" s="610"/>
      <c r="P40" s="610">
        <f t="shared" si="2"/>
        <v>0</v>
      </c>
      <c r="Q40" s="610"/>
      <c r="R40" s="610"/>
      <c r="S40" s="610"/>
      <c r="T40" s="610"/>
      <c r="U40" s="610"/>
      <c r="V40" s="610"/>
      <c r="W40" s="610"/>
      <c r="X40" s="610"/>
      <c r="Y40" s="610"/>
      <c r="Z40" s="610">
        <v>1040000</v>
      </c>
    </row>
    <row r="41" spans="1:28">
      <c r="A41" s="426" t="s">
        <v>991</v>
      </c>
      <c r="B41" s="610">
        <v>262919</v>
      </c>
      <c r="C41" s="612"/>
      <c r="D41" s="610">
        <v>311357</v>
      </c>
      <c r="E41" s="610"/>
      <c r="F41" s="610">
        <v>350611</v>
      </c>
      <c r="G41" s="610"/>
      <c r="H41" s="610">
        <v>300074</v>
      </c>
      <c r="I41" s="610"/>
      <c r="J41" s="610">
        <v>0</v>
      </c>
      <c r="K41" s="610"/>
      <c r="L41" s="610">
        <v>0</v>
      </c>
      <c r="M41" s="608"/>
      <c r="N41" s="610">
        <v>1091872</v>
      </c>
      <c r="O41" s="610"/>
      <c r="P41" s="610">
        <f t="shared" si="2"/>
        <v>272968</v>
      </c>
      <c r="Q41" s="610"/>
      <c r="R41" s="610"/>
      <c r="S41" s="610"/>
      <c r="T41" s="610"/>
      <c r="U41" s="610"/>
      <c r="V41" s="610"/>
      <c r="W41" s="610"/>
      <c r="X41" s="610"/>
      <c r="Y41" s="610"/>
      <c r="Z41" s="610">
        <v>2589801</v>
      </c>
    </row>
    <row r="42" spans="1:28">
      <c r="A42" s="234" t="s">
        <v>992</v>
      </c>
      <c r="B42" s="756">
        <f>ROUND(SUM(B36:B41),0)</f>
        <v>262919</v>
      </c>
      <c r="C42" s="612"/>
      <c r="D42" s="756">
        <f>ROUND(SUM(D36:D41),0)</f>
        <v>311357</v>
      </c>
      <c r="E42" s="610"/>
      <c r="F42" s="756">
        <f>ROUND(SUM(F36:F41),0)</f>
        <v>1390611</v>
      </c>
      <c r="G42" s="610"/>
      <c r="H42" s="756">
        <f>ROUND(SUM(H36:H41),0)</f>
        <v>783828</v>
      </c>
      <c r="I42" s="610"/>
      <c r="J42" s="756">
        <f>ROUND(SUM(J36:J41),0)</f>
        <v>353932</v>
      </c>
      <c r="K42" s="610"/>
      <c r="L42" s="756">
        <f>ROUND(SUM(L36:L41),0)</f>
        <v>0</v>
      </c>
      <c r="M42" s="608"/>
      <c r="N42" s="756">
        <f>ROUND(SUM(N36:N41),0)</f>
        <v>1400695</v>
      </c>
      <c r="O42" s="610"/>
      <c r="P42" s="756">
        <f>ROUND(SUM(P36:P41),0)</f>
        <v>272968</v>
      </c>
      <c r="Q42" s="610"/>
      <c r="R42" s="756">
        <f>ROUND(SUM(R36:R41),0)</f>
        <v>0</v>
      </c>
      <c r="S42" s="610"/>
      <c r="T42" s="756">
        <f>ROUND(SUM(T36:T41),0)</f>
        <v>0</v>
      </c>
      <c r="U42" s="610"/>
      <c r="V42" s="756">
        <f>ROUND(SUM(V36:V41),0)</f>
        <v>0</v>
      </c>
      <c r="W42" s="610"/>
      <c r="X42" s="756">
        <f>ROUND(SUM(X36:X41),0)</f>
        <v>0</v>
      </c>
      <c r="Y42" s="610"/>
      <c r="Z42" s="756">
        <f>ROUND(SUM(Z36:Z41),0)</f>
        <v>4776310</v>
      </c>
    </row>
    <row r="43" spans="1:28">
      <c r="B43" s="782"/>
      <c r="C43" s="612"/>
      <c r="D43" s="782"/>
      <c r="E43" s="610"/>
      <c r="F43" s="1863"/>
      <c r="G43" s="610"/>
      <c r="H43" s="1863"/>
      <c r="I43" s="610"/>
      <c r="J43" s="782"/>
      <c r="K43" s="610"/>
      <c r="L43" s="782"/>
      <c r="M43" s="608"/>
      <c r="N43" s="782"/>
      <c r="O43" s="610"/>
      <c r="P43" s="782"/>
      <c r="Q43" s="610"/>
      <c r="R43" s="782"/>
      <c r="S43" s="610"/>
      <c r="T43" s="782"/>
      <c r="U43" s="610"/>
      <c r="V43" s="782"/>
      <c r="W43" s="610"/>
      <c r="X43" s="782"/>
      <c r="Y43" s="610"/>
      <c r="Z43" s="1662"/>
    </row>
    <row r="44" spans="1:28" s="233" customFormat="1">
      <c r="A44" s="234" t="s">
        <v>993</v>
      </c>
      <c r="B44" s="1663">
        <f>ROUND(B33+B42,0)</f>
        <v>401492556</v>
      </c>
      <c r="C44" s="235"/>
      <c r="D44" s="1663">
        <f>ROUND(D33+D42,0)</f>
        <v>460496391</v>
      </c>
      <c r="E44" s="235"/>
      <c r="F44" s="1663">
        <f>ROUND(F33+F42,0)</f>
        <v>601882023</v>
      </c>
      <c r="G44" s="235"/>
      <c r="H44" s="1663">
        <f>ROUND(H33+H42,0)</f>
        <v>467869397</v>
      </c>
      <c r="I44" s="235"/>
      <c r="J44" s="1663">
        <f>ROUND(J33+J42,0)</f>
        <v>510353612</v>
      </c>
      <c r="K44" s="235"/>
      <c r="L44" s="1663">
        <f>ROUND(L33+L42,0)</f>
        <v>788207407</v>
      </c>
      <c r="M44" s="230"/>
      <c r="N44" s="1663">
        <f>ROUND(N33+N42,0)</f>
        <v>531610780</v>
      </c>
      <c r="O44" s="235"/>
      <c r="P44" s="1663">
        <f>ROUND(P33+P42,0)</f>
        <v>558103032</v>
      </c>
      <c r="Q44" s="235"/>
      <c r="R44" s="1663"/>
      <c r="S44" s="235"/>
      <c r="T44" s="1663"/>
      <c r="U44" s="235"/>
      <c r="V44" s="1663"/>
      <c r="W44" s="235"/>
      <c r="X44" s="1663"/>
      <c r="Y44" s="235"/>
      <c r="Z44" s="1663">
        <f>ROUND(Z33+Z42,0)</f>
        <v>4320015198</v>
      </c>
      <c r="AA44" s="1199"/>
      <c r="AB44" s="753"/>
    </row>
    <row r="45" spans="1:28">
      <c r="A45" s="607"/>
      <c r="B45" s="608"/>
      <c r="C45" s="608"/>
      <c r="D45" s="608"/>
      <c r="E45" s="608"/>
      <c r="F45" s="608"/>
      <c r="G45" s="608"/>
      <c r="H45" s="608"/>
      <c r="I45" s="608"/>
      <c r="J45" s="608"/>
      <c r="K45" s="608"/>
      <c r="L45" s="608"/>
      <c r="M45" s="608"/>
      <c r="N45" s="608"/>
      <c r="O45" s="608"/>
      <c r="P45" s="608"/>
      <c r="Q45" s="608"/>
      <c r="R45" s="608"/>
      <c r="S45" s="608"/>
      <c r="T45" s="608"/>
      <c r="U45" s="608"/>
      <c r="V45" s="608"/>
      <c r="W45" s="608"/>
      <c r="X45" s="608"/>
      <c r="Y45" s="608"/>
      <c r="Z45" s="757"/>
    </row>
    <row r="46" spans="1:28" s="233" customFormat="1" ht="16" thickBot="1">
      <c r="A46" s="236" t="s">
        <v>994</v>
      </c>
      <c r="B46" s="1120">
        <f>ROUND(B12+B25-B44,0)</f>
        <v>294767158</v>
      </c>
      <c r="C46" s="232"/>
      <c r="D46" s="1120">
        <f>ROUND(D12+D25-D44,0)</f>
        <v>436601115</v>
      </c>
      <c r="E46" s="606"/>
      <c r="F46" s="1120">
        <f>ROUND(F12+F25-F44,0)</f>
        <v>417186846</v>
      </c>
      <c r="G46" s="606"/>
      <c r="H46" s="1120">
        <f>ROUND(H12+H25-H44,0)</f>
        <v>570492526</v>
      </c>
      <c r="I46" s="606"/>
      <c r="J46" s="1120">
        <f>ROUND(J12+J25-J44,0)</f>
        <v>693824034</v>
      </c>
      <c r="K46" s="232"/>
      <c r="L46" s="1120">
        <f>ROUND(L12+L25-L44,0)</f>
        <v>553977860</v>
      </c>
      <c r="M46" s="230"/>
      <c r="N46" s="1120">
        <f>ROUND(N12+N25-N44,0)</f>
        <v>683591701</v>
      </c>
      <c r="O46" s="232"/>
      <c r="P46" s="1120">
        <f>ROUND(P12+P25-P44,0)</f>
        <v>701366306</v>
      </c>
      <c r="Q46" s="232"/>
      <c r="R46" s="1120">
        <f>ROUND(R12+R25-R44,0)</f>
        <v>0</v>
      </c>
      <c r="S46" s="232"/>
      <c r="T46" s="1120">
        <f>ROUND(T12+T25-T44,0)</f>
        <v>0</v>
      </c>
      <c r="U46" s="232"/>
      <c r="V46" s="1120">
        <f>ROUND(V12+V25-V44,0)</f>
        <v>0</v>
      </c>
      <c r="W46" s="232"/>
      <c r="X46" s="1120">
        <f>ROUND(X12+X25-X44,0)</f>
        <v>0</v>
      </c>
      <c r="Y46" s="232"/>
      <c r="Z46" s="1120">
        <f>ROUND(Z12+Z25-Z44,0)</f>
        <v>701366306</v>
      </c>
      <c r="AA46" s="1199"/>
    </row>
    <row r="47" spans="1:28" ht="16" thickTop="1">
      <c r="A47" s="607"/>
      <c r="B47" s="604"/>
      <c r="C47" s="604"/>
      <c r="D47" s="604"/>
      <c r="E47" s="605"/>
      <c r="G47" s="605"/>
      <c r="H47" s="604"/>
      <c r="I47" s="605"/>
      <c r="J47" s="604"/>
      <c r="K47" s="604"/>
      <c r="L47" s="604"/>
      <c r="M47" s="605"/>
      <c r="N47" s="604"/>
      <c r="O47" s="605"/>
      <c r="P47" s="604"/>
      <c r="Q47" s="605"/>
      <c r="R47" s="604"/>
      <c r="S47" s="605"/>
      <c r="T47" s="604"/>
      <c r="U47" s="605"/>
      <c r="V47" s="604"/>
      <c r="W47" s="605"/>
      <c r="X47" s="604"/>
      <c r="Y47" s="605"/>
      <c r="Z47" s="757"/>
    </row>
    <row r="48" spans="1:28">
      <c r="A48" s="237"/>
      <c r="B48" s="604"/>
      <c r="C48" s="604"/>
      <c r="D48" s="604"/>
      <c r="E48" s="605"/>
      <c r="F48" s="604"/>
      <c r="G48" s="605"/>
      <c r="H48" s="604"/>
      <c r="I48" s="605"/>
      <c r="J48" s="604"/>
      <c r="K48" s="604"/>
      <c r="L48" s="604"/>
      <c r="M48" s="605"/>
      <c r="N48" s="604"/>
      <c r="O48" s="605"/>
      <c r="P48" s="604"/>
      <c r="Q48" s="605"/>
      <c r="R48" s="604"/>
      <c r="S48" s="605"/>
      <c r="T48" s="604"/>
      <c r="U48" s="605"/>
      <c r="V48" s="604"/>
      <c r="W48" s="605"/>
      <c r="X48" s="604"/>
      <c r="Y48" s="605"/>
      <c r="Z48" s="233"/>
    </row>
    <row r="50" spans="1:26" ht="17.5">
      <c r="A50" s="758"/>
      <c r="B50" s="600"/>
      <c r="C50" s="600"/>
      <c r="D50" s="600"/>
      <c r="E50" s="217"/>
      <c r="F50" s="600"/>
      <c r="G50" s="217"/>
      <c r="H50" s="600"/>
      <c r="I50" s="217"/>
      <c r="J50" s="600"/>
      <c r="K50" s="600"/>
      <c r="L50" s="600"/>
      <c r="M50" s="605"/>
      <c r="N50" s="600"/>
      <c r="O50" s="217"/>
      <c r="P50" s="600"/>
      <c r="Q50" s="217"/>
      <c r="R50" s="600"/>
      <c r="S50" s="217"/>
      <c r="T50" s="600"/>
      <c r="U50" s="217"/>
      <c r="V50" s="600"/>
      <c r="W50" s="217"/>
      <c r="X50" s="600"/>
      <c r="Y50" s="217"/>
      <c r="Z50" s="751"/>
    </row>
    <row r="51" spans="1:26">
      <c r="A51" s="603"/>
      <c r="B51" s="604"/>
      <c r="C51" s="604"/>
      <c r="D51" s="604"/>
      <c r="E51" s="605"/>
      <c r="F51" s="604"/>
      <c r="G51" s="605"/>
      <c r="H51" s="604"/>
      <c r="I51" s="605"/>
      <c r="J51" s="604"/>
      <c r="K51" s="604"/>
      <c r="L51" s="604"/>
      <c r="M51" s="605"/>
      <c r="N51" s="604"/>
      <c r="O51" s="605"/>
      <c r="P51" s="604"/>
      <c r="Q51" s="605"/>
      <c r="R51" s="604"/>
      <c r="S51" s="605"/>
      <c r="T51" s="604"/>
      <c r="U51" s="605"/>
      <c r="V51" s="604"/>
      <c r="W51" s="605"/>
      <c r="X51" s="604"/>
      <c r="Y51" s="605"/>
      <c r="Z51" s="752"/>
    </row>
    <row r="52" spans="1:26">
      <c r="A52" s="603"/>
      <c r="B52" s="604"/>
      <c r="C52" s="604"/>
      <c r="D52" s="604"/>
      <c r="E52" s="605"/>
      <c r="F52" s="604"/>
      <c r="G52" s="605"/>
      <c r="H52" s="604"/>
      <c r="I52" s="605"/>
      <c r="J52" s="604"/>
      <c r="K52" s="604"/>
      <c r="L52" s="604"/>
      <c r="M52" s="605"/>
      <c r="N52" s="604"/>
      <c r="O52" s="605"/>
      <c r="P52" s="604"/>
      <c r="Q52" s="605"/>
      <c r="R52" s="604"/>
      <c r="S52" s="605"/>
      <c r="T52" s="604"/>
      <c r="U52" s="605"/>
      <c r="V52" s="604"/>
      <c r="W52" s="605"/>
      <c r="X52" s="604"/>
      <c r="Y52" s="605"/>
      <c r="Z52" s="752"/>
    </row>
    <row r="53" spans="1:26">
      <c r="A53" s="214"/>
      <c r="B53" s="216"/>
      <c r="C53" s="216"/>
      <c r="D53" s="216"/>
      <c r="E53" s="217"/>
      <c r="F53" s="216"/>
      <c r="G53" s="217"/>
      <c r="H53" s="216"/>
      <c r="I53" s="217"/>
      <c r="J53" s="216"/>
      <c r="K53" s="216"/>
      <c r="L53" s="216"/>
      <c r="M53" s="217"/>
      <c r="N53" s="216"/>
      <c r="O53" s="217"/>
      <c r="P53" s="216"/>
      <c r="Q53" s="217"/>
      <c r="R53" s="216"/>
      <c r="S53" s="217"/>
      <c r="T53" s="216"/>
      <c r="U53" s="217"/>
      <c r="V53" s="216"/>
      <c r="W53" s="217"/>
      <c r="X53" s="216"/>
      <c r="Y53" s="217"/>
      <c r="Z53" s="759"/>
    </row>
    <row r="54" spans="1:26">
      <c r="A54" s="214"/>
      <c r="B54" s="216"/>
      <c r="C54" s="216"/>
      <c r="D54" s="216"/>
      <c r="E54" s="217"/>
      <c r="F54" s="216"/>
      <c r="G54" s="217"/>
      <c r="H54" s="216"/>
      <c r="I54" s="217"/>
      <c r="J54" s="216"/>
      <c r="K54" s="216"/>
      <c r="L54" s="216"/>
      <c r="M54" s="217"/>
      <c r="N54" s="216"/>
      <c r="O54" s="217"/>
      <c r="P54" s="216"/>
      <c r="Q54" s="217"/>
      <c r="R54" s="216"/>
      <c r="S54" s="217"/>
      <c r="T54" s="216"/>
      <c r="U54" s="217"/>
      <c r="V54" s="216"/>
      <c r="W54" s="217"/>
      <c r="X54" s="216"/>
      <c r="Y54" s="217"/>
      <c r="Z54" s="759"/>
    </row>
    <row r="55" spans="1:26">
      <c r="A55" s="214"/>
      <c r="B55" s="216"/>
      <c r="C55" s="216"/>
      <c r="D55" s="216"/>
      <c r="E55" s="217"/>
      <c r="F55" s="216"/>
      <c r="G55" s="217"/>
      <c r="H55" s="216"/>
      <c r="I55" s="217"/>
      <c r="J55" s="216"/>
      <c r="K55" s="216"/>
      <c r="L55" s="216"/>
      <c r="M55" s="217"/>
      <c r="N55" s="216"/>
      <c r="O55" s="217"/>
      <c r="P55" s="216"/>
      <c r="Q55" s="217"/>
      <c r="R55" s="216"/>
      <c r="S55" s="217"/>
      <c r="T55" s="216"/>
      <c r="U55" s="217"/>
      <c r="V55" s="216"/>
      <c r="W55" s="217"/>
      <c r="X55" s="216"/>
      <c r="Y55" s="217"/>
      <c r="Z55" s="759"/>
    </row>
    <row r="56" spans="1:26">
      <c r="A56" s="214"/>
      <c r="B56" s="216"/>
      <c r="C56" s="216"/>
      <c r="D56" s="216"/>
      <c r="E56" s="217"/>
      <c r="F56" s="216"/>
      <c r="G56" s="217"/>
      <c r="H56" s="216"/>
      <c r="I56" s="217"/>
      <c r="J56" s="216"/>
      <c r="K56" s="216"/>
      <c r="L56" s="216"/>
      <c r="M56" s="217"/>
      <c r="N56" s="216"/>
      <c r="O56" s="217"/>
      <c r="P56" s="216"/>
      <c r="Q56" s="217"/>
      <c r="R56" s="216"/>
      <c r="S56" s="217"/>
      <c r="T56" s="216"/>
      <c r="U56" s="217"/>
      <c r="V56" s="216"/>
      <c r="W56" s="217"/>
      <c r="X56" s="216"/>
      <c r="Y56" s="217"/>
      <c r="Z56" s="759"/>
    </row>
    <row r="57" spans="1:26">
      <c r="A57" s="214"/>
      <c r="B57" s="216"/>
      <c r="C57" s="216"/>
      <c r="D57" s="216"/>
      <c r="E57" s="217"/>
      <c r="F57" s="216"/>
      <c r="G57" s="217"/>
      <c r="H57" s="216"/>
      <c r="I57" s="217"/>
      <c r="J57" s="216"/>
      <c r="K57" s="216"/>
      <c r="L57" s="216"/>
      <c r="M57" s="217"/>
      <c r="N57" s="216"/>
      <c r="O57" s="217"/>
      <c r="P57" s="216"/>
      <c r="Q57" s="217"/>
      <c r="R57" s="216"/>
      <c r="S57" s="217"/>
      <c r="T57" s="216"/>
      <c r="U57" s="217"/>
      <c r="V57" s="216"/>
      <c r="W57" s="217"/>
      <c r="X57" s="216"/>
      <c r="Y57" s="217"/>
      <c r="Z57" s="759"/>
    </row>
    <row r="58" spans="1:26">
      <c r="A58" s="214"/>
      <c r="B58" s="216"/>
      <c r="C58" s="216"/>
      <c r="D58" s="216"/>
      <c r="E58" s="217"/>
      <c r="F58" s="216"/>
      <c r="G58" s="217"/>
      <c r="H58" s="216"/>
      <c r="I58" s="217"/>
      <c r="J58" s="216"/>
      <c r="K58" s="216"/>
      <c r="L58" s="216"/>
      <c r="M58" s="217"/>
      <c r="N58" s="216"/>
      <c r="O58" s="217"/>
      <c r="P58" s="216"/>
      <c r="Q58" s="217"/>
      <c r="R58" s="216"/>
      <c r="S58" s="217"/>
      <c r="T58" s="216"/>
      <c r="U58" s="217"/>
      <c r="V58" s="216"/>
      <c r="W58" s="217"/>
      <c r="X58" s="216"/>
      <c r="Y58" s="217"/>
      <c r="Z58" s="759"/>
    </row>
    <row r="59" spans="1:26">
      <c r="A59" s="214"/>
      <c r="B59" s="216"/>
      <c r="C59" s="216"/>
      <c r="D59" s="216"/>
      <c r="E59" s="217"/>
      <c r="F59" s="216"/>
      <c r="G59" s="217"/>
      <c r="H59" s="216"/>
      <c r="I59" s="217"/>
      <c r="J59" s="216"/>
      <c r="K59" s="216"/>
      <c r="L59" s="216"/>
      <c r="M59" s="217"/>
      <c r="N59" s="216"/>
      <c r="O59" s="217"/>
      <c r="P59" s="216"/>
      <c r="Q59" s="217"/>
      <c r="R59" s="216"/>
      <c r="S59" s="217"/>
      <c r="T59" s="216"/>
      <c r="U59" s="217"/>
      <c r="V59" s="216"/>
      <c r="W59" s="217"/>
      <c r="X59" s="216"/>
      <c r="Y59" s="217"/>
      <c r="Z59" s="759"/>
    </row>
    <row r="60" spans="1:26">
      <c r="A60" s="214"/>
      <c r="B60" s="216"/>
      <c r="C60" s="216"/>
      <c r="D60" s="216"/>
      <c r="E60" s="217"/>
      <c r="F60" s="216"/>
      <c r="G60" s="217"/>
      <c r="H60" s="216"/>
      <c r="I60" s="217"/>
      <c r="J60" s="216"/>
      <c r="K60" s="216"/>
      <c r="L60" s="216"/>
      <c r="M60" s="217"/>
      <c r="N60" s="216"/>
      <c r="O60" s="217"/>
      <c r="P60" s="216"/>
      <c r="Q60" s="217"/>
      <c r="R60" s="216"/>
      <c r="S60" s="217"/>
      <c r="T60" s="216"/>
      <c r="U60" s="217"/>
      <c r="V60" s="216"/>
      <c r="W60" s="217"/>
      <c r="X60" s="216"/>
      <c r="Y60" s="217"/>
      <c r="Z60" s="759"/>
    </row>
    <row r="61" spans="1:26">
      <c r="A61" s="214"/>
      <c r="B61" s="216"/>
      <c r="C61" s="216"/>
      <c r="D61" s="216"/>
      <c r="E61" s="217"/>
      <c r="F61" s="216"/>
      <c r="G61" s="217"/>
      <c r="H61" s="216"/>
      <c r="I61" s="217"/>
      <c r="J61" s="216"/>
      <c r="K61" s="216"/>
      <c r="L61" s="216"/>
      <c r="M61" s="217"/>
      <c r="N61" s="216"/>
      <c r="O61" s="217"/>
      <c r="P61" s="216"/>
      <c r="Q61" s="217"/>
      <c r="R61" s="216"/>
      <c r="S61" s="217"/>
      <c r="T61" s="216"/>
      <c r="U61" s="217"/>
      <c r="V61" s="216"/>
      <c r="W61" s="217"/>
      <c r="X61" s="216"/>
      <c r="Y61" s="217"/>
      <c r="Z61" s="759"/>
    </row>
    <row r="62" spans="1:26">
      <c r="A62" s="214"/>
      <c r="B62" s="216"/>
      <c r="C62" s="216"/>
      <c r="D62" s="216"/>
      <c r="E62" s="217"/>
      <c r="F62" s="216"/>
      <c r="G62" s="217"/>
      <c r="H62" s="216"/>
      <c r="I62" s="217"/>
      <c r="J62" s="216"/>
      <c r="K62" s="216"/>
      <c r="L62" s="216"/>
      <c r="M62" s="217"/>
      <c r="N62" s="216"/>
      <c r="O62" s="217"/>
      <c r="P62" s="216"/>
      <c r="Q62" s="217"/>
      <c r="R62" s="216"/>
      <c r="S62" s="217"/>
      <c r="T62" s="216"/>
      <c r="U62" s="217"/>
      <c r="V62" s="216"/>
      <c r="W62" s="217"/>
      <c r="X62" s="216"/>
      <c r="Y62" s="217"/>
      <c r="Z62" s="759"/>
    </row>
    <row r="63" spans="1:26">
      <c r="A63" s="214"/>
      <c r="B63" s="216"/>
      <c r="C63" s="216"/>
      <c r="D63" s="216"/>
      <c r="E63" s="217"/>
      <c r="F63" s="216"/>
      <c r="G63" s="217"/>
      <c r="H63" s="216"/>
      <c r="I63" s="217"/>
      <c r="J63" s="216"/>
      <c r="K63" s="216"/>
      <c r="L63" s="216"/>
      <c r="M63" s="217"/>
      <c r="N63" s="216"/>
      <c r="O63" s="217"/>
      <c r="P63" s="216"/>
      <c r="Q63" s="217"/>
      <c r="R63" s="216"/>
      <c r="S63" s="217"/>
      <c r="T63" s="216"/>
      <c r="U63" s="217"/>
      <c r="V63" s="216"/>
      <c r="W63" s="217"/>
      <c r="X63" s="216"/>
      <c r="Y63" s="217"/>
      <c r="Z63" s="759"/>
    </row>
    <row r="64" spans="1:26">
      <c r="A64" s="214"/>
      <c r="B64" s="216"/>
      <c r="C64" s="216"/>
      <c r="D64" s="216"/>
      <c r="E64" s="217"/>
      <c r="F64" s="216"/>
      <c r="G64" s="217"/>
      <c r="H64" s="216"/>
      <c r="I64" s="217"/>
      <c r="J64" s="216"/>
      <c r="K64" s="216"/>
      <c r="L64" s="216"/>
      <c r="M64" s="217"/>
      <c r="N64" s="216"/>
      <c r="O64" s="217"/>
      <c r="P64" s="216"/>
      <c r="Q64" s="217"/>
      <c r="R64" s="216"/>
      <c r="S64" s="217"/>
      <c r="T64" s="216"/>
      <c r="U64" s="217"/>
      <c r="V64" s="216"/>
      <c r="W64" s="217"/>
      <c r="X64" s="216"/>
      <c r="Y64" s="217"/>
      <c r="Z64" s="759"/>
    </row>
    <row r="65" spans="1:26">
      <c r="A65" s="214"/>
      <c r="B65" s="216"/>
      <c r="C65" s="216"/>
      <c r="D65" s="216"/>
      <c r="E65" s="217"/>
      <c r="F65" s="216"/>
      <c r="G65" s="217"/>
      <c r="H65" s="216"/>
      <c r="I65" s="217"/>
      <c r="J65" s="216"/>
      <c r="K65" s="216"/>
      <c r="L65" s="216"/>
      <c r="M65" s="217"/>
      <c r="N65" s="216"/>
      <c r="O65" s="217"/>
      <c r="P65" s="216"/>
      <c r="Q65" s="217"/>
      <c r="R65" s="216"/>
      <c r="S65" s="217"/>
      <c r="T65" s="216"/>
      <c r="U65" s="217"/>
      <c r="V65" s="216"/>
      <c r="W65" s="217"/>
      <c r="X65" s="216"/>
      <c r="Y65" s="217"/>
      <c r="Z65" s="759"/>
    </row>
    <row r="66" spans="1:26">
      <c r="A66" s="214"/>
      <c r="B66" s="216"/>
      <c r="C66" s="216"/>
      <c r="D66" s="216"/>
      <c r="E66" s="217"/>
      <c r="F66" s="216"/>
      <c r="G66" s="217"/>
      <c r="H66" s="216"/>
      <c r="I66" s="217"/>
      <c r="J66" s="216"/>
      <c r="K66" s="216"/>
      <c r="L66" s="216"/>
      <c r="M66" s="217"/>
      <c r="N66" s="216"/>
      <c r="O66" s="217"/>
      <c r="P66" s="216"/>
      <c r="Q66" s="217"/>
      <c r="R66" s="216"/>
      <c r="S66" s="217"/>
      <c r="T66" s="216"/>
      <c r="U66" s="217"/>
      <c r="V66" s="216"/>
      <c r="W66" s="217"/>
      <c r="X66" s="216"/>
      <c r="Y66" s="217"/>
      <c r="Z66" s="759"/>
    </row>
    <row r="67" spans="1:26">
      <c r="A67" s="214"/>
      <c r="B67" s="216"/>
      <c r="C67" s="216"/>
      <c r="D67" s="216"/>
      <c r="E67" s="217"/>
      <c r="F67" s="216"/>
      <c r="G67" s="217"/>
      <c r="H67" s="216"/>
      <c r="I67" s="217"/>
      <c r="J67" s="216"/>
      <c r="K67" s="216"/>
      <c r="L67" s="216"/>
      <c r="M67" s="217"/>
      <c r="N67" s="216"/>
      <c r="O67" s="217"/>
      <c r="P67" s="216"/>
      <c r="Q67" s="217"/>
      <c r="R67" s="216"/>
      <c r="S67" s="217"/>
      <c r="T67" s="216"/>
      <c r="U67" s="217"/>
      <c r="V67" s="216"/>
      <c r="W67" s="217"/>
      <c r="X67" s="216"/>
      <c r="Y67" s="217"/>
      <c r="Z67" s="759"/>
    </row>
    <row r="68" spans="1:26">
      <c r="A68" s="214"/>
      <c r="B68" s="216"/>
      <c r="C68" s="216"/>
      <c r="D68" s="216"/>
      <c r="E68" s="217"/>
      <c r="F68" s="216"/>
      <c r="G68" s="217"/>
      <c r="H68" s="216"/>
      <c r="I68" s="217"/>
      <c r="J68" s="216"/>
      <c r="K68" s="216"/>
      <c r="L68" s="216"/>
      <c r="M68" s="217"/>
      <c r="N68" s="216"/>
      <c r="O68" s="217"/>
      <c r="P68" s="216"/>
      <c r="Q68" s="217"/>
      <c r="R68" s="216"/>
      <c r="S68" s="217"/>
      <c r="T68" s="216"/>
      <c r="U68" s="217"/>
      <c r="V68" s="216"/>
      <c r="W68" s="217"/>
      <c r="X68" s="216"/>
      <c r="Y68" s="217"/>
      <c r="Z68" s="759"/>
    </row>
    <row r="69" spans="1:26">
      <c r="A69" s="214"/>
      <c r="B69" s="216"/>
      <c r="C69" s="216"/>
      <c r="D69" s="216"/>
      <c r="E69" s="217"/>
      <c r="F69" s="216"/>
      <c r="G69" s="217"/>
      <c r="H69" s="216"/>
      <c r="I69" s="217"/>
      <c r="J69" s="216"/>
      <c r="K69" s="216"/>
      <c r="L69" s="216"/>
      <c r="M69" s="217"/>
      <c r="N69" s="216"/>
      <c r="O69" s="217"/>
      <c r="P69" s="216"/>
      <c r="Q69" s="217"/>
      <c r="R69" s="216"/>
      <c r="S69" s="217"/>
      <c r="T69" s="216"/>
      <c r="U69" s="217"/>
      <c r="V69" s="216"/>
      <c r="W69" s="217"/>
      <c r="X69" s="216"/>
      <c r="Y69" s="217"/>
      <c r="Z69" s="759"/>
    </row>
    <row r="70" spans="1:26">
      <c r="A70" s="214"/>
      <c r="B70" s="216"/>
      <c r="C70" s="216"/>
      <c r="D70" s="216"/>
      <c r="E70" s="217"/>
      <c r="F70" s="216"/>
      <c r="G70" s="217"/>
      <c r="H70" s="216"/>
      <c r="I70" s="217"/>
      <c r="J70" s="216"/>
      <c r="K70" s="216"/>
      <c r="L70" s="216"/>
      <c r="M70" s="217"/>
      <c r="N70" s="216"/>
      <c r="O70" s="217"/>
      <c r="P70" s="216"/>
      <c r="Q70" s="217"/>
      <c r="R70" s="216"/>
      <c r="S70" s="217"/>
      <c r="T70" s="216"/>
      <c r="U70" s="217"/>
      <c r="V70" s="216"/>
      <c r="W70" s="217"/>
      <c r="X70" s="216"/>
      <c r="Y70" s="217"/>
      <c r="Z70" s="759"/>
    </row>
    <row r="71" spans="1:26">
      <c r="A71" s="214"/>
      <c r="B71" s="216"/>
      <c r="C71" s="216"/>
      <c r="D71" s="216"/>
      <c r="E71" s="217"/>
      <c r="F71" s="216"/>
      <c r="G71" s="217"/>
      <c r="H71" s="216"/>
      <c r="I71" s="217"/>
      <c r="J71" s="216"/>
      <c r="K71" s="216"/>
      <c r="L71" s="216"/>
      <c r="M71" s="217"/>
      <c r="N71" s="216"/>
      <c r="O71" s="217"/>
      <c r="P71" s="216"/>
      <c r="Q71" s="217"/>
      <c r="R71" s="216"/>
      <c r="S71" s="217"/>
      <c r="T71" s="216"/>
      <c r="U71" s="217"/>
      <c r="V71" s="216"/>
      <c r="W71" s="217"/>
      <c r="X71" s="216"/>
      <c r="Y71" s="217"/>
      <c r="Z71" s="759"/>
    </row>
    <row r="72" spans="1:26">
      <c r="A72" s="214"/>
      <c r="B72" s="216"/>
      <c r="C72" s="216"/>
      <c r="D72" s="216"/>
      <c r="E72" s="217"/>
      <c r="F72" s="216"/>
      <c r="G72" s="217"/>
      <c r="H72" s="216"/>
      <c r="I72" s="217"/>
      <c r="J72" s="216"/>
      <c r="K72" s="216"/>
      <c r="L72" s="216"/>
      <c r="M72" s="217"/>
      <c r="N72" s="216"/>
      <c r="O72" s="217"/>
      <c r="P72" s="216"/>
      <c r="Q72" s="217"/>
      <c r="R72" s="216"/>
      <c r="S72" s="217"/>
      <c r="T72" s="216"/>
      <c r="U72" s="217"/>
      <c r="V72" s="216"/>
      <c r="W72" s="217"/>
      <c r="X72" s="216"/>
      <c r="Y72" s="217"/>
      <c r="Z72" s="759"/>
    </row>
    <row r="73" spans="1:26">
      <c r="A73" s="214"/>
      <c r="B73" s="216"/>
      <c r="C73" s="216"/>
      <c r="D73" s="216"/>
      <c r="E73" s="217"/>
      <c r="F73" s="216"/>
      <c r="G73" s="217"/>
      <c r="H73" s="216"/>
      <c r="I73" s="217"/>
      <c r="J73" s="216"/>
      <c r="K73" s="216"/>
      <c r="L73" s="216"/>
      <c r="M73" s="217"/>
      <c r="N73" s="216"/>
      <c r="O73" s="217"/>
      <c r="P73" s="216"/>
      <c r="Q73" s="217"/>
      <c r="R73" s="216"/>
      <c r="S73" s="217"/>
      <c r="T73" s="216"/>
      <c r="U73" s="217"/>
      <c r="V73" s="216"/>
      <c r="W73" s="217"/>
      <c r="X73" s="216"/>
      <c r="Y73" s="217"/>
      <c r="Z73" s="759"/>
    </row>
    <row r="74" spans="1:26">
      <c r="A74" s="214"/>
      <c r="B74" s="216"/>
      <c r="C74" s="216"/>
      <c r="D74" s="216"/>
      <c r="E74" s="217"/>
      <c r="F74" s="216"/>
      <c r="G74" s="217"/>
      <c r="H74" s="216"/>
      <c r="I74" s="217"/>
      <c r="J74" s="216"/>
      <c r="K74" s="216"/>
      <c r="L74" s="216"/>
      <c r="M74" s="217"/>
      <c r="N74" s="216"/>
      <c r="O74" s="217"/>
      <c r="P74" s="216"/>
      <c r="Q74" s="217"/>
      <c r="R74" s="216"/>
      <c r="S74" s="217"/>
      <c r="T74" s="216"/>
      <c r="U74" s="217"/>
      <c r="V74" s="216"/>
      <c r="W74" s="217"/>
      <c r="X74" s="216"/>
      <c r="Y74" s="217"/>
      <c r="Z74" s="759"/>
    </row>
    <row r="75" spans="1:26">
      <c r="A75" s="214"/>
      <c r="B75" s="216"/>
      <c r="C75" s="216"/>
      <c r="D75" s="216"/>
      <c r="E75" s="217"/>
      <c r="F75" s="216"/>
      <c r="G75" s="217"/>
      <c r="H75" s="216"/>
      <c r="I75" s="217"/>
      <c r="J75" s="216"/>
      <c r="K75" s="216"/>
      <c r="L75" s="216"/>
      <c r="M75" s="217"/>
      <c r="N75" s="216"/>
      <c r="O75" s="217"/>
      <c r="P75" s="216"/>
      <c r="Q75" s="217"/>
      <c r="R75" s="216"/>
      <c r="S75" s="217"/>
      <c r="T75" s="216"/>
      <c r="U75" s="217"/>
      <c r="V75" s="216"/>
      <c r="W75" s="217"/>
      <c r="X75" s="216"/>
      <c r="Y75" s="217"/>
      <c r="Z75" s="759"/>
    </row>
    <row r="76" spans="1:26">
      <c r="A76" s="214"/>
      <c r="B76" s="216"/>
      <c r="C76" s="216"/>
      <c r="D76" s="216"/>
      <c r="E76" s="217"/>
      <c r="F76" s="216"/>
      <c r="G76" s="217"/>
      <c r="H76" s="216"/>
      <c r="I76" s="217"/>
      <c r="J76" s="216"/>
      <c r="K76" s="216"/>
      <c r="L76" s="216"/>
      <c r="M76" s="217"/>
      <c r="N76" s="216"/>
      <c r="O76" s="217"/>
      <c r="P76" s="216"/>
      <c r="Q76" s="217"/>
      <c r="R76" s="216"/>
      <c r="S76" s="217"/>
      <c r="T76" s="216"/>
      <c r="U76" s="217"/>
      <c r="V76" s="216"/>
      <c r="W76" s="217"/>
      <c r="X76" s="216"/>
      <c r="Y76" s="217"/>
      <c r="Z76" s="759"/>
    </row>
    <row r="77" spans="1:26">
      <c r="A77" s="214"/>
      <c r="B77" s="216"/>
      <c r="C77" s="216"/>
      <c r="D77" s="216"/>
      <c r="E77" s="217"/>
      <c r="F77" s="216"/>
      <c r="G77" s="217"/>
      <c r="H77" s="216"/>
      <c r="I77" s="217"/>
      <c r="J77" s="216"/>
      <c r="K77" s="216"/>
      <c r="L77" s="216"/>
      <c r="M77" s="217"/>
      <c r="N77" s="216"/>
      <c r="O77" s="217"/>
      <c r="P77" s="216"/>
      <c r="Q77" s="217"/>
      <c r="R77" s="216"/>
      <c r="S77" s="217"/>
      <c r="T77" s="216"/>
      <c r="U77" s="217"/>
      <c r="V77" s="216"/>
      <c r="W77" s="217"/>
      <c r="X77" s="216"/>
      <c r="Y77" s="217"/>
      <c r="Z77" s="759"/>
    </row>
    <row r="78" spans="1:26">
      <c r="A78" s="214"/>
      <c r="B78" s="216"/>
      <c r="C78" s="216"/>
      <c r="D78" s="216"/>
      <c r="E78" s="217"/>
      <c r="F78" s="216"/>
      <c r="G78" s="217"/>
      <c r="H78" s="216"/>
      <c r="I78" s="217"/>
      <c r="J78" s="216"/>
      <c r="K78" s="216"/>
      <c r="L78" s="216"/>
      <c r="M78" s="217"/>
      <c r="N78" s="216"/>
      <c r="O78" s="217"/>
      <c r="P78" s="216"/>
      <c r="Q78" s="217"/>
      <c r="R78" s="216"/>
      <c r="S78" s="217"/>
      <c r="T78" s="216"/>
      <c r="U78" s="217"/>
      <c r="V78" s="216"/>
      <c r="W78" s="217"/>
      <c r="X78" s="216"/>
      <c r="Y78" s="217"/>
      <c r="Z78" s="759"/>
    </row>
    <row r="79" spans="1:26">
      <c r="A79" s="214"/>
      <c r="B79" s="216"/>
      <c r="C79" s="216"/>
      <c r="D79" s="216"/>
      <c r="E79" s="217"/>
      <c r="F79" s="216"/>
      <c r="G79" s="217"/>
      <c r="H79" s="216"/>
      <c r="I79" s="217"/>
      <c r="J79" s="216"/>
      <c r="K79" s="216"/>
      <c r="L79" s="216"/>
      <c r="M79" s="217"/>
      <c r="N79" s="216"/>
      <c r="O79" s="217"/>
      <c r="P79" s="216"/>
      <c r="Q79" s="217"/>
      <c r="R79" s="216"/>
      <c r="S79" s="217"/>
      <c r="T79" s="216"/>
      <c r="U79" s="217"/>
      <c r="V79" s="216"/>
      <c r="W79" s="217"/>
      <c r="X79" s="216"/>
      <c r="Y79" s="217"/>
      <c r="Z79" s="759"/>
    </row>
    <row r="80" spans="1:26">
      <c r="A80" s="214"/>
      <c r="B80" s="216"/>
      <c r="C80" s="216"/>
      <c r="D80" s="216"/>
      <c r="E80" s="217"/>
      <c r="F80" s="216"/>
      <c r="G80" s="217"/>
      <c r="H80" s="216"/>
      <c r="I80" s="217"/>
      <c r="J80" s="216"/>
      <c r="K80" s="216"/>
      <c r="L80" s="216"/>
      <c r="M80" s="217"/>
      <c r="N80" s="216"/>
      <c r="O80" s="217"/>
      <c r="P80" s="216"/>
      <c r="Q80" s="217"/>
      <c r="R80" s="216"/>
      <c r="S80" s="217"/>
      <c r="T80" s="216"/>
      <c r="U80" s="217"/>
      <c r="V80" s="216"/>
      <c r="W80" s="217"/>
      <c r="X80" s="216"/>
      <c r="Y80" s="217"/>
      <c r="Z80" s="759"/>
    </row>
    <row r="81" spans="1:26">
      <c r="A81" s="214"/>
      <c r="B81" s="216"/>
      <c r="C81" s="216"/>
      <c r="D81" s="216"/>
      <c r="E81" s="217"/>
      <c r="F81" s="216"/>
      <c r="G81" s="217"/>
      <c r="H81" s="216"/>
      <c r="I81" s="217"/>
      <c r="J81" s="216"/>
      <c r="K81" s="216"/>
      <c r="L81" s="216"/>
      <c r="M81" s="217"/>
      <c r="N81" s="216"/>
      <c r="O81" s="217"/>
      <c r="P81" s="216"/>
      <c r="Q81" s="217"/>
      <c r="R81" s="216"/>
      <c r="S81" s="217"/>
      <c r="T81" s="216"/>
      <c r="U81" s="217"/>
      <c r="V81" s="216"/>
      <c r="W81" s="217"/>
      <c r="X81" s="216"/>
      <c r="Y81" s="217"/>
      <c r="Z81" s="759"/>
    </row>
    <row r="82" spans="1:26">
      <c r="A82" s="214"/>
      <c r="B82" s="216"/>
      <c r="C82" s="216"/>
      <c r="D82" s="216"/>
      <c r="E82" s="217"/>
      <c r="F82" s="216"/>
      <c r="G82" s="217"/>
      <c r="H82" s="216"/>
      <c r="I82" s="217"/>
      <c r="J82" s="216"/>
      <c r="K82" s="216"/>
      <c r="L82" s="216"/>
      <c r="M82" s="217"/>
      <c r="N82" s="216"/>
      <c r="O82" s="217"/>
      <c r="P82" s="216"/>
      <c r="Q82" s="217"/>
      <c r="R82" s="216"/>
      <c r="S82" s="217"/>
      <c r="T82" s="216"/>
      <c r="U82" s="217"/>
      <c r="V82" s="216"/>
      <c r="W82" s="217"/>
      <c r="X82" s="216"/>
      <c r="Y82" s="217"/>
      <c r="Z82" s="759"/>
    </row>
    <row r="83" spans="1:26">
      <c r="A83" s="214"/>
      <c r="B83" s="216"/>
      <c r="C83" s="216"/>
      <c r="D83" s="216"/>
      <c r="E83" s="217"/>
      <c r="F83" s="216"/>
      <c r="G83" s="217"/>
      <c r="H83" s="216"/>
      <c r="I83" s="217"/>
      <c r="J83" s="216"/>
      <c r="K83" s="216"/>
      <c r="L83" s="216"/>
      <c r="M83" s="217"/>
      <c r="N83" s="216"/>
      <c r="O83" s="217"/>
      <c r="P83" s="216"/>
      <c r="Q83" s="217"/>
      <c r="R83" s="216"/>
      <c r="S83" s="217"/>
      <c r="T83" s="216"/>
      <c r="U83" s="217"/>
      <c r="V83" s="216"/>
      <c r="W83" s="217"/>
      <c r="X83" s="216"/>
      <c r="Y83" s="217"/>
      <c r="Z83" s="759"/>
    </row>
    <row r="84" spans="1:26">
      <c r="A84" s="214"/>
      <c r="B84" s="216"/>
      <c r="C84" s="216"/>
      <c r="D84" s="216"/>
      <c r="E84" s="217"/>
      <c r="F84" s="216"/>
      <c r="G84" s="217"/>
      <c r="H84" s="216"/>
      <c r="I84" s="217"/>
      <c r="J84" s="216"/>
      <c r="K84" s="216"/>
      <c r="L84" s="216"/>
      <c r="M84" s="217"/>
      <c r="N84" s="216"/>
      <c r="O84" s="217"/>
      <c r="P84" s="216"/>
      <c r="Q84" s="217"/>
      <c r="R84" s="216"/>
      <c r="S84" s="217"/>
      <c r="T84" s="216"/>
      <c r="U84" s="217"/>
      <c r="V84" s="216"/>
      <c r="W84" s="217"/>
      <c r="X84" s="216"/>
      <c r="Y84" s="217"/>
      <c r="Z84" s="759"/>
    </row>
    <row r="85" spans="1:26">
      <c r="A85" s="214"/>
      <c r="B85" s="216"/>
      <c r="C85" s="216"/>
      <c r="D85" s="216"/>
      <c r="E85" s="217"/>
      <c r="F85" s="216"/>
      <c r="G85" s="217"/>
      <c r="H85" s="216"/>
      <c r="I85" s="217"/>
      <c r="J85" s="216"/>
      <c r="K85" s="216"/>
      <c r="L85" s="216"/>
      <c r="M85" s="217"/>
      <c r="N85" s="216"/>
      <c r="O85" s="217"/>
      <c r="P85" s="216"/>
      <c r="Q85" s="217"/>
      <c r="R85" s="216"/>
      <c r="S85" s="217"/>
      <c r="T85" s="216"/>
      <c r="U85" s="217"/>
      <c r="V85" s="216"/>
      <c r="W85" s="217"/>
      <c r="X85" s="216"/>
      <c r="Y85" s="217"/>
      <c r="Z85" s="759"/>
    </row>
    <row r="86" spans="1:26">
      <c r="A86" s="214"/>
      <c r="B86" s="216"/>
      <c r="C86" s="216"/>
      <c r="D86" s="216"/>
      <c r="E86" s="217"/>
      <c r="F86" s="216"/>
      <c r="G86" s="217"/>
      <c r="H86" s="216"/>
      <c r="I86" s="217"/>
      <c r="J86" s="216"/>
      <c r="K86" s="216"/>
      <c r="L86" s="216"/>
      <c r="M86" s="217"/>
      <c r="N86" s="216"/>
      <c r="O86" s="217"/>
      <c r="P86" s="216"/>
      <c r="Q86" s="217"/>
      <c r="R86" s="216"/>
      <c r="S86" s="217"/>
      <c r="T86" s="216"/>
      <c r="U86" s="217"/>
      <c r="V86" s="216"/>
      <c r="W86" s="217"/>
      <c r="X86" s="216"/>
      <c r="Y86" s="217"/>
      <c r="Z86" s="759"/>
    </row>
    <row r="87" spans="1:26">
      <c r="A87" s="214"/>
      <c r="B87" s="216"/>
      <c r="C87" s="216"/>
      <c r="D87" s="216"/>
      <c r="E87" s="217"/>
      <c r="F87" s="216"/>
      <c r="G87" s="217"/>
      <c r="H87" s="216"/>
      <c r="I87" s="217"/>
      <c r="J87" s="216"/>
      <c r="K87" s="216"/>
      <c r="L87" s="216"/>
      <c r="M87" s="217"/>
      <c r="N87" s="216"/>
      <c r="O87" s="217"/>
      <c r="P87" s="216"/>
      <c r="Q87" s="217"/>
      <c r="R87" s="216"/>
      <c r="S87" s="217"/>
      <c r="T87" s="216"/>
      <c r="U87" s="217"/>
      <c r="V87" s="216"/>
      <c r="W87" s="217"/>
      <c r="X87" s="216"/>
      <c r="Y87" s="217"/>
      <c r="Z87" s="759"/>
    </row>
    <row r="88" spans="1:26">
      <c r="A88" s="214"/>
      <c r="B88" s="216"/>
      <c r="C88" s="216"/>
      <c r="D88" s="216"/>
      <c r="E88" s="217"/>
      <c r="F88" s="216"/>
      <c r="G88" s="217"/>
      <c r="H88" s="216"/>
      <c r="I88" s="217"/>
      <c r="J88" s="216"/>
      <c r="K88" s="216"/>
      <c r="L88" s="216"/>
      <c r="M88" s="217"/>
      <c r="N88" s="216"/>
      <c r="O88" s="217"/>
      <c r="P88" s="216"/>
      <c r="Q88" s="217"/>
      <c r="R88" s="216"/>
      <c r="S88" s="217"/>
      <c r="T88" s="216"/>
      <c r="U88" s="217"/>
      <c r="V88" s="216"/>
      <c r="W88" s="217"/>
      <c r="X88" s="216"/>
      <c r="Y88" s="217"/>
      <c r="Z88" s="759"/>
    </row>
    <row r="89" spans="1:26">
      <c r="A89" s="214"/>
      <c r="B89" s="216"/>
      <c r="C89" s="216"/>
      <c r="D89" s="216"/>
      <c r="E89" s="217"/>
      <c r="F89" s="216"/>
      <c r="G89" s="217"/>
      <c r="H89" s="216"/>
      <c r="I89" s="217"/>
      <c r="J89" s="216"/>
      <c r="K89" s="216"/>
      <c r="L89" s="216"/>
      <c r="M89" s="217"/>
      <c r="N89" s="216"/>
      <c r="O89" s="217"/>
      <c r="P89" s="216"/>
      <c r="Q89" s="217"/>
      <c r="R89" s="216"/>
      <c r="S89" s="217"/>
      <c r="T89" s="216"/>
      <c r="U89" s="217"/>
      <c r="V89" s="216"/>
      <c r="W89" s="217"/>
      <c r="X89" s="216"/>
      <c r="Y89" s="217"/>
      <c r="Z89" s="759"/>
    </row>
    <row r="90" spans="1:26">
      <c r="A90" s="214"/>
      <c r="B90" s="216"/>
      <c r="C90" s="216"/>
      <c r="D90" s="216"/>
      <c r="E90" s="217"/>
      <c r="F90" s="216"/>
      <c r="G90" s="217"/>
      <c r="H90" s="216"/>
      <c r="I90" s="217"/>
      <c r="J90" s="216"/>
      <c r="K90" s="216"/>
      <c r="L90" s="216"/>
      <c r="M90" s="217"/>
      <c r="N90" s="216"/>
      <c r="O90" s="217"/>
      <c r="P90" s="216"/>
      <c r="Q90" s="217"/>
      <c r="R90" s="216"/>
      <c r="S90" s="217"/>
      <c r="T90" s="216"/>
      <c r="U90" s="217"/>
      <c r="V90" s="216"/>
      <c r="W90" s="217"/>
      <c r="X90" s="216"/>
      <c r="Y90" s="217"/>
      <c r="Z90" s="759"/>
    </row>
    <row r="91" spans="1:26">
      <c r="A91" s="214"/>
      <c r="B91" s="216"/>
      <c r="C91" s="216"/>
      <c r="D91" s="216"/>
      <c r="E91" s="217"/>
      <c r="F91" s="216"/>
      <c r="G91" s="217"/>
      <c r="H91" s="216"/>
      <c r="I91" s="217"/>
      <c r="J91" s="216"/>
      <c r="K91" s="216"/>
      <c r="L91" s="216"/>
      <c r="M91" s="217"/>
      <c r="N91" s="216"/>
      <c r="O91" s="217"/>
      <c r="P91" s="216"/>
      <c r="Q91" s="217"/>
      <c r="R91" s="216"/>
      <c r="S91" s="217"/>
      <c r="T91" s="216"/>
      <c r="U91" s="217"/>
      <c r="V91" s="216"/>
      <c r="W91" s="217"/>
      <c r="X91" s="216"/>
      <c r="Y91" s="217"/>
      <c r="Z91" s="759"/>
    </row>
    <row r="92" spans="1:26">
      <c r="A92" s="214"/>
      <c r="B92" s="216"/>
      <c r="C92" s="216"/>
      <c r="D92" s="216"/>
      <c r="E92" s="217"/>
      <c r="F92" s="216"/>
      <c r="G92" s="217"/>
      <c r="H92" s="216"/>
      <c r="I92" s="217"/>
      <c r="J92" s="216"/>
      <c r="K92" s="216"/>
      <c r="L92" s="216"/>
      <c r="M92" s="217"/>
      <c r="N92" s="216"/>
      <c r="O92" s="217"/>
      <c r="P92" s="216"/>
      <c r="Q92" s="217"/>
      <c r="R92" s="216"/>
      <c r="S92" s="217"/>
      <c r="T92" s="216"/>
      <c r="U92" s="217"/>
      <c r="V92" s="216"/>
      <c r="W92" s="217"/>
      <c r="X92" s="216"/>
      <c r="Y92" s="217"/>
      <c r="Z92" s="759"/>
    </row>
    <row r="93" spans="1:26">
      <c r="A93" s="214"/>
      <c r="B93" s="216"/>
      <c r="C93" s="216"/>
      <c r="D93" s="216"/>
      <c r="E93" s="217"/>
      <c r="F93" s="216"/>
      <c r="G93" s="217"/>
      <c r="H93" s="216"/>
      <c r="I93" s="217"/>
      <c r="J93" s="216"/>
      <c r="K93" s="216"/>
      <c r="L93" s="216"/>
      <c r="M93" s="217"/>
      <c r="N93" s="216"/>
      <c r="O93" s="217"/>
      <c r="P93" s="216"/>
      <c r="Q93" s="217"/>
      <c r="R93" s="216"/>
      <c r="S93" s="217"/>
      <c r="T93" s="216"/>
      <c r="U93" s="217"/>
      <c r="V93" s="216"/>
      <c r="W93" s="217"/>
      <c r="X93" s="216"/>
      <c r="Y93" s="217"/>
      <c r="Z93" s="759"/>
    </row>
    <row r="94" spans="1:26">
      <c r="A94" s="214"/>
      <c r="B94" s="216"/>
      <c r="C94" s="216"/>
      <c r="D94" s="216"/>
      <c r="E94" s="217"/>
      <c r="F94" s="216"/>
      <c r="G94" s="217"/>
      <c r="H94" s="216"/>
      <c r="I94" s="217"/>
      <c r="J94" s="216"/>
      <c r="K94" s="216"/>
      <c r="L94" s="216"/>
      <c r="M94" s="217"/>
      <c r="N94" s="216"/>
      <c r="O94" s="217"/>
      <c r="P94" s="216"/>
      <c r="Q94" s="217"/>
      <c r="R94" s="216"/>
      <c r="S94" s="217"/>
      <c r="T94" s="216"/>
      <c r="U94" s="217"/>
      <c r="V94" s="216"/>
      <c r="W94" s="217"/>
      <c r="X94" s="216"/>
      <c r="Y94" s="217"/>
      <c r="Z94" s="759"/>
    </row>
    <row r="95" spans="1:26">
      <c r="A95" s="214"/>
      <c r="B95" s="216"/>
      <c r="C95" s="216"/>
      <c r="D95" s="216"/>
      <c r="E95" s="217"/>
      <c r="F95" s="216"/>
      <c r="G95" s="217"/>
      <c r="H95" s="216"/>
      <c r="I95" s="217"/>
      <c r="J95" s="216"/>
      <c r="K95" s="216"/>
      <c r="L95" s="216"/>
      <c r="M95" s="217"/>
      <c r="N95" s="216"/>
      <c r="O95" s="217"/>
      <c r="P95" s="216"/>
      <c r="Q95" s="217"/>
      <c r="R95" s="216"/>
      <c r="S95" s="217"/>
      <c r="T95" s="216"/>
      <c r="U95" s="217"/>
      <c r="V95" s="216"/>
      <c r="W95" s="217"/>
      <c r="X95" s="216"/>
      <c r="Y95" s="217"/>
      <c r="Z95" s="759"/>
    </row>
  </sheetData>
  <pageMargins left="0.25" right="0.25" top="0.5" bottom="0.25" header="0" footer="0.25"/>
  <pageSetup scale="38" firstPageNumber="47" orientation="landscape" useFirstPageNumber="1" r:id="rId1"/>
  <headerFooter scaleWithDoc="0" alignWithMargins="0">
    <oddHeader xml:space="preserve">&amp;L&amp;14 </oddHeader>
    <oddFooter>&amp;C&amp;8&amp;P</oddFooter>
  </headerFooter>
  <colBreaks count="1" manualBreakCount="1">
    <brk id="30" max="54" man="1"/>
  </colBreaks>
  <customProperties>
    <customPr name="SheetOptions" r:id="rId2"/>
  </customPropertie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6">
    <pageSetUpPr autoPageBreaks="0"/>
  </sheetPr>
  <dimension ref="A1:F78"/>
  <sheetViews>
    <sheetView showGridLines="0" workbookViewId="0"/>
  </sheetViews>
  <sheetFormatPr defaultColWidth="8.84375" defaultRowHeight="12.5"/>
  <cols>
    <col min="1" max="1" width="54.84375" style="478" customWidth="1"/>
    <col min="2" max="2" width="22.07421875" style="478" customWidth="1"/>
    <col min="3" max="3" width="24.84375" style="478" customWidth="1"/>
    <col min="4" max="4" width="30.84375" style="478" customWidth="1"/>
    <col min="5" max="5" width="2" style="478" customWidth="1"/>
    <col min="6" max="6" width="13" style="828" bestFit="1" customWidth="1"/>
    <col min="7" max="16384" width="8.84375" style="478"/>
  </cols>
  <sheetData>
    <row r="1" spans="1:6">
      <c r="A1" s="1148" t="s">
        <v>98</v>
      </c>
      <c r="B1" s="706"/>
      <c r="C1" s="706"/>
      <c r="D1" s="706"/>
      <c r="E1" s="479"/>
    </row>
    <row r="2" spans="1:6">
      <c r="A2" s="1149"/>
      <c r="B2" s="706"/>
      <c r="C2" s="706"/>
      <c r="D2" s="676"/>
      <c r="E2" s="479"/>
    </row>
    <row r="3" spans="1:6" s="317" customFormat="1" ht="15.5">
      <c r="A3" s="319" t="s">
        <v>995</v>
      </c>
      <c r="B3" s="706"/>
      <c r="C3" s="706"/>
      <c r="D3" s="1190" t="s">
        <v>996</v>
      </c>
      <c r="E3" s="1135"/>
      <c r="F3" s="829"/>
    </row>
    <row r="4" spans="1:6" s="317" customFormat="1" ht="15.5">
      <c r="A4" s="319" t="s">
        <v>997</v>
      </c>
      <c r="B4" s="706"/>
      <c r="C4" s="706"/>
      <c r="D4" s="706"/>
      <c r="E4" s="1135"/>
      <c r="F4" s="829"/>
    </row>
    <row r="5" spans="1:6" s="317" customFormat="1" ht="15.5">
      <c r="A5" s="319" t="s">
        <v>998</v>
      </c>
      <c r="B5" s="706"/>
      <c r="C5" s="706"/>
      <c r="D5" s="706"/>
      <c r="E5" s="1135"/>
      <c r="F5" s="829"/>
    </row>
    <row r="6" spans="1:6" s="317" customFormat="1" ht="15.5">
      <c r="A6" s="694" t="str">
        <f>'HCRA '!A6</f>
        <v>FISCAL YEAR 2023-2024</v>
      </c>
      <c r="B6" s="706"/>
      <c r="C6" s="706"/>
      <c r="D6" s="706"/>
      <c r="E6" s="1135"/>
      <c r="F6" s="829"/>
    </row>
    <row r="7" spans="1:6" ht="13">
      <c r="A7" s="694"/>
      <c r="B7" s="706"/>
      <c r="C7" s="706"/>
      <c r="D7" s="706"/>
      <c r="E7" s="479"/>
    </row>
    <row r="8" spans="1:6" ht="27" customHeight="1">
      <c r="A8" s="1238" t="s">
        <v>999</v>
      </c>
      <c r="B8" s="1238" t="s">
        <v>1000</v>
      </c>
      <c r="C8" s="2118" t="s">
        <v>1564</v>
      </c>
      <c r="D8" s="2119" t="s">
        <v>1566</v>
      </c>
      <c r="E8" s="1136"/>
    </row>
    <row r="9" spans="1:6" s="317" customFormat="1" ht="13">
      <c r="A9" s="1254" t="s">
        <v>1001</v>
      </c>
      <c r="B9" s="1265">
        <v>7609000</v>
      </c>
      <c r="C9" s="1265">
        <v>406765.26</v>
      </c>
      <c r="D9" s="1265">
        <v>2341637.41</v>
      </c>
      <c r="E9" s="730"/>
      <c r="F9" s="829"/>
    </row>
    <row r="10" spans="1:6" s="317" customFormat="1" ht="15.5">
      <c r="A10" s="1245" t="s">
        <v>1002</v>
      </c>
      <c r="B10" s="419">
        <v>7609000</v>
      </c>
      <c r="C10" s="419">
        <v>406765.26</v>
      </c>
      <c r="D10" s="419">
        <v>2341637.41</v>
      </c>
      <c r="E10" s="1137"/>
      <c r="F10" s="829"/>
    </row>
    <row r="11" spans="1:6" s="317" customFormat="1" ht="13">
      <c r="A11" s="1254" t="s">
        <v>1003</v>
      </c>
      <c r="B11" s="1255">
        <v>3183266000</v>
      </c>
      <c r="C11" s="1255">
        <v>54645732</v>
      </c>
      <c r="D11" s="1255">
        <v>521576353.81</v>
      </c>
      <c r="E11" s="730"/>
      <c r="F11" s="829"/>
    </row>
    <row r="12" spans="1:6" s="317" customFormat="1">
      <c r="A12" s="1245" t="s">
        <v>1004</v>
      </c>
      <c r="B12" s="419">
        <v>3183266000</v>
      </c>
      <c r="C12" s="419">
        <v>54645732</v>
      </c>
      <c r="D12" s="419">
        <v>521576353.81</v>
      </c>
      <c r="E12" s="730"/>
      <c r="F12" s="829"/>
    </row>
    <row r="13" spans="1:6" s="317" customFormat="1" ht="13">
      <c r="A13" s="1254" t="s">
        <v>1005</v>
      </c>
      <c r="B13" s="1255">
        <v>316351000</v>
      </c>
      <c r="C13" s="1255">
        <v>6113210.4400000004</v>
      </c>
      <c r="D13" s="1255">
        <v>59309111.710000001</v>
      </c>
      <c r="E13" s="730"/>
      <c r="F13" s="829"/>
    </row>
    <row r="14" spans="1:6" s="317" customFormat="1">
      <c r="A14" s="1245" t="s">
        <v>1006</v>
      </c>
      <c r="B14" s="419">
        <v>316351000</v>
      </c>
      <c r="C14" s="419">
        <v>6113210.4400000004</v>
      </c>
      <c r="D14" s="419">
        <v>59309111.710000001</v>
      </c>
      <c r="E14" s="730"/>
      <c r="F14" s="829"/>
    </row>
    <row r="15" spans="1:6" s="317" customFormat="1" ht="13">
      <c r="A15" s="1254" t="s">
        <v>1007</v>
      </c>
      <c r="B15" s="1255">
        <v>1798052059.03</v>
      </c>
      <c r="C15" s="1255">
        <v>1685265.7</v>
      </c>
      <c r="D15" s="1255">
        <v>144960293.87</v>
      </c>
      <c r="E15" s="730"/>
      <c r="F15" s="829"/>
    </row>
    <row r="16" spans="1:6" s="317" customFormat="1">
      <c r="A16" s="1245" t="s">
        <v>1008</v>
      </c>
      <c r="B16" s="419">
        <v>132750000</v>
      </c>
      <c r="C16" s="419">
        <v>0</v>
      </c>
      <c r="D16" s="419">
        <v>12161440</v>
      </c>
      <c r="E16" s="730"/>
      <c r="F16" s="829"/>
    </row>
    <row r="17" spans="1:6" s="317" customFormat="1" ht="13">
      <c r="A17" s="1254" t="s">
        <v>1009</v>
      </c>
      <c r="B17" s="1255">
        <v>3537000</v>
      </c>
      <c r="C17" s="1255">
        <v>0</v>
      </c>
      <c r="D17" s="1255">
        <v>0</v>
      </c>
      <c r="E17" s="730"/>
      <c r="F17" s="829"/>
    </row>
    <row r="18" spans="1:6" s="317" customFormat="1">
      <c r="A18" s="1245" t="s">
        <v>1010</v>
      </c>
      <c r="B18" s="419">
        <v>6562000</v>
      </c>
      <c r="C18" s="419">
        <v>0</v>
      </c>
      <c r="D18" s="419">
        <v>857003.19</v>
      </c>
      <c r="E18" s="730"/>
      <c r="F18" s="829"/>
    </row>
    <row r="19" spans="1:6" s="317" customFormat="1">
      <c r="A19" s="1245" t="s">
        <v>1011</v>
      </c>
      <c r="B19" s="419">
        <v>43140600</v>
      </c>
      <c r="C19" s="419">
        <v>0</v>
      </c>
      <c r="D19" s="419">
        <v>0</v>
      </c>
      <c r="E19" s="730"/>
      <c r="F19" s="829"/>
    </row>
    <row r="20" spans="1:6" s="317" customFormat="1">
      <c r="A20" s="1245" t="s">
        <v>1012</v>
      </c>
      <c r="B20" s="419">
        <v>108800000</v>
      </c>
      <c r="C20" s="419">
        <v>0</v>
      </c>
      <c r="D20" s="419">
        <v>0</v>
      </c>
      <c r="E20" s="730"/>
      <c r="F20" s="829"/>
    </row>
    <row r="21" spans="1:6" s="317" customFormat="1">
      <c r="A21" s="1245" t="s">
        <v>1013</v>
      </c>
      <c r="B21" s="419">
        <v>5315000</v>
      </c>
      <c r="C21" s="419">
        <v>0</v>
      </c>
      <c r="D21" s="419">
        <v>581369.18999999994</v>
      </c>
      <c r="E21" s="730"/>
      <c r="F21" s="829"/>
    </row>
    <row r="22" spans="1:6" s="317" customFormat="1">
      <c r="A22" s="1245" t="s">
        <v>1014</v>
      </c>
      <c r="B22" s="419">
        <v>6890000</v>
      </c>
      <c r="C22" s="419">
        <v>0</v>
      </c>
      <c r="D22" s="419">
        <v>0</v>
      </c>
      <c r="E22" s="730"/>
      <c r="F22" s="829"/>
    </row>
    <row r="23" spans="1:6" s="317" customFormat="1">
      <c r="A23" s="1245" t="s">
        <v>1015</v>
      </c>
      <c r="B23" s="419">
        <v>18967000</v>
      </c>
      <c r="C23" s="419">
        <v>34097.75</v>
      </c>
      <c r="D23" s="419">
        <v>238759.07</v>
      </c>
      <c r="E23" s="730"/>
      <c r="F23" s="829"/>
    </row>
    <row r="24" spans="1:6" s="317" customFormat="1">
      <c r="A24" s="1245" t="s">
        <v>1016</v>
      </c>
      <c r="B24" s="419">
        <v>39200000</v>
      </c>
      <c r="C24" s="419">
        <v>0</v>
      </c>
      <c r="D24" s="419">
        <v>0</v>
      </c>
      <c r="E24" s="730"/>
      <c r="F24" s="829"/>
    </row>
    <row r="25" spans="1:6" s="317" customFormat="1">
      <c r="A25" s="1245" t="s">
        <v>1017</v>
      </c>
      <c r="B25" s="419">
        <v>18320000</v>
      </c>
      <c r="C25" s="419">
        <v>0</v>
      </c>
      <c r="D25" s="419">
        <v>0</v>
      </c>
      <c r="E25" s="730"/>
      <c r="F25" s="829"/>
    </row>
    <row r="26" spans="1:6" s="317" customFormat="1">
      <c r="A26" s="1245" t="s">
        <v>1018</v>
      </c>
      <c r="B26" s="419">
        <v>5733000</v>
      </c>
      <c r="C26" s="419">
        <v>21537.360000000001</v>
      </c>
      <c r="D26" s="419">
        <v>232493.84</v>
      </c>
      <c r="E26" s="730"/>
      <c r="F26" s="829"/>
    </row>
    <row r="27" spans="1:6" s="317" customFormat="1">
      <c r="A27" s="1245" t="s">
        <v>1019</v>
      </c>
      <c r="B27" s="419">
        <v>208000000</v>
      </c>
      <c r="C27" s="419">
        <v>0</v>
      </c>
      <c r="D27" s="419">
        <v>0</v>
      </c>
      <c r="E27" s="479"/>
      <c r="F27" s="829"/>
    </row>
    <row r="28" spans="1:6" s="317" customFormat="1">
      <c r="A28" s="1245" t="s">
        <v>1020</v>
      </c>
      <c r="B28" s="419">
        <v>5500000</v>
      </c>
      <c r="C28" s="419">
        <v>0</v>
      </c>
      <c r="D28" s="419">
        <v>0</v>
      </c>
      <c r="E28" s="479"/>
      <c r="F28" s="829"/>
    </row>
    <row r="29" spans="1:6">
      <c r="A29" s="1245" t="s">
        <v>1021</v>
      </c>
      <c r="B29" s="419">
        <v>40087000</v>
      </c>
      <c r="C29" s="419">
        <v>26696.510000000002</v>
      </c>
      <c r="D29" s="419">
        <v>59411.11</v>
      </c>
      <c r="E29" s="479"/>
    </row>
    <row r="30" spans="1:6">
      <c r="A30" s="1245" t="s">
        <v>1022</v>
      </c>
      <c r="B30" s="419">
        <v>4400000</v>
      </c>
      <c r="C30" s="419">
        <v>0</v>
      </c>
      <c r="D30" s="419">
        <v>365541.55</v>
      </c>
      <c r="E30" s="479"/>
    </row>
    <row r="31" spans="1:6">
      <c r="A31" s="1245" t="s">
        <v>1023</v>
      </c>
      <c r="B31" s="419">
        <v>387800000</v>
      </c>
      <c r="C31" s="419">
        <v>0</v>
      </c>
      <c r="D31" s="419">
        <v>79400000</v>
      </c>
      <c r="E31" s="479"/>
    </row>
    <row r="32" spans="1:6">
      <c r="A32" s="1245" t="s">
        <v>1024</v>
      </c>
      <c r="B32" s="419">
        <v>67987000</v>
      </c>
      <c r="C32" s="419">
        <v>60754.400000000001</v>
      </c>
      <c r="D32" s="419">
        <v>3590925.1</v>
      </c>
      <c r="E32" s="479"/>
    </row>
    <row r="33" spans="1:5" ht="13">
      <c r="A33" s="1245" t="s">
        <v>1025</v>
      </c>
      <c r="B33" s="419">
        <v>974000</v>
      </c>
      <c r="C33" s="419">
        <v>109570</v>
      </c>
      <c r="D33" s="419">
        <v>331430</v>
      </c>
      <c r="E33" s="1138"/>
    </row>
    <row r="34" spans="1:5">
      <c r="A34" s="1245" t="s">
        <v>1026</v>
      </c>
      <c r="B34" s="419">
        <v>11120000</v>
      </c>
      <c r="C34" s="419">
        <v>0</v>
      </c>
      <c r="D34" s="419">
        <v>0</v>
      </c>
      <c r="E34" s="479"/>
    </row>
    <row r="35" spans="1:5">
      <c r="A35" s="1245" t="s">
        <v>1027</v>
      </c>
      <c r="B35" s="419">
        <v>10687000</v>
      </c>
      <c r="C35" s="419">
        <v>0</v>
      </c>
      <c r="D35" s="419">
        <v>1417614.42</v>
      </c>
      <c r="E35" s="479"/>
    </row>
    <row r="36" spans="1:5">
      <c r="A36" s="1245" t="s">
        <v>1028</v>
      </c>
      <c r="B36" s="419">
        <v>110926000</v>
      </c>
      <c r="C36" s="419">
        <v>0</v>
      </c>
      <c r="D36" s="419">
        <v>41597250</v>
      </c>
      <c r="E36" s="479"/>
    </row>
    <row r="37" spans="1:5">
      <c r="A37" s="1245" t="s">
        <v>1029</v>
      </c>
      <c r="B37" s="419">
        <v>50000</v>
      </c>
      <c r="C37" s="419">
        <v>0</v>
      </c>
      <c r="D37" s="419">
        <v>0</v>
      </c>
      <c r="E37" s="479"/>
    </row>
    <row r="38" spans="1:5">
      <c r="A38" s="1245" t="s">
        <v>1030</v>
      </c>
      <c r="B38" s="419">
        <v>15950000</v>
      </c>
      <c r="C38" s="419">
        <v>0</v>
      </c>
      <c r="D38" s="419">
        <v>0</v>
      </c>
      <c r="E38" s="479"/>
    </row>
    <row r="39" spans="1:5">
      <c r="A39" s="1245" t="s">
        <v>1031</v>
      </c>
      <c r="B39" s="419">
        <v>28230000</v>
      </c>
      <c r="C39" s="419">
        <v>1432609.68</v>
      </c>
      <c r="D39" s="419">
        <v>4127056.4</v>
      </c>
      <c r="E39" s="479"/>
    </row>
    <row r="40" spans="1:5">
      <c r="A40" s="1245" t="s">
        <v>1032</v>
      </c>
      <c r="B40" s="419">
        <v>3300400</v>
      </c>
      <c r="C40" s="419">
        <v>0</v>
      </c>
      <c r="D40" s="419">
        <v>0</v>
      </c>
      <c r="E40" s="479"/>
    </row>
    <row r="41" spans="1:5">
      <c r="A41" s="1245" t="s">
        <v>1033</v>
      </c>
      <c r="B41" s="419">
        <v>11610000</v>
      </c>
      <c r="C41" s="419">
        <v>0</v>
      </c>
      <c r="D41" s="419">
        <v>0</v>
      </c>
      <c r="E41" s="479"/>
    </row>
    <row r="42" spans="1:5">
      <c r="A42" s="1245" t="s">
        <v>1034</v>
      </c>
      <c r="B42" s="419">
        <v>4230000</v>
      </c>
      <c r="C42" s="419">
        <v>0</v>
      </c>
      <c r="D42" s="419">
        <v>0</v>
      </c>
      <c r="E42" s="479"/>
    </row>
    <row r="43" spans="1:5">
      <c r="A43" s="1245" t="s">
        <v>1035</v>
      </c>
      <c r="B43" s="419">
        <v>8460000</v>
      </c>
      <c r="C43" s="419">
        <v>0</v>
      </c>
      <c r="D43" s="419">
        <v>0</v>
      </c>
      <c r="E43" s="479"/>
    </row>
    <row r="44" spans="1:5">
      <c r="A44" s="1245" t="s">
        <v>1036</v>
      </c>
      <c r="B44" s="419">
        <v>489526059.02999997</v>
      </c>
      <c r="C44" s="419">
        <v>0</v>
      </c>
      <c r="D44" s="419">
        <v>0</v>
      </c>
      <c r="E44" s="479"/>
    </row>
    <row r="45" spans="1:5" ht="13">
      <c r="A45" s="1254" t="s">
        <v>1037</v>
      </c>
      <c r="B45" s="1255">
        <v>29648633000</v>
      </c>
      <c r="C45" s="1255">
        <v>491751236.65999997</v>
      </c>
      <c r="D45" s="1255">
        <v>3561434166.9000001</v>
      </c>
      <c r="E45" s="479"/>
    </row>
    <row r="46" spans="1:5">
      <c r="A46" s="1245" t="s">
        <v>1038</v>
      </c>
      <c r="B46" s="419">
        <v>300000000</v>
      </c>
      <c r="C46" s="419">
        <v>0</v>
      </c>
      <c r="D46" s="419">
        <v>0</v>
      </c>
      <c r="E46" s="479"/>
    </row>
    <row r="47" spans="1:5">
      <c r="A47" s="1245" t="s">
        <v>1039</v>
      </c>
      <c r="B47" s="419">
        <v>3866600000</v>
      </c>
      <c r="C47" s="419">
        <v>91751236.659999996</v>
      </c>
      <c r="D47" s="419">
        <v>411434166.89999998</v>
      </c>
      <c r="E47" s="479"/>
    </row>
    <row r="48" spans="1:5">
      <c r="A48" s="1245" t="s">
        <v>1040</v>
      </c>
      <c r="B48" s="419">
        <v>24598833000</v>
      </c>
      <c r="C48" s="419">
        <v>400000000</v>
      </c>
      <c r="D48" s="419">
        <v>3150000000</v>
      </c>
      <c r="E48" s="479"/>
    </row>
    <row r="49" spans="1:6">
      <c r="A49" s="1245" t="s">
        <v>1041</v>
      </c>
      <c r="B49" s="419">
        <v>816000000</v>
      </c>
      <c r="C49" s="419">
        <v>0</v>
      </c>
      <c r="D49" s="419">
        <v>0</v>
      </c>
      <c r="E49" s="479"/>
    </row>
    <row r="50" spans="1:6">
      <c r="A50" s="1245" t="s">
        <v>1042</v>
      </c>
      <c r="B50" s="419">
        <v>67200000</v>
      </c>
      <c r="C50" s="419">
        <v>0</v>
      </c>
      <c r="D50" s="419">
        <v>0</v>
      </c>
      <c r="E50" s="479"/>
    </row>
    <row r="51" spans="1:6" ht="13">
      <c r="A51" s="1254" t="s">
        <v>1043</v>
      </c>
      <c r="B51" s="1255">
        <v>88185000</v>
      </c>
      <c r="C51" s="1255">
        <v>1920454.6500000001</v>
      </c>
      <c r="D51" s="1255">
        <v>17747691.809999999</v>
      </c>
      <c r="E51" s="479"/>
    </row>
    <row r="52" spans="1:6">
      <c r="A52" s="1245" t="s">
        <v>1044</v>
      </c>
      <c r="B52" s="419">
        <v>88185000</v>
      </c>
      <c r="C52" s="419">
        <v>1920454.6500000001</v>
      </c>
      <c r="D52" s="419">
        <v>17747691.809999999</v>
      </c>
      <c r="E52" s="479"/>
    </row>
    <row r="53" spans="1:6" ht="13">
      <c r="A53" s="1254" t="s">
        <v>1045</v>
      </c>
      <c r="B53" s="1255">
        <v>1834000</v>
      </c>
      <c r="C53" s="1255">
        <v>0</v>
      </c>
      <c r="D53" s="1255">
        <v>0</v>
      </c>
      <c r="E53" s="479"/>
    </row>
    <row r="54" spans="1:6">
      <c r="A54" s="1245" t="s">
        <v>1046</v>
      </c>
      <c r="B54" s="419">
        <v>1834000</v>
      </c>
      <c r="C54" s="419">
        <v>0</v>
      </c>
      <c r="D54" s="419">
        <v>0</v>
      </c>
      <c r="E54" s="479"/>
    </row>
    <row r="55" spans="1:6" ht="13">
      <c r="A55" s="1254" t="s">
        <v>1047</v>
      </c>
      <c r="B55" s="1255">
        <v>64258200</v>
      </c>
      <c r="C55" s="1255">
        <v>1158921.94</v>
      </c>
      <c r="D55" s="1255">
        <v>7963213.0400000019</v>
      </c>
      <c r="E55" s="479"/>
    </row>
    <row r="56" spans="1:6">
      <c r="A56" s="1245" t="s">
        <v>1048</v>
      </c>
      <c r="B56" s="419">
        <v>64258200</v>
      </c>
      <c r="C56" s="419">
        <v>1158921.94</v>
      </c>
      <c r="D56" s="419">
        <v>7963213.0400000019</v>
      </c>
      <c r="E56" s="479"/>
    </row>
    <row r="57" spans="1:6" ht="13">
      <c r="A57" s="1254" t="s">
        <v>1049</v>
      </c>
      <c r="B57" s="1255">
        <v>8190000</v>
      </c>
      <c r="C57" s="1255">
        <v>421994.56</v>
      </c>
      <c r="D57" s="1255">
        <v>2492537.5100000002</v>
      </c>
      <c r="E57" s="479"/>
    </row>
    <row r="58" spans="1:6">
      <c r="A58" s="1245" t="s">
        <v>1049</v>
      </c>
      <c r="B58" s="419">
        <v>8190000</v>
      </c>
      <c r="C58" s="419">
        <v>421994.56</v>
      </c>
      <c r="D58" s="419">
        <v>2492537.5100000002</v>
      </c>
      <c r="E58" s="479"/>
    </row>
    <row r="59" spans="1:6" ht="13">
      <c r="A59" s="1286" t="s">
        <v>1050</v>
      </c>
      <c r="B59" s="1288">
        <v>35116378259.029999</v>
      </c>
      <c r="C59" s="1288">
        <v>558103581.21000004</v>
      </c>
      <c r="D59" s="1288">
        <v>4317825006.0600004</v>
      </c>
      <c r="E59" s="479"/>
    </row>
    <row r="60" spans="1:6" ht="15" customHeight="1">
      <c r="A60" s="1246" t="s">
        <v>1051</v>
      </c>
      <c r="B60" s="1287"/>
      <c r="C60" s="1239">
        <v>-272968.09000000003</v>
      </c>
      <c r="D60" s="1239">
        <v>-2589801.67</v>
      </c>
      <c r="E60" s="479"/>
      <c r="F60" s="828" t="s">
        <v>104</v>
      </c>
    </row>
    <row r="61" spans="1:6" ht="15.65" customHeight="1">
      <c r="A61" s="1246" t="s">
        <v>1052</v>
      </c>
      <c r="B61" s="1287"/>
      <c r="C61" s="1239">
        <v>0</v>
      </c>
      <c r="D61" s="1239">
        <v>0</v>
      </c>
      <c r="E61" s="479"/>
    </row>
    <row r="62" spans="1:6" ht="12.75" customHeight="1">
      <c r="A62" s="1246" t="s">
        <v>1053</v>
      </c>
      <c r="B62" s="1239"/>
      <c r="C62" s="1239">
        <v>0</v>
      </c>
      <c r="D62" s="1239">
        <v>0</v>
      </c>
      <c r="E62" s="1139"/>
    </row>
    <row r="63" spans="1:6">
      <c r="A63" s="1246" t="s">
        <v>1054</v>
      </c>
      <c r="B63" s="1239"/>
      <c r="C63" s="1239">
        <v>-548.99</v>
      </c>
      <c r="D63" s="1239">
        <v>3683.34</v>
      </c>
      <c r="E63" s="479"/>
    </row>
    <row r="64" spans="1:6" ht="13.5" thickBot="1">
      <c r="A64" s="1240" t="s">
        <v>1055</v>
      </c>
      <c r="B64" s="2117">
        <v>35116378259.029999</v>
      </c>
      <c r="C64" s="2117">
        <v>557830064.13</v>
      </c>
      <c r="D64" s="2117">
        <v>4315238887.7300005</v>
      </c>
      <c r="E64" s="479"/>
    </row>
    <row r="65" spans="1:5" ht="13" thickTop="1">
      <c r="A65" s="706"/>
      <c r="B65" s="1239"/>
      <c r="C65" s="1239"/>
      <c r="D65" s="1239"/>
      <c r="E65" s="479"/>
    </row>
    <row r="66" spans="1:5">
      <c r="A66" s="1241" t="s">
        <v>1056</v>
      </c>
      <c r="B66" s="706"/>
      <c r="C66" s="706"/>
      <c r="D66" s="706"/>
      <c r="E66" s="479"/>
    </row>
    <row r="67" spans="1:5">
      <c r="A67" s="1241" t="s">
        <v>1057</v>
      </c>
      <c r="B67" s="706"/>
      <c r="C67" s="706"/>
      <c r="D67" s="706"/>
      <c r="E67" s="479"/>
    </row>
    <row r="68" spans="1:5" ht="13.4" customHeight="1">
      <c r="A68" s="1242" t="s">
        <v>1058</v>
      </c>
      <c r="B68" s="706"/>
      <c r="C68" s="706"/>
      <c r="D68" s="706"/>
    </row>
    <row r="69" spans="1:5" ht="12.75" customHeight="1">
      <c r="A69" s="1243" t="s">
        <v>1059</v>
      </c>
      <c r="B69" s="706"/>
      <c r="C69" s="706"/>
      <c r="D69" s="1244"/>
    </row>
    <row r="70" spans="1:5">
      <c r="A70" s="1243" t="s">
        <v>1060</v>
      </c>
      <c r="B70" s="706"/>
      <c r="C70" s="706"/>
      <c r="D70" s="1239"/>
    </row>
    <row r="71" spans="1:5">
      <c r="B71" s="480"/>
      <c r="C71" s="480"/>
    </row>
    <row r="72" spans="1:5">
      <c r="C72" s="1239"/>
      <c r="D72" s="1239"/>
    </row>
    <row r="73" spans="1:5">
      <c r="C73" s="1239"/>
      <c r="D73" s="1239"/>
    </row>
    <row r="74" spans="1:5">
      <c r="C74" s="1239"/>
      <c r="D74" s="1239"/>
    </row>
    <row r="75" spans="1:5">
      <c r="C75" s="1317"/>
      <c r="D75" s="1317"/>
    </row>
    <row r="76" spans="1:5" ht="12.75" customHeight="1">
      <c r="C76" s="1239"/>
      <c r="D76" s="1239"/>
    </row>
    <row r="77" spans="1:5" ht="12.75" customHeight="1">
      <c r="C77" s="1239" t="s">
        <v>104</v>
      </c>
    </row>
    <row r="78" spans="1:5" ht="12.75" customHeight="1"/>
  </sheetData>
  <printOptions horizontalCentered="1"/>
  <pageMargins left="0.5" right="0.25" top="0.5" bottom="0.25" header="0.5" footer="0.25"/>
  <pageSetup scale="55" firstPageNumber="48" fitToHeight="2" orientation="landscape" useFirstPageNumber="1" r:id="rId1"/>
  <headerFooter scaleWithDoc="0" alignWithMargins="0">
    <oddFooter>&amp;C&amp;8&amp;P</oddFooter>
  </headerFooter>
  <customProperties>
    <customPr name="SheetOptions" r:id="rId2"/>
  </customPropertie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8">
    <pageSetUpPr fitToPage="1"/>
  </sheetPr>
  <dimension ref="A1:O53"/>
  <sheetViews>
    <sheetView showGridLines="0" zoomScale="90" workbookViewId="0"/>
  </sheetViews>
  <sheetFormatPr defaultColWidth="8.84375" defaultRowHeight="15" customHeight="1"/>
  <cols>
    <col min="1" max="1" width="55.07421875" style="561" customWidth="1"/>
    <col min="2" max="2" width="4.84375" style="561" customWidth="1"/>
    <col min="3" max="3" width="1.84375" style="562" customWidth="1"/>
    <col min="4" max="4" width="20.84375" style="562" customWidth="1"/>
    <col min="5" max="5" width="1.84375" style="562" customWidth="1"/>
    <col min="6" max="6" width="20.84375" style="562" customWidth="1"/>
    <col min="7" max="7" width="1.84375" style="562" customWidth="1"/>
    <col min="8" max="8" width="20.84375" style="562" customWidth="1"/>
    <col min="9" max="9" width="1.84375" style="562" customWidth="1"/>
    <col min="10" max="10" width="20.84375" style="562" customWidth="1"/>
    <col min="11" max="12" width="1.84375" style="562" customWidth="1"/>
    <col min="13" max="13" width="20.84375" style="562" customWidth="1"/>
    <col min="14" max="14" width="8.84375" style="562"/>
    <col min="15" max="15" width="20.84375" style="561" customWidth="1"/>
    <col min="16" max="16384" width="8.84375" style="561"/>
  </cols>
  <sheetData>
    <row r="1" spans="1:15" ht="15" customHeight="1">
      <c r="A1" s="326" t="s">
        <v>98</v>
      </c>
    </row>
    <row r="2" spans="1:15" ht="15" customHeight="1">
      <c r="A2" s="584"/>
    </row>
    <row r="3" spans="1:15" ht="15" customHeight="1">
      <c r="M3" s="626" t="s">
        <v>1061</v>
      </c>
    </row>
    <row r="4" spans="1:15" ht="19.5" customHeight="1">
      <c r="A4" s="627" t="s">
        <v>995</v>
      </c>
      <c r="B4" s="576"/>
      <c r="C4" s="576"/>
      <c r="D4" s="576"/>
      <c r="E4" s="576"/>
      <c r="F4" s="576"/>
      <c r="G4" s="576"/>
      <c r="H4" s="576"/>
      <c r="I4" s="576"/>
      <c r="J4" s="576"/>
      <c r="K4" s="576"/>
      <c r="L4" s="628"/>
      <c r="M4" s="628"/>
    </row>
    <row r="5" spans="1:15" ht="19.5" customHeight="1">
      <c r="A5" s="627" t="s">
        <v>1062</v>
      </c>
      <c r="B5" s="627"/>
      <c r="C5" s="627"/>
      <c r="D5" s="627"/>
      <c r="E5" s="627"/>
      <c r="F5" s="627"/>
      <c r="G5" s="627"/>
      <c r="H5" s="627"/>
      <c r="I5" s="627"/>
      <c r="J5" s="627"/>
      <c r="K5" s="627"/>
      <c r="L5" s="627"/>
      <c r="M5" s="627"/>
    </row>
    <row r="6" spans="1:15" ht="19.5" customHeight="1">
      <c r="A6" s="627" t="s">
        <v>1485</v>
      </c>
      <c r="B6" s="831"/>
      <c r="C6" s="831"/>
      <c r="D6" s="831"/>
      <c r="E6" s="831"/>
      <c r="F6" s="831"/>
      <c r="G6" s="831"/>
      <c r="H6" s="831"/>
      <c r="I6" s="831"/>
      <c r="J6" s="831"/>
      <c r="K6" s="831"/>
      <c r="L6" s="627"/>
      <c r="M6" s="627"/>
    </row>
    <row r="7" spans="1:15" ht="15" customHeight="1">
      <c r="A7" s="832"/>
      <c r="B7" s="832"/>
      <c r="C7" s="832"/>
      <c r="D7" s="832"/>
      <c r="E7" s="832"/>
      <c r="F7" s="832"/>
      <c r="G7" s="832"/>
      <c r="H7" s="832"/>
      <c r="I7" s="832"/>
      <c r="J7" s="832"/>
      <c r="K7" s="832"/>
      <c r="L7" s="629"/>
      <c r="M7" s="629"/>
    </row>
    <row r="8" spans="1:15" ht="15" customHeight="1">
      <c r="A8" s="585"/>
      <c r="B8" s="586"/>
      <c r="C8" s="587"/>
      <c r="D8" s="567"/>
      <c r="E8" s="587"/>
      <c r="F8" s="567"/>
      <c r="G8" s="587"/>
      <c r="H8" s="567"/>
      <c r="I8" s="587"/>
      <c r="J8" s="567"/>
      <c r="K8" s="587"/>
      <c r="L8" s="630"/>
      <c r="M8" s="571"/>
    </row>
    <row r="9" spans="1:15" s="570" customFormat="1" ht="15" customHeight="1">
      <c r="A9" s="568"/>
      <c r="B9" s="568"/>
      <c r="C9" s="727"/>
      <c r="D9" s="727" t="s">
        <v>1469</v>
      </c>
      <c r="E9" s="727"/>
      <c r="F9" s="727" t="s">
        <v>1502</v>
      </c>
      <c r="G9" s="727"/>
      <c r="H9" s="727">
        <v>2023</v>
      </c>
      <c r="I9" s="727"/>
      <c r="J9" s="727">
        <v>2023</v>
      </c>
      <c r="K9" s="727"/>
      <c r="L9" s="569"/>
      <c r="M9" s="569"/>
      <c r="N9" s="569"/>
    </row>
    <row r="10" spans="1:15" ht="15" customHeight="1">
      <c r="C10" s="571"/>
      <c r="D10" s="2085" t="s">
        <v>1470</v>
      </c>
      <c r="E10" s="571"/>
      <c r="F10" s="2085" t="s">
        <v>1503</v>
      </c>
      <c r="G10" s="571"/>
      <c r="H10" s="2085" t="s">
        <v>476</v>
      </c>
      <c r="I10" s="571"/>
      <c r="J10" s="2085" t="s">
        <v>365</v>
      </c>
      <c r="K10" s="571"/>
      <c r="M10" s="571" t="s">
        <v>1063</v>
      </c>
    </row>
    <row r="11" spans="1:15" ht="15" customHeight="1">
      <c r="M11" s="790"/>
    </row>
    <row r="12" spans="1:15" s="570" customFormat="1" ht="15" customHeight="1">
      <c r="A12" s="570" t="s">
        <v>969</v>
      </c>
      <c r="C12" s="572"/>
      <c r="D12" s="572">
        <v>492069346.5</v>
      </c>
      <c r="E12" s="572"/>
      <c r="F12" s="572">
        <f>D50</f>
        <v>499063749.54000002</v>
      </c>
      <c r="G12" s="572"/>
      <c r="H12" s="572">
        <f>F50</f>
        <v>342087502.66000003</v>
      </c>
      <c r="I12" s="572"/>
      <c r="J12" s="572">
        <f>H50</f>
        <v>453182412.04000002</v>
      </c>
      <c r="K12" s="572"/>
      <c r="L12" s="588"/>
      <c r="M12" s="572">
        <f>D12</f>
        <v>492069346.5</v>
      </c>
      <c r="N12" s="569"/>
    </row>
    <row r="13" spans="1:15" ht="15" customHeight="1">
      <c r="A13" s="570"/>
      <c r="L13" s="589"/>
      <c r="M13" s="575"/>
    </row>
    <row r="14" spans="1:15" ht="15" customHeight="1">
      <c r="A14" s="570" t="s">
        <v>115</v>
      </c>
      <c r="C14" s="575"/>
      <c r="D14" s="575"/>
      <c r="E14" s="575"/>
      <c r="F14" s="575"/>
      <c r="G14" s="575"/>
      <c r="H14" s="575"/>
      <c r="I14" s="575"/>
      <c r="J14" s="575"/>
      <c r="K14" s="575"/>
      <c r="L14" s="590"/>
      <c r="M14" s="575"/>
    </row>
    <row r="15" spans="1:15" ht="15" customHeight="1">
      <c r="A15" s="561" t="s">
        <v>1064</v>
      </c>
      <c r="C15" s="575"/>
      <c r="D15" s="575">
        <v>1157843597.99</v>
      </c>
      <c r="E15" s="575"/>
      <c r="F15" s="575">
        <v>1063673833.1500001</v>
      </c>
      <c r="G15" s="575"/>
      <c r="H15" s="575">
        <v>497323752.45999998</v>
      </c>
      <c r="I15" s="575"/>
      <c r="J15" s="575">
        <v>368113573.51999998</v>
      </c>
      <c r="K15" s="575"/>
      <c r="L15" s="590"/>
      <c r="M15" s="575">
        <f t="shared" ref="M15:M21" si="0">SUM(C15:K15)</f>
        <v>3086954757.1200004</v>
      </c>
      <c r="O15" s="575"/>
    </row>
    <row r="16" spans="1:15" ht="15" customHeight="1">
      <c r="A16" s="561" t="s">
        <v>1065</v>
      </c>
      <c r="C16" s="575"/>
      <c r="D16" s="575">
        <v>291263293.25999999</v>
      </c>
      <c r="E16" s="575"/>
      <c r="F16" s="575">
        <v>252457020.27999997</v>
      </c>
      <c r="G16" s="575"/>
      <c r="H16" s="575">
        <v>137637985.56999999</v>
      </c>
      <c r="I16" s="575"/>
      <c r="J16" s="575">
        <v>100348020.70999999</v>
      </c>
      <c r="K16" s="575"/>
      <c r="L16" s="590"/>
      <c r="M16" s="575">
        <f t="shared" si="0"/>
        <v>781706319.81999993</v>
      </c>
      <c r="O16" s="575"/>
    </row>
    <row r="17" spans="1:15" ht="15" customHeight="1">
      <c r="A17" s="561" t="s">
        <v>1066</v>
      </c>
      <c r="C17" s="575"/>
      <c r="D17" s="575">
        <v>27975016.539999999</v>
      </c>
      <c r="E17" s="575"/>
      <c r="F17" s="575">
        <v>27166892.41</v>
      </c>
      <c r="G17" s="575"/>
      <c r="H17" s="575">
        <v>11133177.470000001</v>
      </c>
      <c r="I17" s="575"/>
      <c r="J17" s="575">
        <v>8227397.0899999999</v>
      </c>
      <c r="K17" s="575"/>
      <c r="L17" s="590"/>
      <c r="M17" s="575">
        <f t="shared" si="0"/>
        <v>74502483.510000005</v>
      </c>
      <c r="O17" s="575"/>
    </row>
    <row r="18" spans="1:15" ht="15" customHeight="1">
      <c r="A18" s="561" t="s">
        <v>1067</v>
      </c>
      <c r="C18" s="575"/>
      <c r="D18" s="575">
        <v>122117738</v>
      </c>
      <c r="E18" s="575"/>
      <c r="F18" s="575">
        <v>125362141</v>
      </c>
      <c r="G18" s="575"/>
      <c r="H18" s="575">
        <v>44965160</v>
      </c>
      <c r="I18" s="575"/>
      <c r="J18" s="575">
        <v>40517333</v>
      </c>
      <c r="K18" s="575"/>
      <c r="L18" s="590"/>
      <c r="M18" s="575">
        <f t="shared" si="0"/>
        <v>332962372</v>
      </c>
      <c r="O18" s="575"/>
    </row>
    <row r="19" spans="1:15" ht="15.5">
      <c r="A19" s="561" t="s">
        <v>1068</v>
      </c>
      <c r="C19" s="409"/>
      <c r="D19" s="409">
        <v>0</v>
      </c>
      <c r="E19" s="409"/>
      <c r="F19" s="409">
        <v>0</v>
      </c>
      <c r="G19" s="409"/>
      <c r="H19" s="409">
        <v>0</v>
      </c>
      <c r="I19" s="409"/>
      <c r="J19" s="409">
        <v>0</v>
      </c>
      <c r="K19" s="409"/>
      <c r="L19" s="590"/>
      <c r="M19" s="575">
        <f t="shared" si="0"/>
        <v>0</v>
      </c>
      <c r="O19" s="575"/>
    </row>
    <row r="20" spans="1:15" ht="15" customHeight="1">
      <c r="A20" s="561" t="s">
        <v>1069</v>
      </c>
      <c r="C20" s="575"/>
      <c r="D20" s="575">
        <v>1117499.97</v>
      </c>
      <c r="E20" s="575"/>
      <c r="F20" s="575">
        <v>1274390.3199999998</v>
      </c>
      <c r="G20" s="575"/>
      <c r="H20" s="575">
        <v>529269.51</v>
      </c>
      <c r="I20" s="575"/>
      <c r="J20" s="575">
        <v>343151.45</v>
      </c>
      <c r="K20" s="575"/>
      <c r="L20" s="590"/>
      <c r="M20" s="575">
        <f t="shared" si="0"/>
        <v>3264311.25</v>
      </c>
      <c r="O20" s="575"/>
    </row>
    <row r="21" spans="1:15" ht="15" customHeight="1">
      <c r="A21" s="561" t="s">
        <v>1070</v>
      </c>
      <c r="C21" s="579"/>
      <c r="D21" s="2086">
        <v>-1222552.2700000009</v>
      </c>
      <c r="E21" s="579"/>
      <c r="F21" s="2086">
        <v>-95597.130000000354</v>
      </c>
      <c r="G21" s="579"/>
      <c r="H21" s="2086">
        <v>380032.21</v>
      </c>
      <c r="I21" s="579"/>
      <c r="J21" s="2086">
        <v>21938863.469999995</v>
      </c>
      <c r="K21" s="579"/>
      <c r="L21" s="591"/>
      <c r="M21" s="575">
        <f t="shared" si="0"/>
        <v>21000746.279999994</v>
      </c>
      <c r="O21" s="575"/>
    </row>
    <row r="22" spans="1:15" s="570" customFormat="1" ht="15.5">
      <c r="A22" s="570" t="s">
        <v>457</v>
      </c>
      <c r="C22" s="593"/>
      <c r="D22" s="2087">
        <f>ROUND(SUM(D15:D21),2)</f>
        <v>1599094593.49</v>
      </c>
      <c r="E22" s="593"/>
      <c r="F22" s="2087">
        <f>ROUND(SUM(F15:F21),2)</f>
        <v>1469838680.03</v>
      </c>
      <c r="G22" s="593"/>
      <c r="H22" s="2087">
        <f>ROUND(SUM(H15:H21),2)</f>
        <v>691969377.22000003</v>
      </c>
      <c r="I22" s="593"/>
      <c r="J22" s="2087">
        <f>ROUND(SUM(J15:J21),2)</f>
        <v>539488339.24000001</v>
      </c>
      <c r="K22" s="593"/>
      <c r="L22" s="592"/>
      <c r="M22" s="794">
        <f>ROUND(SUM(M15:M21),2)</f>
        <v>4300390989.9799995</v>
      </c>
      <c r="N22" s="562"/>
      <c r="O22" s="575"/>
    </row>
    <row r="23" spans="1:15" ht="15" customHeight="1">
      <c r="C23" s="575"/>
      <c r="D23" s="575"/>
      <c r="E23" s="575"/>
      <c r="F23" s="575"/>
      <c r="G23" s="575"/>
      <c r="H23" s="575"/>
      <c r="I23" s="575"/>
      <c r="J23" s="575"/>
      <c r="K23" s="575"/>
      <c r="L23" s="590"/>
      <c r="M23" s="575"/>
      <c r="O23" s="575"/>
    </row>
    <row r="24" spans="1:15" ht="15" customHeight="1">
      <c r="A24" s="570" t="s">
        <v>1071</v>
      </c>
      <c r="C24" s="594"/>
      <c r="D24" s="594"/>
      <c r="E24" s="594"/>
      <c r="F24" s="594"/>
      <c r="G24" s="594"/>
      <c r="H24" s="594"/>
      <c r="I24" s="594"/>
      <c r="J24" s="594"/>
      <c r="K24" s="594"/>
      <c r="L24" s="590"/>
      <c r="M24" s="575"/>
      <c r="O24" s="575"/>
    </row>
    <row r="25" spans="1:15" ht="15" customHeight="1">
      <c r="A25" s="566" t="s">
        <v>1072</v>
      </c>
      <c r="C25" s="575"/>
      <c r="D25" s="575">
        <v>0</v>
      </c>
      <c r="E25" s="575"/>
      <c r="F25" s="575">
        <v>0</v>
      </c>
      <c r="G25" s="575"/>
      <c r="H25" s="575">
        <v>0</v>
      </c>
      <c r="I25" s="575"/>
      <c r="J25" s="575">
        <v>0</v>
      </c>
      <c r="K25" s="575"/>
      <c r="L25" s="590"/>
      <c r="M25" s="575">
        <f>SUM(C25:K25)</f>
        <v>0</v>
      </c>
      <c r="O25" s="575"/>
    </row>
    <row r="26" spans="1:15" ht="15" customHeight="1">
      <c r="A26" s="566" t="s">
        <v>1073</v>
      </c>
      <c r="C26" s="575"/>
      <c r="D26" s="575">
        <v>0</v>
      </c>
      <c r="E26" s="575"/>
      <c r="F26" s="575">
        <v>0</v>
      </c>
      <c r="G26" s="575"/>
      <c r="H26" s="575">
        <v>0</v>
      </c>
      <c r="I26" s="575"/>
      <c r="J26" s="575">
        <v>0</v>
      </c>
      <c r="K26" s="575"/>
      <c r="L26" s="590"/>
      <c r="M26" s="575">
        <f>SUM(C26:K26)</f>
        <v>0</v>
      </c>
      <c r="O26" s="575"/>
    </row>
    <row r="27" spans="1:15" ht="15" customHeight="1">
      <c r="A27" s="566" t="s">
        <v>1074</v>
      </c>
      <c r="C27" s="575"/>
      <c r="D27" s="575">
        <v>0</v>
      </c>
      <c r="E27" s="575"/>
      <c r="F27" s="575">
        <v>0</v>
      </c>
      <c r="G27" s="575"/>
      <c r="H27" s="575">
        <v>0</v>
      </c>
      <c r="I27" s="575"/>
      <c r="J27" s="575">
        <v>0</v>
      </c>
      <c r="K27" s="575"/>
      <c r="L27" s="591"/>
      <c r="M27" s="575">
        <f>SUM(C27:K27)</f>
        <v>0</v>
      </c>
      <c r="O27" s="575"/>
    </row>
    <row r="28" spans="1:15" ht="15.5">
      <c r="A28" s="576" t="s">
        <v>1075</v>
      </c>
      <c r="B28" s="570"/>
      <c r="C28" s="593"/>
      <c r="D28" s="794">
        <f>ROUND(SUM(D25:D27),2)</f>
        <v>0</v>
      </c>
      <c r="E28" s="593"/>
      <c r="F28" s="794">
        <f>ROUND(SUM(F25:F27),2)</f>
        <v>0</v>
      </c>
      <c r="G28" s="593"/>
      <c r="H28" s="794">
        <f>ROUND(SUM(H25:H27),2)</f>
        <v>0</v>
      </c>
      <c r="I28" s="593"/>
      <c r="J28" s="794">
        <f>ROUND(SUM(J25:J27),2)</f>
        <v>0</v>
      </c>
      <c r="K28" s="593"/>
      <c r="L28" s="592"/>
      <c r="M28" s="794">
        <f>ROUND(SUM(M25:M27),2)</f>
        <v>0</v>
      </c>
      <c r="O28" s="575"/>
    </row>
    <row r="29" spans="1:15" ht="15" customHeight="1">
      <c r="C29" s="575"/>
      <c r="D29" s="575"/>
      <c r="E29" s="575"/>
      <c r="F29" s="575"/>
      <c r="G29" s="575"/>
      <c r="H29" s="575"/>
      <c r="I29" s="575"/>
      <c r="J29" s="575"/>
      <c r="K29" s="575"/>
      <c r="L29" s="590"/>
      <c r="M29" s="575"/>
      <c r="O29" s="575"/>
    </row>
    <row r="30" spans="1:15" ht="15" customHeight="1">
      <c r="A30" s="570" t="s">
        <v>1076</v>
      </c>
      <c r="B30" s="570"/>
      <c r="C30" s="593"/>
      <c r="D30" s="2087">
        <f>ROUND(+D22+D28,2)</f>
        <v>1599094593.49</v>
      </c>
      <c r="E30" s="593"/>
      <c r="F30" s="2087">
        <f>ROUND(+F22+F28,2)</f>
        <v>1469838680.03</v>
      </c>
      <c r="G30" s="593"/>
      <c r="H30" s="2087">
        <f>ROUND(+H22+H28,2)</f>
        <v>691969377.22000003</v>
      </c>
      <c r="I30" s="593"/>
      <c r="J30" s="2087">
        <f>ROUND(+J22+J28,2)</f>
        <v>539488339.24000001</v>
      </c>
      <c r="K30" s="593"/>
      <c r="L30" s="595"/>
      <c r="M30" s="593">
        <f>ROUND(+M22+M28,2)</f>
        <v>4300390989.9799995</v>
      </c>
      <c r="O30" s="575"/>
    </row>
    <row r="31" spans="1:15" ht="15" customHeight="1">
      <c r="C31" s="575"/>
      <c r="D31" s="575"/>
      <c r="E31" s="575"/>
      <c r="F31" s="575"/>
      <c r="G31" s="575"/>
      <c r="H31" s="575"/>
      <c r="I31" s="575"/>
      <c r="J31" s="575"/>
      <c r="K31" s="575"/>
      <c r="L31" s="590"/>
      <c r="M31" s="792"/>
      <c r="O31" s="575"/>
    </row>
    <row r="32" spans="1:15" ht="15" customHeight="1">
      <c r="A32" s="570" t="s">
        <v>147</v>
      </c>
      <c r="C32" s="575"/>
      <c r="D32" s="575"/>
      <c r="E32" s="575"/>
      <c r="F32" s="575"/>
      <c r="G32" s="575"/>
      <c r="H32" s="575"/>
      <c r="I32" s="575"/>
      <c r="J32" s="575"/>
      <c r="K32" s="575"/>
      <c r="L32" s="590"/>
      <c r="M32" s="575"/>
      <c r="O32" s="575"/>
    </row>
    <row r="33" spans="1:15" ht="15" customHeight="1">
      <c r="A33" s="570" t="s">
        <v>1077</v>
      </c>
      <c r="C33" s="575"/>
      <c r="D33" s="575"/>
      <c r="E33" s="575"/>
      <c r="F33" s="575"/>
      <c r="G33" s="575"/>
      <c r="H33" s="575"/>
      <c r="I33" s="575"/>
      <c r="J33" s="575"/>
      <c r="K33" s="575"/>
      <c r="L33" s="590"/>
      <c r="M33" s="575"/>
      <c r="O33" s="575"/>
    </row>
    <row r="34" spans="1:15" ht="15" customHeight="1">
      <c r="A34" s="561" t="s">
        <v>1078</v>
      </c>
      <c r="C34" s="575"/>
      <c r="D34" s="575">
        <v>0</v>
      </c>
      <c r="E34" s="575"/>
      <c r="F34" s="575">
        <v>0</v>
      </c>
      <c r="G34" s="575"/>
      <c r="H34" s="575">
        <v>0</v>
      </c>
      <c r="I34" s="575"/>
      <c r="J34" s="575">
        <v>0</v>
      </c>
      <c r="K34" s="575"/>
      <c r="L34" s="590"/>
      <c r="M34" s="575">
        <f>SUM(C34:K34)</f>
        <v>0</v>
      </c>
      <c r="O34" s="575"/>
    </row>
    <row r="35" spans="1:15" ht="15" customHeight="1">
      <c r="A35" s="566" t="s">
        <v>1079</v>
      </c>
      <c r="C35" s="575"/>
      <c r="D35" s="575">
        <v>15628766</v>
      </c>
      <c r="E35" s="575"/>
      <c r="F35" s="575">
        <v>17791265</v>
      </c>
      <c r="G35" s="575"/>
      <c r="H35" s="575">
        <v>7235441</v>
      </c>
      <c r="I35" s="575"/>
      <c r="J35" s="575">
        <v>6078558</v>
      </c>
      <c r="K35" s="575"/>
      <c r="L35" s="590"/>
      <c r="M35" s="575">
        <f>SUM(C35:K35)</f>
        <v>46734030</v>
      </c>
      <c r="O35" s="575"/>
    </row>
    <row r="36" spans="1:15" ht="15" customHeight="1">
      <c r="A36" s="570" t="s">
        <v>1080</v>
      </c>
      <c r="C36" s="575"/>
      <c r="D36" s="575"/>
      <c r="E36" s="575"/>
      <c r="F36" s="575"/>
      <c r="G36" s="575"/>
      <c r="H36" s="575"/>
      <c r="I36" s="575"/>
      <c r="J36" s="575"/>
      <c r="K36" s="575"/>
      <c r="L36" s="590"/>
      <c r="M36" s="575"/>
      <c r="O36" s="575"/>
    </row>
    <row r="37" spans="1:15" ht="15" customHeight="1">
      <c r="A37" s="566" t="s">
        <v>1081</v>
      </c>
      <c r="C37" s="575"/>
      <c r="D37" s="575">
        <v>0</v>
      </c>
      <c r="E37" s="575"/>
      <c r="F37" s="575">
        <v>0</v>
      </c>
      <c r="G37" s="575"/>
      <c r="H37" s="575">
        <v>0</v>
      </c>
      <c r="I37" s="575"/>
      <c r="J37" s="575">
        <v>0</v>
      </c>
      <c r="K37" s="575"/>
      <c r="L37" s="590"/>
      <c r="M37" s="575">
        <f>SUM(C37:K37)</f>
        <v>0</v>
      </c>
      <c r="O37" s="575"/>
    </row>
    <row r="38" spans="1:15" s="570" customFormat="1" ht="15.5">
      <c r="A38" s="570" t="s">
        <v>1082</v>
      </c>
      <c r="C38" s="593"/>
      <c r="D38" s="794">
        <f>ROUND(SUM(D34:D37),2)</f>
        <v>15628766</v>
      </c>
      <c r="E38" s="593"/>
      <c r="F38" s="794">
        <f>ROUND(SUM(F34:F37),2)</f>
        <v>17791265</v>
      </c>
      <c r="G38" s="593"/>
      <c r="H38" s="794">
        <f>ROUND(SUM(H34:H37),2)</f>
        <v>7235441</v>
      </c>
      <c r="I38" s="593"/>
      <c r="J38" s="794">
        <f>ROUND(SUM(J34:J37),2)</f>
        <v>6078558</v>
      </c>
      <c r="K38" s="593"/>
      <c r="L38" s="592"/>
      <c r="M38" s="794">
        <f>ROUND(SUM(M34:M37),2)</f>
        <v>46734030</v>
      </c>
      <c r="N38" s="569"/>
      <c r="O38" s="575"/>
    </row>
    <row r="39" spans="1:15" ht="15" customHeight="1">
      <c r="C39" s="575"/>
      <c r="D39" s="575"/>
      <c r="E39" s="575"/>
      <c r="F39" s="575"/>
      <c r="G39" s="575"/>
      <c r="H39" s="575"/>
      <c r="I39" s="575"/>
      <c r="J39" s="575"/>
      <c r="K39" s="575"/>
      <c r="L39" s="590"/>
      <c r="M39" s="575"/>
      <c r="O39" s="575"/>
    </row>
    <row r="40" spans="1:15" ht="15" customHeight="1">
      <c r="A40" s="570" t="s">
        <v>1083</v>
      </c>
      <c r="C40" s="575"/>
      <c r="D40" s="575"/>
      <c r="E40" s="575"/>
      <c r="F40" s="575"/>
      <c r="G40" s="575"/>
      <c r="H40" s="575"/>
      <c r="I40" s="575"/>
      <c r="J40" s="575"/>
      <c r="K40" s="575"/>
      <c r="L40" s="590"/>
      <c r="M40" s="575"/>
      <c r="O40" s="575"/>
    </row>
    <row r="41" spans="1:15" ht="15" customHeight="1">
      <c r="A41" s="561" t="s">
        <v>1078</v>
      </c>
      <c r="C41" s="575"/>
      <c r="D41" s="575">
        <v>0</v>
      </c>
      <c r="E41" s="575"/>
      <c r="F41" s="575">
        <v>0</v>
      </c>
      <c r="G41" s="575"/>
      <c r="H41" s="575">
        <v>0</v>
      </c>
      <c r="I41" s="575"/>
      <c r="J41" s="575">
        <v>0</v>
      </c>
      <c r="K41" s="575"/>
      <c r="L41" s="590"/>
      <c r="M41" s="575">
        <f>SUM(C41:K41)</f>
        <v>0</v>
      </c>
      <c r="O41" s="575"/>
    </row>
    <row r="42" spans="1:15" ht="15" customHeight="1">
      <c r="A42" s="561" t="s">
        <v>1084</v>
      </c>
      <c r="C42" s="575"/>
      <c r="D42" s="575">
        <v>0</v>
      </c>
      <c r="E42" s="575"/>
      <c r="F42" s="575">
        <v>0</v>
      </c>
      <c r="G42" s="575"/>
      <c r="H42" s="575">
        <v>0</v>
      </c>
      <c r="I42" s="575"/>
      <c r="J42" s="575">
        <v>0</v>
      </c>
      <c r="K42" s="575"/>
      <c r="L42" s="590"/>
      <c r="M42" s="575">
        <f>SUM(C42:K42)</f>
        <v>0</v>
      </c>
      <c r="O42" s="575"/>
    </row>
    <row r="43" spans="1:15" ht="15" customHeight="1">
      <c r="A43" s="570" t="s">
        <v>1085</v>
      </c>
      <c r="C43" s="575"/>
      <c r="D43" s="575"/>
      <c r="E43" s="575"/>
      <c r="F43" s="575"/>
      <c r="G43" s="575"/>
      <c r="H43" s="575"/>
      <c r="I43" s="575"/>
      <c r="J43" s="575"/>
      <c r="K43" s="575"/>
      <c r="L43" s="590"/>
      <c r="M43" s="575"/>
      <c r="O43" s="575"/>
    </row>
    <row r="44" spans="1:15" ht="15" customHeight="1">
      <c r="A44" s="566" t="s">
        <v>1081</v>
      </c>
      <c r="C44" s="575"/>
      <c r="D44" s="575">
        <v>-1607728956.45</v>
      </c>
      <c r="E44" s="575"/>
      <c r="F44" s="575">
        <v>-1644606191.9099998</v>
      </c>
      <c r="G44" s="575"/>
      <c r="H44" s="575">
        <v>-588109908.84000003</v>
      </c>
      <c r="I44" s="575"/>
      <c r="J44" s="575">
        <v>-516864762.75999999</v>
      </c>
      <c r="K44" s="575"/>
      <c r="L44" s="590"/>
      <c r="M44" s="575">
        <f t="shared" ref="M44" si="1">SUM(C44:K44)</f>
        <v>-4357309819.96</v>
      </c>
      <c r="O44" s="575"/>
    </row>
    <row r="45" spans="1:15" ht="15.5">
      <c r="A45" s="570" t="s">
        <v>1086</v>
      </c>
      <c r="B45" s="570"/>
      <c r="C45" s="593"/>
      <c r="D45" s="794">
        <f>ROUND(SUM(D41:D44),2)</f>
        <v>-1607728956.45</v>
      </c>
      <c r="E45" s="593"/>
      <c r="F45" s="794">
        <f>ROUND(SUM(F41:F44),2)</f>
        <v>-1644606191.9100001</v>
      </c>
      <c r="G45" s="593"/>
      <c r="H45" s="794">
        <f>ROUND(SUM(H41:H44),2)</f>
        <v>-588109908.84000003</v>
      </c>
      <c r="I45" s="593"/>
      <c r="J45" s="794">
        <f>ROUND(SUM(J41:J44),2)</f>
        <v>-516864762.75999999</v>
      </c>
      <c r="K45" s="593"/>
      <c r="L45" s="592"/>
      <c r="M45" s="794">
        <f>ROUND(SUM(M41:M44),2)</f>
        <v>-4357309819.96</v>
      </c>
      <c r="O45" s="575"/>
    </row>
    <row r="46" spans="1:15" ht="15" customHeight="1">
      <c r="C46" s="575"/>
      <c r="D46" s="575"/>
      <c r="E46" s="575"/>
      <c r="F46" s="575"/>
      <c r="G46" s="575"/>
      <c r="H46" s="575"/>
      <c r="I46" s="575"/>
      <c r="J46" s="575"/>
      <c r="K46" s="575"/>
      <c r="L46" s="590"/>
      <c r="M46" s="575"/>
      <c r="O46" s="575"/>
    </row>
    <row r="47" spans="1:15" ht="15" customHeight="1">
      <c r="A47" s="570" t="s">
        <v>1087</v>
      </c>
      <c r="C47" s="575"/>
      <c r="D47" s="575"/>
      <c r="E47" s="575"/>
      <c r="F47" s="575"/>
      <c r="G47" s="575"/>
      <c r="H47" s="575"/>
      <c r="I47" s="575"/>
      <c r="J47" s="575"/>
      <c r="K47" s="575"/>
      <c r="L47" s="590"/>
      <c r="M47" s="575"/>
      <c r="O47" s="575"/>
    </row>
    <row r="48" spans="1:15" ht="15" customHeight="1">
      <c r="A48" s="570" t="s">
        <v>1088</v>
      </c>
      <c r="C48" s="593"/>
      <c r="D48" s="2087">
        <f>ROUND(+D30+D38+D45,2)</f>
        <v>6994403.04</v>
      </c>
      <c r="E48" s="593"/>
      <c r="F48" s="2087">
        <f>ROUND(+F30+F38+F45,2)</f>
        <v>-156976246.88</v>
      </c>
      <c r="G48" s="593"/>
      <c r="H48" s="2087">
        <f>ROUND(+H30+H38+H45,2)</f>
        <v>111094909.38</v>
      </c>
      <c r="I48" s="593"/>
      <c r="J48" s="2087">
        <f>ROUND(+J30+J38+J45,2)</f>
        <v>28702134.48</v>
      </c>
      <c r="K48" s="593"/>
      <c r="L48" s="595"/>
      <c r="M48" s="893">
        <f>ROUND(+M30+M38+M45,2)</f>
        <v>-10184799.98</v>
      </c>
      <c r="O48" s="575"/>
    </row>
    <row r="49" spans="1:15" ht="15" customHeight="1">
      <c r="L49" s="596"/>
      <c r="M49" s="575"/>
      <c r="O49" s="575"/>
    </row>
    <row r="50" spans="1:15" s="570" customFormat="1" ht="21" customHeight="1" thickBot="1">
      <c r="A50" s="570" t="s">
        <v>1089</v>
      </c>
      <c r="C50" s="572"/>
      <c r="D50" s="2088">
        <f>ROUND(D12+D48,2)</f>
        <v>499063749.54000002</v>
      </c>
      <c r="E50" s="572"/>
      <c r="F50" s="2088">
        <f>ROUND(F12+F48,2)</f>
        <v>342087502.66000003</v>
      </c>
      <c r="G50" s="572"/>
      <c r="H50" s="2088">
        <f>ROUND(H12+H48,2)</f>
        <v>453182412.04000002</v>
      </c>
      <c r="I50" s="572"/>
      <c r="J50" s="2088">
        <f>ROUND(J12+J48,2)</f>
        <v>481884546.51999998</v>
      </c>
      <c r="K50" s="572"/>
      <c r="L50" s="597"/>
      <c r="M50" s="572">
        <f>ROUND(M12+M48,2)</f>
        <v>481884546.51999998</v>
      </c>
      <c r="N50" s="569"/>
      <c r="O50" s="575"/>
    </row>
    <row r="51" spans="1:15" ht="15" customHeight="1" thickTop="1">
      <c r="A51" s="561" t="s">
        <v>104</v>
      </c>
      <c r="M51" s="598"/>
      <c r="O51" s="575"/>
    </row>
    <row r="52" spans="1:15" ht="15" customHeight="1">
      <c r="A52" s="566" t="s">
        <v>1090</v>
      </c>
      <c r="O52" s="575"/>
    </row>
    <row r="53" spans="1:15" ht="15" customHeight="1">
      <c r="A53" s="577"/>
      <c r="O53" s="575"/>
    </row>
  </sheetData>
  <printOptions horizontalCentered="1"/>
  <pageMargins left="0.24" right="0.24" top="0.5" bottom="0.5" header="0.18" footer="0.25"/>
  <pageSetup scale="64" firstPageNumber="49" orientation="landscape" useFirstPageNumber="1" r:id="rId1"/>
  <headerFooter scaleWithDoc="0" alignWithMargins="0">
    <oddFooter>&amp;C&amp;8&amp;P</oddFooter>
  </headerFooter>
  <customProperties>
    <customPr name="SheetOptions" r:id="rId2"/>
  </customPropertie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7">
    <pageSetUpPr autoPageBreaks="0"/>
  </sheetPr>
  <dimension ref="A1:U131"/>
  <sheetViews>
    <sheetView showGridLines="0" zoomScaleNormal="100" workbookViewId="0"/>
  </sheetViews>
  <sheetFormatPr defaultColWidth="8.84375" defaultRowHeight="15.5"/>
  <cols>
    <col min="1" max="1" width="3.53515625" style="674" customWidth="1"/>
    <col min="2" max="2" width="8.4609375" style="674" customWidth="1"/>
    <col min="3" max="3" width="12.07421875" style="674" customWidth="1"/>
    <col min="4" max="4" width="15" style="673" customWidth="1"/>
    <col min="5" max="5" width="15.07421875" style="673" customWidth="1"/>
    <col min="6" max="6" width="12.07421875" style="674" customWidth="1"/>
    <col min="7" max="7" width="10.07421875" style="674" customWidth="1"/>
    <col min="8" max="8" width="9.07421875" style="266" customWidth="1"/>
    <col min="9" max="9" width="5.53515625" style="343" customWidth="1"/>
    <col min="10" max="10" width="9.07421875" style="343" customWidth="1"/>
    <col min="11" max="11" width="8.07421875" style="673" customWidth="1"/>
    <col min="12" max="12" width="16" style="673" customWidth="1"/>
    <col min="13" max="13" width="12.07421875" style="673" customWidth="1"/>
    <col min="14" max="14" width="7.84375" style="673" customWidth="1"/>
    <col min="15" max="15" width="18.84375" style="699" customWidth="1"/>
    <col min="16" max="16" width="4.84375" style="699" customWidth="1"/>
    <col min="17" max="17" width="8" style="699" customWidth="1"/>
    <col min="18" max="18" width="3.84375" style="699" customWidth="1"/>
    <col min="19" max="19" width="13.07421875" style="699" customWidth="1"/>
    <col min="20" max="21" width="12.07421875" style="699" customWidth="1"/>
    <col min="22" max="16384" width="8.84375" style="699"/>
  </cols>
  <sheetData>
    <row r="1" spans="1:20">
      <c r="A1" s="326" t="s">
        <v>98</v>
      </c>
    </row>
    <row r="2" spans="1:20">
      <c r="A2" s="263" t="s">
        <v>170</v>
      </c>
      <c r="B2" s="264"/>
      <c r="C2" s="265"/>
      <c r="D2" s="266"/>
      <c r="E2" s="266"/>
      <c r="F2" s="266"/>
      <c r="G2" s="266"/>
      <c r="I2" s="267"/>
      <c r="J2" s="267"/>
      <c r="K2" s="266"/>
      <c r="L2" s="266"/>
      <c r="M2" s="266"/>
      <c r="N2" s="268"/>
      <c r="O2" s="465" t="s">
        <v>171</v>
      </c>
      <c r="Q2" s="270"/>
      <c r="R2" s="270"/>
      <c r="S2" s="271"/>
      <c r="T2" s="272"/>
    </row>
    <row r="3" spans="1:20" ht="13.4" customHeight="1">
      <c r="A3" s="264"/>
      <c r="B3" s="264"/>
      <c r="C3" s="265"/>
      <c r="D3" s="266"/>
      <c r="E3" s="266"/>
      <c r="F3" s="266"/>
      <c r="G3" s="266"/>
      <c r="I3" s="674"/>
      <c r="J3" s="674"/>
      <c r="M3" s="674"/>
      <c r="N3" s="674"/>
      <c r="O3" s="1370" t="s">
        <v>1587</v>
      </c>
      <c r="T3" s="272"/>
    </row>
    <row r="4" spans="1:20" ht="9" customHeight="1">
      <c r="T4" s="272"/>
    </row>
    <row r="5" spans="1:20" ht="13.5" customHeight="1">
      <c r="T5" s="272"/>
    </row>
    <row r="6" spans="1:20" ht="13.5" customHeight="1">
      <c r="A6" s="273" t="s">
        <v>172</v>
      </c>
      <c r="B6" s="266" t="s">
        <v>173</v>
      </c>
      <c r="C6" s="266"/>
      <c r="D6" s="266"/>
      <c r="E6" s="266"/>
      <c r="F6" s="266"/>
      <c r="G6" s="266"/>
      <c r="H6" s="275"/>
      <c r="J6" s="1352" t="s">
        <v>174</v>
      </c>
      <c r="K6" s="1353"/>
      <c r="L6" s="1324"/>
      <c r="M6" s="1324"/>
      <c r="N6" s="1354"/>
    </row>
    <row r="7" spans="1:20" ht="13.5" customHeight="1">
      <c r="A7" s="273"/>
      <c r="B7" s="266" t="s">
        <v>175</v>
      </c>
      <c r="C7" s="266"/>
      <c r="D7" s="266"/>
      <c r="E7" s="266"/>
      <c r="F7" s="266"/>
      <c r="G7" s="266"/>
      <c r="H7" s="674"/>
      <c r="J7" s="1324" t="s">
        <v>1574</v>
      </c>
      <c r="K7" s="1353"/>
      <c r="L7" s="1355"/>
      <c r="M7" s="1355"/>
      <c r="N7" s="1354"/>
    </row>
    <row r="8" spans="1:20" ht="13.4" customHeight="1">
      <c r="A8" s="273"/>
      <c r="B8" s="266" t="s">
        <v>176</v>
      </c>
      <c r="C8" s="266"/>
      <c r="D8" s="266"/>
      <c r="E8" s="266"/>
      <c r="F8" s="266"/>
      <c r="G8" s="266"/>
      <c r="H8" s="674"/>
      <c r="J8" s="266" t="s">
        <v>177</v>
      </c>
      <c r="K8" s="1356"/>
      <c r="L8" s="1355"/>
      <c r="M8" s="1355"/>
      <c r="N8" s="1355"/>
    </row>
    <row r="9" spans="1:20" ht="12.75" customHeight="1">
      <c r="A9" s="273"/>
      <c r="B9" s="266" t="s">
        <v>178</v>
      </c>
      <c r="C9" s="266"/>
      <c r="D9" s="266"/>
      <c r="E9" s="266"/>
      <c r="F9" s="266"/>
      <c r="G9" s="266"/>
      <c r="H9" s="273"/>
      <c r="J9" s="266" t="s">
        <v>1575</v>
      </c>
      <c r="K9" s="862"/>
      <c r="L9" s="1351"/>
      <c r="M9" s="266"/>
      <c r="N9" s="720"/>
    </row>
    <row r="10" spans="1:20" ht="12.75" customHeight="1">
      <c r="F10" s="722"/>
      <c r="J10" s="267"/>
      <c r="K10" s="266"/>
      <c r="L10" s="266"/>
      <c r="M10" s="266"/>
      <c r="N10" s="266"/>
      <c r="O10" s="275"/>
    </row>
    <row r="11" spans="1:20" ht="12.75" customHeight="1">
      <c r="A11" s="266"/>
      <c r="B11" s="266"/>
      <c r="C11" s="267" t="s">
        <v>179</v>
      </c>
      <c r="D11" s="719"/>
      <c r="E11" s="266"/>
      <c r="F11" s="719">
        <v>444.2</v>
      </c>
      <c r="G11" s="266" t="s">
        <v>180</v>
      </c>
      <c r="H11" s="273" t="s">
        <v>104</v>
      </c>
      <c r="J11" s="267" t="s">
        <v>181</v>
      </c>
      <c r="K11" s="266"/>
      <c r="L11" s="266"/>
      <c r="M11" s="266"/>
      <c r="N11" s="266"/>
      <c r="O11" s="266"/>
    </row>
    <row r="12" spans="1:20" ht="12.75" customHeight="1">
      <c r="A12" s="266"/>
      <c r="B12" s="267"/>
      <c r="C12" s="267" t="s">
        <v>182</v>
      </c>
      <c r="D12" s="723"/>
      <c r="E12" s="266"/>
      <c r="F12" s="1383">
        <v>15.5</v>
      </c>
      <c r="G12" s="266"/>
      <c r="H12" s="266" t="s">
        <v>104</v>
      </c>
      <c r="J12" s="267"/>
      <c r="K12" s="266"/>
      <c r="L12" s="266"/>
      <c r="M12" s="266"/>
      <c r="N12" s="266"/>
      <c r="O12" s="266"/>
    </row>
    <row r="13" spans="1:20" ht="12.75" customHeight="1">
      <c r="A13" s="266"/>
      <c r="B13" s="267"/>
      <c r="C13" s="267" t="s">
        <v>183</v>
      </c>
      <c r="D13" s="723"/>
      <c r="E13" s="266"/>
      <c r="F13" s="1331">
        <v>708.4</v>
      </c>
      <c r="G13" s="266"/>
      <c r="H13" s="699" t="s">
        <v>104</v>
      </c>
      <c r="J13" s="267"/>
      <c r="K13" s="266" t="s">
        <v>1472</v>
      </c>
      <c r="L13" s="266"/>
      <c r="M13" s="266"/>
      <c r="N13" s="1375">
        <v>2.4</v>
      </c>
      <c r="O13" s="266" t="s">
        <v>180</v>
      </c>
      <c r="T13" s="266"/>
    </row>
    <row r="14" spans="1:20" ht="12.75" customHeight="1">
      <c r="A14" s="266"/>
      <c r="B14" s="267"/>
      <c r="C14" s="267" t="s">
        <v>185</v>
      </c>
      <c r="D14" s="723"/>
      <c r="E14" s="266"/>
      <c r="F14" s="1331">
        <v>12.9</v>
      </c>
      <c r="H14" s="674" t="s">
        <v>104</v>
      </c>
      <c r="K14" s="266" t="s">
        <v>1473</v>
      </c>
      <c r="N14" s="2127">
        <v>1</v>
      </c>
      <c r="T14" s="274"/>
    </row>
    <row r="15" spans="1:20" ht="12.75" customHeight="1">
      <c r="A15" s="266"/>
      <c r="B15" s="267"/>
      <c r="C15" s="267" t="s">
        <v>186</v>
      </c>
      <c r="D15" s="723"/>
      <c r="E15" s="266"/>
      <c r="F15" s="1331">
        <v>770.1</v>
      </c>
      <c r="G15" s="266"/>
      <c r="H15" s="273" t="s">
        <v>104</v>
      </c>
      <c r="K15" s="266" t="s">
        <v>184</v>
      </c>
      <c r="N15" s="2127">
        <v>28.4</v>
      </c>
      <c r="T15" s="274"/>
    </row>
    <row r="16" spans="1:20" ht="12.75" customHeight="1">
      <c r="C16" s="267" t="s">
        <v>187</v>
      </c>
      <c r="F16" s="721">
        <v>1133.8</v>
      </c>
      <c r="K16" s="266" t="s">
        <v>1474</v>
      </c>
      <c r="N16" s="2127">
        <v>20.5</v>
      </c>
      <c r="P16" s="719"/>
      <c r="R16" s="266"/>
    </row>
    <row r="17" spans="1:17" ht="12.75" customHeight="1">
      <c r="A17" s="266"/>
      <c r="B17" s="267"/>
      <c r="C17" s="267" t="s">
        <v>189</v>
      </c>
      <c r="D17" s="724"/>
      <c r="E17" s="266"/>
      <c r="F17" s="1383">
        <v>539.79999999999995</v>
      </c>
      <c r="G17" s="266"/>
      <c r="K17" s="266" t="s">
        <v>1505</v>
      </c>
      <c r="N17" s="2127">
        <v>2.5</v>
      </c>
    </row>
    <row r="18" spans="1:17" ht="12.75" customHeight="1">
      <c r="A18" s="266"/>
      <c r="B18" s="267"/>
      <c r="C18" s="267" t="s">
        <v>190</v>
      </c>
      <c r="D18" s="724"/>
      <c r="E18" s="266"/>
      <c r="F18" s="1331">
        <v>228</v>
      </c>
      <c r="G18" s="266"/>
      <c r="K18" s="266" t="s">
        <v>1475</v>
      </c>
      <c r="L18" s="266"/>
      <c r="M18" s="266"/>
      <c r="N18" s="2127">
        <v>3.1</v>
      </c>
    </row>
    <row r="19" spans="1:17" ht="12.75" customHeight="1">
      <c r="A19" s="266"/>
      <c r="B19" s="267"/>
      <c r="G19" s="266"/>
      <c r="K19" s="266" t="s">
        <v>1476</v>
      </c>
      <c r="L19" s="266"/>
      <c r="M19" s="266"/>
      <c r="N19" s="2127">
        <v>4.9000000000000004</v>
      </c>
    </row>
    <row r="20" spans="1:17" ht="13.4" customHeight="1">
      <c r="A20" s="273" t="s">
        <v>193</v>
      </c>
      <c r="B20" s="266" t="s">
        <v>194</v>
      </c>
      <c r="C20" s="266"/>
      <c r="D20" s="266"/>
      <c r="E20" s="266"/>
      <c r="F20" s="266"/>
      <c r="G20" s="266"/>
      <c r="H20" s="273"/>
      <c r="K20" s="266" t="s">
        <v>1477</v>
      </c>
      <c r="L20" s="266"/>
      <c r="M20" s="266"/>
      <c r="N20" s="2127">
        <v>5.3</v>
      </c>
      <c r="Q20" s="1376"/>
    </row>
    <row r="21" spans="1:17" ht="12.75" customHeight="1">
      <c r="A21" s="273"/>
      <c r="B21" s="266" t="s">
        <v>196</v>
      </c>
      <c r="C21" s="266"/>
      <c r="D21" s="266"/>
      <c r="E21" s="266"/>
      <c r="F21" s="266"/>
      <c r="G21" s="266"/>
      <c r="K21" s="266" t="s">
        <v>1478</v>
      </c>
      <c r="L21" s="266"/>
      <c r="M21" s="266"/>
      <c r="N21" s="2127">
        <v>1.5</v>
      </c>
      <c r="Q21" s="1332"/>
    </row>
    <row r="22" spans="1:17" ht="14.15" customHeight="1">
      <c r="A22" s="273"/>
      <c r="B22" s="266"/>
      <c r="C22" s="266"/>
      <c r="D22" s="266"/>
      <c r="E22" s="266"/>
      <c r="F22" s="266"/>
      <c r="G22" s="266"/>
      <c r="K22" s="266" t="s">
        <v>1479</v>
      </c>
      <c r="L22" s="266"/>
      <c r="M22" s="266"/>
      <c r="N22" s="2127">
        <v>2.7</v>
      </c>
      <c r="Q22" s="1376"/>
    </row>
    <row r="23" spans="1:17" ht="12.75" customHeight="1">
      <c r="A23" s="266"/>
      <c r="B23" s="725" t="s">
        <v>198</v>
      </c>
      <c r="C23" s="725"/>
      <c r="D23" s="266"/>
      <c r="E23" s="266"/>
      <c r="F23" s="1375"/>
      <c r="G23" s="266"/>
      <c r="K23" s="266" t="s">
        <v>1480</v>
      </c>
      <c r="L23" s="266"/>
      <c r="M23" s="266"/>
      <c r="N23" s="2127">
        <v>1.7</v>
      </c>
    </row>
    <row r="24" spans="1:17" ht="12.75" customHeight="1">
      <c r="G24" s="266"/>
      <c r="K24" s="266" t="s">
        <v>1481</v>
      </c>
      <c r="L24" s="266"/>
      <c r="M24" s="266"/>
      <c r="N24" s="2127">
        <v>2</v>
      </c>
    </row>
    <row r="25" spans="1:17" ht="13.4" customHeight="1">
      <c r="C25" s="267" t="s">
        <v>200</v>
      </c>
      <c r="F25" s="733">
        <v>1023.2</v>
      </c>
      <c r="G25" s="266" t="s">
        <v>180</v>
      </c>
      <c r="K25" s="266" t="s">
        <v>1482</v>
      </c>
      <c r="L25" s="266"/>
      <c r="M25" s="266"/>
      <c r="N25" s="2127">
        <v>1.3</v>
      </c>
    </row>
    <row r="26" spans="1:17" ht="12.75" customHeight="1">
      <c r="C26" s="267" t="s">
        <v>202</v>
      </c>
      <c r="D26" s="719"/>
      <c r="E26" s="266"/>
      <c r="F26" s="720">
        <v>92.1</v>
      </c>
      <c r="G26" s="699"/>
      <c r="H26" s="674"/>
      <c r="I26" s="674"/>
      <c r="K26" s="266" t="s">
        <v>1483</v>
      </c>
      <c r="L26" s="266"/>
      <c r="M26" s="266"/>
      <c r="N26" s="2127">
        <v>13.6</v>
      </c>
    </row>
    <row r="27" spans="1:17" ht="12.75" customHeight="1">
      <c r="C27" s="266" t="s">
        <v>203</v>
      </c>
      <c r="F27" s="1374">
        <v>17.399999999999999</v>
      </c>
      <c r="G27" s="266"/>
      <c r="I27" s="674"/>
      <c r="K27" s="266" t="s">
        <v>1496</v>
      </c>
      <c r="L27" s="266"/>
      <c r="M27" s="266"/>
      <c r="N27" s="2127">
        <v>4.2</v>
      </c>
    </row>
    <row r="28" spans="1:17" ht="12.75" customHeight="1">
      <c r="C28" s="266" t="s">
        <v>1576</v>
      </c>
      <c r="F28" s="1374">
        <v>5</v>
      </c>
      <c r="H28" s="273"/>
      <c r="I28" s="674"/>
      <c r="J28" s="267"/>
      <c r="K28" s="266" t="s">
        <v>1484</v>
      </c>
      <c r="L28" s="266"/>
      <c r="M28" s="266"/>
      <c r="N28" s="2127">
        <v>6.7</v>
      </c>
      <c r="O28" s="266"/>
    </row>
    <row r="29" spans="1:17" ht="13.4" customHeight="1">
      <c r="C29" s="266" t="s">
        <v>1495</v>
      </c>
      <c r="F29" s="1374">
        <v>4.8</v>
      </c>
      <c r="I29" s="674"/>
      <c r="J29" s="267"/>
      <c r="K29" s="266"/>
      <c r="L29" s="266"/>
      <c r="M29" s="266"/>
      <c r="N29" s="266"/>
      <c r="O29" s="266"/>
    </row>
    <row r="30" spans="1:17" ht="13.4" customHeight="1">
      <c r="C30" s="862" t="s">
        <v>204</v>
      </c>
      <c r="D30" s="719"/>
      <c r="E30" s="266"/>
      <c r="F30" s="720">
        <v>48.6</v>
      </c>
      <c r="I30" s="674"/>
      <c r="J30" s="264" t="s">
        <v>188</v>
      </c>
      <c r="K30" s="264"/>
      <c r="L30" s="266"/>
      <c r="M30" s="266"/>
      <c r="N30" s="266"/>
      <c r="O30" s="673"/>
    </row>
    <row r="31" spans="1:17" ht="12.75" customHeight="1">
      <c r="C31" s="862" t="s">
        <v>205</v>
      </c>
      <c r="D31" s="719"/>
      <c r="E31" s="266"/>
      <c r="F31" s="720">
        <v>33</v>
      </c>
      <c r="I31" s="674"/>
      <c r="K31" s="343"/>
      <c r="O31" s="674"/>
    </row>
    <row r="32" spans="1:17" ht="12.75" customHeight="1">
      <c r="C32" s="267" t="s">
        <v>206</v>
      </c>
      <c r="D32" s="267"/>
      <c r="F32" s="721">
        <v>280</v>
      </c>
      <c r="I32" s="674"/>
      <c r="J32" s="267"/>
      <c r="K32" s="267" t="s">
        <v>191</v>
      </c>
      <c r="L32" s="719"/>
      <c r="M32" s="266"/>
      <c r="N32" s="733">
        <v>17946</v>
      </c>
      <c r="O32" s="266" t="s">
        <v>180</v>
      </c>
    </row>
    <row r="33" spans="2:20" ht="12.75" customHeight="1">
      <c r="C33" s="267" t="s">
        <v>207</v>
      </c>
      <c r="D33" s="267"/>
      <c r="F33" s="721">
        <v>2.5</v>
      </c>
      <c r="J33" s="267"/>
      <c r="K33" s="267" t="s">
        <v>192</v>
      </c>
      <c r="L33" s="719"/>
      <c r="M33" s="266"/>
      <c r="N33" s="720">
        <v>5764.2</v>
      </c>
      <c r="O33" s="673"/>
    </row>
    <row r="34" spans="2:20" ht="12.75" customHeight="1">
      <c r="C34" s="267" t="s">
        <v>208</v>
      </c>
      <c r="D34" s="267"/>
      <c r="F34" s="721">
        <v>4.4000000000000004</v>
      </c>
      <c r="J34" s="267"/>
      <c r="K34" s="267" t="s">
        <v>195</v>
      </c>
      <c r="L34" s="719"/>
      <c r="M34" s="266"/>
      <c r="N34" s="720">
        <v>638.70000000000005</v>
      </c>
      <c r="O34" s="266"/>
    </row>
    <row r="35" spans="2:20" ht="12.75" customHeight="1">
      <c r="C35" s="267" t="s">
        <v>209</v>
      </c>
      <c r="D35" s="267"/>
      <c r="F35" s="721">
        <v>24.4</v>
      </c>
      <c r="K35" s="267" t="s">
        <v>197</v>
      </c>
      <c r="L35" s="881"/>
      <c r="M35" s="266"/>
      <c r="N35" s="721">
        <v>1084.7</v>
      </c>
    </row>
    <row r="36" spans="2:20" ht="12.75" customHeight="1">
      <c r="C36" s="862" t="s">
        <v>210</v>
      </c>
      <c r="F36" s="720">
        <v>50</v>
      </c>
    </row>
    <row r="37" spans="2:20" ht="12.75" customHeight="1">
      <c r="C37" s="862" t="s">
        <v>211</v>
      </c>
      <c r="F37" s="720">
        <v>4.8</v>
      </c>
      <c r="I37" s="674"/>
      <c r="K37" s="267"/>
    </row>
    <row r="38" spans="2:20" ht="13.4" customHeight="1">
      <c r="C38" s="862" t="s">
        <v>1504</v>
      </c>
      <c r="F38" s="720">
        <v>460.7</v>
      </c>
      <c r="I38" s="674"/>
      <c r="J38" s="266" t="s">
        <v>199</v>
      </c>
      <c r="K38" s="267"/>
      <c r="L38" s="266"/>
      <c r="M38" s="266"/>
      <c r="N38" s="266"/>
      <c r="P38" s="266"/>
    </row>
    <row r="39" spans="2:20" ht="12.75" customHeight="1">
      <c r="C39" s="862" t="s">
        <v>212</v>
      </c>
      <c r="D39" s="719"/>
      <c r="E39" s="266"/>
      <c r="F39" s="720">
        <v>244.3</v>
      </c>
      <c r="J39" s="266" t="s">
        <v>201</v>
      </c>
      <c r="K39" s="267"/>
      <c r="L39" s="266"/>
      <c r="M39" s="266"/>
      <c r="N39" s="266"/>
      <c r="O39" s="673"/>
    </row>
    <row r="40" spans="2:20" ht="12.75" customHeight="1">
      <c r="C40" s="862" t="s">
        <v>213</v>
      </c>
      <c r="D40" s="719"/>
      <c r="E40" s="266"/>
      <c r="F40" s="720">
        <v>25.8</v>
      </c>
      <c r="I40" s="674"/>
      <c r="J40" s="266" t="s">
        <v>1582</v>
      </c>
      <c r="K40" s="267"/>
      <c r="L40" s="266"/>
      <c r="M40" s="266"/>
      <c r="N40" s="266"/>
      <c r="O40" s="266"/>
      <c r="R40" s="266"/>
    </row>
    <row r="41" spans="2:20" ht="12.75" customHeight="1">
      <c r="C41" s="862" t="s">
        <v>214</v>
      </c>
      <c r="D41" s="1351"/>
      <c r="E41" s="266"/>
      <c r="F41" s="720">
        <v>103</v>
      </c>
      <c r="I41" s="674"/>
      <c r="J41" s="674"/>
      <c r="K41" s="674"/>
      <c r="N41" s="674"/>
      <c r="O41" s="674"/>
      <c r="R41" s="274"/>
    </row>
    <row r="42" spans="2:20" ht="12.75" customHeight="1">
      <c r="C42" s="862" t="s">
        <v>215</v>
      </c>
      <c r="D42" s="719"/>
      <c r="E42" s="266"/>
      <c r="F42" s="720">
        <v>2.7</v>
      </c>
      <c r="J42" s="264" t="s">
        <v>1572</v>
      </c>
      <c r="M42" s="674"/>
      <c r="N42" s="674"/>
      <c r="R42" s="274"/>
      <c r="T42" s="339"/>
    </row>
    <row r="43" spans="2:20" ht="12.75" customHeight="1">
      <c r="C43" s="862" t="s">
        <v>216</v>
      </c>
      <c r="D43" s="719"/>
      <c r="E43" s="266"/>
      <c r="F43" s="720">
        <v>2.6</v>
      </c>
      <c r="J43" s="266" t="s">
        <v>1573</v>
      </c>
      <c r="M43" s="674"/>
      <c r="N43" s="674"/>
      <c r="T43" s="339"/>
    </row>
    <row r="44" spans="2:20" ht="13.4" customHeight="1">
      <c r="C44" s="862" t="s">
        <v>217</v>
      </c>
      <c r="D44" s="719"/>
      <c r="E44" s="266"/>
      <c r="F44" s="720">
        <v>3</v>
      </c>
      <c r="I44" s="725"/>
      <c r="T44" s="339"/>
    </row>
    <row r="45" spans="2:20" ht="12.75" customHeight="1">
      <c r="C45" s="267" t="s">
        <v>218</v>
      </c>
      <c r="D45" s="266"/>
      <c r="F45" s="721">
        <v>1364.8</v>
      </c>
      <c r="I45" s="273" t="s">
        <v>1577</v>
      </c>
      <c r="J45" s="267" t="s">
        <v>1580</v>
      </c>
      <c r="Q45" s="1332"/>
      <c r="T45" s="339"/>
    </row>
    <row r="46" spans="2:20" ht="12.75" customHeight="1">
      <c r="J46" s="266" t="s">
        <v>1578</v>
      </c>
      <c r="K46" s="264"/>
      <c r="L46" s="266"/>
      <c r="M46" s="266"/>
      <c r="N46" s="266"/>
      <c r="O46" s="673"/>
      <c r="Q46" s="1377"/>
      <c r="T46" s="339"/>
    </row>
    <row r="47" spans="2:20" ht="12.75" customHeight="1">
      <c r="C47" s="266"/>
      <c r="F47" s="1374"/>
      <c r="G47" s="699"/>
      <c r="J47" s="267" t="s">
        <v>1583</v>
      </c>
      <c r="K47" s="343"/>
      <c r="O47" s="674"/>
      <c r="T47" s="339"/>
    </row>
    <row r="48" spans="2:20" ht="12.75" customHeight="1">
      <c r="B48" s="267" t="s">
        <v>219</v>
      </c>
      <c r="C48" s="266"/>
      <c r="F48" s="1374"/>
      <c r="G48" s="699"/>
      <c r="J48" s="267" t="s">
        <v>1579</v>
      </c>
      <c r="K48" s="267"/>
      <c r="L48" s="719"/>
      <c r="M48" s="266"/>
      <c r="N48" s="733"/>
      <c r="O48" s="266"/>
      <c r="T48" s="339"/>
    </row>
    <row r="49" spans="2:21" ht="12.75" customHeight="1">
      <c r="B49" s="266" t="s">
        <v>1567</v>
      </c>
      <c r="G49" s="699"/>
      <c r="J49" s="267"/>
      <c r="K49" s="267"/>
      <c r="L49" s="719"/>
      <c r="M49" s="266"/>
      <c r="N49" s="720"/>
      <c r="O49" s="673"/>
      <c r="S49" s="1332"/>
      <c r="T49" s="339"/>
    </row>
    <row r="50" spans="2:21" ht="13.5" customHeight="1">
      <c r="B50" s="266" t="s">
        <v>1568</v>
      </c>
      <c r="C50" s="266"/>
      <c r="F50" s="1331"/>
      <c r="J50" s="267"/>
      <c r="K50" s="267"/>
      <c r="L50" s="719"/>
      <c r="M50" s="266"/>
      <c r="N50" s="720"/>
      <c r="O50" s="266"/>
      <c r="S50" s="1332"/>
    </row>
    <row r="51" spans="2:21" ht="12.75" customHeight="1">
      <c r="C51" s="266"/>
      <c r="F51" s="1374"/>
      <c r="G51" s="673"/>
      <c r="K51" s="267"/>
      <c r="L51" s="881"/>
      <c r="M51" s="266"/>
      <c r="N51" s="721"/>
    </row>
    <row r="52" spans="2:21" ht="12.75" customHeight="1">
      <c r="B52" s="266" t="s">
        <v>220</v>
      </c>
      <c r="C52" s="267"/>
      <c r="F52" s="721"/>
      <c r="G52" s="673"/>
    </row>
    <row r="53" spans="2:21" ht="13.4" customHeight="1">
      <c r="B53" s="266" t="s">
        <v>221</v>
      </c>
      <c r="G53" s="673"/>
      <c r="K53" s="267"/>
    </row>
    <row r="54" spans="2:21" ht="12.75" customHeight="1">
      <c r="B54" s="266" t="s">
        <v>1569</v>
      </c>
      <c r="C54" s="267"/>
      <c r="D54" s="267"/>
      <c r="E54" s="266"/>
      <c r="F54" s="721"/>
      <c r="G54" s="673"/>
      <c r="J54" s="266"/>
      <c r="K54" s="267"/>
      <c r="L54" s="266"/>
      <c r="M54" s="266"/>
      <c r="N54" s="266"/>
      <c r="S54" s="265"/>
      <c r="T54" s="339"/>
      <c r="U54" s="339"/>
    </row>
    <row r="55" spans="2:21" ht="12.75" customHeight="1">
      <c r="B55" s="266" t="s">
        <v>1570</v>
      </c>
      <c r="C55" s="267"/>
      <c r="D55" s="267"/>
      <c r="E55" s="266"/>
      <c r="F55" s="721"/>
      <c r="G55" s="673"/>
      <c r="J55" s="266"/>
      <c r="K55" s="267"/>
      <c r="L55" s="266"/>
      <c r="M55" s="266"/>
      <c r="N55" s="266"/>
      <c r="O55" s="673"/>
      <c r="S55" s="277"/>
      <c r="T55" s="339"/>
      <c r="U55" s="339"/>
    </row>
    <row r="56" spans="2:21" ht="12.75" customHeight="1">
      <c r="B56" s="266" t="s">
        <v>1571</v>
      </c>
      <c r="C56" s="862"/>
      <c r="F56" s="720"/>
      <c r="G56" s="673"/>
      <c r="J56" s="266"/>
      <c r="K56" s="267"/>
      <c r="L56" s="266"/>
      <c r="M56" s="266"/>
      <c r="N56" s="266"/>
      <c r="O56" s="266"/>
      <c r="S56" s="277"/>
      <c r="T56" s="339"/>
      <c r="U56" s="339"/>
    </row>
    <row r="57" spans="2:21" ht="12.75" customHeight="1">
      <c r="C57" s="862"/>
      <c r="D57" s="1351"/>
      <c r="E57" s="266"/>
      <c r="F57" s="720"/>
      <c r="J57" s="674"/>
      <c r="K57" s="674"/>
      <c r="N57" s="674"/>
      <c r="O57" s="674"/>
      <c r="Q57" s="266"/>
      <c r="R57" s="720"/>
      <c r="S57" s="278"/>
      <c r="T57" s="339"/>
      <c r="U57" s="339"/>
    </row>
    <row r="58" spans="2:21" ht="12.75" customHeight="1">
      <c r="J58" s="264"/>
      <c r="M58" s="674"/>
      <c r="N58" s="674"/>
      <c r="R58" s="269"/>
    </row>
    <row r="59" spans="2:21" ht="12.75" customHeight="1">
      <c r="G59" s="673"/>
      <c r="J59" s="266"/>
      <c r="M59" s="674"/>
      <c r="N59" s="674"/>
      <c r="R59" s="269"/>
    </row>
    <row r="60" spans="2:21" ht="12.75" customHeight="1">
      <c r="C60" s="862"/>
      <c r="D60" s="719"/>
      <c r="E60" s="266"/>
      <c r="F60" s="720"/>
      <c r="G60" s="673"/>
      <c r="R60" s="675"/>
    </row>
    <row r="61" spans="2:21" ht="12.75" customHeight="1">
      <c r="C61" s="862"/>
      <c r="D61" s="719"/>
      <c r="E61" s="266"/>
      <c r="F61" s="720"/>
      <c r="G61" s="673"/>
      <c r="R61" s="675"/>
    </row>
    <row r="62" spans="2:21" ht="12.75" customHeight="1">
      <c r="C62" s="862"/>
      <c r="D62" s="719"/>
      <c r="E62" s="266"/>
      <c r="F62" s="720"/>
      <c r="G62" s="674" t="s">
        <v>104</v>
      </c>
      <c r="R62" s="675"/>
    </row>
    <row r="63" spans="2:21" ht="12.75" customHeight="1">
      <c r="C63" s="1280"/>
      <c r="D63" s="1351"/>
      <c r="E63" s="266"/>
      <c r="F63" s="721"/>
      <c r="R63" s="675"/>
    </row>
    <row r="64" spans="2:21" ht="12.75" customHeight="1">
      <c r="H64" s="721"/>
      <c r="R64" s="675"/>
    </row>
    <row r="65" spans="1:19" ht="12.75" customHeight="1">
      <c r="R65" s="675"/>
    </row>
    <row r="66" spans="1:19" ht="12.75" customHeight="1"/>
    <row r="67" spans="1:19" ht="12.75" customHeight="1">
      <c r="M67" s="280"/>
      <c r="N67" s="281"/>
    </row>
    <row r="68" spans="1:19" ht="12.75" customHeight="1">
      <c r="M68" s="280"/>
      <c r="N68" s="281"/>
    </row>
    <row r="69" spans="1:19" ht="12.75" customHeight="1">
      <c r="M69" s="280"/>
      <c r="N69" s="281"/>
      <c r="P69" s="266"/>
      <c r="R69" s="675"/>
    </row>
    <row r="70" spans="1:19" ht="12.75" customHeight="1">
      <c r="H70" s="699"/>
      <c r="I70" s="266"/>
      <c r="M70" s="280"/>
      <c r="N70" s="281"/>
      <c r="P70" s="266"/>
      <c r="R70" s="675"/>
    </row>
    <row r="71" spans="1:19" ht="12.75" customHeight="1">
      <c r="H71" s="699"/>
      <c r="I71" s="699"/>
      <c r="M71" s="280"/>
      <c r="N71" s="281"/>
      <c r="R71" s="675"/>
    </row>
    <row r="72" spans="1:19" s="275" customFormat="1" ht="12.75" customHeight="1">
      <c r="A72" s="674"/>
      <c r="H72" s="699"/>
      <c r="I72" s="699"/>
      <c r="J72" s="343"/>
      <c r="K72" s="673"/>
      <c r="L72" s="673"/>
      <c r="M72" s="280"/>
      <c r="N72" s="281"/>
      <c r="O72" s="699"/>
      <c r="P72" s="699"/>
      <c r="R72" s="675"/>
    </row>
    <row r="73" spans="1:19" s="275" customFormat="1" ht="12.75" customHeight="1">
      <c r="A73" s="674"/>
      <c r="H73" s="699"/>
      <c r="I73" s="699"/>
      <c r="J73" s="343"/>
      <c r="K73" s="673"/>
      <c r="L73" s="673"/>
      <c r="M73" s="280"/>
      <c r="N73" s="281"/>
      <c r="O73" s="699"/>
      <c r="P73" s="699"/>
      <c r="R73" s="675"/>
    </row>
    <row r="74" spans="1:19" ht="12.75" customHeight="1">
      <c r="A74" s="343"/>
      <c r="H74" s="699"/>
      <c r="I74" s="699"/>
      <c r="M74" s="280"/>
      <c r="N74" s="281"/>
      <c r="R74" s="279"/>
    </row>
    <row r="75" spans="1:19" ht="12.75" customHeight="1">
      <c r="A75" s="343"/>
      <c r="H75" s="1375"/>
      <c r="I75" s="266"/>
      <c r="M75" s="280"/>
      <c r="N75" s="281"/>
      <c r="R75" s="266"/>
      <c r="S75" s="266"/>
    </row>
    <row r="76" spans="1:19" ht="12.75" customHeight="1">
      <c r="A76" s="343"/>
      <c r="H76" s="1375"/>
      <c r="M76" s="280"/>
      <c r="N76" s="281"/>
      <c r="R76" s="266"/>
      <c r="S76" s="266"/>
    </row>
    <row r="77" spans="1:19" ht="12.75" customHeight="1">
      <c r="A77" s="343"/>
      <c r="H77" s="699"/>
      <c r="I77" s="266"/>
      <c r="M77" s="280"/>
      <c r="N77" s="281"/>
      <c r="R77" s="266"/>
      <c r="S77" s="266"/>
    </row>
    <row r="78" spans="1:19" ht="12.75" customHeight="1">
      <c r="A78" s="343"/>
      <c r="H78" s="699"/>
      <c r="M78" s="280"/>
      <c r="N78" s="281"/>
      <c r="R78" s="266"/>
      <c r="S78" s="266"/>
    </row>
    <row r="79" spans="1:19" ht="12.75" customHeight="1">
      <c r="H79" s="699"/>
      <c r="J79" s="267"/>
      <c r="K79" s="266"/>
      <c r="L79" s="276"/>
      <c r="M79" s="280"/>
      <c r="N79" s="280"/>
      <c r="R79" s="266"/>
      <c r="S79" s="266"/>
    </row>
    <row r="80" spans="1:19" ht="12.75" customHeight="1">
      <c r="H80" s="699"/>
      <c r="J80" s="267"/>
      <c r="K80" s="266"/>
      <c r="L80" s="276"/>
      <c r="M80" s="280"/>
      <c r="N80" s="280"/>
      <c r="R80" s="266"/>
      <c r="S80" s="266"/>
    </row>
    <row r="81" spans="1:19" ht="12.75" customHeight="1">
      <c r="A81" s="343"/>
      <c r="H81" s="699"/>
      <c r="I81" s="267"/>
      <c r="R81" s="266"/>
      <c r="S81" s="266"/>
    </row>
    <row r="82" spans="1:19" ht="12.75" customHeight="1">
      <c r="A82" s="343"/>
      <c r="H82" s="699"/>
      <c r="I82" s="267"/>
      <c r="P82" s="281"/>
      <c r="R82" s="266"/>
      <c r="S82" s="283"/>
    </row>
    <row r="83" spans="1:19" ht="12.75" customHeight="1">
      <c r="A83" s="343"/>
      <c r="H83" s="699"/>
      <c r="I83" s="699"/>
      <c r="P83" s="270"/>
      <c r="R83" s="283"/>
      <c r="S83" s="283"/>
    </row>
    <row r="84" spans="1:19" ht="12.75" customHeight="1">
      <c r="A84" s="273"/>
      <c r="B84" s="266"/>
      <c r="C84" s="267"/>
      <c r="D84" s="719"/>
      <c r="E84" s="266"/>
      <c r="F84" s="720"/>
      <c r="G84" s="699"/>
      <c r="H84" s="1247"/>
      <c r="I84" s="699"/>
      <c r="P84" s="270"/>
      <c r="R84" s="283"/>
    </row>
    <row r="85" spans="1:19" ht="12.75" customHeight="1">
      <c r="B85" s="266"/>
      <c r="C85" s="267"/>
      <c r="F85" s="720"/>
      <c r="G85" s="699"/>
      <c r="H85" s="721"/>
      <c r="I85" s="699"/>
      <c r="P85" s="270"/>
      <c r="R85" s="283"/>
    </row>
    <row r="86" spans="1:19" ht="12.75" customHeight="1">
      <c r="B86" s="266"/>
      <c r="C86" s="1324"/>
      <c r="D86" s="719"/>
      <c r="E86" s="266"/>
      <c r="F86" s="720"/>
      <c r="G86" s="699"/>
      <c r="H86" s="721"/>
      <c r="I86" s="699"/>
      <c r="P86" s="270"/>
      <c r="R86" s="283"/>
    </row>
    <row r="87" spans="1:19" ht="12.75" customHeight="1">
      <c r="A87" s="275"/>
      <c r="B87" s="266"/>
      <c r="C87" s="1339"/>
      <c r="F87" s="721"/>
      <c r="G87" s="699"/>
      <c r="H87" s="721"/>
      <c r="I87" s="699"/>
      <c r="P87" s="270"/>
      <c r="R87" s="266"/>
    </row>
    <row r="88" spans="1:19" ht="12.75" customHeight="1">
      <c r="A88" s="343"/>
      <c r="B88" s="343"/>
      <c r="C88" s="1339"/>
      <c r="F88" s="720"/>
      <c r="G88" s="862"/>
      <c r="H88" s="721"/>
      <c r="I88" s="699"/>
      <c r="P88" s="270"/>
      <c r="R88" s="266"/>
    </row>
    <row r="89" spans="1:19" ht="12.65" customHeight="1">
      <c r="A89" s="273"/>
      <c r="B89" s="267"/>
      <c r="C89" s="673"/>
      <c r="F89" s="673"/>
      <c r="G89" s="699"/>
      <c r="H89" s="721"/>
      <c r="I89" s="699"/>
      <c r="P89" s="270"/>
      <c r="R89" s="266"/>
    </row>
    <row r="90" spans="1:19" ht="12.75" customHeight="1">
      <c r="B90" s="266"/>
      <c r="H90" s="721"/>
      <c r="I90" s="267"/>
      <c r="P90" s="270"/>
    </row>
    <row r="91" spans="1:19" ht="12.75" customHeight="1">
      <c r="H91" s="721"/>
      <c r="I91" s="267"/>
      <c r="P91" s="270"/>
    </row>
    <row r="92" spans="1:19" ht="12.65" customHeight="1">
      <c r="I92" s="267"/>
      <c r="P92" s="270"/>
    </row>
    <row r="93" spans="1:19">
      <c r="I93" s="267"/>
      <c r="Q93" s="266"/>
    </row>
    <row r="94" spans="1:19">
      <c r="I94" s="267"/>
      <c r="P94" s="270"/>
      <c r="Q94" s="266"/>
    </row>
    <row r="95" spans="1:19">
      <c r="A95" s="275"/>
      <c r="B95" s="266"/>
      <c r="E95" s="699"/>
      <c r="F95" s="699"/>
      <c r="G95" s="699"/>
      <c r="I95" s="267"/>
      <c r="J95" s="267"/>
      <c r="K95" s="266"/>
      <c r="L95" s="276"/>
      <c r="M95" s="280"/>
      <c r="N95" s="280"/>
      <c r="P95" s="270"/>
      <c r="Q95" s="266"/>
    </row>
    <row r="96" spans="1:19">
      <c r="A96" s="699"/>
      <c r="B96" s="699"/>
      <c r="C96" s="699"/>
      <c r="D96" s="699"/>
      <c r="E96" s="699"/>
      <c r="F96" s="699"/>
      <c r="G96" s="699"/>
      <c r="I96" s="267"/>
      <c r="J96" s="267"/>
      <c r="K96" s="266"/>
      <c r="L96" s="276"/>
      <c r="M96" s="280"/>
      <c r="N96" s="280"/>
      <c r="P96" s="270"/>
      <c r="Q96" s="266"/>
    </row>
    <row r="97" spans="1:17">
      <c r="A97" s="699"/>
      <c r="B97" s="699"/>
      <c r="C97" s="699"/>
      <c r="D97" s="699"/>
      <c r="E97" s="699"/>
      <c r="F97" s="699"/>
      <c r="G97" s="699"/>
      <c r="J97" s="674"/>
      <c r="K97" s="266"/>
      <c r="L97" s="276"/>
      <c r="M97" s="280"/>
      <c r="N97" s="280"/>
      <c r="P97" s="270"/>
      <c r="Q97" s="266"/>
    </row>
    <row r="98" spans="1:17">
      <c r="A98" s="699"/>
      <c r="B98" s="699"/>
      <c r="C98" s="699"/>
      <c r="D98" s="699"/>
      <c r="E98" s="699"/>
      <c r="F98" s="699"/>
      <c r="G98" s="699"/>
      <c r="J98" s="674"/>
      <c r="K98" s="266"/>
      <c r="L98" s="276"/>
      <c r="M98" s="280"/>
      <c r="N98" s="280"/>
      <c r="P98" s="266"/>
      <c r="Q98" s="266"/>
    </row>
    <row r="99" spans="1:17">
      <c r="A99" s="699"/>
      <c r="B99" s="699"/>
      <c r="C99" s="699"/>
      <c r="D99" s="699"/>
      <c r="E99" s="699"/>
      <c r="F99" s="699"/>
      <c r="G99" s="699"/>
      <c r="P99" s="266"/>
      <c r="Q99" s="266"/>
    </row>
    <row r="100" spans="1:17">
      <c r="A100" s="699"/>
      <c r="B100" s="699"/>
      <c r="C100" s="699"/>
      <c r="D100" s="699"/>
      <c r="E100" s="699"/>
      <c r="F100" s="699"/>
      <c r="G100" s="699"/>
      <c r="P100" s="266"/>
      <c r="Q100" s="266"/>
    </row>
    <row r="101" spans="1:17">
      <c r="A101" s="699"/>
      <c r="B101" s="699"/>
      <c r="C101" s="699"/>
      <c r="D101" s="699"/>
      <c r="E101" s="699"/>
      <c r="F101" s="699"/>
      <c r="G101" s="699"/>
      <c r="P101" s="266"/>
      <c r="Q101" s="266"/>
    </row>
    <row r="102" spans="1:17">
      <c r="A102" s="699"/>
      <c r="B102" s="699"/>
      <c r="C102" s="699"/>
      <c r="D102" s="699"/>
      <c r="E102" s="699"/>
      <c r="F102" s="699"/>
      <c r="G102" s="699"/>
      <c r="P102" s="266"/>
      <c r="Q102" s="266"/>
    </row>
    <row r="103" spans="1:17">
      <c r="A103" s="699"/>
      <c r="B103" s="699"/>
      <c r="C103" s="699"/>
      <c r="D103" s="699"/>
      <c r="E103" s="699"/>
      <c r="F103" s="699"/>
      <c r="G103" s="699"/>
      <c r="I103" s="270"/>
      <c r="J103" s="267"/>
      <c r="K103" s="266"/>
      <c r="L103" s="266"/>
      <c r="M103" s="266"/>
      <c r="N103" s="266"/>
      <c r="O103" s="266"/>
      <c r="P103" s="266"/>
      <c r="Q103" s="266"/>
    </row>
    <row r="104" spans="1:17">
      <c r="A104" s="699"/>
      <c r="B104" s="699"/>
      <c r="C104" s="699"/>
      <c r="D104" s="699"/>
      <c r="E104" s="699"/>
      <c r="F104" s="699"/>
      <c r="G104" s="699"/>
      <c r="I104" s="270"/>
      <c r="J104" s="267"/>
      <c r="K104" s="266"/>
      <c r="L104" s="266"/>
      <c r="M104" s="266"/>
      <c r="N104" s="266"/>
      <c r="O104" s="266"/>
      <c r="P104" s="266"/>
      <c r="Q104" s="266"/>
    </row>
    <row r="105" spans="1:17">
      <c r="A105" s="699"/>
      <c r="B105" s="699"/>
      <c r="C105" s="699"/>
      <c r="D105" s="699"/>
      <c r="E105" s="699"/>
      <c r="F105" s="699"/>
      <c r="I105" s="270"/>
      <c r="J105" s="267"/>
      <c r="K105" s="266"/>
      <c r="L105" s="266"/>
      <c r="M105" s="266"/>
      <c r="N105" s="266"/>
      <c r="O105" s="266"/>
      <c r="P105" s="266"/>
      <c r="Q105" s="266"/>
    </row>
    <row r="106" spans="1:17">
      <c r="A106" s="699"/>
      <c r="I106" s="270"/>
      <c r="J106" s="267"/>
      <c r="K106" s="266"/>
      <c r="L106" s="266"/>
      <c r="M106" s="266"/>
      <c r="N106" s="266"/>
      <c r="O106" s="266"/>
      <c r="Q106" s="266"/>
    </row>
    <row r="107" spans="1:17">
      <c r="A107" s="699"/>
      <c r="I107" s="270"/>
      <c r="J107" s="267"/>
      <c r="K107" s="266"/>
      <c r="L107" s="266"/>
      <c r="M107" s="266"/>
      <c r="N107" s="266"/>
      <c r="O107" s="266"/>
      <c r="P107" s="266"/>
      <c r="Q107" s="266"/>
    </row>
    <row r="108" spans="1:17">
      <c r="A108" s="699"/>
      <c r="G108" s="699"/>
      <c r="I108" s="270"/>
      <c r="J108" s="267"/>
      <c r="K108" s="266"/>
      <c r="L108" s="266"/>
      <c r="M108" s="266"/>
      <c r="N108" s="266"/>
      <c r="O108" s="266"/>
      <c r="P108" s="282"/>
      <c r="Q108" s="266"/>
    </row>
    <row r="109" spans="1:17">
      <c r="B109" s="699"/>
      <c r="C109" s="699"/>
      <c r="D109" s="699"/>
      <c r="E109" s="699"/>
      <c r="F109" s="699"/>
      <c r="G109" s="699"/>
      <c r="I109" s="699"/>
      <c r="J109" s="267"/>
      <c r="K109" s="266"/>
      <c r="L109" s="266"/>
      <c r="M109" s="266"/>
      <c r="N109" s="266"/>
      <c r="O109" s="266"/>
      <c r="P109" s="266"/>
      <c r="Q109" s="266"/>
    </row>
    <row r="110" spans="1:17">
      <c r="B110" s="699"/>
      <c r="C110" s="699"/>
      <c r="D110" s="699"/>
      <c r="E110" s="699"/>
      <c r="F110" s="699"/>
      <c r="G110" s="699"/>
      <c r="I110" s="266"/>
      <c r="J110" s="267"/>
      <c r="K110" s="266"/>
      <c r="L110" s="266"/>
      <c r="M110" s="266"/>
      <c r="N110" s="266"/>
      <c r="O110" s="266"/>
      <c r="P110" s="284"/>
      <c r="Q110" s="266"/>
    </row>
    <row r="111" spans="1:17">
      <c r="A111" s="699"/>
      <c r="B111" s="699"/>
      <c r="C111" s="699"/>
      <c r="D111" s="699"/>
      <c r="E111" s="699"/>
      <c r="F111" s="699"/>
      <c r="G111" s="699"/>
      <c r="I111" s="267"/>
      <c r="J111" s="267"/>
      <c r="K111" s="266"/>
      <c r="L111" s="266"/>
      <c r="M111" s="266"/>
      <c r="N111" s="266"/>
      <c r="O111" s="266"/>
      <c r="P111" s="266"/>
      <c r="Q111" s="266"/>
    </row>
    <row r="112" spans="1:17">
      <c r="A112" s="699"/>
      <c r="B112" s="699"/>
      <c r="C112" s="699"/>
      <c r="D112" s="699"/>
      <c r="E112" s="699"/>
      <c r="F112" s="699"/>
      <c r="G112" s="699"/>
      <c r="I112" s="267"/>
      <c r="J112" s="267"/>
      <c r="K112" s="266"/>
      <c r="L112" s="266"/>
      <c r="M112" s="266"/>
      <c r="N112" s="266"/>
      <c r="O112" s="266"/>
      <c r="P112" s="266"/>
      <c r="Q112" s="266"/>
    </row>
    <row r="113" spans="1:17">
      <c r="A113" s="699"/>
      <c r="B113" s="699"/>
      <c r="C113" s="699"/>
      <c r="D113" s="699"/>
      <c r="E113" s="699"/>
      <c r="F113" s="699"/>
      <c r="G113" s="699"/>
      <c r="I113" s="267"/>
      <c r="J113" s="267"/>
      <c r="K113" s="266"/>
      <c r="L113" s="266"/>
      <c r="M113" s="266"/>
      <c r="N113" s="266"/>
      <c r="O113" s="266"/>
      <c r="P113" s="266"/>
    </row>
    <row r="114" spans="1:17">
      <c r="A114" s="699"/>
      <c r="B114" s="699"/>
      <c r="C114" s="699"/>
      <c r="D114" s="699"/>
      <c r="E114" s="699"/>
      <c r="F114" s="699"/>
      <c r="G114" s="699"/>
      <c r="I114" s="267"/>
      <c r="J114" s="267"/>
      <c r="K114" s="266"/>
      <c r="L114" s="266"/>
      <c r="M114" s="266"/>
      <c r="N114" s="266"/>
      <c r="O114" s="266"/>
      <c r="P114" s="266"/>
      <c r="Q114" s="266"/>
    </row>
    <row r="115" spans="1:17">
      <c r="A115" s="699"/>
      <c r="B115" s="699"/>
      <c r="C115" s="699"/>
      <c r="D115" s="699"/>
      <c r="E115" s="699"/>
      <c r="F115" s="699"/>
      <c r="G115" s="699"/>
      <c r="I115" s="267"/>
      <c r="J115" s="267"/>
      <c r="K115" s="266"/>
      <c r="L115" s="266"/>
      <c r="M115" s="266"/>
      <c r="N115" s="266"/>
      <c r="P115" s="266"/>
      <c r="Q115" s="282"/>
    </row>
    <row r="116" spans="1:17">
      <c r="A116" s="699"/>
      <c r="B116" s="699"/>
      <c r="C116" s="699"/>
      <c r="D116" s="699"/>
      <c r="E116" s="699"/>
      <c r="F116" s="699"/>
      <c r="G116" s="699"/>
      <c r="I116" s="267"/>
      <c r="J116" s="267"/>
      <c r="K116" s="266"/>
      <c r="L116" s="266"/>
      <c r="M116" s="266"/>
      <c r="N116" s="266"/>
      <c r="O116" s="266"/>
      <c r="P116" s="266"/>
      <c r="Q116" s="266"/>
    </row>
    <row r="117" spans="1:17">
      <c r="A117" s="699"/>
      <c r="B117" s="699"/>
      <c r="C117" s="699"/>
      <c r="D117" s="699"/>
      <c r="E117" s="699"/>
      <c r="F117" s="699"/>
      <c r="G117" s="699"/>
      <c r="I117" s="267"/>
      <c r="J117" s="267"/>
      <c r="K117" s="266"/>
      <c r="L117" s="266"/>
      <c r="M117" s="266"/>
      <c r="N117" s="266"/>
      <c r="O117" s="266"/>
      <c r="P117" s="283"/>
      <c r="Q117" s="266"/>
    </row>
    <row r="118" spans="1:17">
      <c r="A118" s="699"/>
      <c r="B118" s="699"/>
      <c r="C118" s="699"/>
      <c r="D118" s="699"/>
      <c r="E118" s="699"/>
      <c r="F118" s="699"/>
      <c r="G118" s="699"/>
      <c r="I118" s="267"/>
      <c r="J118" s="267"/>
      <c r="K118" s="266"/>
      <c r="L118" s="285"/>
      <c r="O118" s="266"/>
      <c r="Q118" s="266"/>
    </row>
    <row r="119" spans="1:17">
      <c r="A119" s="699"/>
      <c r="B119" s="699"/>
      <c r="C119" s="699"/>
      <c r="D119" s="699"/>
      <c r="E119" s="699"/>
      <c r="F119" s="699"/>
      <c r="G119" s="699"/>
      <c r="I119" s="267"/>
      <c r="J119" s="267"/>
      <c r="K119" s="266"/>
      <c r="L119" s="285"/>
      <c r="M119" s="266"/>
      <c r="N119" s="276"/>
      <c r="O119" s="266"/>
    </row>
    <row r="120" spans="1:17">
      <c r="A120" s="699"/>
      <c r="B120" s="699"/>
      <c r="C120" s="699"/>
      <c r="D120" s="699"/>
      <c r="E120" s="699"/>
      <c r="F120" s="699"/>
      <c r="G120" s="699"/>
      <c r="I120" s="266"/>
      <c r="J120" s="266"/>
      <c r="K120" s="285"/>
      <c r="L120" s="699"/>
      <c r="M120" s="699"/>
      <c r="N120" s="699"/>
    </row>
    <row r="121" spans="1:17">
      <c r="A121" s="699"/>
      <c r="B121" s="699"/>
      <c r="C121" s="699"/>
      <c r="D121" s="699"/>
      <c r="E121" s="699"/>
      <c r="F121" s="699"/>
      <c r="I121" s="266"/>
      <c r="J121" s="266"/>
      <c r="K121" s="286"/>
      <c r="L121" s="699"/>
      <c r="M121" s="699"/>
      <c r="N121" s="699"/>
    </row>
    <row r="122" spans="1:17">
      <c r="A122" s="699"/>
      <c r="I122" s="266"/>
      <c r="J122" s="266"/>
      <c r="K122" s="266"/>
      <c r="L122" s="699"/>
      <c r="M122" s="699"/>
      <c r="N122" s="699"/>
    </row>
    <row r="123" spans="1:17">
      <c r="A123" s="699"/>
      <c r="I123" s="266"/>
      <c r="J123" s="266"/>
      <c r="K123" s="266"/>
      <c r="L123" s="699"/>
      <c r="M123" s="699"/>
      <c r="N123" s="699"/>
    </row>
    <row r="124" spans="1:17">
      <c r="A124" s="699"/>
      <c r="G124" s="699"/>
      <c r="I124" s="266"/>
      <c r="J124" s="266"/>
      <c r="L124" s="699"/>
      <c r="M124" s="699"/>
      <c r="N124" s="699"/>
    </row>
    <row r="125" spans="1:17">
      <c r="B125" s="699"/>
      <c r="C125" s="699"/>
      <c r="D125" s="699"/>
      <c r="E125" s="699"/>
      <c r="F125" s="699"/>
      <c r="G125" s="699"/>
    </row>
    <row r="126" spans="1:17">
      <c r="B126" s="699"/>
      <c r="C126" s="699"/>
      <c r="D126" s="699"/>
      <c r="E126" s="699"/>
      <c r="F126" s="699"/>
      <c r="G126" s="699"/>
    </row>
    <row r="127" spans="1:17">
      <c r="B127" s="699"/>
      <c r="C127" s="699"/>
      <c r="D127" s="699"/>
      <c r="E127" s="699"/>
      <c r="F127" s="699"/>
      <c r="G127" s="699"/>
    </row>
    <row r="128" spans="1:17">
      <c r="A128" s="699"/>
      <c r="B128" s="699"/>
      <c r="C128" s="699"/>
      <c r="D128" s="699"/>
      <c r="E128" s="699"/>
      <c r="F128" s="699"/>
      <c r="J128" s="699"/>
      <c r="K128" s="699"/>
      <c r="L128" s="699"/>
      <c r="M128" s="699"/>
      <c r="N128" s="699"/>
    </row>
    <row r="129" spans="1:14">
      <c r="A129" s="699"/>
      <c r="J129" s="699"/>
      <c r="K129" s="699"/>
      <c r="L129" s="699"/>
      <c r="M129" s="699"/>
      <c r="N129" s="699"/>
    </row>
    <row r="130" spans="1:14">
      <c r="A130" s="699"/>
      <c r="I130" s="699"/>
      <c r="J130" s="699"/>
      <c r="K130" s="699"/>
      <c r="L130" s="699"/>
      <c r="M130" s="699"/>
      <c r="N130" s="699"/>
    </row>
    <row r="131" spans="1:14">
      <c r="A131" s="699"/>
      <c r="I131" s="699"/>
      <c r="J131" s="699"/>
      <c r="K131" s="699"/>
      <c r="L131" s="699"/>
      <c r="M131" s="699"/>
      <c r="N131" s="699"/>
    </row>
  </sheetData>
  <pageMargins left="0.6" right="0.25" top="0.6" bottom="0" header="0.5" footer="0.25"/>
  <pageSetup scale="66" firstPageNumber="4" orientation="landscape" useFirstPageNumber="1" r:id="rId1"/>
  <headerFooter scaleWithDoc="0" alignWithMargins="0">
    <oddFooter>&amp;C&amp;8&amp;P</oddFooter>
  </headerFooter>
  <rowBreaks count="1" manualBreakCount="1">
    <brk id="61" max="14" man="1"/>
  </rowBreaks>
  <customProperties>
    <customPr name="SheetOptions" r:id="rId2"/>
  </customProperties>
  <ignoredErrors>
    <ignoredError sqref="A6 I45 A20" numberStoredAsText="1"/>
  </ignoredError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39">
    <pageSetUpPr fitToPage="1"/>
  </sheetPr>
  <dimension ref="A1:AT61"/>
  <sheetViews>
    <sheetView showGridLines="0" zoomScale="90" workbookViewId="0"/>
  </sheetViews>
  <sheetFormatPr defaultColWidth="8.84375" defaultRowHeight="15.5"/>
  <cols>
    <col min="1" max="1" width="1.84375" style="561" customWidth="1"/>
    <col min="2" max="2" width="48" style="561" customWidth="1"/>
    <col min="3" max="3" width="4.53515625" style="562" customWidth="1"/>
    <col min="4" max="4" width="19" style="562" customWidth="1"/>
    <col min="5" max="5" width="1.84375" style="562" customWidth="1"/>
    <col min="6" max="6" width="19" style="562" customWidth="1"/>
    <col min="7" max="7" width="1.84375" style="562" customWidth="1"/>
    <col min="8" max="8" width="19" style="562" customWidth="1"/>
    <col min="9" max="9" width="1.84375" style="562" customWidth="1"/>
    <col min="10" max="10" width="19" style="562" customWidth="1"/>
    <col min="11" max="12" width="1.84375" style="562" customWidth="1"/>
    <col min="13" max="13" width="19" style="562" customWidth="1"/>
    <col min="14" max="14" width="8.84375" style="562"/>
    <col min="15" max="15" width="10.07421875" style="562" customWidth="1"/>
    <col min="16" max="16" width="1.84375" style="562" customWidth="1"/>
    <col min="17" max="16384" width="8.84375" style="561"/>
  </cols>
  <sheetData>
    <row r="1" spans="1:41">
      <c r="B1" s="326" t="s">
        <v>98</v>
      </c>
    </row>
    <row r="3" spans="1:41" ht="18">
      <c r="M3" s="626" t="s">
        <v>1091</v>
      </c>
    </row>
    <row r="4" spans="1:41" s="565" customFormat="1" ht="18.75" customHeight="1">
      <c r="A4" s="563"/>
      <c r="B4" s="627" t="s">
        <v>995</v>
      </c>
      <c r="C4" s="631"/>
      <c r="D4" s="631"/>
      <c r="E4" s="576"/>
      <c r="F4" s="631"/>
      <c r="G4" s="627"/>
      <c r="H4" s="631"/>
      <c r="I4" s="627"/>
      <c r="J4" s="631"/>
      <c r="K4" s="576"/>
      <c r="L4" s="628"/>
      <c r="M4" s="631"/>
      <c r="N4" s="564"/>
      <c r="O4" s="564"/>
      <c r="P4" s="564"/>
    </row>
    <row r="5" spans="1:41" s="565" customFormat="1" ht="18.75" customHeight="1">
      <c r="A5" s="563"/>
      <c r="B5" s="627" t="s">
        <v>1092</v>
      </c>
      <c r="C5" s="566"/>
      <c r="D5" s="566"/>
      <c r="E5" s="627"/>
      <c r="F5" s="566"/>
      <c r="G5" s="627"/>
      <c r="H5" s="566"/>
      <c r="I5" s="627"/>
      <c r="J5" s="566"/>
      <c r="K5" s="627"/>
      <c r="L5" s="627"/>
      <c r="M5" s="566"/>
      <c r="N5" s="564"/>
      <c r="O5" s="564"/>
      <c r="P5" s="564"/>
    </row>
    <row r="6" spans="1:41" s="565" customFormat="1" ht="18.75" customHeight="1">
      <c r="A6" s="563"/>
      <c r="B6" s="627" t="s">
        <v>1485</v>
      </c>
      <c r="C6" s="631"/>
      <c r="D6" s="631"/>
      <c r="E6" s="831"/>
      <c r="F6" s="631"/>
      <c r="G6" s="627"/>
      <c r="H6" s="631"/>
      <c r="I6" s="627"/>
      <c r="J6" s="631"/>
      <c r="K6" s="831"/>
      <c r="L6" s="627"/>
      <c r="M6" s="631"/>
      <c r="N6" s="564"/>
      <c r="O6" s="564"/>
      <c r="P6" s="564"/>
    </row>
    <row r="7" spans="1:41" s="565" customFormat="1" ht="18" customHeight="1">
      <c r="A7" s="563"/>
      <c r="B7" s="833"/>
      <c r="C7" s="632"/>
      <c r="D7" s="632"/>
      <c r="E7" s="832"/>
      <c r="F7" s="632"/>
      <c r="G7" s="629"/>
      <c r="H7" s="632"/>
      <c r="I7" s="629"/>
      <c r="J7" s="632"/>
      <c r="K7" s="832"/>
      <c r="L7" s="629"/>
      <c r="M7" s="632"/>
      <c r="N7" s="564"/>
      <c r="O7" s="564"/>
      <c r="P7" s="564"/>
    </row>
    <row r="8" spans="1:41" s="565" customFormat="1" ht="18" customHeight="1">
      <c r="A8" s="563"/>
      <c r="B8" s="833"/>
      <c r="C8" s="567"/>
      <c r="D8" s="567"/>
      <c r="E8" s="587"/>
      <c r="F8" s="567"/>
      <c r="G8" s="587"/>
      <c r="H8" s="567"/>
      <c r="I8" s="587"/>
      <c r="J8" s="567"/>
      <c r="K8" s="587"/>
      <c r="L8" s="630"/>
      <c r="M8" s="567"/>
      <c r="N8" s="564"/>
      <c r="O8" s="564"/>
      <c r="P8" s="564"/>
    </row>
    <row r="9" spans="1:41" s="570" customFormat="1">
      <c r="A9" s="568"/>
      <c r="B9" s="568"/>
      <c r="C9" s="569"/>
      <c r="D9" s="727" t="s">
        <v>1469</v>
      </c>
      <c r="E9" s="727"/>
      <c r="F9" s="727" t="s">
        <v>1502</v>
      </c>
      <c r="G9" s="727"/>
      <c r="H9" s="727">
        <v>2023</v>
      </c>
      <c r="I9" s="727"/>
      <c r="J9" s="727">
        <v>2023</v>
      </c>
      <c r="K9" s="727"/>
      <c r="L9" s="569"/>
      <c r="M9" s="569"/>
      <c r="N9" s="569"/>
      <c r="O9" s="569"/>
      <c r="P9" s="569"/>
    </row>
    <row r="10" spans="1:41">
      <c r="D10" s="2085" t="s">
        <v>1470</v>
      </c>
      <c r="E10" s="571"/>
      <c r="F10" s="2085" t="s">
        <v>1503</v>
      </c>
      <c r="G10" s="571"/>
      <c r="H10" s="2085" t="s">
        <v>476</v>
      </c>
      <c r="I10" s="571"/>
      <c r="J10" s="2085" t="s">
        <v>365</v>
      </c>
      <c r="K10" s="571"/>
      <c r="M10" s="571" t="str">
        <f>'Public Goods '!M10</f>
        <v>2023-2024</v>
      </c>
    </row>
    <row r="11" spans="1:41">
      <c r="M11" s="790"/>
    </row>
    <row r="12" spans="1:41" s="570" customFormat="1">
      <c r="B12" s="570" t="s">
        <v>969</v>
      </c>
      <c r="C12" s="569"/>
      <c r="D12" s="572">
        <v>65850.210000000006</v>
      </c>
      <c r="E12" s="572"/>
      <c r="F12" s="572">
        <f>D48</f>
        <v>0</v>
      </c>
      <c r="G12" s="572"/>
      <c r="H12" s="572">
        <f>F48</f>
        <v>0</v>
      </c>
      <c r="I12" s="572"/>
      <c r="J12" s="572">
        <f>H48</f>
        <v>45326238.119999997</v>
      </c>
      <c r="K12" s="572"/>
      <c r="L12" s="588"/>
      <c r="M12" s="572">
        <f>D12</f>
        <v>65850.210000000006</v>
      </c>
      <c r="N12" s="569"/>
      <c r="O12" s="569"/>
      <c r="P12" s="569"/>
      <c r="Q12" s="573"/>
      <c r="R12" s="573"/>
      <c r="S12" s="573"/>
      <c r="T12" s="573"/>
      <c r="U12" s="573"/>
      <c r="V12" s="573"/>
      <c r="W12" s="573"/>
      <c r="X12" s="573"/>
      <c r="Y12" s="573"/>
      <c r="Z12" s="573"/>
      <c r="AA12" s="573"/>
      <c r="AB12" s="574"/>
      <c r="AC12" s="574"/>
      <c r="AD12" s="574"/>
      <c r="AE12" s="574"/>
      <c r="AF12" s="574"/>
      <c r="AG12" s="574"/>
      <c r="AH12" s="574"/>
      <c r="AI12" s="574"/>
      <c r="AJ12" s="574"/>
      <c r="AK12" s="574"/>
      <c r="AL12" s="574"/>
      <c r="AM12" s="574"/>
      <c r="AN12" s="574"/>
      <c r="AO12" s="574"/>
    </row>
    <row r="13" spans="1:41" s="570" customFormat="1">
      <c r="C13" s="569"/>
      <c r="D13" s="572"/>
      <c r="E13" s="562"/>
      <c r="F13" s="572"/>
      <c r="G13" s="562"/>
      <c r="H13" s="572"/>
      <c r="I13" s="562"/>
      <c r="J13" s="572"/>
      <c r="K13" s="562"/>
      <c r="L13" s="589"/>
      <c r="M13" s="572"/>
      <c r="N13" s="569"/>
      <c r="O13" s="569"/>
      <c r="P13" s="569"/>
      <c r="Q13" s="573"/>
      <c r="R13" s="573"/>
      <c r="S13" s="573"/>
      <c r="T13" s="573"/>
      <c r="U13" s="573"/>
      <c r="V13" s="573"/>
      <c r="W13" s="573"/>
      <c r="X13" s="573"/>
      <c r="Y13" s="573"/>
      <c r="Z13" s="573"/>
      <c r="AA13" s="573"/>
      <c r="AB13" s="574"/>
      <c r="AC13" s="574"/>
      <c r="AD13" s="574"/>
      <c r="AE13" s="574"/>
      <c r="AF13" s="574"/>
      <c r="AG13" s="574"/>
      <c r="AH13" s="574"/>
      <c r="AI13" s="574"/>
      <c r="AJ13" s="574"/>
      <c r="AK13" s="574"/>
      <c r="AL13" s="574"/>
      <c r="AM13" s="574"/>
      <c r="AN13" s="574"/>
      <c r="AO13" s="574"/>
    </row>
    <row r="14" spans="1:41">
      <c r="B14" s="570" t="s">
        <v>115</v>
      </c>
      <c r="E14" s="575"/>
      <c r="G14" s="575"/>
      <c r="I14" s="575"/>
      <c r="K14" s="575"/>
      <c r="L14" s="590"/>
    </row>
    <row r="15" spans="1:41">
      <c r="B15" s="566" t="s">
        <v>1069</v>
      </c>
      <c r="D15" s="575">
        <v>13382.51</v>
      </c>
      <c r="E15" s="575"/>
      <c r="F15" s="575">
        <v>0</v>
      </c>
      <c r="G15" s="575"/>
      <c r="H15" s="575">
        <v>15553.53</v>
      </c>
      <c r="I15" s="575"/>
      <c r="J15" s="575">
        <v>5643.6</v>
      </c>
      <c r="K15" s="575"/>
      <c r="L15" s="590"/>
      <c r="M15" s="575">
        <f>ROUND(SUM(D15:K15),2)</f>
        <v>34579.64</v>
      </c>
    </row>
    <row r="16" spans="1:41" s="570" customFormat="1">
      <c r="B16" s="570" t="s">
        <v>457</v>
      </c>
      <c r="C16" s="569"/>
      <c r="D16" s="791">
        <f>ROUND(SUM(D15:D15),2)</f>
        <v>13382.51</v>
      </c>
      <c r="E16" s="575"/>
      <c r="F16" s="791">
        <f>ROUND(SUM(F15:F15),2)</f>
        <v>0</v>
      </c>
      <c r="G16" s="575"/>
      <c r="H16" s="791">
        <f>ROUND(SUM(H15:H15),2)</f>
        <v>15553.53</v>
      </c>
      <c r="I16" s="575"/>
      <c r="J16" s="791">
        <f>ROUND(SUM(J15:J15),2)</f>
        <v>5643.6</v>
      </c>
      <c r="K16" s="575"/>
      <c r="L16" s="590"/>
      <c r="M16" s="791">
        <f>ROUND(SUM(M15:M15),2)</f>
        <v>34579.64</v>
      </c>
      <c r="N16" s="569"/>
      <c r="O16" s="562"/>
      <c r="P16" s="569"/>
    </row>
    <row r="17" spans="2:16">
      <c r="D17" s="575"/>
      <c r="E17" s="575"/>
      <c r="F17" s="575"/>
      <c r="G17" s="575"/>
      <c r="H17" s="575"/>
      <c r="I17" s="575"/>
      <c r="J17" s="575"/>
      <c r="K17" s="575"/>
      <c r="L17" s="590"/>
      <c r="M17" s="792"/>
    </row>
    <row r="18" spans="2:16">
      <c r="B18" s="570" t="s">
        <v>1093</v>
      </c>
      <c r="D18" s="575"/>
      <c r="E18" s="575"/>
      <c r="F18" s="575"/>
      <c r="G18" s="575"/>
      <c r="H18" s="575"/>
      <c r="I18" s="575"/>
      <c r="J18" s="575"/>
      <c r="K18" s="575"/>
      <c r="L18" s="590"/>
      <c r="M18" s="575"/>
    </row>
    <row r="19" spans="2:16">
      <c r="B19" s="566" t="s">
        <v>1094</v>
      </c>
      <c r="D19" s="575">
        <v>-108273974.16</v>
      </c>
      <c r="E19" s="409"/>
      <c r="F19" s="575">
        <v>0</v>
      </c>
      <c r="G19"/>
      <c r="H19" s="575">
        <v>-182152614.71000001</v>
      </c>
      <c r="I19" s="327"/>
      <c r="J19" s="575">
        <v>-127303687.06999999</v>
      </c>
      <c r="K19" s="409"/>
      <c r="L19" s="590"/>
      <c r="M19" s="575">
        <f>ROUND(SUM(D19:K19),2)</f>
        <v>-417730275.94</v>
      </c>
    </row>
    <row r="20" spans="2:16">
      <c r="B20" s="566" t="s">
        <v>1095</v>
      </c>
      <c r="D20" s="575">
        <v>0</v>
      </c>
      <c r="E20" s="575"/>
      <c r="F20" s="575">
        <v>0</v>
      </c>
      <c r="G20" s="575"/>
      <c r="H20" s="575">
        <v>0</v>
      </c>
      <c r="I20" s="575"/>
      <c r="J20" s="575">
        <v>0</v>
      </c>
      <c r="K20" s="575"/>
      <c r="L20" s="590"/>
      <c r="M20" s="575">
        <f>ROUND(SUM(D20:K20),2)</f>
        <v>0</v>
      </c>
    </row>
    <row r="21" spans="2:16">
      <c r="B21" s="566" t="s">
        <v>1096</v>
      </c>
      <c r="D21" s="575">
        <v>2184466.58</v>
      </c>
      <c r="E21" s="579"/>
      <c r="F21" s="575">
        <v>0</v>
      </c>
      <c r="G21" s="2096"/>
      <c r="H21" s="575">
        <v>3824682.85</v>
      </c>
      <c r="I21" s="2096"/>
      <c r="J21" s="575">
        <v>724120.49</v>
      </c>
      <c r="K21" s="579"/>
      <c r="L21" s="591"/>
      <c r="M21" s="575">
        <f>ROUND(SUM(D21:K21),2)</f>
        <v>6733269.9199999999</v>
      </c>
    </row>
    <row r="22" spans="2:16" s="570" customFormat="1">
      <c r="B22" s="576" t="s">
        <v>1097</v>
      </c>
      <c r="C22" s="569"/>
      <c r="D22" s="793">
        <f>ROUND(SUM(D18:D21),2)</f>
        <v>-106089507.58</v>
      </c>
      <c r="E22" s="593"/>
      <c r="F22" s="793">
        <f>ROUND(SUM(F18:F21),2)</f>
        <v>0</v>
      </c>
      <c r="G22" s="593"/>
      <c r="H22" s="793">
        <f>ROUND(SUM(H18:H21),2)</f>
        <v>-178327931.86000001</v>
      </c>
      <c r="I22" s="593"/>
      <c r="J22" s="793">
        <f>ROUND(SUM(J18:J21),2)</f>
        <v>-126579566.58</v>
      </c>
      <c r="K22" s="593"/>
      <c r="L22" s="592"/>
      <c r="M22" s="793">
        <f>ROUND(SUM(M18:M21),2)</f>
        <v>-410997006.01999998</v>
      </c>
      <c r="N22" s="569"/>
      <c r="O22" s="562"/>
      <c r="P22" s="569"/>
    </row>
    <row r="23" spans="2:16">
      <c r="B23" s="577"/>
      <c r="D23" s="792"/>
      <c r="E23" s="575"/>
      <c r="F23" s="792"/>
      <c r="G23" s="575"/>
      <c r="H23" s="792"/>
      <c r="I23" s="575"/>
      <c r="J23" s="792"/>
      <c r="K23" s="575"/>
      <c r="L23" s="590"/>
      <c r="M23" s="792"/>
    </row>
    <row r="24" spans="2:16" s="570" customFormat="1">
      <c r="B24" s="570" t="s">
        <v>1098</v>
      </c>
      <c r="C24" s="569"/>
      <c r="D24" s="578">
        <f>ROUND(+D16+D22,2)</f>
        <v>-106076125.06999999</v>
      </c>
      <c r="E24" s="594"/>
      <c r="F24" s="578">
        <f>ROUND(+F16+F22,2)</f>
        <v>0</v>
      </c>
      <c r="G24" s="594"/>
      <c r="H24" s="578">
        <f>ROUND(+H16+H22,2)</f>
        <v>-178312378.33000001</v>
      </c>
      <c r="I24" s="594"/>
      <c r="J24" s="578">
        <f>ROUND(+J16+J22,2)</f>
        <v>-126573922.98</v>
      </c>
      <c r="K24" s="594"/>
      <c r="L24" s="590"/>
      <c r="M24" s="578">
        <f>ROUND(+M16+M22,2)</f>
        <v>-410962426.38</v>
      </c>
      <c r="N24" s="569"/>
      <c r="O24" s="562"/>
      <c r="P24" s="569"/>
    </row>
    <row r="25" spans="2:16">
      <c r="D25" s="792"/>
      <c r="E25" s="575"/>
      <c r="F25" s="792"/>
      <c r="G25" s="575"/>
      <c r="H25" s="792"/>
      <c r="I25" s="575"/>
      <c r="J25" s="792"/>
      <c r="K25" s="575"/>
      <c r="L25" s="590"/>
      <c r="M25" s="792"/>
    </row>
    <row r="26" spans="2:16">
      <c r="B26" s="570" t="s">
        <v>147</v>
      </c>
      <c r="D26" s="575"/>
      <c r="E26" s="575"/>
      <c r="F26" s="575"/>
      <c r="G26" s="575"/>
      <c r="H26" s="575"/>
      <c r="I26" s="575"/>
      <c r="J26" s="575"/>
      <c r="K26" s="575"/>
      <c r="L26" s="590"/>
      <c r="M26" s="575"/>
    </row>
    <row r="27" spans="2:16">
      <c r="B27" s="570" t="s">
        <v>1077</v>
      </c>
      <c r="D27" s="575"/>
      <c r="E27" s="575"/>
      <c r="F27" s="575"/>
      <c r="G27" s="575"/>
      <c r="H27" s="575"/>
      <c r="I27" s="575"/>
      <c r="J27" s="575"/>
      <c r="K27" s="575"/>
      <c r="L27" s="591"/>
      <c r="M27" s="575"/>
    </row>
    <row r="28" spans="2:16">
      <c r="B28" s="566" t="s">
        <v>1099</v>
      </c>
      <c r="D28" s="575">
        <v>0</v>
      </c>
      <c r="E28" s="593"/>
      <c r="F28" s="575">
        <v>0</v>
      </c>
      <c r="G28" s="593"/>
      <c r="H28" s="575">
        <v>0</v>
      </c>
      <c r="I28" s="593"/>
      <c r="J28" s="575">
        <v>0</v>
      </c>
      <c r="K28" s="593"/>
      <c r="L28" s="592"/>
      <c r="M28" s="575">
        <f>ROUND(SUM(D28:K28),2)</f>
        <v>0</v>
      </c>
    </row>
    <row r="29" spans="2:16">
      <c r="B29" s="566" t="s">
        <v>1084</v>
      </c>
      <c r="D29" s="575">
        <v>0</v>
      </c>
      <c r="E29" s="575"/>
      <c r="F29" s="575">
        <v>0</v>
      </c>
      <c r="G29" s="575"/>
      <c r="H29" s="575">
        <v>0</v>
      </c>
      <c r="I29" s="575"/>
      <c r="J29" s="575">
        <v>0</v>
      </c>
      <c r="K29" s="575"/>
      <c r="L29" s="590"/>
      <c r="M29" s="575">
        <f>ROUND(SUM(D29:K29),2)</f>
        <v>0</v>
      </c>
    </row>
    <row r="30" spans="2:16">
      <c r="B30" s="570" t="s">
        <v>1080</v>
      </c>
      <c r="D30" s="575"/>
      <c r="E30" s="593"/>
      <c r="F30" s="575"/>
      <c r="G30" s="593"/>
      <c r="H30" s="575"/>
      <c r="I30" s="593"/>
      <c r="J30" s="575"/>
      <c r="K30" s="593"/>
      <c r="L30" s="595"/>
      <c r="M30" s="575"/>
    </row>
    <row r="31" spans="2:16">
      <c r="B31" s="566" t="s">
        <v>1100</v>
      </c>
      <c r="D31" s="575">
        <v>48723288.380000003</v>
      </c>
      <c r="E31" s="575"/>
      <c r="F31" s="575">
        <v>0</v>
      </c>
      <c r="G31" s="575"/>
      <c r="H31" s="575">
        <v>107888802.40000001</v>
      </c>
      <c r="I31" s="575"/>
      <c r="J31" s="575">
        <v>39664190.280000001</v>
      </c>
      <c r="K31" s="575"/>
      <c r="L31" s="590"/>
      <c r="M31" s="575">
        <f>ROUND(SUM(D31:K31),2)</f>
        <v>196276281.06</v>
      </c>
    </row>
    <row r="32" spans="2:16">
      <c r="B32" s="566" t="s">
        <v>1101</v>
      </c>
      <c r="D32" s="575">
        <v>-2234810.94</v>
      </c>
      <c r="E32" s="575"/>
      <c r="F32" s="575">
        <v>0</v>
      </c>
      <c r="G32" s="575"/>
      <c r="H32" s="575">
        <v>-2537349.5999999996</v>
      </c>
      <c r="I32" s="575"/>
      <c r="J32" s="575">
        <v>-512953.62</v>
      </c>
      <c r="K32" s="575"/>
      <c r="L32" s="590"/>
      <c r="M32" s="575">
        <f>ROUND(SUM(D32:K32),2)</f>
        <v>-5285114.16</v>
      </c>
    </row>
    <row r="33" spans="2:46">
      <c r="B33" s="566" t="s">
        <v>1102</v>
      </c>
      <c r="D33" s="575">
        <v>59550685.780000001</v>
      </c>
      <c r="E33" s="575"/>
      <c r="F33" s="575">
        <v>0</v>
      </c>
      <c r="G33" s="575"/>
      <c r="H33" s="575">
        <v>118287163.64999999</v>
      </c>
      <c r="I33" s="575"/>
      <c r="J33" s="575">
        <v>42117645.330000006</v>
      </c>
      <c r="K33" s="575"/>
      <c r="L33" s="590"/>
      <c r="M33" s="575">
        <f>ROUND(SUM(D33:K33),2)</f>
        <v>219955494.75999999</v>
      </c>
    </row>
    <row r="34" spans="2:46">
      <c r="B34" s="566" t="s">
        <v>1096</v>
      </c>
      <c r="D34" s="2089">
        <v>0</v>
      </c>
      <c r="E34" s="575"/>
      <c r="F34" s="2089">
        <v>0</v>
      </c>
      <c r="G34" s="575"/>
      <c r="H34" s="2089">
        <v>0</v>
      </c>
      <c r="I34" s="575"/>
      <c r="J34" s="2089">
        <v>0</v>
      </c>
      <c r="K34" s="575"/>
      <c r="L34" s="590"/>
      <c r="M34" s="575">
        <f>ROUND(SUM(D34:K34),2)</f>
        <v>0</v>
      </c>
    </row>
    <row r="35" spans="2:46" s="570" customFormat="1">
      <c r="B35" s="570" t="s">
        <v>1082</v>
      </c>
      <c r="C35" s="569"/>
      <c r="D35" s="794">
        <f>ROUND(SUM(D28:D34),2)</f>
        <v>106039163.22</v>
      </c>
      <c r="E35" s="575"/>
      <c r="F35" s="794">
        <f>ROUND(SUM(F28:F34),2)</f>
        <v>0</v>
      </c>
      <c r="G35" s="575"/>
      <c r="H35" s="794">
        <f>ROUND(SUM(H28:H34),2)</f>
        <v>223638616.44999999</v>
      </c>
      <c r="I35" s="575"/>
      <c r="J35" s="794">
        <f>ROUND(SUM(J28:J34),2)</f>
        <v>81268881.989999995</v>
      </c>
      <c r="K35" s="575"/>
      <c r="L35" s="590"/>
      <c r="M35" s="794">
        <f>ROUND(SUM(M28:M34),2)</f>
        <v>410946661.66000003</v>
      </c>
      <c r="N35" s="569"/>
      <c r="O35" s="562"/>
      <c r="P35" s="569"/>
    </row>
    <row r="36" spans="2:46">
      <c r="D36" s="575"/>
      <c r="E36" s="575"/>
      <c r="F36" s="575"/>
      <c r="G36" s="575"/>
      <c r="H36" s="575"/>
      <c r="I36" s="575"/>
      <c r="J36" s="575"/>
      <c r="K36" s="575"/>
      <c r="L36" s="590"/>
      <c r="M36" s="575"/>
    </row>
    <row r="37" spans="2:46">
      <c r="B37" s="570" t="s">
        <v>1083</v>
      </c>
      <c r="D37" s="575"/>
      <c r="E37" s="575"/>
      <c r="F37" s="575"/>
      <c r="G37" s="575"/>
      <c r="H37" s="575"/>
      <c r="I37" s="575"/>
      <c r="J37" s="575"/>
      <c r="K37" s="575"/>
      <c r="L37" s="590"/>
      <c r="M37" s="575"/>
    </row>
    <row r="38" spans="2:46">
      <c r="B38" s="561" t="s">
        <v>1099</v>
      </c>
      <c r="D38" s="579">
        <v>0</v>
      </c>
      <c r="E38" s="593"/>
      <c r="F38" s="579">
        <v>0</v>
      </c>
      <c r="G38" s="593"/>
      <c r="H38" s="579">
        <v>0</v>
      </c>
      <c r="I38" s="593"/>
      <c r="J38" s="579">
        <v>0</v>
      </c>
      <c r="K38" s="593"/>
      <c r="L38" s="592"/>
      <c r="M38" s="575">
        <f>ROUND(SUM(D38:K38),2)</f>
        <v>0</v>
      </c>
    </row>
    <row r="39" spans="2:46">
      <c r="B39" s="561" t="s">
        <v>1084</v>
      </c>
      <c r="D39" s="575">
        <v>0</v>
      </c>
      <c r="E39" s="575"/>
      <c r="F39" s="575">
        <v>0</v>
      </c>
      <c r="G39" s="575"/>
      <c r="H39" s="575">
        <v>0</v>
      </c>
      <c r="I39" s="575"/>
      <c r="J39" s="575">
        <v>0</v>
      </c>
      <c r="K39" s="575"/>
      <c r="L39" s="590"/>
      <c r="M39" s="575">
        <f>ROUND(SUM(D39:K39),2)</f>
        <v>0</v>
      </c>
    </row>
    <row r="40" spans="2:46">
      <c r="B40" s="570" t="s">
        <v>1085</v>
      </c>
      <c r="D40" s="575"/>
      <c r="E40" s="575"/>
      <c r="F40" s="575"/>
      <c r="G40" s="575"/>
      <c r="H40" s="575"/>
      <c r="I40" s="575"/>
      <c r="J40" s="575"/>
      <c r="K40" s="575"/>
      <c r="L40" s="590"/>
      <c r="M40" s="575"/>
    </row>
    <row r="41" spans="2:46">
      <c r="B41" s="566" t="s">
        <v>1103</v>
      </c>
      <c r="D41" s="575">
        <v>-28888.36</v>
      </c>
      <c r="E41" s="575"/>
      <c r="F41" s="575">
        <v>0</v>
      </c>
      <c r="G41" s="575"/>
      <c r="H41" s="575">
        <v>0</v>
      </c>
      <c r="I41" s="575"/>
      <c r="J41" s="575">
        <v>-15553.53</v>
      </c>
      <c r="K41" s="575"/>
      <c r="L41" s="590"/>
      <c r="M41" s="575">
        <f>ROUND(SUM(D41:K41),2)</f>
        <v>-44441.89</v>
      </c>
    </row>
    <row r="42" spans="2:46">
      <c r="B42" s="1314" t="s">
        <v>1104</v>
      </c>
      <c r="D42" s="2089">
        <v>0</v>
      </c>
      <c r="E42" s="575"/>
      <c r="F42" s="2089">
        <v>0</v>
      </c>
      <c r="G42" s="575"/>
      <c r="H42" s="2089">
        <v>0</v>
      </c>
      <c r="I42" s="575"/>
      <c r="J42" s="2089">
        <v>0</v>
      </c>
      <c r="K42" s="575"/>
      <c r="L42" s="590"/>
      <c r="M42" s="575">
        <f>ROUND(SUM(D42:K42),2)</f>
        <v>0</v>
      </c>
    </row>
    <row r="43" spans="2:46" s="570" customFormat="1">
      <c r="B43" s="570" t="s">
        <v>1086</v>
      </c>
      <c r="C43" s="569"/>
      <c r="D43" s="794">
        <f>SUM(D38:D42)</f>
        <v>-28888.36</v>
      </c>
      <c r="E43" s="575"/>
      <c r="F43" s="794">
        <f>SUM(F38:F42)</f>
        <v>0</v>
      </c>
      <c r="G43" s="575"/>
      <c r="H43" s="794">
        <f>SUM(H38:H42)</f>
        <v>0</v>
      </c>
      <c r="I43" s="575"/>
      <c r="J43" s="794">
        <f>SUM(J38:J42)</f>
        <v>-15553.53</v>
      </c>
      <c r="K43" s="575"/>
      <c r="L43" s="590"/>
      <c r="M43" s="794">
        <f>SUM(M38:M42)</f>
        <v>-44441.89</v>
      </c>
      <c r="N43" s="569"/>
      <c r="O43" s="562"/>
      <c r="P43" s="569"/>
    </row>
    <row r="44" spans="2:46">
      <c r="D44" s="575"/>
      <c r="E44" s="575"/>
      <c r="F44" s="575"/>
      <c r="G44" s="575"/>
      <c r="H44" s="575"/>
      <c r="I44" s="575"/>
      <c r="J44" s="575"/>
      <c r="K44" s="575"/>
      <c r="L44" s="590"/>
      <c r="M44" s="575"/>
    </row>
    <row r="45" spans="2:46">
      <c r="B45" s="570" t="s">
        <v>1105</v>
      </c>
      <c r="D45" s="575"/>
      <c r="E45" s="575"/>
      <c r="F45" s="575"/>
      <c r="G45" s="575"/>
      <c r="H45" s="575"/>
      <c r="I45" s="575"/>
      <c r="J45" s="575"/>
      <c r="K45" s="575"/>
      <c r="L45" s="590"/>
      <c r="M45" s="575"/>
    </row>
    <row r="46" spans="2:46">
      <c r="B46" s="570" t="s">
        <v>1106</v>
      </c>
      <c r="D46" s="2090">
        <f>ROUND(+D24+D35+D43,2)</f>
        <v>-65850.210000000006</v>
      </c>
      <c r="E46" s="575"/>
      <c r="F46" s="2090">
        <f>ROUND(+F24+F35+F43,2)</f>
        <v>0</v>
      </c>
      <c r="G46" s="575"/>
      <c r="H46" s="2090">
        <f>ROUND(+H24+H35+H43,2)</f>
        <v>45326238.119999997</v>
      </c>
      <c r="I46" s="575"/>
      <c r="J46" s="2090">
        <f>ROUND(+J24+J35+J43,2)</f>
        <v>-45320594.520000003</v>
      </c>
      <c r="K46" s="575"/>
      <c r="L46" s="590"/>
      <c r="M46" s="1664">
        <f>ROUND(+M24+M35+M43,2)</f>
        <v>-60206.61</v>
      </c>
    </row>
    <row r="47" spans="2:46">
      <c r="E47" s="593"/>
      <c r="G47" s="593"/>
      <c r="I47" s="593"/>
      <c r="K47" s="593"/>
      <c r="L47" s="592"/>
      <c r="M47" s="580"/>
    </row>
    <row r="48" spans="2:46" s="570" customFormat="1" ht="16" thickBot="1">
      <c r="B48" s="570" t="s">
        <v>1089</v>
      </c>
      <c r="C48" s="581"/>
      <c r="D48" s="2091">
        <f>ROUND(D12+D46,2)</f>
        <v>0</v>
      </c>
      <c r="E48" s="575"/>
      <c r="F48" s="2091">
        <f>ROUND(F12+F46,2)</f>
        <v>0</v>
      </c>
      <c r="G48" s="575"/>
      <c r="H48" s="2091">
        <f>ROUND(H12+H46,2)</f>
        <v>45326238.119999997</v>
      </c>
      <c r="I48" s="575"/>
      <c r="J48" s="2091">
        <f>ROUND(J12+J46,2)</f>
        <v>5643.6</v>
      </c>
      <c r="K48" s="575"/>
      <c r="L48" s="590"/>
      <c r="M48" s="1665">
        <f>ROUND(M12+M46,2)</f>
        <v>5643.6</v>
      </c>
      <c r="N48" s="569"/>
      <c r="O48" s="562"/>
      <c r="P48" s="569"/>
      <c r="Q48" s="582"/>
      <c r="R48" s="582"/>
      <c r="S48" s="582"/>
      <c r="T48" s="582"/>
      <c r="U48" s="582"/>
      <c r="V48" s="582"/>
      <c r="W48" s="582"/>
      <c r="X48" s="582"/>
      <c r="Y48" s="582"/>
      <c r="Z48" s="582"/>
      <c r="AA48" s="582"/>
      <c r="AB48" s="582"/>
      <c r="AC48" s="582"/>
      <c r="AD48" s="582"/>
      <c r="AE48" s="582"/>
      <c r="AF48" s="582"/>
      <c r="AG48" s="582"/>
      <c r="AH48" s="582"/>
      <c r="AI48" s="582"/>
      <c r="AJ48" s="582"/>
      <c r="AK48" s="582"/>
      <c r="AL48" s="582"/>
      <c r="AM48" s="582"/>
      <c r="AN48" s="582"/>
      <c r="AO48" s="582"/>
      <c r="AP48" s="582"/>
      <c r="AQ48" s="582"/>
      <c r="AR48" s="582"/>
      <c r="AS48" s="582"/>
      <c r="AT48" s="582"/>
    </row>
    <row r="49" spans="2:12" ht="16" thickTop="1">
      <c r="B49" s="561" t="s">
        <v>104</v>
      </c>
      <c r="E49" s="575"/>
      <c r="G49" s="575"/>
      <c r="I49" s="575"/>
      <c r="K49" s="575"/>
      <c r="L49" s="575"/>
    </row>
    <row r="50" spans="2:12">
      <c r="B50" s="566" t="s">
        <v>1090</v>
      </c>
      <c r="E50" s="593"/>
      <c r="G50" s="593"/>
      <c r="I50" s="593"/>
      <c r="K50" s="593"/>
      <c r="L50" s="593"/>
    </row>
    <row r="51" spans="2:12">
      <c r="B51" s="577"/>
    </row>
    <row r="52" spans="2:12">
      <c r="E52" s="572"/>
      <c r="G52" s="572"/>
      <c r="I52" s="572"/>
      <c r="K52" s="572"/>
      <c r="L52" s="572"/>
    </row>
    <row r="59" spans="2:12">
      <c r="B59" s="583"/>
      <c r="C59" s="569"/>
      <c r="D59" s="569"/>
      <c r="F59" s="569"/>
      <c r="H59" s="569"/>
      <c r="J59" s="569"/>
    </row>
    <row r="61" spans="2:12">
      <c r="C61" s="569"/>
    </row>
  </sheetData>
  <printOptions horizontalCentered="1"/>
  <pageMargins left="0.24" right="0.24" top="0.5" bottom="0.5" header="0.18" footer="0.25"/>
  <pageSetup scale="70" firstPageNumber="50" orientation="landscape" useFirstPageNumber="1" r:id="rId1"/>
  <headerFooter scaleWithDoc="0" alignWithMargins="0">
    <oddFooter>&amp;C&amp;8&amp;P</oddFooter>
  </headerFooter>
  <customProperties>
    <customPr name="SheetOptions" r:id="rId2"/>
  </customPropertie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0">
    <pageSetUpPr fitToPage="1"/>
  </sheetPr>
  <dimension ref="A1:AC35"/>
  <sheetViews>
    <sheetView showGridLines="0" zoomScale="80" workbookViewId="0"/>
  </sheetViews>
  <sheetFormatPr defaultColWidth="8.84375" defaultRowHeight="12.5"/>
  <cols>
    <col min="1" max="1" width="54.84375" style="171" customWidth="1"/>
    <col min="2" max="2" width="1.84375" style="171" customWidth="1"/>
    <col min="3" max="3" width="10.84375" style="171" customWidth="1"/>
    <col min="4" max="4" width="1.84375" style="171" customWidth="1"/>
    <col min="5" max="5" width="10.84375" style="171" customWidth="1"/>
    <col min="6" max="6" width="1.84375" style="171" customWidth="1"/>
    <col min="7" max="7" width="10.84375" style="171" customWidth="1"/>
    <col min="8" max="8" width="1.84375" style="171" customWidth="1"/>
    <col min="9" max="9" width="10.84375" style="171" customWidth="1"/>
    <col min="10" max="10" width="1.84375" style="171" customWidth="1"/>
    <col min="11" max="11" width="10.84375" style="171" customWidth="1"/>
    <col min="12" max="12" width="1.84375" style="171" customWidth="1"/>
    <col min="13" max="13" width="14.84375" style="171" bestFit="1" customWidth="1"/>
    <col min="14" max="14" width="1.84375" style="171" customWidth="1"/>
    <col min="15" max="15" width="10.84375" style="171" customWidth="1"/>
    <col min="16" max="16" width="1.84375" style="171" customWidth="1"/>
    <col min="17" max="17" width="13.53515625" style="171" bestFit="1" customWidth="1"/>
    <col min="18" max="18" width="1.84375" style="171" customWidth="1"/>
    <col min="19" max="19" width="13.53515625" style="171" bestFit="1" customWidth="1"/>
    <col min="20" max="20" width="1.84375" style="171" customWidth="1"/>
    <col min="21" max="21" width="11" style="171" customWidth="1"/>
    <col min="22" max="22" width="1.84375" style="171" customWidth="1"/>
    <col min="23" max="23" width="10.84375" style="171" customWidth="1"/>
    <col min="24" max="24" width="1.84375" style="171" customWidth="1"/>
    <col min="25" max="25" width="10.84375" style="171" customWidth="1"/>
    <col min="26" max="26" width="1.84375" style="171" customWidth="1"/>
    <col min="27" max="27" width="14.07421875" style="172" customWidth="1"/>
    <col min="28" max="28" width="3.84375" style="171" customWidth="1"/>
    <col min="29" max="29" width="5.84375" style="171" customWidth="1"/>
    <col min="30" max="30" width="10.07421875" style="171" customWidth="1"/>
    <col min="31" max="31" width="2.84375" style="171" customWidth="1"/>
    <col min="32" max="16384" width="8.84375" style="171"/>
  </cols>
  <sheetData>
    <row r="1" spans="1:29" ht="15.5">
      <c r="A1" s="326" t="s">
        <v>98</v>
      </c>
    </row>
    <row r="2" spans="1:29" ht="20">
      <c r="A2" s="168"/>
      <c r="B2" s="555"/>
      <c r="C2" s="555"/>
      <c r="D2" s="555"/>
      <c r="E2" s="555"/>
      <c r="F2" s="555"/>
      <c r="G2" s="555"/>
      <c r="H2" s="555"/>
      <c r="I2" s="555"/>
      <c r="J2" s="555"/>
      <c r="K2" s="555"/>
      <c r="L2" s="169"/>
      <c r="M2" s="169"/>
      <c r="N2" s="555"/>
      <c r="O2" s="555"/>
      <c r="P2" s="555"/>
      <c r="Q2" s="555"/>
      <c r="R2" s="555"/>
      <c r="S2" s="555"/>
      <c r="T2" s="555"/>
      <c r="U2" s="555"/>
      <c r="V2" s="555"/>
      <c r="W2" s="555"/>
      <c r="X2" s="555"/>
      <c r="Y2" s="555"/>
      <c r="Z2" s="555"/>
      <c r="AA2" s="556"/>
      <c r="AB2" s="555"/>
      <c r="AC2" s="170"/>
    </row>
    <row r="3" spans="1:29" ht="15.5">
      <c r="A3"/>
      <c r="B3" s="327"/>
      <c r="C3" s="327"/>
      <c r="D3" s="327"/>
      <c r="E3" s="327"/>
      <c r="F3" s="327"/>
      <c r="G3" s="327"/>
      <c r="H3" s="327"/>
      <c r="I3" s="327"/>
      <c r="J3" s="327"/>
      <c r="K3" s="327"/>
      <c r="L3"/>
      <c r="M3" s="327"/>
      <c r="N3" s="327"/>
      <c r="O3" s="327"/>
      <c r="P3" s="327"/>
      <c r="Q3" s="327"/>
      <c r="R3" s="327"/>
      <c r="S3" s="327"/>
      <c r="T3" s="327"/>
      <c r="U3" s="327"/>
      <c r="V3" s="327"/>
      <c r="W3" s="327"/>
      <c r="X3" s="327"/>
      <c r="Y3" s="327"/>
      <c r="Z3" s="327"/>
      <c r="AA3" s="171"/>
      <c r="AB3" s="555"/>
      <c r="AC3" s="170"/>
    </row>
    <row r="4" spans="1:29" ht="20">
      <c r="A4" s="331" t="s">
        <v>99</v>
      </c>
      <c r="B4" s="327"/>
      <c r="C4" s="327"/>
      <c r="D4" s="327"/>
      <c r="E4" s="327"/>
      <c r="F4" s="327"/>
      <c r="G4" s="327"/>
      <c r="H4" s="327"/>
      <c r="I4" s="327"/>
      <c r="J4" s="327"/>
      <c r="K4" s="327"/>
      <c r="L4"/>
      <c r="M4" s="327"/>
      <c r="N4" s="327"/>
      <c r="O4" s="327"/>
      <c r="P4" s="327"/>
      <c r="Q4" s="327"/>
      <c r="R4" s="327"/>
      <c r="S4" s="327"/>
      <c r="T4" s="327"/>
      <c r="U4" s="327"/>
      <c r="V4" s="327"/>
      <c r="W4" s="327"/>
      <c r="X4" s="327"/>
      <c r="Y4" s="327"/>
      <c r="Z4" s="327"/>
      <c r="AA4" s="557" t="s">
        <v>1107</v>
      </c>
      <c r="AB4" s="555"/>
      <c r="AC4" s="170"/>
    </row>
    <row r="5" spans="1:29" s="170" customFormat="1" ht="18">
      <c r="A5" s="331" t="s">
        <v>1108</v>
      </c>
      <c r="B5" s="327"/>
      <c r="C5" s="327"/>
      <c r="D5" s="327"/>
      <c r="E5" s="327"/>
      <c r="F5" s="327"/>
      <c r="G5" s="327"/>
      <c r="H5" s="327"/>
      <c r="I5" s="327"/>
      <c r="J5" s="327"/>
      <c r="K5" s="327"/>
      <c r="L5" s="327"/>
      <c r="M5" s="327"/>
      <c r="N5" s="327"/>
      <c r="O5" s="327"/>
      <c r="P5" s="327"/>
      <c r="Q5" s="327"/>
      <c r="R5" s="327"/>
      <c r="S5" s="327"/>
      <c r="T5" s="327"/>
      <c r="U5" s="327"/>
      <c r="V5" s="327"/>
      <c r="W5" s="327"/>
      <c r="X5" s="327"/>
      <c r="Y5" s="327"/>
      <c r="Z5" s="327"/>
      <c r="AA5" s="327"/>
      <c r="AB5" s="555"/>
    </row>
    <row r="6" spans="1:29" s="170" customFormat="1" ht="18">
      <c r="A6" s="80" t="str">
        <f>'Exh D-Governmental  '!A5:E5</f>
        <v>FISCAL YEAR 2023-2024</v>
      </c>
      <c r="B6" s="327"/>
      <c r="C6" s="327"/>
      <c r="D6" s="327"/>
      <c r="E6" s="327"/>
      <c r="F6" s="327"/>
      <c r="G6" s="327"/>
      <c r="H6" s="327"/>
      <c r="I6" s="327"/>
      <c r="J6" s="327"/>
      <c r="K6" s="327"/>
      <c r="L6" s="327"/>
      <c r="M6" s="327"/>
      <c r="N6" s="327"/>
      <c r="O6" s="327"/>
      <c r="P6" s="327"/>
      <c r="Q6" s="327"/>
      <c r="R6" s="327"/>
      <c r="S6" s="327"/>
      <c r="T6" s="327"/>
      <c r="U6" s="327"/>
      <c r="V6" s="327"/>
      <c r="W6" s="327"/>
      <c r="X6" s="327"/>
      <c r="Y6" s="327"/>
      <c r="Z6" s="327"/>
      <c r="AA6" s="327"/>
      <c r="AB6" s="555"/>
    </row>
    <row r="7" spans="1:29" s="170" customFormat="1" ht="18">
      <c r="A7" s="331" t="s">
        <v>1109</v>
      </c>
      <c r="B7" s="2001"/>
      <c r="C7" s="2001"/>
      <c r="D7" s="2001"/>
      <c r="E7" s="2001"/>
      <c r="F7" s="2001"/>
      <c r="G7" s="2001"/>
      <c r="H7" s="2001"/>
      <c r="I7" s="2001"/>
      <c r="J7"/>
      <c r="K7"/>
      <c r="L7"/>
      <c r="M7"/>
      <c r="N7"/>
      <c r="O7"/>
      <c r="P7"/>
      <c r="Q7"/>
      <c r="R7" s="327"/>
      <c r="S7" s="327"/>
      <c r="T7" s="327"/>
      <c r="U7" s="327"/>
      <c r="V7" s="327"/>
      <c r="W7" s="327"/>
      <c r="X7" s="327"/>
      <c r="Y7" s="327"/>
      <c r="Z7" s="327"/>
      <c r="AA7"/>
      <c r="AB7" s="555"/>
    </row>
    <row r="8" spans="1:29" s="170" customFormat="1" ht="15.5">
      <c r="A8" s="328"/>
      <c r="B8" s="2001"/>
      <c r="C8" s="397"/>
      <c r="D8" s="397"/>
      <c r="E8" s="397"/>
      <c r="F8" s="397"/>
      <c r="G8" s="397"/>
      <c r="H8" s="397"/>
      <c r="I8" s="397"/>
      <c r="J8" s="342"/>
      <c r="K8" s="342"/>
      <c r="L8" s="342"/>
      <c r="M8" s="342"/>
      <c r="N8" s="342"/>
      <c r="O8" s="342"/>
      <c r="P8" s="342"/>
      <c r="Q8" s="342"/>
      <c r="R8" s="342"/>
      <c r="S8" s="342"/>
      <c r="T8" s="342"/>
      <c r="U8" s="342"/>
      <c r="V8" s="342"/>
      <c r="W8" s="342"/>
      <c r="X8" s="342"/>
      <c r="Y8" s="342"/>
      <c r="Z8" s="342"/>
      <c r="AA8" s="342"/>
      <c r="AB8" s="555"/>
    </row>
    <row r="9" spans="1:29" s="170" customFormat="1" ht="15.5">
      <c r="A9" s="327"/>
      <c r="B9" s="327"/>
      <c r="C9" s="342"/>
      <c r="D9" s="342"/>
      <c r="E9" s="342"/>
      <c r="F9" s="342"/>
      <c r="G9" s="342"/>
      <c r="H9" s="342"/>
      <c r="I9" s="342"/>
      <c r="J9" s="342"/>
      <c r="K9" s="342"/>
      <c r="L9" s="342"/>
      <c r="M9" s="342"/>
      <c r="N9" s="342"/>
      <c r="O9" s="342"/>
      <c r="P9" s="342"/>
      <c r="Q9" s="342"/>
      <c r="R9" s="342"/>
      <c r="S9" s="342"/>
      <c r="T9" s="342"/>
      <c r="U9" s="342"/>
      <c r="V9" s="342"/>
      <c r="W9" s="342"/>
      <c r="X9" s="342"/>
      <c r="Y9" s="342"/>
      <c r="Z9" s="342"/>
      <c r="AA9" s="342"/>
      <c r="AB9" s="555"/>
    </row>
    <row r="10" spans="1:29" s="170" customFormat="1" ht="18">
      <c r="A10" s="327"/>
      <c r="B10" s="341"/>
      <c r="C10" s="398">
        <v>2023</v>
      </c>
      <c r="D10" s="398" t="s">
        <v>104</v>
      </c>
      <c r="E10" s="398">
        <f>C10</f>
        <v>2023</v>
      </c>
      <c r="F10" s="398" t="s">
        <v>104</v>
      </c>
      <c r="G10" s="398">
        <f>C10</f>
        <v>2023</v>
      </c>
      <c r="H10" s="398" t="s">
        <v>104</v>
      </c>
      <c r="I10" s="398">
        <f>C10</f>
        <v>2023</v>
      </c>
      <c r="J10" s="398" t="s">
        <v>104</v>
      </c>
      <c r="K10" s="398">
        <f>E10</f>
        <v>2023</v>
      </c>
      <c r="L10" s="398" t="s">
        <v>104</v>
      </c>
      <c r="M10" s="398">
        <f>G10</f>
        <v>2023</v>
      </c>
      <c r="N10" s="398" t="s">
        <v>104</v>
      </c>
      <c r="O10" s="398">
        <f>I10</f>
        <v>2023</v>
      </c>
      <c r="P10" s="398" t="s">
        <v>104</v>
      </c>
      <c r="Q10" s="398">
        <f>K10</f>
        <v>2023</v>
      </c>
      <c r="R10" s="398" t="s">
        <v>104</v>
      </c>
      <c r="S10" s="398">
        <f>M10</f>
        <v>2023</v>
      </c>
      <c r="T10" s="398"/>
      <c r="U10" s="398">
        <v>2024</v>
      </c>
      <c r="V10" s="398"/>
      <c r="W10" s="398">
        <f>U10</f>
        <v>2024</v>
      </c>
      <c r="X10" s="398"/>
      <c r="Y10" s="398">
        <f>W10</f>
        <v>2024</v>
      </c>
      <c r="Z10" s="331"/>
      <c r="AA10" s="399" t="str">
        <f>'Medicaid Disp Share'!M10</f>
        <v>2023-2024</v>
      </c>
      <c r="AB10" s="558"/>
    </row>
    <row r="11" spans="1:29" s="170" customFormat="1" ht="18">
      <c r="A11" s="327"/>
      <c r="B11" s="341"/>
      <c r="C11" s="1666" t="s">
        <v>358</v>
      </c>
      <c r="D11" s="399"/>
      <c r="E11" s="1666" t="s">
        <v>359</v>
      </c>
      <c r="F11" s="399"/>
      <c r="G11" s="1666" t="s">
        <v>360</v>
      </c>
      <c r="H11" s="399"/>
      <c r="I11" s="1666" t="s">
        <v>361</v>
      </c>
      <c r="J11" s="399"/>
      <c r="K11" s="1666" t="s">
        <v>362</v>
      </c>
      <c r="L11" s="399"/>
      <c r="M11" s="1666" t="s">
        <v>475</v>
      </c>
      <c r="N11" s="399"/>
      <c r="O11" s="1666" t="s">
        <v>476</v>
      </c>
      <c r="P11" s="399"/>
      <c r="Q11" s="1666" t="s">
        <v>365</v>
      </c>
      <c r="R11" s="399"/>
      <c r="S11" s="1666" t="s">
        <v>366</v>
      </c>
      <c r="T11" s="399"/>
      <c r="U11" s="1666" t="s">
        <v>367</v>
      </c>
      <c r="V11" s="399"/>
      <c r="W11" s="1666" t="s">
        <v>368</v>
      </c>
      <c r="X11" s="399"/>
      <c r="Y11" s="1666" t="s">
        <v>477</v>
      </c>
      <c r="Z11" s="331"/>
      <c r="AA11" s="1666" t="s">
        <v>1050</v>
      </c>
      <c r="AB11" s="555"/>
    </row>
    <row r="12" spans="1:29" s="170" customFormat="1" ht="17.5">
      <c r="A12"/>
      <c r="B12" s="341"/>
      <c r="C12" s="341"/>
      <c r="D12" s="341"/>
      <c r="E12" s="341"/>
      <c r="F12" s="341"/>
      <c r="G12" s="341"/>
      <c r="H12" s="341"/>
      <c r="I12" s="341"/>
      <c r="J12" s="341"/>
      <c r="K12" s="341"/>
      <c r="L12" s="341"/>
      <c r="M12" s="341"/>
      <c r="N12" s="341"/>
      <c r="O12" s="341"/>
      <c r="P12" s="341"/>
      <c r="Q12" s="341"/>
      <c r="R12" s="341"/>
      <c r="S12" s="341"/>
      <c r="T12" s="341"/>
      <c r="U12" s="341"/>
      <c r="V12" s="341"/>
      <c r="W12" s="341"/>
      <c r="X12" s="341"/>
      <c r="Y12" s="341"/>
      <c r="Z12" s="341"/>
      <c r="AA12" s="341"/>
      <c r="AB12" s="787"/>
      <c r="AC12" s="788"/>
    </row>
    <row r="13" spans="1:29" s="170" customFormat="1" ht="17.5">
      <c r="A13" s="342" t="s">
        <v>1110</v>
      </c>
      <c r="B13" s="341"/>
      <c r="C13" s="341"/>
      <c r="D13" s="341"/>
      <c r="E13" s="341"/>
      <c r="F13" s="341"/>
      <c r="G13" s="341"/>
      <c r="H13" s="341"/>
      <c r="I13" s="341"/>
      <c r="J13" s="341"/>
      <c r="K13" s="341"/>
      <c r="L13" s="341"/>
      <c r="M13" s="341"/>
      <c r="N13" s="341"/>
      <c r="O13" s="341"/>
      <c r="P13" s="341"/>
      <c r="Q13" s="341"/>
      <c r="R13" s="341"/>
      <c r="S13" s="341"/>
      <c r="T13" s="341"/>
      <c r="U13" s="341"/>
      <c r="V13" s="341"/>
      <c r="W13" s="341"/>
      <c r="X13" s="341"/>
      <c r="Y13" s="341"/>
      <c r="Z13" s="341"/>
      <c r="AA13" s="341"/>
      <c r="AB13" s="787"/>
      <c r="AC13" s="789"/>
    </row>
    <row r="14" spans="1:29" s="170" customFormat="1" ht="17.5">
      <c r="A14" s="327" t="s">
        <v>1111</v>
      </c>
      <c r="B14" s="341"/>
      <c r="C14" s="410">
        <v>0</v>
      </c>
      <c r="D14" s="410"/>
      <c r="E14" s="410">
        <v>0</v>
      </c>
      <c r="F14" s="410"/>
      <c r="G14" s="879">
        <v>0</v>
      </c>
      <c r="H14" s="410"/>
      <c r="I14" s="879">
        <v>0</v>
      </c>
      <c r="J14" s="411"/>
      <c r="K14" s="879">
        <v>0</v>
      </c>
      <c r="L14" s="410"/>
      <c r="M14" s="879">
        <v>0</v>
      </c>
      <c r="N14" s="411"/>
      <c r="O14" s="879">
        <v>0</v>
      </c>
      <c r="P14" s="411"/>
      <c r="Q14" s="879">
        <v>0</v>
      </c>
      <c r="R14" s="411"/>
      <c r="S14" s="879"/>
      <c r="T14" s="411"/>
      <c r="U14" s="879"/>
      <c r="V14" s="411"/>
      <c r="W14" s="879"/>
      <c r="X14" s="411"/>
      <c r="Y14" s="879"/>
      <c r="Z14" s="341"/>
      <c r="AA14" s="1119">
        <f>ROUND(SUM(C14:Z14),0)</f>
        <v>0</v>
      </c>
      <c r="AB14" s="787"/>
      <c r="AC14" s="789"/>
    </row>
    <row r="15" spans="1:29" s="170" customFormat="1" ht="17.5">
      <c r="A15" s="327" t="s">
        <v>1112</v>
      </c>
      <c r="B15" s="341"/>
      <c r="C15" s="412">
        <v>0</v>
      </c>
      <c r="D15" s="413"/>
      <c r="E15" s="413">
        <v>0</v>
      </c>
      <c r="F15" s="413"/>
      <c r="G15" s="416">
        <v>0</v>
      </c>
      <c r="H15" s="413"/>
      <c r="I15" s="416">
        <v>0</v>
      </c>
      <c r="J15" s="414"/>
      <c r="K15" s="416">
        <v>0</v>
      </c>
      <c r="L15" s="413"/>
      <c r="M15" s="416">
        <v>0</v>
      </c>
      <c r="N15" s="414"/>
      <c r="O15" s="416">
        <v>0</v>
      </c>
      <c r="P15" s="414"/>
      <c r="Q15" s="416">
        <v>0</v>
      </c>
      <c r="R15" s="414"/>
      <c r="S15" s="416"/>
      <c r="T15" s="414"/>
      <c r="U15" s="416"/>
      <c r="V15" s="414"/>
      <c r="W15" s="416"/>
      <c r="X15" s="414"/>
      <c r="Y15" s="416"/>
      <c r="Z15" s="341"/>
      <c r="AA15" s="669">
        <f t="shared" ref="AA15:AA19" si="0">ROUND(SUM(C15:Z15),0)</f>
        <v>0</v>
      </c>
      <c r="AB15" s="787"/>
      <c r="AC15" s="789"/>
    </row>
    <row r="16" spans="1:29" s="170" customFormat="1" ht="17.5">
      <c r="A16" s="327" t="s">
        <v>1113</v>
      </c>
      <c r="B16" s="341"/>
      <c r="C16" s="412">
        <v>0</v>
      </c>
      <c r="D16" s="413"/>
      <c r="E16" s="413">
        <v>0</v>
      </c>
      <c r="F16" s="413"/>
      <c r="G16" s="416">
        <v>0</v>
      </c>
      <c r="H16" s="413"/>
      <c r="I16" s="416">
        <v>0</v>
      </c>
      <c r="J16" s="414"/>
      <c r="K16" s="416">
        <v>1</v>
      </c>
      <c r="L16" s="413"/>
      <c r="M16" s="416">
        <v>2</v>
      </c>
      <c r="N16" s="414"/>
      <c r="O16" s="416">
        <v>0</v>
      </c>
      <c r="P16" s="414"/>
      <c r="Q16" s="416">
        <v>0</v>
      </c>
      <c r="R16" s="414"/>
      <c r="S16" s="416"/>
      <c r="T16" s="414"/>
      <c r="U16" s="416"/>
      <c r="V16" s="414"/>
      <c r="W16" s="416"/>
      <c r="X16" s="414"/>
      <c r="Y16" s="416"/>
      <c r="Z16" s="341"/>
      <c r="AA16" s="669">
        <f t="shared" si="0"/>
        <v>3</v>
      </c>
      <c r="AB16" s="559"/>
      <c r="AC16" s="789"/>
    </row>
    <row r="17" spans="1:29" s="170" customFormat="1" ht="17.5">
      <c r="A17" s="327" t="s">
        <v>1114</v>
      </c>
      <c r="B17" s="341"/>
      <c r="C17" s="416">
        <v>0</v>
      </c>
      <c r="D17" s="413"/>
      <c r="E17" s="415">
        <v>0</v>
      </c>
      <c r="F17" s="413"/>
      <c r="G17" s="415">
        <v>0</v>
      </c>
      <c r="H17" s="413"/>
      <c r="I17" s="415">
        <v>0</v>
      </c>
      <c r="J17" s="414"/>
      <c r="K17" s="415">
        <v>0</v>
      </c>
      <c r="L17" s="413"/>
      <c r="M17" s="415">
        <v>0</v>
      </c>
      <c r="N17" s="414"/>
      <c r="O17" s="415">
        <v>0</v>
      </c>
      <c r="P17" s="414"/>
      <c r="Q17" s="415">
        <v>0</v>
      </c>
      <c r="R17" s="414"/>
      <c r="S17" s="415"/>
      <c r="T17" s="414"/>
      <c r="U17" s="415"/>
      <c r="V17" s="414"/>
      <c r="W17" s="415"/>
      <c r="X17" s="414"/>
      <c r="Y17" s="415"/>
      <c r="Z17" s="341"/>
      <c r="AA17" s="669">
        <f t="shared" si="0"/>
        <v>0</v>
      </c>
      <c r="AB17" s="559"/>
      <c r="AC17" s="789"/>
    </row>
    <row r="18" spans="1:29" s="170" customFormat="1" ht="17.5">
      <c r="A18" s="327" t="s">
        <v>1115</v>
      </c>
      <c r="B18" s="341"/>
      <c r="C18" s="412">
        <v>0</v>
      </c>
      <c r="D18" s="413"/>
      <c r="E18" s="413">
        <v>0</v>
      </c>
      <c r="F18" s="413"/>
      <c r="G18" s="416">
        <v>0</v>
      </c>
      <c r="H18" s="413"/>
      <c r="I18" s="416">
        <v>0</v>
      </c>
      <c r="J18" s="414"/>
      <c r="K18" s="416">
        <v>0</v>
      </c>
      <c r="L18" s="413"/>
      <c r="M18" s="416">
        <v>0</v>
      </c>
      <c r="N18" s="414"/>
      <c r="O18" s="416">
        <v>0</v>
      </c>
      <c r="P18" s="414"/>
      <c r="Q18" s="416">
        <v>0</v>
      </c>
      <c r="R18" s="414"/>
      <c r="S18" s="416"/>
      <c r="T18" s="414"/>
      <c r="U18" s="416"/>
      <c r="V18" s="414"/>
      <c r="W18" s="416"/>
      <c r="X18" s="414"/>
      <c r="Y18" s="416"/>
      <c r="Z18" s="341"/>
      <c r="AA18" s="669">
        <f t="shared" si="0"/>
        <v>0</v>
      </c>
      <c r="AB18" s="559"/>
      <c r="AC18" s="789"/>
    </row>
    <row r="19" spans="1:29" s="170" customFormat="1" ht="17.5">
      <c r="A19" s="327" t="s">
        <v>1116</v>
      </c>
      <c r="B19" s="341"/>
      <c r="C19" s="413">
        <v>0</v>
      </c>
      <c r="D19" s="413"/>
      <c r="E19" s="413">
        <v>0</v>
      </c>
      <c r="F19" s="413"/>
      <c r="G19" s="412">
        <v>0</v>
      </c>
      <c r="H19" s="413"/>
      <c r="I19" s="412">
        <v>0</v>
      </c>
      <c r="J19" s="414"/>
      <c r="K19" s="412">
        <v>0</v>
      </c>
      <c r="L19" s="413"/>
      <c r="M19" s="416">
        <v>0</v>
      </c>
      <c r="N19" s="414"/>
      <c r="O19" s="416">
        <v>0</v>
      </c>
      <c r="P19" s="414"/>
      <c r="Q19" s="416">
        <v>0</v>
      </c>
      <c r="R19" s="414"/>
      <c r="S19" s="416"/>
      <c r="T19" s="414"/>
      <c r="U19" s="416"/>
      <c r="V19" s="414"/>
      <c r="W19" s="416"/>
      <c r="X19" s="414"/>
      <c r="Y19" s="416"/>
      <c r="Z19" s="341"/>
      <c r="AA19" s="669">
        <f t="shared" si="0"/>
        <v>0</v>
      </c>
      <c r="AB19" s="559"/>
      <c r="AC19" s="789"/>
    </row>
    <row r="20" spans="1:29" s="170" customFormat="1" ht="17.5">
      <c r="A20" s="342" t="s">
        <v>1117</v>
      </c>
      <c r="B20" s="341"/>
      <c r="C20" s="1667">
        <f>ROUND(SUM(C14:C19),0)</f>
        <v>0</v>
      </c>
      <c r="D20" s="327"/>
      <c r="E20" s="1667">
        <f>ROUND(SUM(E14:E19),0)</f>
        <v>0</v>
      </c>
      <c r="F20" s="327"/>
      <c r="G20" s="1667">
        <f>ROUND(SUM(G14:G19),0)</f>
        <v>0</v>
      </c>
      <c r="H20" s="327"/>
      <c r="I20" s="1667">
        <f>ROUND(SUM(I14:I19),0)</f>
        <v>0</v>
      </c>
      <c r="J20" s="327"/>
      <c r="K20" s="1667">
        <f>ROUND(SUM(K14:K19),0)</f>
        <v>1</v>
      </c>
      <c r="L20" s="327"/>
      <c r="M20" s="1667">
        <f>ROUND(SUM(M14:M19),0)</f>
        <v>2</v>
      </c>
      <c r="N20" s="327"/>
      <c r="O20" s="1667">
        <f>ROUND(SUM(O14:O19),0)</f>
        <v>0</v>
      </c>
      <c r="P20" s="327"/>
      <c r="Q20" s="1667">
        <f>ROUND(SUM(Q14:Q19),0)</f>
        <v>0</v>
      </c>
      <c r="R20" s="327"/>
      <c r="S20" s="1667">
        <f>ROUND(SUM(S14:S19),0)</f>
        <v>0</v>
      </c>
      <c r="T20" s="327"/>
      <c r="U20" s="1667">
        <f>ROUND(SUM(U14:U19),0)</f>
        <v>0</v>
      </c>
      <c r="V20" s="327"/>
      <c r="W20" s="1667">
        <f>ROUND(SUM(W14:W19),0)</f>
        <v>0</v>
      </c>
      <c r="X20" s="327"/>
      <c r="Y20" s="1667">
        <f>ROUND(SUM(Y14:Y19),0)</f>
        <v>0</v>
      </c>
      <c r="Z20" s="327"/>
      <c r="AA20" s="1667">
        <f>ROUND(SUM(AA14:AA19),0)</f>
        <v>3</v>
      </c>
      <c r="AB20" s="559"/>
      <c r="AC20" s="789"/>
    </row>
    <row r="21" spans="1:29" s="170" customFormat="1" ht="17.5">
      <c r="A21"/>
      <c r="B21" s="341"/>
      <c r="C21" s="341"/>
      <c r="D21" s="341"/>
      <c r="E21" s="341"/>
      <c r="F21" s="341"/>
      <c r="G21" s="341"/>
      <c r="H21" s="341"/>
      <c r="I21" s="341"/>
      <c r="J21" s="341"/>
      <c r="K21" s="341"/>
      <c r="L21" s="341"/>
      <c r="M21" s="341"/>
      <c r="N21" s="341"/>
      <c r="O21" s="341"/>
      <c r="P21" s="341"/>
      <c r="Q21" s="341"/>
      <c r="R21" s="341"/>
      <c r="S21" s="341"/>
      <c r="T21" s="341"/>
      <c r="U21" s="341"/>
      <c r="V21" s="341"/>
      <c r="W21" s="341"/>
      <c r="X21" s="341"/>
      <c r="Y21" s="341"/>
      <c r="Z21" s="341"/>
      <c r="AA21" s="327"/>
      <c r="AB21" s="559"/>
      <c r="AC21" s="789"/>
    </row>
    <row r="22" spans="1:29" s="170" customFormat="1" ht="17.5">
      <c r="A22" s="327"/>
      <c r="B22" s="341"/>
      <c r="C22" s="341"/>
      <c r="D22" s="341"/>
      <c r="E22" s="341"/>
      <c r="F22" s="341"/>
      <c r="G22" s="341"/>
      <c r="H22" s="341"/>
      <c r="I22" s="341"/>
      <c r="J22" s="341"/>
      <c r="K22" s="341"/>
      <c r="L22" s="341"/>
      <c r="M22" s="341"/>
      <c r="N22" s="341"/>
      <c r="O22" s="341"/>
      <c r="P22" s="341"/>
      <c r="Q22" s="341"/>
      <c r="R22" s="341"/>
      <c r="S22" s="341"/>
      <c r="T22" s="341"/>
      <c r="U22" s="341"/>
      <c r="V22" s="341"/>
      <c r="W22" s="341"/>
      <c r="X22" s="341"/>
      <c r="Y22" s="341"/>
      <c r="Z22" s="341"/>
      <c r="AA22" s="327"/>
      <c r="AB22" s="559"/>
      <c r="AC22" s="789"/>
    </row>
    <row r="23" spans="1:29" ht="17.5">
      <c r="A23" s="327"/>
      <c r="B23" s="341"/>
      <c r="C23" s="341"/>
      <c r="D23" s="341"/>
      <c r="E23" s="341"/>
      <c r="F23" s="341"/>
      <c r="G23" s="341"/>
      <c r="H23" s="341"/>
      <c r="I23" s="341"/>
      <c r="J23" s="341"/>
      <c r="K23" s="341"/>
      <c r="L23" s="341"/>
      <c r="M23" s="341"/>
      <c r="N23" s="341"/>
      <c r="O23" s="341"/>
      <c r="P23" s="341"/>
      <c r="Q23" s="341"/>
      <c r="R23" s="341"/>
      <c r="S23" s="880"/>
      <c r="T23" s="341"/>
      <c r="U23" s="341"/>
      <c r="V23" s="341"/>
      <c r="W23" s="341"/>
      <c r="X23" s="341"/>
      <c r="Y23" s="341"/>
      <c r="Z23" s="341"/>
      <c r="AA23" s="327"/>
    </row>
    <row r="24" spans="1:29" s="173" customFormat="1" ht="18" thickBot="1">
      <c r="A24" s="342" t="s">
        <v>1118</v>
      </c>
      <c r="B24" s="341"/>
      <c r="C24" s="1668">
        <f>ROUND(C20,0)</f>
        <v>0</v>
      </c>
      <c r="D24" s="327"/>
      <c r="E24" s="1668">
        <f>ROUND(E20,0)</f>
        <v>0</v>
      </c>
      <c r="F24" s="327"/>
      <c r="G24" s="1668">
        <f>ROUND(G20,0)</f>
        <v>0</v>
      </c>
      <c r="H24" s="327"/>
      <c r="I24" s="1668">
        <f>ROUND(I20,0)</f>
        <v>0</v>
      </c>
      <c r="J24" s="327"/>
      <c r="K24" s="1668">
        <f>ROUND(K20,0)</f>
        <v>1</v>
      </c>
      <c r="L24" s="327"/>
      <c r="M24" s="1668">
        <f>ROUND(M20,0)</f>
        <v>2</v>
      </c>
      <c r="N24" s="327"/>
      <c r="O24" s="1668">
        <f>ROUND(O20,0)</f>
        <v>0</v>
      </c>
      <c r="P24" s="327"/>
      <c r="Q24" s="1668">
        <f>ROUND(Q20,0)</f>
        <v>0</v>
      </c>
      <c r="R24" s="327"/>
      <c r="S24" s="1668">
        <f>ROUND(S20,0)</f>
        <v>0</v>
      </c>
      <c r="T24" s="327"/>
      <c r="U24" s="1668">
        <f>ROUND(U20,0)</f>
        <v>0</v>
      </c>
      <c r="V24" s="327"/>
      <c r="W24" s="1668">
        <f>ROUND(W20,0)</f>
        <v>0</v>
      </c>
      <c r="X24" s="327"/>
      <c r="Y24" s="1668">
        <f>ROUND(Y20,0)</f>
        <v>0</v>
      </c>
      <c r="Z24" s="327"/>
      <c r="AA24" s="1668">
        <f>ROUND(AA20,0)</f>
        <v>3</v>
      </c>
    </row>
    <row r="25" spans="1:29" ht="16" thickTop="1">
      <c r="A25" s="560"/>
      <c r="C25" s="172"/>
      <c r="D25" s="172"/>
      <c r="E25" s="172"/>
      <c r="F25" s="172"/>
      <c r="G25" s="172"/>
      <c r="H25" s="172"/>
      <c r="I25" s="172"/>
      <c r="J25" s="172"/>
      <c r="K25" s="172"/>
      <c r="L25" s="172"/>
      <c r="M25" s="172"/>
      <c r="N25" s="172"/>
      <c r="O25" s="172"/>
      <c r="P25" s="172"/>
      <c r="Q25" s="172"/>
      <c r="R25" s="172"/>
      <c r="S25" s="172"/>
      <c r="T25" s="172"/>
      <c r="U25" s="172"/>
      <c r="V25" s="172"/>
      <c r="W25" s="172"/>
      <c r="X25" s="172"/>
      <c r="Y25" s="174"/>
    </row>
    <row r="26" spans="1:29" ht="13" thickBot="1"/>
    <row r="27" spans="1:29" ht="20.149999999999999" customHeight="1">
      <c r="A27" s="2251" t="s">
        <v>1119</v>
      </c>
      <c r="B27" s="2252"/>
      <c r="C27" s="2252"/>
      <c r="D27" s="2252"/>
      <c r="E27" s="2252"/>
      <c r="F27" s="2252"/>
      <c r="G27" s="2252"/>
      <c r="H27" s="2252"/>
      <c r="I27" s="2252"/>
      <c r="J27" s="2252"/>
      <c r="K27" s="2252"/>
      <c r="L27" s="2252"/>
      <c r="M27" s="2252"/>
      <c r="N27" s="2252"/>
      <c r="O27" s="2252"/>
      <c r="P27" s="2252"/>
      <c r="Q27" s="2252"/>
      <c r="R27" s="2252"/>
      <c r="S27" s="2252"/>
      <c r="T27" s="2252"/>
      <c r="U27" s="2252"/>
      <c r="V27" s="2252"/>
      <c r="W27" s="2252"/>
      <c r="X27" s="2252"/>
      <c r="Y27" s="2252"/>
      <c r="Z27" s="2252"/>
      <c r="AA27" s="2253"/>
    </row>
    <row r="28" spans="1:29" ht="20.149999999999999" customHeight="1">
      <c r="A28" s="2254"/>
      <c r="B28" s="2255"/>
      <c r="C28" s="2255"/>
      <c r="D28" s="2255"/>
      <c r="E28" s="2255"/>
      <c r="F28" s="2255"/>
      <c r="G28" s="2255"/>
      <c r="H28" s="2255"/>
      <c r="I28" s="2255"/>
      <c r="J28" s="2255"/>
      <c r="K28" s="2255"/>
      <c r="L28" s="2255"/>
      <c r="M28" s="2255"/>
      <c r="N28" s="2255"/>
      <c r="O28" s="2255"/>
      <c r="P28" s="2255"/>
      <c r="Q28" s="2255"/>
      <c r="R28" s="2255"/>
      <c r="S28" s="2255"/>
      <c r="T28" s="2255"/>
      <c r="U28" s="2255"/>
      <c r="V28" s="2255"/>
      <c r="W28" s="2255"/>
      <c r="X28" s="2255"/>
      <c r="Y28" s="2255"/>
      <c r="Z28" s="2255"/>
      <c r="AA28" s="2256"/>
    </row>
    <row r="29" spans="1:29" ht="20.149999999999999" customHeight="1">
      <c r="A29" s="2254"/>
      <c r="B29" s="2255"/>
      <c r="C29" s="2255"/>
      <c r="D29" s="2255"/>
      <c r="E29" s="2255"/>
      <c r="F29" s="2255"/>
      <c r="G29" s="2255"/>
      <c r="H29" s="2255"/>
      <c r="I29" s="2255"/>
      <c r="J29" s="2255"/>
      <c r="K29" s="2255"/>
      <c r="L29" s="2255"/>
      <c r="M29" s="2255"/>
      <c r="N29" s="2255"/>
      <c r="O29" s="2255"/>
      <c r="P29" s="2255"/>
      <c r="Q29" s="2255"/>
      <c r="R29" s="2255"/>
      <c r="S29" s="2255"/>
      <c r="T29" s="2255"/>
      <c r="U29" s="2255"/>
      <c r="V29" s="2255"/>
      <c r="W29" s="2255"/>
      <c r="X29" s="2255"/>
      <c r="Y29" s="2255"/>
      <c r="Z29" s="2255"/>
      <c r="AA29" s="2256"/>
    </row>
    <row r="30" spans="1:29" ht="22.5" customHeight="1" thickBot="1">
      <c r="A30" s="2257"/>
      <c r="B30" s="2258"/>
      <c r="C30" s="2258"/>
      <c r="D30" s="2258"/>
      <c r="E30" s="2258"/>
      <c r="F30" s="2258"/>
      <c r="G30" s="2258"/>
      <c r="H30" s="2258"/>
      <c r="I30" s="2258"/>
      <c r="J30" s="2258"/>
      <c r="K30" s="2258"/>
      <c r="L30" s="2258"/>
      <c r="M30" s="2258"/>
      <c r="N30" s="2258"/>
      <c r="O30" s="2258"/>
      <c r="P30" s="2258"/>
      <c r="Q30" s="2258"/>
      <c r="R30" s="2258"/>
      <c r="S30" s="2258"/>
      <c r="T30" s="2258"/>
      <c r="U30" s="2258"/>
      <c r="V30" s="2258"/>
      <c r="W30" s="2258"/>
      <c r="X30" s="2258"/>
      <c r="Y30" s="2258"/>
      <c r="Z30" s="2258"/>
      <c r="AA30" s="2259"/>
    </row>
    <row r="32" spans="1:29" ht="14.9" customHeight="1"/>
    <row r="35" ht="14.15" customHeight="1"/>
  </sheetData>
  <mergeCells count="1">
    <mergeCell ref="A27:AA30"/>
  </mergeCells>
  <pageMargins left="0.25" right="0.25" top="0.5" bottom="0.25" header="0" footer="0.25"/>
  <pageSetup scale="48" firstPageNumber="51" orientation="landscape" useFirstPageNumber="1" r:id="rId1"/>
  <headerFooter scaleWithDoc="0" alignWithMargins="0">
    <oddFooter>&amp;C&amp;8&amp;P</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1">
    <pageSetUpPr fitToPage="1"/>
  </sheetPr>
  <dimension ref="B1:AE296"/>
  <sheetViews>
    <sheetView showGridLines="0" zoomScale="90" zoomScaleNormal="90" workbookViewId="0"/>
  </sheetViews>
  <sheetFormatPr defaultRowHeight="14.5"/>
  <cols>
    <col min="1" max="1" width="2.07421875" style="1057" customWidth="1"/>
    <col min="2" max="2" width="10.07421875" style="1057" customWidth="1"/>
    <col min="3" max="3" width="2.07421875" style="1057" customWidth="1"/>
    <col min="4" max="4" width="51.84375" style="1057" customWidth="1"/>
    <col min="5" max="5" width="4.07421875" style="1057" customWidth="1"/>
    <col min="6" max="6" width="2.07421875" style="1117" customWidth="1"/>
    <col min="7" max="7" width="21.84375" style="1875" bestFit="1" customWidth="1"/>
    <col min="8" max="8" width="2.07421875" style="1057" customWidth="1"/>
    <col min="9" max="9" width="21.53515625" style="1057" bestFit="1" customWidth="1"/>
    <col min="10" max="10" width="2.07421875" style="1057" customWidth="1"/>
    <col min="11" max="11" width="21.84375" style="1057" bestFit="1" customWidth="1"/>
    <col min="12" max="12" width="2.07421875" style="1057" customWidth="1"/>
    <col min="13" max="13" width="20.84375" style="1057" customWidth="1"/>
    <col min="14" max="14" width="2.07421875" style="1057" customWidth="1"/>
    <col min="15" max="15" width="22.07421875" style="1057" bestFit="1" customWidth="1"/>
    <col min="16" max="16" width="6.07421875" style="1057" bestFit="1" customWidth="1"/>
    <col min="17" max="17" width="13.07421875" style="1057" bestFit="1" customWidth="1"/>
    <col min="18" max="255" width="8.84375" style="1057"/>
    <col min="256" max="257" width="8.84375" style="1057" customWidth="1"/>
    <col min="258" max="258" width="10.07421875" style="1057" customWidth="1"/>
    <col min="259" max="259" width="2.07421875" style="1057" customWidth="1"/>
    <col min="260" max="260" width="50.4609375" style="1057" customWidth="1"/>
    <col min="261" max="261" width="8.84375" style="1057"/>
    <col min="262" max="262" width="2.07421875" style="1057" customWidth="1"/>
    <col min="263" max="263" width="23.84375" style="1057" customWidth="1"/>
    <col min="264" max="264" width="2.07421875" style="1057" customWidth="1"/>
    <col min="265" max="265" width="23.84375" style="1057" customWidth="1"/>
    <col min="266" max="266" width="2.07421875" style="1057" customWidth="1"/>
    <col min="267" max="267" width="23.84375" style="1057" customWidth="1"/>
    <col min="268" max="268" width="2.07421875" style="1057" customWidth="1"/>
    <col min="269" max="269" width="23.84375" style="1057" customWidth="1"/>
    <col min="270" max="270" width="2.07421875" style="1057" customWidth="1"/>
    <col min="271" max="271" width="23.84375" style="1057" customWidth="1"/>
    <col min="272" max="272" width="2.84375" style="1057" bestFit="1" customWidth="1"/>
    <col min="273" max="511" width="8.84375" style="1057"/>
    <col min="512" max="513" width="8.84375" style="1057" customWidth="1"/>
    <col min="514" max="514" width="10.07421875" style="1057" customWidth="1"/>
    <col min="515" max="515" width="2.07421875" style="1057" customWidth="1"/>
    <col min="516" max="516" width="50.4609375" style="1057" customWidth="1"/>
    <col min="517" max="517" width="8.84375" style="1057"/>
    <col min="518" max="518" width="2.07421875" style="1057" customWidth="1"/>
    <col min="519" max="519" width="23.84375" style="1057" customWidth="1"/>
    <col min="520" max="520" width="2.07421875" style="1057" customWidth="1"/>
    <col min="521" max="521" width="23.84375" style="1057" customWidth="1"/>
    <col min="522" max="522" width="2.07421875" style="1057" customWidth="1"/>
    <col min="523" max="523" width="23.84375" style="1057" customWidth="1"/>
    <col min="524" max="524" width="2.07421875" style="1057" customWidth="1"/>
    <col min="525" max="525" width="23.84375" style="1057" customWidth="1"/>
    <col min="526" max="526" width="2.07421875" style="1057" customWidth="1"/>
    <col min="527" max="527" width="23.84375" style="1057" customWidth="1"/>
    <col min="528" max="528" width="2.84375" style="1057" bestFit="1" customWidth="1"/>
    <col min="529" max="767" width="8.84375" style="1057"/>
    <col min="768" max="769" width="8.84375" style="1057" customWidth="1"/>
    <col min="770" max="770" width="10.07421875" style="1057" customWidth="1"/>
    <col min="771" max="771" width="2.07421875" style="1057" customWidth="1"/>
    <col min="772" max="772" width="50.4609375" style="1057" customWidth="1"/>
    <col min="773" max="773" width="8.84375" style="1057"/>
    <col min="774" max="774" width="2.07421875" style="1057" customWidth="1"/>
    <col min="775" max="775" width="23.84375" style="1057" customWidth="1"/>
    <col min="776" max="776" width="2.07421875" style="1057" customWidth="1"/>
    <col min="777" max="777" width="23.84375" style="1057" customWidth="1"/>
    <col min="778" max="778" width="2.07421875" style="1057" customWidth="1"/>
    <col min="779" max="779" width="23.84375" style="1057" customWidth="1"/>
    <col min="780" max="780" width="2.07421875" style="1057" customWidth="1"/>
    <col min="781" max="781" width="23.84375" style="1057" customWidth="1"/>
    <col min="782" max="782" width="2.07421875" style="1057" customWidth="1"/>
    <col min="783" max="783" width="23.84375" style="1057" customWidth="1"/>
    <col min="784" max="784" width="2.84375" style="1057" bestFit="1" customWidth="1"/>
    <col min="785" max="1023" width="8.84375" style="1057"/>
    <col min="1024" max="1025" width="8.84375" style="1057" customWidth="1"/>
    <col min="1026" max="1026" width="10.07421875" style="1057" customWidth="1"/>
    <col min="1027" max="1027" width="2.07421875" style="1057" customWidth="1"/>
    <col min="1028" max="1028" width="50.4609375" style="1057" customWidth="1"/>
    <col min="1029" max="1029" width="8.84375" style="1057"/>
    <col min="1030" max="1030" width="2.07421875" style="1057" customWidth="1"/>
    <col min="1031" max="1031" width="23.84375" style="1057" customWidth="1"/>
    <col min="1032" max="1032" width="2.07421875" style="1057" customWidth="1"/>
    <col min="1033" max="1033" width="23.84375" style="1057" customWidth="1"/>
    <col min="1034" max="1034" width="2.07421875" style="1057" customWidth="1"/>
    <col min="1035" max="1035" width="23.84375" style="1057" customWidth="1"/>
    <col min="1036" max="1036" width="2.07421875" style="1057" customWidth="1"/>
    <col min="1037" max="1037" width="23.84375" style="1057" customWidth="1"/>
    <col min="1038" max="1038" width="2.07421875" style="1057" customWidth="1"/>
    <col min="1039" max="1039" width="23.84375" style="1057" customWidth="1"/>
    <col min="1040" max="1040" width="2.84375" style="1057" bestFit="1" customWidth="1"/>
    <col min="1041" max="1279" width="8.84375" style="1057"/>
    <col min="1280" max="1281" width="8.84375" style="1057" customWidth="1"/>
    <col min="1282" max="1282" width="10.07421875" style="1057" customWidth="1"/>
    <col min="1283" max="1283" width="2.07421875" style="1057" customWidth="1"/>
    <col min="1284" max="1284" width="50.4609375" style="1057" customWidth="1"/>
    <col min="1285" max="1285" width="8.84375" style="1057"/>
    <col min="1286" max="1286" width="2.07421875" style="1057" customWidth="1"/>
    <col min="1287" max="1287" width="23.84375" style="1057" customWidth="1"/>
    <col min="1288" max="1288" width="2.07421875" style="1057" customWidth="1"/>
    <col min="1289" max="1289" width="23.84375" style="1057" customWidth="1"/>
    <col min="1290" max="1290" width="2.07421875" style="1057" customWidth="1"/>
    <col min="1291" max="1291" width="23.84375" style="1057" customWidth="1"/>
    <col min="1292" max="1292" width="2.07421875" style="1057" customWidth="1"/>
    <col min="1293" max="1293" width="23.84375" style="1057" customWidth="1"/>
    <col min="1294" max="1294" width="2.07421875" style="1057" customWidth="1"/>
    <col min="1295" max="1295" width="23.84375" style="1057" customWidth="1"/>
    <col min="1296" max="1296" width="2.84375" style="1057" bestFit="1" customWidth="1"/>
    <col min="1297" max="1535" width="8.84375" style="1057"/>
    <col min="1536" max="1537" width="8.84375" style="1057" customWidth="1"/>
    <col min="1538" max="1538" width="10.07421875" style="1057" customWidth="1"/>
    <col min="1539" max="1539" width="2.07421875" style="1057" customWidth="1"/>
    <col min="1540" max="1540" width="50.4609375" style="1057" customWidth="1"/>
    <col min="1541" max="1541" width="8.84375" style="1057"/>
    <col min="1542" max="1542" width="2.07421875" style="1057" customWidth="1"/>
    <col min="1543" max="1543" width="23.84375" style="1057" customWidth="1"/>
    <col min="1544" max="1544" width="2.07421875" style="1057" customWidth="1"/>
    <col min="1545" max="1545" width="23.84375" style="1057" customWidth="1"/>
    <col min="1546" max="1546" width="2.07421875" style="1057" customWidth="1"/>
    <col min="1547" max="1547" width="23.84375" style="1057" customWidth="1"/>
    <col min="1548" max="1548" width="2.07421875" style="1057" customWidth="1"/>
    <col min="1549" max="1549" width="23.84375" style="1057" customWidth="1"/>
    <col min="1550" max="1550" width="2.07421875" style="1057" customWidth="1"/>
    <col min="1551" max="1551" width="23.84375" style="1057" customWidth="1"/>
    <col min="1552" max="1552" width="2.84375" style="1057" bestFit="1" customWidth="1"/>
    <col min="1553" max="1791" width="8.84375" style="1057"/>
    <col min="1792" max="1793" width="8.84375" style="1057" customWidth="1"/>
    <col min="1794" max="1794" width="10.07421875" style="1057" customWidth="1"/>
    <col min="1795" max="1795" width="2.07421875" style="1057" customWidth="1"/>
    <col min="1796" max="1796" width="50.4609375" style="1057" customWidth="1"/>
    <col min="1797" max="1797" width="8.84375" style="1057"/>
    <col min="1798" max="1798" width="2.07421875" style="1057" customWidth="1"/>
    <col min="1799" max="1799" width="23.84375" style="1057" customWidth="1"/>
    <col min="1800" max="1800" width="2.07421875" style="1057" customWidth="1"/>
    <col min="1801" max="1801" width="23.84375" style="1057" customWidth="1"/>
    <col min="1802" max="1802" width="2.07421875" style="1057" customWidth="1"/>
    <col min="1803" max="1803" width="23.84375" style="1057" customWidth="1"/>
    <col min="1804" max="1804" width="2.07421875" style="1057" customWidth="1"/>
    <col min="1805" max="1805" width="23.84375" style="1057" customWidth="1"/>
    <col min="1806" max="1806" width="2.07421875" style="1057" customWidth="1"/>
    <col min="1807" max="1807" width="23.84375" style="1057" customWidth="1"/>
    <col min="1808" max="1808" width="2.84375" style="1057" bestFit="1" customWidth="1"/>
    <col min="1809" max="2047" width="8.84375" style="1057"/>
    <col min="2048" max="2049" width="8.84375" style="1057" customWidth="1"/>
    <col min="2050" max="2050" width="10.07421875" style="1057" customWidth="1"/>
    <col min="2051" max="2051" width="2.07421875" style="1057" customWidth="1"/>
    <col min="2052" max="2052" width="50.4609375" style="1057" customWidth="1"/>
    <col min="2053" max="2053" width="8.84375" style="1057"/>
    <col min="2054" max="2054" width="2.07421875" style="1057" customWidth="1"/>
    <col min="2055" max="2055" width="23.84375" style="1057" customWidth="1"/>
    <col min="2056" max="2056" width="2.07421875" style="1057" customWidth="1"/>
    <col min="2057" max="2057" width="23.84375" style="1057" customWidth="1"/>
    <col min="2058" max="2058" width="2.07421875" style="1057" customWidth="1"/>
    <col min="2059" max="2059" width="23.84375" style="1057" customWidth="1"/>
    <col min="2060" max="2060" width="2.07421875" style="1057" customWidth="1"/>
    <col min="2061" max="2061" width="23.84375" style="1057" customWidth="1"/>
    <col min="2062" max="2062" width="2.07421875" style="1057" customWidth="1"/>
    <col min="2063" max="2063" width="23.84375" style="1057" customWidth="1"/>
    <col min="2064" max="2064" width="2.84375" style="1057" bestFit="1" customWidth="1"/>
    <col min="2065" max="2303" width="8.84375" style="1057"/>
    <col min="2304" max="2305" width="8.84375" style="1057" customWidth="1"/>
    <col min="2306" max="2306" width="10.07421875" style="1057" customWidth="1"/>
    <col min="2307" max="2307" width="2.07421875" style="1057" customWidth="1"/>
    <col min="2308" max="2308" width="50.4609375" style="1057" customWidth="1"/>
    <col min="2309" max="2309" width="8.84375" style="1057"/>
    <col min="2310" max="2310" width="2.07421875" style="1057" customWidth="1"/>
    <col min="2311" max="2311" width="23.84375" style="1057" customWidth="1"/>
    <col min="2312" max="2312" width="2.07421875" style="1057" customWidth="1"/>
    <col min="2313" max="2313" width="23.84375" style="1057" customWidth="1"/>
    <col min="2314" max="2314" width="2.07421875" style="1057" customWidth="1"/>
    <col min="2315" max="2315" width="23.84375" style="1057" customWidth="1"/>
    <col min="2316" max="2316" width="2.07421875" style="1057" customWidth="1"/>
    <col min="2317" max="2317" width="23.84375" style="1057" customWidth="1"/>
    <col min="2318" max="2318" width="2.07421875" style="1057" customWidth="1"/>
    <col min="2319" max="2319" width="23.84375" style="1057" customWidth="1"/>
    <col min="2320" max="2320" width="2.84375" style="1057" bestFit="1" customWidth="1"/>
    <col min="2321" max="2559" width="8.84375" style="1057"/>
    <col min="2560" max="2561" width="8.84375" style="1057" customWidth="1"/>
    <col min="2562" max="2562" width="10.07421875" style="1057" customWidth="1"/>
    <col min="2563" max="2563" width="2.07421875" style="1057" customWidth="1"/>
    <col min="2564" max="2564" width="50.4609375" style="1057" customWidth="1"/>
    <col min="2565" max="2565" width="8.84375" style="1057"/>
    <col min="2566" max="2566" width="2.07421875" style="1057" customWidth="1"/>
    <col min="2567" max="2567" width="23.84375" style="1057" customWidth="1"/>
    <col min="2568" max="2568" width="2.07421875" style="1057" customWidth="1"/>
    <col min="2569" max="2569" width="23.84375" style="1057" customWidth="1"/>
    <col min="2570" max="2570" width="2.07421875" style="1057" customWidth="1"/>
    <col min="2571" max="2571" width="23.84375" style="1057" customWidth="1"/>
    <col min="2572" max="2572" width="2.07421875" style="1057" customWidth="1"/>
    <col min="2573" max="2573" width="23.84375" style="1057" customWidth="1"/>
    <col min="2574" max="2574" width="2.07421875" style="1057" customWidth="1"/>
    <col min="2575" max="2575" width="23.84375" style="1057" customWidth="1"/>
    <col min="2576" max="2576" width="2.84375" style="1057" bestFit="1" customWidth="1"/>
    <col min="2577" max="2815" width="8.84375" style="1057"/>
    <col min="2816" max="2817" width="8.84375" style="1057" customWidth="1"/>
    <col min="2818" max="2818" width="10.07421875" style="1057" customWidth="1"/>
    <col min="2819" max="2819" width="2.07421875" style="1057" customWidth="1"/>
    <col min="2820" max="2820" width="50.4609375" style="1057" customWidth="1"/>
    <col min="2821" max="2821" width="8.84375" style="1057"/>
    <col min="2822" max="2822" width="2.07421875" style="1057" customWidth="1"/>
    <col min="2823" max="2823" width="23.84375" style="1057" customWidth="1"/>
    <col min="2824" max="2824" width="2.07421875" style="1057" customWidth="1"/>
    <col min="2825" max="2825" width="23.84375" style="1057" customWidth="1"/>
    <col min="2826" max="2826" width="2.07421875" style="1057" customWidth="1"/>
    <col min="2827" max="2827" width="23.84375" style="1057" customWidth="1"/>
    <col min="2828" max="2828" width="2.07421875" style="1057" customWidth="1"/>
    <col min="2829" max="2829" width="23.84375" style="1057" customWidth="1"/>
    <col min="2830" max="2830" width="2.07421875" style="1057" customWidth="1"/>
    <col min="2831" max="2831" width="23.84375" style="1057" customWidth="1"/>
    <col min="2832" max="2832" width="2.84375" style="1057" bestFit="1" customWidth="1"/>
    <col min="2833" max="3071" width="8.84375" style="1057"/>
    <col min="3072" max="3073" width="8.84375" style="1057" customWidth="1"/>
    <col min="3074" max="3074" width="10.07421875" style="1057" customWidth="1"/>
    <col min="3075" max="3075" width="2.07421875" style="1057" customWidth="1"/>
    <col min="3076" max="3076" width="50.4609375" style="1057" customWidth="1"/>
    <col min="3077" max="3077" width="8.84375" style="1057"/>
    <col min="3078" max="3078" width="2.07421875" style="1057" customWidth="1"/>
    <col min="3079" max="3079" width="23.84375" style="1057" customWidth="1"/>
    <col min="3080" max="3080" width="2.07421875" style="1057" customWidth="1"/>
    <col min="3081" max="3081" width="23.84375" style="1057" customWidth="1"/>
    <col min="3082" max="3082" width="2.07421875" style="1057" customWidth="1"/>
    <col min="3083" max="3083" width="23.84375" style="1057" customWidth="1"/>
    <col min="3084" max="3084" width="2.07421875" style="1057" customWidth="1"/>
    <col min="3085" max="3085" width="23.84375" style="1057" customWidth="1"/>
    <col min="3086" max="3086" width="2.07421875" style="1057" customWidth="1"/>
    <col min="3087" max="3087" width="23.84375" style="1057" customWidth="1"/>
    <col min="3088" max="3088" width="2.84375" style="1057" bestFit="1" customWidth="1"/>
    <col min="3089" max="3327" width="8.84375" style="1057"/>
    <col min="3328" max="3329" width="8.84375" style="1057" customWidth="1"/>
    <col min="3330" max="3330" width="10.07421875" style="1057" customWidth="1"/>
    <col min="3331" max="3331" width="2.07421875" style="1057" customWidth="1"/>
    <col min="3332" max="3332" width="50.4609375" style="1057" customWidth="1"/>
    <col min="3333" max="3333" width="8.84375" style="1057"/>
    <col min="3334" max="3334" width="2.07421875" style="1057" customWidth="1"/>
    <col min="3335" max="3335" width="23.84375" style="1057" customWidth="1"/>
    <col min="3336" max="3336" width="2.07421875" style="1057" customWidth="1"/>
    <col min="3337" max="3337" width="23.84375" style="1057" customWidth="1"/>
    <col min="3338" max="3338" width="2.07421875" style="1057" customWidth="1"/>
    <col min="3339" max="3339" width="23.84375" style="1057" customWidth="1"/>
    <col min="3340" max="3340" width="2.07421875" style="1057" customWidth="1"/>
    <col min="3341" max="3341" width="23.84375" style="1057" customWidth="1"/>
    <col min="3342" max="3342" width="2.07421875" style="1057" customWidth="1"/>
    <col min="3343" max="3343" width="23.84375" style="1057" customWidth="1"/>
    <col min="3344" max="3344" width="2.84375" style="1057" bestFit="1" customWidth="1"/>
    <col min="3345" max="3583" width="8.84375" style="1057"/>
    <col min="3584" max="3585" width="8.84375" style="1057" customWidth="1"/>
    <col min="3586" max="3586" width="10.07421875" style="1057" customWidth="1"/>
    <col min="3587" max="3587" width="2.07421875" style="1057" customWidth="1"/>
    <col min="3588" max="3588" width="50.4609375" style="1057" customWidth="1"/>
    <col min="3589" max="3589" width="8.84375" style="1057"/>
    <col min="3590" max="3590" width="2.07421875" style="1057" customWidth="1"/>
    <col min="3591" max="3591" width="23.84375" style="1057" customWidth="1"/>
    <col min="3592" max="3592" width="2.07421875" style="1057" customWidth="1"/>
    <col min="3593" max="3593" width="23.84375" style="1057" customWidth="1"/>
    <col min="3594" max="3594" width="2.07421875" style="1057" customWidth="1"/>
    <col min="3595" max="3595" width="23.84375" style="1057" customWidth="1"/>
    <col min="3596" max="3596" width="2.07421875" style="1057" customWidth="1"/>
    <col min="3597" max="3597" width="23.84375" style="1057" customWidth="1"/>
    <col min="3598" max="3598" width="2.07421875" style="1057" customWidth="1"/>
    <col min="3599" max="3599" width="23.84375" style="1057" customWidth="1"/>
    <col min="3600" max="3600" width="2.84375" style="1057" bestFit="1" customWidth="1"/>
    <col min="3601" max="3839" width="8.84375" style="1057"/>
    <col min="3840" max="3841" width="8.84375" style="1057" customWidth="1"/>
    <col min="3842" max="3842" width="10.07421875" style="1057" customWidth="1"/>
    <col min="3843" max="3843" width="2.07421875" style="1057" customWidth="1"/>
    <col min="3844" max="3844" width="50.4609375" style="1057" customWidth="1"/>
    <col min="3845" max="3845" width="8.84375" style="1057"/>
    <col min="3846" max="3846" width="2.07421875" style="1057" customWidth="1"/>
    <col min="3847" max="3847" width="23.84375" style="1057" customWidth="1"/>
    <col min="3848" max="3848" width="2.07421875" style="1057" customWidth="1"/>
    <col min="3849" max="3849" width="23.84375" style="1057" customWidth="1"/>
    <col min="3850" max="3850" width="2.07421875" style="1057" customWidth="1"/>
    <col min="3851" max="3851" width="23.84375" style="1057" customWidth="1"/>
    <col min="3852" max="3852" width="2.07421875" style="1057" customWidth="1"/>
    <col min="3853" max="3853" width="23.84375" style="1057" customWidth="1"/>
    <col min="3854" max="3854" width="2.07421875" style="1057" customWidth="1"/>
    <col min="3855" max="3855" width="23.84375" style="1057" customWidth="1"/>
    <col min="3856" max="3856" width="2.84375" style="1057" bestFit="1" customWidth="1"/>
    <col min="3857" max="4095" width="8.84375" style="1057"/>
    <col min="4096" max="4097" width="8.84375" style="1057" customWidth="1"/>
    <col min="4098" max="4098" width="10.07421875" style="1057" customWidth="1"/>
    <col min="4099" max="4099" width="2.07421875" style="1057" customWidth="1"/>
    <col min="4100" max="4100" width="50.4609375" style="1057" customWidth="1"/>
    <col min="4101" max="4101" width="8.84375" style="1057"/>
    <col min="4102" max="4102" width="2.07421875" style="1057" customWidth="1"/>
    <col min="4103" max="4103" width="23.84375" style="1057" customWidth="1"/>
    <col min="4104" max="4104" width="2.07421875" style="1057" customWidth="1"/>
    <col min="4105" max="4105" width="23.84375" style="1057" customWidth="1"/>
    <col min="4106" max="4106" width="2.07421875" style="1057" customWidth="1"/>
    <col min="4107" max="4107" width="23.84375" style="1057" customWidth="1"/>
    <col min="4108" max="4108" width="2.07421875" style="1057" customWidth="1"/>
    <col min="4109" max="4109" width="23.84375" style="1057" customWidth="1"/>
    <col min="4110" max="4110" width="2.07421875" style="1057" customWidth="1"/>
    <col min="4111" max="4111" width="23.84375" style="1057" customWidth="1"/>
    <col min="4112" max="4112" width="2.84375" style="1057" bestFit="1" customWidth="1"/>
    <col min="4113" max="4351" width="8.84375" style="1057"/>
    <col min="4352" max="4353" width="8.84375" style="1057" customWidth="1"/>
    <col min="4354" max="4354" width="10.07421875" style="1057" customWidth="1"/>
    <col min="4355" max="4355" width="2.07421875" style="1057" customWidth="1"/>
    <col min="4356" max="4356" width="50.4609375" style="1057" customWidth="1"/>
    <col min="4357" max="4357" width="8.84375" style="1057"/>
    <col min="4358" max="4358" width="2.07421875" style="1057" customWidth="1"/>
    <col min="4359" max="4359" width="23.84375" style="1057" customWidth="1"/>
    <col min="4360" max="4360" width="2.07421875" style="1057" customWidth="1"/>
    <col min="4361" max="4361" width="23.84375" style="1057" customWidth="1"/>
    <col min="4362" max="4362" width="2.07421875" style="1057" customWidth="1"/>
    <col min="4363" max="4363" width="23.84375" style="1057" customWidth="1"/>
    <col min="4364" max="4364" width="2.07421875" style="1057" customWidth="1"/>
    <col min="4365" max="4365" width="23.84375" style="1057" customWidth="1"/>
    <col min="4366" max="4366" width="2.07421875" style="1057" customWidth="1"/>
    <col min="4367" max="4367" width="23.84375" style="1057" customWidth="1"/>
    <col min="4368" max="4368" width="2.84375" style="1057" bestFit="1" customWidth="1"/>
    <col min="4369" max="4607" width="8.84375" style="1057"/>
    <col min="4608" max="4609" width="8.84375" style="1057" customWidth="1"/>
    <col min="4610" max="4610" width="10.07421875" style="1057" customWidth="1"/>
    <col min="4611" max="4611" width="2.07421875" style="1057" customWidth="1"/>
    <col min="4612" max="4612" width="50.4609375" style="1057" customWidth="1"/>
    <col min="4613" max="4613" width="8.84375" style="1057"/>
    <col min="4614" max="4614" width="2.07421875" style="1057" customWidth="1"/>
    <col min="4615" max="4615" width="23.84375" style="1057" customWidth="1"/>
    <col min="4616" max="4616" width="2.07421875" style="1057" customWidth="1"/>
    <col min="4617" max="4617" width="23.84375" style="1057" customWidth="1"/>
    <col min="4618" max="4618" width="2.07421875" style="1057" customWidth="1"/>
    <col min="4619" max="4619" width="23.84375" style="1057" customWidth="1"/>
    <col min="4620" max="4620" width="2.07421875" style="1057" customWidth="1"/>
    <col min="4621" max="4621" width="23.84375" style="1057" customWidth="1"/>
    <col min="4622" max="4622" width="2.07421875" style="1057" customWidth="1"/>
    <col min="4623" max="4623" width="23.84375" style="1057" customWidth="1"/>
    <col min="4624" max="4624" width="2.84375" style="1057" bestFit="1" customWidth="1"/>
    <col min="4625" max="4863" width="8.84375" style="1057"/>
    <col min="4864" max="4865" width="8.84375" style="1057" customWidth="1"/>
    <col min="4866" max="4866" width="10.07421875" style="1057" customWidth="1"/>
    <col min="4867" max="4867" width="2.07421875" style="1057" customWidth="1"/>
    <col min="4868" max="4868" width="50.4609375" style="1057" customWidth="1"/>
    <col min="4869" max="4869" width="8.84375" style="1057"/>
    <col min="4870" max="4870" width="2.07421875" style="1057" customWidth="1"/>
    <col min="4871" max="4871" width="23.84375" style="1057" customWidth="1"/>
    <col min="4872" max="4872" width="2.07421875" style="1057" customWidth="1"/>
    <col min="4873" max="4873" width="23.84375" style="1057" customWidth="1"/>
    <col min="4874" max="4874" width="2.07421875" style="1057" customWidth="1"/>
    <col min="4875" max="4875" width="23.84375" style="1057" customWidth="1"/>
    <col min="4876" max="4876" width="2.07421875" style="1057" customWidth="1"/>
    <col min="4877" max="4877" width="23.84375" style="1057" customWidth="1"/>
    <col min="4878" max="4878" width="2.07421875" style="1057" customWidth="1"/>
    <col min="4879" max="4879" width="23.84375" style="1057" customWidth="1"/>
    <col min="4880" max="4880" width="2.84375" style="1057" bestFit="1" customWidth="1"/>
    <col min="4881" max="5119" width="8.84375" style="1057"/>
    <col min="5120" max="5121" width="8.84375" style="1057" customWidth="1"/>
    <col min="5122" max="5122" width="10.07421875" style="1057" customWidth="1"/>
    <col min="5123" max="5123" width="2.07421875" style="1057" customWidth="1"/>
    <col min="5124" max="5124" width="50.4609375" style="1057" customWidth="1"/>
    <col min="5125" max="5125" width="8.84375" style="1057"/>
    <col min="5126" max="5126" width="2.07421875" style="1057" customWidth="1"/>
    <col min="5127" max="5127" width="23.84375" style="1057" customWidth="1"/>
    <col min="5128" max="5128" width="2.07421875" style="1057" customWidth="1"/>
    <col min="5129" max="5129" width="23.84375" style="1057" customWidth="1"/>
    <col min="5130" max="5130" width="2.07421875" style="1057" customWidth="1"/>
    <col min="5131" max="5131" width="23.84375" style="1057" customWidth="1"/>
    <col min="5132" max="5132" width="2.07421875" style="1057" customWidth="1"/>
    <col min="5133" max="5133" width="23.84375" style="1057" customWidth="1"/>
    <col min="5134" max="5134" width="2.07421875" style="1057" customWidth="1"/>
    <col min="5135" max="5135" width="23.84375" style="1057" customWidth="1"/>
    <col min="5136" max="5136" width="2.84375" style="1057" bestFit="1" customWidth="1"/>
    <col min="5137" max="5375" width="8.84375" style="1057"/>
    <col min="5376" max="5377" width="8.84375" style="1057" customWidth="1"/>
    <col min="5378" max="5378" width="10.07421875" style="1057" customWidth="1"/>
    <col min="5379" max="5379" width="2.07421875" style="1057" customWidth="1"/>
    <col min="5380" max="5380" width="50.4609375" style="1057" customWidth="1"/>
    <col min="5381" max="5381" width="8.84375" style="1057"/>
    <col min="5382" max="5382" width="2.07421875" style="1057" customWidth="1"/>
    <col min="5383" max="5383" width="23.84375" style="1057" customWidth="1"/>
    <col min="5384" max="5384" width="2.07421875" style="1057" customWidth="1"/>
    <col min="5385" max="5385" width="23.84375" style="1057" customWidth="1"/>
    <col min="5386" max="5386" width="2.07421875" style="1057" customWidth="1"/>
    <col min="5387" max="5387" width="23.84375" style="1057" customWidth="1"/>
    <col min="5388" max="5388" width="2.07421875" style="1057" customWidth="1"/>
    <col min="5389" max="5389" width="23.84375" style="1057" customWidth="1"/>
    <col min="5390" max="5390" width="2.07421875" style="1057" customWidth="1"/>
    <col min="5391" max="5391" width="23.84375" style="1057" customWidth="1"/>
    <col min="5392" max="5392" width="2.84375" style="1057" bestFit="1" customWidth="1"/>
    <col min="5393" max="5631" width="8.84375" style="1057"/>
    <col min="5632" max="5633" width="8.84375" style="1057" customWidth="1"/>
    <col min="5634" max="5634" width="10.07421875" style="1057" customWidth="1"/>
    <col min="5635" max="5635" width="2.07421875" style="1057" customWidth="1"/>
    <col min="5636" max="5636" width="50.4609375" style="1057" customWidth="1"/>
    <col min="5637" max="5637" width="8.84375" style="1057"/>
    <col min="5638" max="5638" width="2.07421875" style="1057" customWidth="1"/>
    <col min="5639" max="5639" width="23.84375" style="1057" customWidth="1"/>
    <col min="5640" max="5640" width="2.07421875" style="1057" customWidth="1"/>
    <col min="5641" max="5641" width="23.84375" style="1057" customWidth="1"/>
    <col min="5642" max="5642" width="2.07421875" style="1057" customWidth="1"/>
    <col min="5643" max="5643" width="23.84375" style="1057" customWidth="1"/>
    <col min="5644" max="5644" width="2.07421875" style="1057" customWidth="1"/>
    <col min="5645" max="5645" width="23.84375" style="1057" customWidth="1"/>
    <col min="5646" max="5646" width="2.07421875" style="1057" customWidth="1"/>
    <col min="5647" max="5647" width="23.84375" style="1057" customWidth="1"/>
    <col min="5648" max="5648" width="2.84375" style="1057" bestFit="1" customWidth="1"/>
    <col min="5649" max="5887" width="8.84375" style="1057"/>
    <col min="5888" max="5889" width="8.84375" style="1057" customWidth="1"/>
    <col min="5890" max="5890" width="10.07421875" style="1057" customWidth="1"/>
    <col min="5891" max="5891" width="2.07421875" style="1057" customWidth="1"/>
    <col min="5892" max="5892" width="50.4609375" style="1057" customWidth="1"/>
    <col min="5893" max="5893" width="8.84375" style="1057"/>
    <col min="5894" max="5894" width="2.07421875" style="1057" customWidth="1"/>
    <col min="5895" max="5895" width="23.84375" style="1057" customWidth="1"/>
    <col min="5896" max="5896" width="2.07421875" style="1057" customWidth="1"/>
    <col min="5897" max="5897" width="23.84375" style="1057" customWidth="1"/>
    <col min="5898" max="5898" width="2.07421875" style="1057" customWidth="1"/>
    <col min="5899" max="5899" width="23.84375" style="1057" customWidth="1"/>
    <col min="5900" max="5900" width="2.07421875" style="1057" customWidth="1"/>
    <col min="5901" max="5901" width="23.84375" style="1057" customWidth="1"/>
    <col min="5902" max="5902" width="2.07421875" style="1057" customWidth="1"/>
    <col min="5903" max="5903" width="23.84375" style="1057" customWidth="1"/>
    <col min="5904" max="5904" width="2.84375" style="1057" bestFit="1" customWidth="1"/>
    <col min="5905" max="6143" width="8.84375" style="1057"/>
    <col min="6144" max="6145" width="8.84375" style="1057" customWidth="1"/>
    <col min="6146" max="6146" width="10.07421875" style="1057" customWidth="1"/>
    <col min="6147" max="6147" width="2.07421875" style="1057" customWidth="1"/>
    <col min="6148" max="6148" width="50.4609375" style="1057" customWidth="1"/>
    <col min="6149" max="6149" width="8.84375" style="1057"/>
    <col min="6150" max="6150" width="2.07421875" style="1057" customWidth="1"/>
    <col min="6151" max="6151" width="23.84375" style="1057" customWidth="1"/>
    <col min="6152" max="6152" width="2.07421875" style="1057" customWidth="1"/>
    <col min="6153" max="6153" width="23.84375" style="1057" customWidth="1"/>
    <col min="6154" max="6154" width="2.07421875" style="1057" customWidth="1"/>
    <col min="6155" max="6155" width="23.84375" style="1057" customWidth="1"/>
    <col min="6156" max="6156" width="2.07421875" style="1057" customWidth="1"/>
    <col min="6157" max="6157" width="23.84375" style="1057" customWidth="1"/>
    <col min="6158" max="6158" width="2.07421875" style="1057" customWidth="1"/>
    <col min="6159" max="6159" width="23.84375" style="1057" customWidth="1"/>
    <col min="6160" max="6160" width="2.84375" style="1057" bestFit="1" customWidth="1"/>
    <col min="6161" max="6399" width="8.84375" style="1057"/>
    <col min="6400" max="6401" width="8.84375" style="1057" customWidth="1"/>
    <col min="6402" max="6402" width="10.07421875" style="1057" customWidth="1"/>
    <col min="6403" max="6403" width="2.07421875" style="1057" customWidth="1"/>
    <col min="6404" max="6404" width="50.4609375" style="1057" customWidth="1"/>
    <col min="6405" max="6405" width="8.84375" style="1057"/>
    <col min="6406" max="6406" width="2.07421875" style="1057" customWidth="1"/>
    <col min="6407" max="6407" width="23.84375" style="1057" customWidth="1"/>
    <col min="6408" max="6408" width="2.07421875" style="1057" customWidth="1"/>
    <col min="6409" max="6409" width="23.84375" style="1057" customWidth="1"/>
    <col min="6410" max="6410" width="2.07421875" style="1057" customWidth="1"/>
    <col min="6411" max="6411" width="23.84375" style="1057" customWidth="1"/>
    <col min="6412" max="6412" width="2.07421875" style="1057" customWidth="1"/>
    <col min="6413" max="6413" width="23.84375" style="1057" customWidth="1"/>
    <col min="6414" max="6414" width="2.07421875" style="1057" customWidth="1"/>
    <col min="6415" max="6415" width="23.84375" style="1057" customWidth="1"/>
    <col min="6416" max="6416" width="2.84375" style="1057" bestFit="1" customWidth="1"/>
    <col min="6417" max="6655" width="8.84375" style="1057"/>
    <col min="6656" max="6657" width="8.84375" style="1057" customWidth="1"/>
    <col min="6658" max="6658" width="10.07421875" style="1057" customWidth="1"/>
    <col min="6659" max="6659" width="2.07421875" style="1057" customWidth="1"/>
    <col min="6660" max="6660" width="50.4609375" style="1057" customWidth="1"/>
    <col min="6661" max="6661" width="8.84375" style="1057"/>
    <col min="6662" max="6662" width="2.07421875" style="1057" customWidth="1"/>
    <col min="6663" max="6663" width="23.84375" style="1057" customWidth="1"/>
    <col min="6664" max="6664" width="2.07421875" style="1057" customWidth="1"/>
    <col min="6665" max="6665" width="23.84375" style="1057" customWidth="1"/>
    <col min="6666" max="6666" width="2.07421875" style="1057" customWidth="1"/>
    <col min="6667" max="6667" width="23.84375" style="1057" customWidth="1"/>
    <col min="6668" max="6668" width="2.07421875" style="1057" customWidth="1"/>
    <col min="6669" max="6669" width="23.84375" style="1057" customWidth="1"/>
    <col min="6670" max="6670" width="2.07421875" style="1057" customWidth="1"/>
    <col min="6671" max="6671" width="23.84375" style="1057" customWidth="1"/>
    <col min="6672" max="6672" width="2.84375" style="1057" bestFit="1" customWidth="1"/>
    <col min="6673" max="6911" width="8.84375" style="1057"/>
    <col min="6912" max="6913" width="8.84375" style="1057" customWidth="1"/>
    <col min="6914" max="6914" width="10.07421875" style="1057" customWidth="1"/>
    <col min="6915" max="6915" width="2.07421875" style="1057" customWidth="1"/>
    <col min="6916" max="6916" width="50.4609375" style="1057" customWidth="1"/>
    <col min="6917" max="6917" width="8.84375" style="1057"/>
    <col min="6918" max="6918" width="2.07421875" style="1057" customWidth="1"/>
    <col min="6919" max="6919" width="23.84375" style="1057" customWidth="1"/>
    <col min="6920" max="6920" width="2.07421875" style="1057" customWidth="1"/>
    <col min="6921" max="6921" width="23.84375" style="1057" customWidth="1"/>
    <col min="6922" max="6922" width="2.07421875" style="1057" customWidth="1"/>
    <col min="6923" max="6923" width="23.84375" style="1057" customWidth="1"/>
    <col min="6924" max="6924" width="2.07421875" style="1057" customWidth="1"/>
    <col min="6925" max="6925" width="23.84375" style="1057" customWidth="1"/>
    <col min="6926" max="6926" width="2.07421875" style="1057" customWidth="1"/>
    <col min="6927" max="6927" width="23.84375" style="1057" customWidth="1"/>
    <col min="6928" max="6928" width="2.84375" style="1057" bestFit="1" customWidth="1"/>
    <col min="6929" max="7167" width="8.84375" style="1057"/>
    <col min="7168" max="7169" width="8.84375" style="1057" customWidth="1"/>
    <col min="7170" max="7170" width="10.07421875" style="1057" customWidth="1"/>
    <col min="7171" max="7171" width="2.07421875" style="1057" customWidth="1"/>
    <col min="7172" max="7172" width="50.4609375" style="1057" customWidth="1"/>
    <col min="7173" max="7173" width="8.84375" style="1057"/>
    <col min="7174" max="7174" width="2.07421875" style="1057" customWidth="1"/>
    <col min="7175" max="7175" width="23.84375" style="1057" customWidth="1"/>
    <col min="7176" max="7176" width="2.07421875" style="1057" customWidth="1"/>
    <col min="7177" max="7177" width="23.84375" style="1057" customWidth="1"/>
    <col min="7178" max="7178" width="2.07421875" style="1057" customWidth="1"/>
    <col min="7179" max="7179" width="23.84375" style="1057" customWidth="1"/>
    <col min="7180" max="7180" width="2.07421875" style="1057" customWidth="1"/>
    <col min="7181" max="7181" width="23.84375" style="1057" customWidth="1"/>
    <col min="7182" max="7182" width="2.07421875" style="1057" customWidth="1"/>
    <col min="7183" max="7183" width="23.84375" style="1057" customWidth="1"/>
    <col min="7184" max="7184" width="2.84375" style="1057" bestFit="1" customWidth="1"/>
    <col min="7185" max="7423" width="8.84375" style="1057"/>
    <col min="7424" max="7425" width="8.84375" style="1057" customWidth="1"/>
    <col min="7426" max="7426" width="10.07421875" style="1057" customWidth="1"/>
    <col min="7427" max="7427" width="2.07421875" style="1057" customWidth="1"/>
    <col min="7428" max="7428" width="50.4609375" style="1057" customWidth="1"/>
    <col min="7429" max="7429" width="8.84375" style="1057"/>
    <col min="7430" max="7430" width="2.07421875" style="1057" customWidth="1"/>
    <col min="7431" max="7431" width="23.84375" style="1057" customWidth="1"/>
    <col min="7432" max="7432" width="2.07421875" style="1057" customWidth="1"/>
    <col min="7433" max="7433" width="23.84375" style="1057" customWidth="1"/>
    <col min="7434" max="7434" width="2.07421875" style="1057" customWidth="1"/>
    <col min="7435" max="7435" width="23.84375" style="1057" customWidth="1"/>
    <col min="7436" max="7436" width="2.07421875" style="1057" customWidth="1"/>
    <col min="7437" max="7437" width="23.84375" style="1057" customWidth="1"/>
    <col min="7438" max="7438" width="2.07421875" style="1057" customWidth="1"/>
    <col min="7439" max="7439" width="23.84375" style="1057" customWidth="1"/>
    <col min="7440" max="7440" width="2.84375" style="1057" bestFit="1" customWidth="1"/>
    <col min="7441" max="7679" width="8.84375" style="1057"/>
    <col min="7680" max="7681" width="8.84375" style="1057" customWidth="1"/>
    <col min="7682" max="7682" width="10.07421875" style="1057" customWidth="1"/>
    <col min="7683" max="7683" width="2.07421875" style="1057" customWidth="1"/>
    <col min="7684" max="7684" width="50.4609375" style="1057" customWidth="1"/>
    <col min="7685" max="7685" width="8.84375" style="1057"/>
    <col min="7686" max="7686" width="2.07421875" style="1057" customWidth="1"/>
    <col min="7687" max="7687" width="23.84375" style="1057" customWidth="1"/>
    <col min="7688" max="7688" width="2.07421875" style="1057" customWidth="1"/>
    <col min="7689" max="7689" width="23.84375" style="1057" customWidth="1"/>
    <col min="7690" max="7690" width="2.07421875" style="1057" customWidth="1"/>
    <col min="7691" max="7691" width="23.84375" style="1057" customWidth="1"/>
    <col min="7692" max="7692" width="2.07421875" style="1057" customWidth="1"/>
    <col min="7693" max="7693" width="23.84375" style="1057" customWidth="1"/>
    <col min="7694" max="7694" width="2.07421875" style="1057" customWidth="1"/>
    <col min="7695" max="7695" width="23.84375" style="1057" customWidth="1"/>
    <col min="7696" max="7696" width="2.84375" style="1057" bestFit="1" customWidth="1"/>
    <col min="7697" max="7935" width="8.84375" style="1057"/>
    <col min="7936" max="7937" width="8.84375" style="1057" customWidth="1"/>
    <col min="7938" max="7938" width="10.07421875" style="1057" customWidth="1"/>
    <col min="7939" max="7939" width="2.07421875" style="1057" customWidth="1"/>
    <col min="7940" max="7940" width="50.4609375" style="1057" customWidth="1"/>
    <col min="7941" max="7941" width="8.84375" style="1057"/>
    <col min="7942" max="7942" width="2.07421875" style="1057" customWidth="1"/>
    <col min="7943" max="7943" width="23.84375" style="1057" customWidth="1"/>
    <col min="7944" max="7944" width="2.07421875" style="1057" customWidth="1"/>
    <col min="7945" max="7945" width="23.84375" style="1057" customWidth="1"/>
    <col min="7946" max="7946" width="2.07421875" style="1057" customWidth="1"/>
    <col min="7947" max="7947" width="23.84375" style="1057" customWidth="1"/>
    <col min="7948" max="7948" width="2.07421875" style="1057" customWidth="1"/>
    <col min="7949" max="7949" width="23.84375" style="1057" customWidth="1"/>
    <col min="7950" max="7950" width="2.07421875" style="1057" customWidth="1"/>
    <col min="7951" max="7951" width="23.84375" style="1057" customWidth="1"/>
    <col min="7952" max="7952" width="2.84375" style="1057" bestFit="1" customWidth="1"/>
    <col min="7953" max="8191" width="8.84375" style="1057"/>
    <col min="8192" max="8193" width="8.84375" style="1057" customWidth="1"/>
    <col min="8194" max="8194" width="10.07421875" style="1057" customWidth="1"/>
    <col min="8195" max="8195" width="2.07421875" style="1057" customWidth="1"/>
    <col min="8196" max="8196" width="50.4609375" style="1057" customWidth="1"/>
    <col min="8197" max="8197" width="8.84375" style="1057"/>
    <col min="8198" max="8198" width="2.07421875" style="1057" customWidth="1"/>
    <col min="8199" max="8199" width="23.84375" style="1057" customWidth="1"/>
    <col min="8200" max="8200" width="2.07421875" style="1057" customWidth="1"/>
    <col min="8201" max="8201" width="23.84375" style="1057" customWidth="1"/>
    <col min="8202" max="8202" width="2.07421875" style="1057" customWidth="1"/>
    <col min="8203" max="8203" width="23.84375" style="1057" customWidth="1"/>
    <col min="8204" max="8204" width="2.07421875" style="1057" customWidth="1"/>
    <col min="8205" max="8205" width="23.84375" style="1057" customWidth="1"/>
    <col min="8206" max="8206" width="2.07421875" style="1057" customWidth="1"/>
    <col min="8207" max="8207" width="23.84375" style="1057" customWidth="1"/>
    <col min="8208" max="8208" width="2.84375" style="1057" bestFit="1" customWidth="1"/>
    <col min="8209" max="8447" width="8.84375" style="1057"/>
    <col min="8448" max="8449" width="8.84375" style="1057" customWidth="1"/>
    <col min="8450" max="8450" width="10.07421875" style="1057" customWidth="1"/>
    <col min="8451" max="8451" width="2.07421875" style="1057" customWidth="1"/>
    <col min="8452" max="8452" width="50.4609375" style="1057" customWidth="1"/>
    <col min="8453" max="8453" width="8.84375" style="1057"/>
    <col min="8454" max="8454" width="2.07421875" style="1057" customWidth="1"/>
    <col min="8455" max="8455" width="23.84375" style="1057" customWidth="1"/>
    <col min="8456" max="8456" width="2.07421875" style="1057" customWidth="1"/>
    <col min="8457" max="8457" width="23.84375" style="1057" customWidth="1"/>
    <col min="8458" max="8458" width="2.07421875" style="1057" customWidth="1"/>
    <col min="8459" max="8459" width="23.84375" style="1057" customWidth="1"/>
    <col min="8460" max="8460" width="2.07421875" style="1057" customWidth="1"/>
    <col min="8461" max="8461" width="23.84375" style="1057" customWidth="1"/>
    <col min="8462" max="8462" width="2.07421875" style="1057" customWidth="1"/>
    <col min="8463" max="8463" width="23.84375" style="1057" customWidth="1"/>
    <col min="8464" max="8464" width="2.84375" style="1057" bestFit="1" customWidth="1"/>
    <col min="8465" max="8703" width="8.84375" style="1057"/>
    <col min="8704" max="8705" width="8.84375" style="1057" customWidth="1"/>
    <col min="8706" max="8706" width="10.07421875" style="1057" customWidth="1"/>
    <col min="8707" max="8707" width="2.07421875" style="1057" customWidth="1"/>
    <col min="8708" max="8708" width="50.4609375" style="1057" customWidth="1"/>
    <col min="8709" max="8709" width="8.84375" style="1057"/>
    <col min="8710" max="8710" width="2.07421875" style="1057" customWidth="1"/>
    <col min="8711" max="8711" width="23.84375" style="1057" customWidth="1"/>
    <col min="8712" max="8712" width="2.07421875" style="1057" customWidth="1"/>
    <col min="8713" max="8713" width="23.84375" style="1057" customWidth="1"/>
    <col min="8714" max="8714" width="2.07421875" style="1057" customWidth="1"/>
    <col min="8715" max="8715" width="23.84375" style="1057" customWidth="1"/>
    <col min="8716" max="8716" width="2.07421875" style="1057" customWidth="1"/>
    <col min="8717" max="8717" width="23.84375" style="1057" customWidth="1"/>
    <col min="8718" max="8718" width="2.07421875" style="1057" customWidth="1"/>
    <col min="8719" max="8719" width="23.84375" style="1057" customWidth="1"/>
    <col min="8720" max="8720" width="2.84375" style="1057" bestFit="1" customWidth="1"/>
    <col min="8721" max="8959" width="8.84375" style="1057"/>
    <col min="8960" max="8961" width="8.84375" style="1057" customWidth="1"/>
    <col min="8962" max="8962" width="10.07421875" style="1057" customWidth="1"/>
    <col min="8963" max="8963" width="2.07421875" style="1057" customWidth="1"/>
    <col min="8964" max="8964" width="50.4609375" style="1057" customWidth="1"/>
    <col min="8965" max="8965" width="8.84375" style="1057"/>
    <col min="8966" max="8966" width="2.07421875" style="1057" customWidth="1"/>
    <col min="8967" max="8967" width="23.84375" style="1057" customWidth="1"/>
    <col min="8968" max="8968" width="2.07421875" style="1057" customWidth="1"/>
    <col min="8969" max="8969" width="23.84375" style="1057" customWidth="1"/>
    <col min="8970" max="8970" width="2.07421875" style="1057" customWidth="1"/>
    <col min="8971" max="8971" width="23.84375" style="1057" customWidth="1"/>
    <col min="8972" max="8972" width="2.07421875" style="1057" customWidth="1"/>
    <col min="8973" max="8973" width="23.84375" style="1057" customWidth="1"/>
    <col min="8974" max="8974" width="2.07421875" style="1057" customWidth="1"/>
    <col min="8975" max="8975" width="23.84375" style="1057" customWidth="1"/>
    <col min="8976" max="8976" width="2.84375" style="1057" bestFit="1" customWidth="1"/>
    <col min="8977" max="9215" width="8.84375" style="1057"/>
    <col min="9216" max="9217" width="8.84375" style="1057" customWidth="1"/>
    <col min="9218" max="9218" width="10.07421875" style="1057" customWidth="1"/>
    <col min="9219" max="9219" width="2.07421875" style="1057" customWidth="1"/>
    <col min="9220" max="9220" width="50.4609375" style="1057" customWidth="1"/>
    <col min="9221" max="9221" width="8.84375" style="1057"/>
    <col min="9222" max="9222" width="2.07421875" style="1057" customWidth="1"/>
    <col min="9223" max="9223" width="23.84375" style="1057" customWidth="1"/>
    <col min="9224" max="9224" width="2.07421875" style="1057" customWidth="1"/>
    <col min="9225" max="9225" width="23.84375" style="1057" customWidth="1"/>
    <col min="9226" max="9226" width="2.07421875" style="1057" customWidth="1"/>
    <col min="9227" max="9227" width="23.84375" style="1057" customWidth="1"/>
    <col min="9228" max="9228" width="2.07421875" style="1057" customWidth="1"/>
    <col min="9229" max="9229" width="23.84375" style="1057" customWidth="1"/>
    <col min="9230" max="9230" width="2.07421875" style="1057" customWidth="1"/>
    <col min="9231" max="9231" width="23.84375" style="1057" customWidth="1"/>
    <col min="9232" max="9232" width="2.84375" style="1057" bestFit="1" customWidth="1"/>
    <col min="9233" max="9471" width="8.84375" style="1057"/>
    <col min="9472" max="9473" width="8.84375" style="1057" customWidth="1"/>
    <col min="9474" max="9474" width="10.07421875" style="1057" customWidth="1"/>
    <col min="9475" max="9475" width="2.07421875" style="1057" customWidth="1"/>
    <col min="9476" max="9476" width="50.4609375" style="1057" customWidth="1"/>
    <col min="9477" max="9477" width="8.84375" style="1057"/>
    <col min="9478" max="9478" width="2.07421875" style="1057" customWidth="1"/>
    <col min="9479" max="9479" width="23.84375" style="1057" customWidth="1"/>
    <col min="9480" max="9480" width="2.07421875" style="1057" customWidth="1"/>
    <col min="9481" max="9481" width="23.84375" style="1057" customWidth="1"/>
    <col min="9482" max="9482" width="2.07421875" style="1057" customWidth="1"/>
    <col min="9483" max="9483" width="23.84375" style="1057" customWidth="1"/>
    <col min="9484" max="9484" width="2.07421875" style="1057" customWidth="1"/>
    <col min="9485" max="9485" width="23.84375" style="1057" customWidth="1"/>
    <col min="9486" max="9486" width="2.07421875" style="1057" customWidth="1"/>
    <col min="9487" max="9487" width="23.84375" style="1057" customWidth="1"/>
    <col min="9488" max="9488" width="2.84375" style="1057" bestFit="1" customWidth="1"/>
    <col min="9489" max="9727" width="8.84375" style="1057"/>
    <col min="9728" max="9729" width="8.84375" style="1057" customWidth="1"/>
    <col min="9730" max="9730" width="10.07421875" style="1057" customWidth="1"/>
    <col min="9731" max="9731" width="2.07421875" style="1057" customWidth="1"/>
    <col min="9732" max="9732" width="50.4609375" style="1057" customWidth="1"/>
    <col min="9733" max="9733" width="8.84375" style="1057"/>
    <col min="9734" max="9734" width="2.07421875" style="1057" customWidth="1"/>
    <col min="9735" max="9735" width="23.84375" style="1057" customWidth="1"/>
    <col min="9736" max="9736" width="2.07421875" style="1057" customWidth="1"/>
    <col min="9737" max="9737" width="23.84375" style="1057" customWidth="1"/>
    <col min="9738" max="9738" width="2.07421875" style="1057" customWidth="1"/>
    <col min="9739" max="9739" width="23.84375" style="1057" customWidth="1"/>
    <col min="9740" max="9740" width="2.07421875" style="1057" customWidth="1"/>
    <col min="9741" max="9741" width="23.84375" style="1057" customWidth="1"/>
    <col min="9742" max="9742" width="2.07421875" style="1057" customWidth="1"/>
    <col min="9743" max="9743" width="23.84375" style="1057" customWidth="1"/>
    <col min="9744" max="9744" width="2.84375" style="1057" bestFit="1" customWidth="1"/>
    <col min="9745" max="9983" width="8.84375" style="1057"/>
    <col min="9984" max="9985" width="8.84375" style="1057" customWidth="1"/>
    <col min="9986" max="9986" width="10.07421875" style="1057" customWidth="1"/>
    <col min="9987" max="9987" width="2.07421875" style="1057" customWidth="1"/>
    <col min="9988" max="9988" width="50.4609375" style="1057" customWidth="1"/>
    <col min="9989" max="9989" width="8.84375" style="1057"/>
    <col min="9990" max="9990" width="2.07421875" style="1057" customWidth="1"/>
    <col min="9991" max="9991" width="23.84375" style="1057" customWidth="1"/>
    <col min="9992" max="9992" width="2.07421875" style="1057" customWidth="1"/>
    <col min="9993" max="9993" width="23.84375" style="1057" customWidth="1"/>
    <col min="9994" max="9994" width="2.07421875" style="1057" customWidth="1"/>
    <col min="9995" max="9995" width="23.84375" style="1057" customWidth="1"/>
    <col min="9996" max="9996" width="2.07421875" style="1057" customWidth="1"/>
    <col min="9997" max="9997" width="23.84375" style="1057" customWidth="1"/>
    <col min="9998" max="9998" width="2.07421875" style="1057" customWidth="1"/>
    <col min="9999" max="9999" width="23.84375" style="1057" customWidth="1"/>
    <col min="10000" max="10000" width="2.84375" style="1057" bestFit="1" customWidth="1"/>
    <col min="10001" max="10239" width="8.84375" style="1057"/>
    <col min="10240" max="10241" width="8.84375" style="1057" customWidth="1"/>
    <col min="10242" max="10242" width="10.07421875" style="1057" customWidth="1"/>
    <col min="10243" max="10243" width="2.07421875" style="1057" customWidth="1"/>
    <col min="10244" max="10244" width="50.4609375" style="1057" customWidth="1"/>
    <col min="10245" max="10245" width="8.84375" style="1057"/>
    <col min="10246" max="10246" width="2.07421875" style="1057" customWidth="1"/>
    <col min="10247" max="10247" width="23.84375" style="1057" customWidth="1"/>
    <col min="10248" max="10248" width="2.07421875" style="1057" customWidth="1"/>
    <col min="10249" max="10249" width="23.84375" style="1057" customWidth="1"/>
    <col min="10250" max="10250" width="2.07421875" style="1057" customWidth="1"/>
    <col min="10251" max="10251" width="23.84375" style="1057" customWidth="1"/>
    <col min="10252" max="10252" width="2.07421875" style="1057" customWidth="1"/>
    <col min="10253" max="10253" width="23.84375" style="1057" customWidth="1"/>
    <col min="10254" max="10254" width="2.07421875" style="1057" customWidth="1"/>
    <col min="10255" max="10255" width="23.84375" style="1057" customWidth="1"/>
    <col min="10256" max="10256" width="2.84375" style="1057" bestFit="1" customWidth="1"/>
    <col min="10257" max="10495" width="8.84375" style="1057"/>
    <col min="10496" max="10497" width="8.84375" style="1057" customWidth="1"/>
    <col min="10498" max="10498" width="10.07421875" style="1057" customWidth="1"/>
    <col min="10499" max="10499" width="2.07421875" style="1057" customWidth="1"/>
    <col min="10500" max="10500" width="50.4609375" style="1057" customWidth="1"/>
    <col min="10501" max="10501" width="8.84375" style="1057"/>
    <col min="10502" max="10502" width="2.07421875" style="1057" customWidth="1"/>
    <col min="10503" max="10503" width="23.84375" style="1057" customWidth="1"/>
    <col min="10504" max="10504" width="2.07421875" style="1057" customWidth="1"/>
    <col min="10505" max="10505" width="23.84375" style="1057" customWidth="1"/>
    <col min="10506" max="10506" width="2.07421875" style="1057" customWidth="1"/>
    <col min="10507" max="10507" width="23.84375" style="1057" customWidth="1"/>
    <col min="10508" max="10508" width="2.07421875" style="1057" customWidth="1"/>
    <col min="10509" max="10509" width="23.84375" style="1057" customWidth="1"/>
    <col min="10510" max="10510" width="2.07421875" style="1057" customWidth="1"/>
    <col min="10511" max="10511" width="23.84375" style="1057" customWidth="1"/>
    <col min="10512" max="10512" width="2.84375" style="1057" bestFit="1" customWidth="1"/>
    <col min="10513" max="10751" width="8.84375" style="1057"/>
    <col min="10752" max="10753" width="8.84375" style="1057" customWidth="1"/>
    <col min="10754" max="10754" width="10.07421875" style="1057" customWidth="1"/>
    <col min="10755" max="10755" width="2.07421875" style="1057" customWidth="1"/>
    <col min="10756" max="10756" width="50.4609375" style="1057" customWidth="1"/>
    <col min="10757" max="10757" width="8.84375" style="1057"/>
    <col min="10758" max="10758" width="2.07421875" style="1057" customWidth="1"/>
    <col min="10759" max="10759" width="23.84375" style="1057" customWidth="1"/>
    <col min="10760" max="10760" width="2.07421875" style="1057" customWidth="1"/>
    <col min="10761" max="10761" width="23.84375" style="1057" customWidth="1"/>
    <col min="10762" max="10762" width="2.07421875" style="1057" customWidth="1"/>
    <col min="10763" max="10763" width="23.84375" style="1057" customWidth="1"/>
    <col min="10764" max="10764" width="2.07421875" style="1057" customWidth="1"/>
    <col min="10765" max="10765" width="23.84375" style="1057" customWidth="1"/>
    <col min="10766" max="10766" width="2.07421875" style="1057" customWidth="1"/>
    <col min="10767" max="10767" width="23.84375" style="1057" customWidth="1"/>
    <col min="10768" max="10768" width="2.84375" style="1057" bestFit="1" customWidth="1"/>
    <col min="10769" max="11007" width="8.84375" style="1057"/>
    <col min="11008" max="11009" width="8.84375" style="1057" customWidth="1"/>
    <col min="11010" max="11010" width="10.07421875" style="1057" customWidth="1"/>
    <col min="11011" max="11011" width="2.07421875" style="1057" customWidth="1"/>
    <col min="11012" max="11012" width="50.4609375" style="1057" customWidth="1"/>
    <col min="11013" max="11013" width="8.84375" style="1057"/>
    <col min="11014" max="11014" width="2.07421875" style="1057" customWidth="1"/>
    <col min="11015" max="11015" width="23.84375" style="1057" customWidth="1"/>
    <col min="11016" max="11016" width="2.07421875" style="1057" customWidth="1"/>
    <col min="11017" max="11017" width="23.84375" style="1057" customWidth="1"/>
    <col min="11018" max="11018" width="2.07421875" style="1057" customWidth="1"/>
    <col min="11019" max="11019" width="23.84375" style="1057" customWidth="1"/>
    <col min="11020" max="11020" width="2.07421875" style="1057" customWidth="1"/>
    <col min="11021" max="11021" width="23.84375" style="1057" customWidth="1"/>
    <col min="11022" max="11022" width="2.07421875" style="1057" customWidth="1"/>
    <col min="11023" max="11023" width="23.84375" style="1057" customWidth="1"/>
    <col min="11024" max="11024" width="2.84375" style="1057" bestFit="1" customWidth="1"/>
    <col min="11025" max="11263" width="8.84375" style="1057"/>
    <col min="11264" max="11265" width="8.84375" style="1057" customWidth="1"/>
    <col min="11266" max="11266" width="10.07421875" style="1057" customWidth="1"/>
    <col min="11267" max="11267" width="2.07421875" style="1057" customWidth="1"/>
    <col min="11268" max="11268" width="50.4609375" style="1057" customWidth="1"/>
    <col min="11269" max="11269" width="8.84375" style="1057"/>
    <col min="11270" max="11270" width="2.07421875" style="1057" customWidth="1"/>
    <col min="11271" max="11271" width="23.84375" style="1057" customWidth="1"/>
    <col min="11272" max="11272" width="2.07421875" style="1057" customWidth="1"/>
    <col min="11273" max="11273" width="23.84375" style="1057" customWidth="1"/>
    <col min="11274" max="11274" width="2.07421875" style="1057" customWidth="1"/>
    <col min="11275" max="11275" width="23.84375" style="1057" customWidth="1"/>
    <col min="11276" max="11276" width="2.07421875" style="1057" customWidth="1"/>
    <col min="11277" max="11277" width="23.84375" style="1057" customWidth="1"/>
    <col min="11278" max="11278" width="2.07421875" style="1057" customWidth="1"/>
    <col min="11279" max="11279" width="23.84375" style="1057" customWidth="1"/>
    <col min="11280" max="11280" width="2.84375" style="1057" bestFit="1" customWidth="1"/>
    <col min="11281" max="11519" width="8.84375" style="1057"/>
    <col min="11520" max="11521" width="8.84375" style="1057" customWidth="1"/>
    <col min="11522" max="11522" width="10.07421875" style="1057" customWidth="1"/>
    <col min="11523" max="11523" width="2.07421875" style="1057" customWidth="1"/>
    <col min="11524" max="11524" width="50.4609375" style="1057" customWidth="1"/>
    <col min="11525" max="11525" width="8.84375" style="1057"/>
    <col min="11526" max="11526" width="2.07421875" style="1057" customWidth="1"/>
    <col min="11527" max="11527" width="23.84375" style="1057" customWidth="1"/>
    <col min="11528" max="11528" width="2.07421875" style="1057" customWidth="1"/>
    <col min="11529" max="11529" width="23.84375" style="1057" customWidth="1"/>
    <col min="11530" max="11530" width="2.07421875" style="1057" customWidth="1"/>
    <col min="11531" max="11531" width="23.84375" style="1057" customWidth="1"/>
    <col min="11532" max="11532" width="2.07421875" style="1057" customWidth="1"/>
    <col min="11533" max="11533" width="23.84375" style="1057" customWidth="1"/>
    <col min="11534" max="11534" width="2.07421875" style="1057" customWidth="1"/>
    <col min="11535" max="11535" width="23.84375" style="1057" customWidth="1"/>
    <col min="11536" max="11536" width="2.84375" style="1057" bestFit="1" customWidth="1"/>
    <col min="11537" max="11775" width="8.84375" style="1057"/>
    <col min="11776" max="11777" width="8.84375" style="1057" customWidth="1"/>
    <col min="11778" max="11778" width="10.07421875" style="1057" customWidth="1"/>
    <col min="11779" max="11779" width="2.07421875" style="1057" customWidth="1"/>
    <col min="11780" max="11780" width="50.4609375" style="1057" customWidth="1"/>
    <col min="11781" max="11781" width="8.84375" style="1057"/>
    <col min="11782" max="11782" width="2.07421875" style="1057" customWidth="1"/>
    <col min="11783" max="11783" width="23.84375" style="1057" customWidth="1"/>
    <col min="11784" max="11784" width="2.07421875" style="1057" customWidth="1"/>
    <col min="11785" max="11785" width="23.84375" style="1057" customWidth="1"/>
    <col min="11786" max="11786" width="2.07421875" style="1057" customWidth="1"/>
    <col min="11787" max="11787" width="23.84375" style="1057" customWidth="1"/>
    <col min="11788" max="11788" width="2.07421875" style="1057" customWidth="1"/>
    <col min="11789" max="11789" width="23.84375" style="1057" customWidth="1"/>
    <col min="11790" max="11790" width="2.07421875" style="1057" customWidth="1"/>
    <col min="11791" max="11791" width="23.84375" style="1057" customWidth="1"/>
    <col min="11792" max="11792" width="2.84375" style="1057" bestFit="1" customWidth="1"/>
    <col min="11793" max="12031" width="8.84375" style="1057"/>
    <col min="12032" max="12033" width="8.84375" style="1057" customWidth="1"/>
    <col min="12034" max="12034" width="10.07421875" style="1057" customWidth="1"/>
    <col min="12035" max="12035" width="2.07421875" style="1057" customWidth="1"/>
    <col min="12036" max="12036" width="50.4609375" style="1057" customWidth="1"/>
    <col min="12037" max="12037" width="8.84375" style="1057"/>
    <col min="12038" max="12038" width="2.07421875" style="1057" customWidth="1"/>
    <col min="12039" max="12039" width="23.84375" style="1057" customWidth="1"/>
    <col min="12040" max="12040" width="2.07421875" style="1057" customWidth="1"/>
    <col min="12041" max="12041" width="23.84375" style="1057" customWidth="1"/>
    <col min="12042" max="12042" width="2.07421875" style="1057" customWidth="1"/>
    <col min="12043" max="12043" width="23.84375" style="1057" customWidth="1"/>
    <col min="12044" max="12044" width="2.07421875" style="1057" customWidth="1"/>
    <col min="12045" max="12045" width="23.84375" style="1057" customWidth="1"/>
    <col min="12046" max="12046" width="2.07421875" style="1057" customWidth="1"/>
    <col min="12047" max="12047" width="23.84375" style="1057" customWidth="1"/>
    <col min="12048" max="12048" width="2.84375" style="1057" bestFit="1" customWidth="1"/>
    <col min="12049" max="12287" width="8.84375" style="1057"/>
    <col min="12288" max="12289" width="8.84375" style="1057" customWidth="1"/>
    <col min="12290" max="12290" width="10.07421875" style="1057" customWidth="1"/>
    <col min="12291" max="12291" width="2.07421875" style="1057" customWidth="1"/>
    <col min="12292" max="12292" width="50.4609375" style="1057" customWidth="1"/>
    <col min="12293" max="12293" width="8.84375" style="1057"/>
    <col min="12294" max="12294" width="2.07421875" style="1057" customWidth="1"/>
    <col min="12295" max="12295" width="23.84375" style="1057" customWidth="1"/>
    <col min="12296" max="12296" width="2.07421875" style="1057" customWidth="1"/>
    <col min="12297" max="12297" width="23.84375" style="1057" customWidth="1"/>
    <col min="12298" max="12298" width="2.07421875" style="1057" customWidth="1"/>
    <col min="12299" max="12299" width="23.84375" style="1057" customWidth="1"/>
    <col min="12300" max="12300" width="2.07421875" style="1057" customWidth="1"/>
    <col min="12301" max="12301" width="23.84375" style="1057" customWidth="1"/>
    <col min="12302" max="12302" width="2.07421875" style="1057" customWidth="1"/>
    <col min="12303" max="12303" width="23.84375" style="1057" customWidth="1"/>
    <col min="12304" max="12304" width="2.84375" style="1057" bestFit="1" customWidth="1"/>
    <col min="12305" max="12543" width="8.84375" style="1057"/>
    <col min="12544" max="12545" width="8.84375" style="1057" customWidth="1"/>
    <col min="12546" max="12546" width="10.07421875" style="1057" customWidth="1"/>
    <col min="12547" max="12547" width="2.07421875" style="1057" customWidth="1"/>
    <col min="12548" max="12548" width="50.4609375" style="1057" customWidth="1"/>
    <col min="12549" max="12549" width="8.84375" style="1057"/>
    <col min="12550" max="12550" width="2.07421875" style="1057" customWidth="1"/>
    <col min="12551" max="12551" width="23.84375" style="1057" customWidth="1"/>
    <col min="12552" max="12552" width="2.07421875" style="1057" customWidth="1"/>
    <col min="12553" max="12553" width="23.84375" style="1057" customWidth="1"/>
    <col min="12554" max="12554" width="2.07421875" style="1057" customWidth="1"/>
    <col min="12555" max="12555" width="23.84375" style="1057" customWidth="1"/>
    <col min="12556" max="12556" width="2.07421875" style="1057" customWidth="1"/>
    <col min="12557" max="12557" width="23.84375" style="1057" customWidth="1"/>
    <col min="12558" max="12558" width="2.07421875" style="1057" customWidth="1"/>
    <col min="12559" max="12559" width="23.84375" style="1057" customWidth="1"/>
    <col min="12560" max="12560" width="2.84375" style="1057" bestFit="1" customWidth="1"/>
    <col min="12561" max="12799" width="8.84375" style="1057"/>
    <col min="12800" max="12801" width="8.84375" style="1057" customWidth="1"/>
    <col min="12802" max="12802" width="10.07421875" style="1057" customWidth="1"/>
    <col min="12803" max="12803" width="2.07421875" style="1057" customWidth="1"/>
    <col min="12804" max="12804" width="50.4609375" style="1057" customWidth="1"/>
    <col min="12805" max="12805" width="8.84375" style="1057"/>
    <col min="12806" max="12806" width="2.07421875" style="1057" customWidth="1"/>
    <col min="12807" max="12807" width="23.84375" style="1057" customWidth="1"/>
    <col min="12808" max="12808" width="2.07421875" style="1057" customWidth="1"/>
    <col min="12809" max="12809" width="23.84375" style="1057" customWidth="1"/>
    <col min="12810" max="12810" width="2.07421875" style="1057" customWidth="1"/>
    <col min="12811" max="12811" width="23.84375" style="1057" customWidth="1"/>
    <col min="12812" max="12812" width="2.07421875" style="1057" customWidth="1"/>
    <col min="12813" max="12813" width="23.84375" style="1057" customWidth="1"/>
    <col min="12814" max="12814" width="2.07421875" style="1057" customWidth="1"/>
    <col min="12815" max="12815" width="23.84375" style="1057" customWidth="1"/>
    <col min="12816" max="12816" width="2.84375" style="1057" bestFit="1" customWidth="1"/>
    <col min="12817" max="13055" width="8.84375" style="1057"/>
    <col min="13056" max="13057" width="8.84375" style="1057" customWidth="1"/>
    <col min="13058" max="13058" width="10.07421875" style="1057" customWidth="1"/>
    <col min="13059" max="13059" width="2.07421875" style="1057" customWidth="1"/>
    <col min="13060" max="13060" width="50.4609375" style="1057" customWidth="1"/>
    <col min="13061" max="13061" width="8.84375" style="1057"/>
    <col min="13062" max="13062" width="2.07421875" style="1057" customWidth="1"/>
    <col min="13063" max="13063" width="23.84375" style="1057" customWidth="1"/>
    <col min="13064" max="13064" width="2.07421875" style="1057" customWidth="1"/>
    <col min="13065" max="13065" width="23.84375" style="1057" customWidth="1"/>
    <col min="13066" max="13066" width="2.07421875" style="1057" customWidth="1"/>
    <col min="13067" max="13067" width="23.84375" style="1057" customWidth="1"/>
    <col min="13068" max="13068" width="2.07421875" style="1057" customWidth="1"/>
    <col min="13069" max="13069" width="23.84375" style="1057" customWidth="1"/>
    <col min="13070" max="13070" width="2.07421875" style="1057" customWidth="1"/>
    <col min="13071" max="13071" width="23.84375" style="1057" customWidth="1"/>
    <col min="13072" max="13072" width="2.84375" style="1057" bestFit="1" customWidth="1"/>
    <col min="13073" max="13311" width="8.84375" style="1057"/>
    <col min="13312" max="13313" width="8.84375" style="1057" customWidth="1"/>
    <col min="13314" max="13314" width="10.07421875" style="1057" customWidth="1"/>
    <col min="13315" max="13315" width="2.07421875" style="1057" customWidth="1"/>
    <col min="13316" max="13316" width="50.4609375" style="1057" customWidth="1"/>
    <col min="13317" max="13317" width="8.84375" style="1057"/>
    <col min="13318" max="13318" width="2.07421875" style="1057" customWidth="1"/>
    <col min="13319" max="13319" width="23.84375" style="1057" customWidth="1"/>
    <col min="13320" max="13320" width="2.07421875" style="1057" customWidth="1"/>
    <col min="13321" max="13321" width="23.84375" style="1057" customWidth="1"/>
    <col min="13322" max="13322" width="2.07421875" style="1057" customWidth="1"/>
    <col min="13323" max="13323" width="23.84375" style="1057" customWidth="1"/>
    <col min="13324" max="13324" width="2.07421875" style="1057" customWidth="1"/>
    <col min="13325" max="13325" width="23.84375" style="1057" customWidth="1"/>
    <col min="13326" max="13326" width="2.07421875" style="1057" customWidth="1"/>
    <col min="13327" max="13327" width="23.84375" style="1057" customWidth="1"/>
    <col min="13328" max="13328" width="2.84375" style="1057" bestFit="1" customWidth="1"/>
    <col min="13329" max="13567" width="8.84375" style="1057"/>
    <col min="13568" max="13569" width="8.84375" style="1057" customWidth="1"/>
    <col min="13570" max="13570" width="10.07421875" style="1057" customWidth="1"/>
    <col min="13571" max="13571" width="2.07421875" style="1057" customWidth="1"/>
    <col min="13572" max="13572" width="50.4609375" style="1057" customWidth="1"/>
    <col min="13573" max="13573" width="8.84375" style="1057"/>
    <col min="13574" max="13574" width="2.07421875" style="1057" customWidth="1"/>
    <col min="13575" max="13575" width="23.84375" style="1057" customWidth="1"/>
    <col min="13576" max="13576" width="2.07421875" style="1057" customWidth="1"/>
    <col min="13577" max="13577" width="23.84375" style="1057" customWidth="1"/>
    <col min="13578" max="13578" width="2.07421875" style="1057" customWidth="1"/>
    <col min="13579" max="13579" width="23.84375" style="1057" customWidth="1"/>
    <col min="13580" max="13580" width="2.07421875" style="1057" customWidth="1"/>
    <col min="13581" max="13581" width="23.84375" style="1057" customWidth="1"/>
    <col min="13582" max="13582" width="2.07421875" style="1057" customWidth="1"/>
    <col min="13583" max="13583" width="23.84375" style="1057" customWidth="1"/>
    <col min="13584" max="13584" width="2.84375" style="1057" bestFit="1" customWidth="1"/>
    <col min="13585" max="13823" width="8.84375" style="1057"/>
    <col min="13824" max="13825" width="8.84375" style="1057" customWidth="1"/>
    <col min="13826" max="13826" width="10.07421875" style="1057" customWidth="1"/>
    <col min="13827" max="13827" width="2.07421875" style="1057" customWidth="1"/>
    <col min="13828" max="13828" width="50.4609375" style="1057" customWidth="1"/>
    <col min="13829" max="13829" width="8.84375" style="1057"/>
    <col min="13830" max="13830" width="2.07421875" style="1057" customWidth="1"/>
    <col min="13831" max="13831" width="23.84375" style="1057" customWidth="1"/>
    <col min="13832" max="13832" width="2.07421875" style="1057" customWidth="1"/>
    <col min="13833" max="13833" width="23.84375" style="1057" customWidth="1"/>
    <col min="13834" max="13834" width="2.07421875" style="1057" customWidth="1"/>
    <col min="13835" max="13835" width="23.84375" style="1057" customWidth="1"/>
    <col min="13836" max="13836" width="2.07421875" style="1057" customWidth="1"/>
    <col min="13837" max="13837" width="23.84375" style="1057" customWidth="1"/>
    <col min="13838" max="13838" width="2.07421875" style="1057" customWidth="1"/>
    <col min="13839" max="13839" width="23.84375" style="1057" customWidth="1"/>
    <col min="13840" max="13840" width="2.84375" style="1057" bestFit="1" customWidth="1"/>
    <col min="13841" max="14079" width="8.84375" style="1057"/>
    <col min="14080" max="14081" width="8.84375" style="1057" customWidth="1"/>
    <col min="14082" max="14082" width="10.07421875" style="1057" customWidth="1"/>
    <col min="14083" max="14083" width="2.07421875" style="1057" customWidth="1"/>
    <col min="14084" max="14084" width="50.4609375" style="1057" customWidth="1"/>
    <col min="14085" max="14085" width="8.84375" style="1057"/>
    <col min="14086" max="14086" width="2.07421875" style="1057" customWidth="1"/>
    <col min="14087" max="14087" width="23.84375" style="1057" customWidth="1"/>
    <col min="14088" max="14088" width="2.07421875" style="1057" customWidth="1"/>
    <col min="14089" max="14089" width="23.84375" style="1057" customWidth="1"/>
    <col min="14090" max="14090" width="2.07421875" style="1057" customWidth="1"/>
    <col min="14091" max="14091" width="23.84375" style="1057" customWidth="1"/>
    <col min="14092" max="14092" width="2.07421875" style="1057" customWidth="1"/>
    <col min="14093" max="14093" width="23.84375" style="1057" customWidth="1"/>
    <col min="14094" max="14094" width="2.07421875" style="1057" customWidth="1"/>
    <col min="14095" max="14095" width="23.84375" style="1057" customWidth="1"/>
    <col min="14096" max="14096" width="2.84375" style="1057" bestFit="1" customWidth="1"/>
    <col min="14097" max="14335" width="8.84375" style="1057"/>
    <col min="14336" max="14337" width="8.84375" style="1057" customWidth="1"/>
    <col min="14338" max="14338" width="10.07421875" style="1057" customWidth="1"/>
    <col min="14339" max="14339" width="2.07421875" style="1057" customWidth="1"/>
    <col min="14340" max="14340" width="50.4609375" style="1057" customWidth="1"/>
    <col min="14341" max="14341" width="8.84375" style="1057"/>
    <col min="14342" max="14342" width="2.07421875" style="1057" customWidth="1"/>
    <col min="14343" max="14343" width="23.84375" style="1057" customWidth="1"/>
    <col min="14344" max="14344" width="2.07421875" style="1057" customWidth="1"/>
    <col min="14345" max="14345" width="23.84375" style="1057" customWidth="1"/>
    <col min="14346" max="14346" width="2.07421875" style="1057" customWidth="1"/>
    <col min="14347" max="14347" width="23.84375" style="1057" customWidth="1"/>
    <col min="14348" max="14348" width="2.07421875" style="1057" customWidth="1"/>
    <col min="14349" max="14349" width="23.84375" style="1057" customWidth="1"/>
    <col min="14350" max="14350" width="2.07421875" style="1057" customWidth="1"/>
    <col min="14351" max="14351" width="23.84375" style="1057" customWidth="1"/>
    <col min="14352" max="14352" width="2.84375" style="1057" bestFit="1" customWidth="1"/>
    <col min="14353" max="14591" width="8.84375" style="1057"/>
    <col min="14592" max="14593" width="8.84375" style="1057" customWidth="1"/>
    <col min="14594" max="14594" width="10.07421875" style="1057" customWidth="1"/>
    <col min="14595" max="14595" width="2.07421875" style="1057" customWidth="1"/>
    <col min="14596" max="14596" width="50.4609375" style="1057" customWidth="1"/>
    <col min="14597" max="14597" width="8.84375" style="1057"/>
    <col min="14598" max="14598" width="2.07421875" style="1057" customWidth="1"/>
    <col min="14599" max="14599" width="23.84375" style="1057" customWidth="1"/>
    <col min="14600" max="14600" width="2.07421875" style="1057" customWidth="1"/>
    <col min="14601" max="14601" width="23.84375" style="1057" customWidth="1"/>
    <col min="14602" max="14602" width="2.07421875" style="1057" customWidth="1"/>
    <col min="14603" max="14603" width="23.84375" style="1057" customWidth="1"/>
    <col min="14604" max="14604" width="2.07421875" style="1057" customWidth="1"/>
    <col min="14605" max="14605" width="23.84375" style="1057" customWidth="1"/>
    <col min="14606" max="14606" width="2.07421875" style="1057" customWidth="1"/>
    <col min="14607" max="14607" width="23.84375" style="1057" customWidth="1"/>
    <col min="14608" max="14608" width="2.84375" style="1057" bestFit="1" customWidth="1"/>
    <col min="14609" max="14847" width="8.84375" style="1057"/>
    <col min="14848" max="14849" width="8.84375" style="1057" customWidth="1"/>
    <col min="14850" max="14850" width="10.07421875" style="1057" customWidth="1"/>
    <col min="14851" max="14851" width="2.07421875" style="1057" customWidth="1"/>
    <col min="14852" max="14852" width="50.4609375" style="1057" customWidth="1"/>
    <col min="14853" max="14853" width="8.84375" style="1057"/>
    <col min="14854" max="14854" width="2.07421875" style="1057" customWidth="1"/>
    <col min="14855" max="14855" width="23.84375" style="1057" customWidth="1"/>
    <col min="14856" max="14856" width="2.07421875" style="1057" customWidth="1"/>
    <col min="14857" max="14857" width="23.84375" style="1057" customWidth="1"/>
    <col min="14858" max="14858" width="2.07421875" style="1057" customWidth="1"/>
    <col min="14859" max="14859" width="23.84375" style="1057" customWidth="1"/>
    <col min="14860" max="14860" width="2.07421875" style="1057" customWidth="1"/>
    <col min="14861" max="14861" width="23.84375" style="1057" customWidth="1"/>
    <col min="14862" max="14862" width="2.07421875" style="1057" customWidth="1"/>
    <col min="14863" max="14863" width="23.84375" style="1057" customWidth="1"/>
    <col min="14864" max="14864" width="2.84375" style="1057" bestFit="1" customWidth="1"/>
    <col min="14865" max="15103" width="8.84375" style="1057"/>
    <col min="15104" max="15105" width="8.84375" style="1057" customWidth="1"/>
    <col min="15106" max="15106" width="10.07421875" style="1057" customWidth="1"/>
    <col min="15107" max="15107" width="2.07421875" style="1057" customWidth="1"/>
    <col min="15108" max="15108" width="50.4609375" style="1057" customWidth="1"/>
    <col min="15109" max="15109" width="8.84375" style="1057"/>
    <col min="15110" max="15110" width="2.07421875" style="1057" customWidth="1"/>
    <col min="15111" max="15111" width="23.84375" style="1057" customWidth="1"/>
    <col min="15112" max="15112" width="2.07421875" style="1057" customWidth="1"/>
    <col min="15113" max="15113" width="23.84375" style="1057" customWidth="1"/>
    <col min="15114" max="15114" width="2.07421875" style="1057" customWidth="1"/>
    <col min="15115" max="15115" width="23.84375" style="1057" customWidth="1"/>
    <col min="15116" max="15116" width="2.07421875" style="1057" customWidth="1"/>
    <col min="15117" max="15117" width="23.84375" style="1057" customWidth="1"/>
    <col min="15118" max="15118" width="2.07421875" style="1057" customWidth="1"/>
    <col min="15119" max="15119" width="23.84375" style="1057" customWidth="1"/>
    <col min="15120" max="15120" width="2.84375" style="1057" bestFit="1" customWidth="1"/>
    <col min="15121" max="15359" width="8.84375" style="1057"/>
    <col min="15360" max="15361" width="8.84375" style="1057" customWidth="1"/>
    <col min="15362" max="15362" width="10.07421875" style="1057" customWidth="1"/>
    <col min="15363" max="15363" width="2.07421875" style="1057" customWidth="1"/>
    <col min="15364" max="15364" width="50.4609375" style="1057" customWidth="1"/>
    <col min="15365" max="15365" width="8.84375" style="1057"/>
    <col min="15366" max="15366" width="2.07421875" style="1057" customWidth="1"/>
    <col min="15367" max="15367" width="23.84375" style="1057" customWidth="1"/>
    <col min="15368" max="15368" width="2.07421875" style="1057" customWidth="1"/>
    <col min="15369" max="15369" width="23.84375" style="1057" customWidth="1"/>
    <col min="15370" max="15370" width="2.07421875" style="1057" customWidth="1"/>
    <col min="15371" max="15371" width="23.84375" style="1057" customWidth="1"/>
    <col min="15372" max="15372" width="2.07421875" style="1057" customWidth="1"/>
    <col min="15373" max="15373" width="23.84375" style="1057" customWidth="1"/>
    <col min="15374" max="15374" width="2.07421875" style="1057" customWidth="1"/>
    <col min="15375" max="15375" width="23.84375" style="1057" customWidth="1"/>
    <col min="15376" max="15376" width="2.84375" style="1057" bestFit="1" customWidth="1"/>
    <col min="15377" max="15615" width="8.84375" style="1057"/>
    <col min="15616" max="15617" width="8.84375" style="1057" customWidth="1"/>
    <col min="15618" max="15618" width="10.07421875" style="1057" customWidth="1"/>
    <col min="15619" max="15619" width="2.07421875" style="1057" customWidth="1"/>
    <col min="15620" max="15620" width="50.4609375" style="1057" customWidth="1"/>
    <col min="15621" max="15621" width="8.84375" style="1057"/>
    <col min="15622" max="15622" width="2.07421875" style="1057" customWidth="1"/>
    <col min="15623" max="15623" width="23.84375" style="1057" customWidth="1"/>
    <col min="15624" max="15624" width="2.07421875" style="1057" customWidth="1"/>
    <col min="15625" max="15625" width="23.84375" style="1057" customWidth="1"/>
    <col min="15626" max="15626" width="2.07421875" style="1057" customWidth="1"/>
    <col min="15627" max="15627" width="23.84375" style="1057" customWidth="1"/>
    <col min="15628" max="15628" width="2.07421875" style="1057" customWidth="1"/>
    <col min="15629" max="15629" width="23.84375" style="1057" customWidth="1"/>
    <col min="15630" max="15630" width="2.07421875" style="1057" customWidth="1"/>
    <col min="15631" max="15631" width="23.84375" style="1057" customWidth="1"/>
    <col min="15632" max="15632" width="2.84375" style="1057" bestFit="1" customWidth="1"/>
    <col min="15633" max="15871" width="8.84375" style="1057"/>
    <col min="15872" max="15873" width="8.84375" style="1057" customWidth="1"/>
    <col min="15874" max="15874" width="10.07421875" style="1057" customWidth="1"/>
    <col min="15875" max="15875" width="2.07421875" style="1057" customWidth="1"/>
    <col min="15876" max="15876" width="50.4609375" style="1057" customWidth="1"/>
    <col min="15877" max="15877" width="8.84375" style="1057"/>
    <col min="15878" max="15878" width="2.07421875" style="1057" customWidth="1"/>
    <col min="15879" max="15879" width="23.84375" style="1057" customWidth="1"/>
    <col min="15880" max="15880" width="2.07421875" style="1057" customWidth="1"/>
    <col min="15881" max="15881" width="23.84375" style="1057" customWidth="1"/>
    <col min="15882" max="15882" width="2.07421875" style="1057" customWidth="1"/>
    <col min="15883" max="15883" width="23.84375" style="1057" customWidth="1"/>
    <col min="15884" max="15884" width="2.07421875" style="1057" customWidth="1"/>
    <col min="15885" max="15885" width="23.84375" style="1057" customWidth="1"/>
    <col min="15886" max="15886" width="2.07421875" style="1057" customWidth="1"/>
    <col min="15887" max="15887" width="23.84375" style="1057" customWidth="1"/>
    <col min="15888" max="15888" width="2.84375" style="1057" bestFit="1" customWidth="1"/>
    <col min="15889" max="16127" width="8.84375" style="1057"/>
    <col min="16128" max="16129" width="8.84375" style="1057" customWidth="1"/>
    <col min="16130" max="16130" width="10.07421875" style="1057" customWidth="1"/>
    <col min="16131" max="16131" width="2.07421875" style="1057" customWidth="1"/>
    <col min="16132" max="16132" width="50.4609375" style="1057" customWidth="1"/>
    <col min="16133" max="16133" width="8.84375" style="1057"/>
    <col min="16134" max="16134" width="2.07421875" style="1057" customWidth="1"/>
    <col min="16135" max="16135" width="23.84375" style="1057" customWidth="1"/>
    <col min="16136" max="16136" width="2.07421875" style="1057" customWidth="1"/>
    <col min="16137" max="16137" width="23.84375" style="1057" customWidth="1"/>
    <col min="16138" max="16138" width="2.07421875" style="1057" customWidth="1"/>
    <col min="16139" max="16139" width="23.84375" style="1057" customWidth="1"/>
    <col min="16140" max="16140" width="2.07421875" style="1057" customWidth="1"/>
    <col min="16141" max="16141" width="23.84375" style="1057" customWidth="1"/>
    <col min="16142" max="16142" width="2.07421875" style="1057" customWidth="1"/>
    <col min="16143" max="16143" width="23.84375" style="1057" customWidth="1"/>
    <col min="16144" max="16144" width="2.84375" style="1057" bestFit="1" customWidth="1"/>
    <col min="16145" max="16384" width="8.84375" style="1057"/>
  </cols>
  <sheetData>
    <row r="1" spans="2:31" ht="15.5">
      <c r="B1" s="554"/>
      <c r="C1" s="554"/>
      <c r="D1" s="345" t="s">
        <v>98</v>
      </c>
      <c r="E1" s="554"/>
      <c r="F1" s="1056"/>
      <c r="G1" s="554"/>
      <c r="H1" s="554"/>
      <c r="I1" s="554"/>
      <c r="J1" s="554"/>
      <c r="K1" s="554"/>
      <c r="L1" s="554"/>
      <c r="M1" s="554"/>
      <c r="N1" s="554"/>
      <c r="O1" s="1669"/>
      <c r="P1" s="1058"/>
      <c r="Q1" s="1669"/>
      <c r="R1" s="1669"/>
      <c r="S1" s="1669"/>
      <c r="T1" s="1669"/>
      <c r="U1" s="1669"/>
      <c r="V1" s="1669"/>
      <c r="W1" s="1669"/>
      <c r="X1" s="1669"/>
      <c r="Y1" s="1669"/>
      <c r="Z1" s="1669"/>
      <c r="AA1" s="1669"/>
      <c r="AB1" s="1669"/>
      <c r="AC1" s="1669"/>
      <c r="AD1" s="1669"/>
      <c r="AE1" s="1669"/>
    </row>
    <row r="2" spans="2:31" ht="15.5">
      <c r="B2" s="554"/>
      <c r="C2" s="554"/>
      <c r="D2" s="554"/>
      <c r="E2" s="554"/>
      <c r="F2" s="1056"/>
      <c r="G2" s="554"/>
      <c r="H2" s="554"/>
      <c r="I2" s="554"/>
      <c r="J2" s="554"/>
      <c r="K2" s="554"/>
      <c r="L2" s="554"/>
      <c r="M2" s="554"/>
      <c r="N2" s="554"/>
      <c r="O2" s="1876" t="s">
        <v>1120</v>
      </c>
      <c r="P2" s="1058"/>
      <c r="Q2" s="1669"/>
      <c r="R2" s="1669"/>
      <c r="S2" s="1669"/>
      <c r="T2" s="1669"/>
      <c r="U2" s="1669"/>
      <c r="V2" s="1669"/>
      <c r="W2" s="1669"/>
      <c r="X2" s="1669"/>
      <c r="Y2" s="1669"/>
      <c r="Z2" s="1669"/>
      <c r="AA2" s="1669"/>
      <c r="AB2" s="1669"/>
      <c r="AC2" s="1669"/>
      <c r="AD2" s="1669"/>
      <c r="AE2" s="1669"/>
    </row>
    <row r="3" spans="2:31" ht="15.5">
      <c r="B3" s="554"/>
      <c r="C3" s="554"/>
      <c r="D3" s="554"/>
      <c r="E3" s="554"/>
      <c r="F3" s="1056"/>
      <c r="G3" s="554"/>
      <c r="H3" s="554"/>
      <c r="I3" s="554"/>
      <c r="J3" s="554"/>
      <c r="K3" s="554"/>
      <c r="L3" s="554"/>
      <c r="M3" s="554"/>
      <c r="N3" s="554"/>
      <c r="O3" s="1877"/>
      <c r="P3" s="1878"/>
      <c r="Q3" s="1669"/>
      <c r="R3" s="1669"/>
      <c r="S3" s="1669"/>
      <c r="T3" s="1669"/>
      <c r="U3" s="1669"/>
      <c r="V3" s="1669"/>
      <c r="W3" s="1669"/>
      <c r="X3" s="1669"/>
      <c r="Y3" s="1669"/>
      <c r="Z3" s="1669"/>
      <c r="AA3" s="1669"/>
      <c r="AB3" s="1669"/>
      <c r="AC3" s="1669"/>
      <c r="AD3" s="1669"/>
      <c r="AE3" s="1669"/>
    </row>
    <row r="4" spans="2:31" ht="18">
      <c r="B4" s="1059"/>
      <c r="C4" s="1060"/>
      <c r="D4" s="1061" t="s">
        <v>99</v>
      </c>
      <c r="E4" s="1060"/>
      <c r="F4" s="1060"/>
      <c r="G4"/>
      <c r="H4"/>
      <c r="I4"/>
      <c r="J4"/>
      <c r="K4"/>
      <c r="L4"/>
      <c r="M4" s="1879"/>
      <c r="N4" s="1879"/>
      <c r="O4" s="1879"/>
      <c r="P4" s="1880"/>
      <c r="Q4" s="1669"/>
      <c r="R4" s="1669"/>
      <c r="S4" s="1669"/>
      <c r="T4" s="1669"/>
      <c r="U4" s="1669"/>
      <c r="V4" s="1669"/>
      <c r="W4" s="1669"/>
      <c r="X4" s="1669"/>
      <c r="Y4" s="1669"/>
      <c r="Z4" s="1669"/>
      <c r="AA4" s="1669"/>
      <c r="AB4" s="1669"/>
      <c r="AC4" s="1669"/>
      <c r="AD4" s="1669"/>
      <c r="AE4" s="1669"/>
    </row>
    <row r="5" spans="2:31" ht="18">
      <c r="B5" s="1059"/>
      <c r="C5" s="1060"/>
      <c r="D5" s="1061" t="s">
        <v>1121</v>
      </c>
      <c r="E5" s="1060"/>
      <c r="F5" s="1060"/>
      <c r="G5"/>
      <c r="H5"/>
      <c r="I5"/>
      <c r="J5"/>
      <c r="K5"/>
      <c r="L5"/>
      <c r="M5" s="1881"/>
      <c r="N5" s="1881"/>
      <c r="O5" s="1881"/>
      <c r="P5" s="1882"/>
      <c r="Q5" s="1669"/>
      <c r="R5" s="1669"/>
      <c r="S5" s="1669"/>
      <c r="T5" s="1669"/>
      <c r="U5" s="1669"/>
      <c r="V5" s="1669"/>
      <c r="W5" s="1669"/>
      <c r="X5" s="1669"/>
      <c r="Y5" s="1669"/>
      <c r="Z5" s="1669"/>
      <c r="AA5" s="1669"/>
      <c r="AB5" s="1669"/>
      <c r="AC5" s="1669"/>
      <c r="AD5" s="1669"/>
      <c r="AE5" s="1669"/>
    </row>
    <row r="6" spans="2:31" ht="15.5">
      <c r="B6" s="1059"/>
      <c r="C6" s="1060"/>
      <c r="D6" s="1062"/>
      <c r="E6" s="1060"/>
      <c r="F6" s="1060"/>
      <c r="G6"/>
      <c r="H6"/>
      <c r="I6"/>
      <c r="J6"/>
      <c r="K6"/>
      <c r="L6"/>
      <c r="M6" s="1883"/>
      <c r="N6" s="1883"/>
      <c r="O6" s="1883"/>
      <c r="P6" s="1884"/>
      <c r="Q6" s="1669"/>
      <c r="R6" s="1669"/>
      <c r="S6" s="1669"/>
      <c r="T6" s="1669"/>
      <c r="U6" s="1669"/>
      <c r="V6" s="1669"/>
      <c r="W6" s="1669"/>
      <c r="X6" s="1669"/>
      <c r="Y6" s="1669"/>
      <c r="Z6" s="1669"/>
      <c r="AA6" s="1669"/>
      <c r="AB6" s="1669"/>
      <c r="AC6" s="1669"/>
      <c r="AD6" s="1669"/>
      <c r="AE6" s="1669"/>
    </row>
    <row r="7" spans="2:31" ht="15.5">
      <c r="B7" s="1059"/>
      <c r="C7" s="1058"/>
      <c r="D7" s="1058"/>
      <c r="E7" s="1063"/>
      <c r="F7" s="1063"/>
      <c r="G7"/>
      <c r="H7"/>
      <c r="I7"/>
      <c r="J7"/>
      <c r="K7"/>
      <c r="L7"/>
      <c r="M7" s="1885"/>
      <c r="N7" s="1885"/>
      <c r="O7" s="1885"/>
      <c r="P7" s="1886"/>
      <c r="Q7" s="1669"/>
      <c r="R7" s="1669"/>
      <c r="S7" s="1669"/>
      <c r="T7" s="1669"/>
      <c r="U7" s="1669"/>
      <c r="V7" s="1669"/>
      <c r="W7" s="1669"/>
      <c r="X7" s="1669"/>
      <c r="Y7" s="1669"/>
      <c r="Z7" s="1669"/>
      <c r="AA7" s="1669"/>
      <c r="AB7" s="1669"/>
      <c r="AC7" s="1669"/>
      <c r="AD7" s="1669"/>
      <c r="AE7" s="1669"/>
    </row>
    <row r="8" spans="2:31" s="1067" customFormat="1" ht="16" thickBot="1">
      <c r="B8" s="1064" t="s">
        <v>1122</v>
      </c>
      <c r="C8" s="1065"/>
      <c r="D8" s="1066" t="s">
        <v>1123</v>
      </c>
      <c r="E8" s="1066"/>
      <c r="F8" s="1066"/>
      <c r="G8" s="2077" t="s">
        <v>1471</v>
      </c>
      <c r="H8" s="2078"/>
      <c r="I8" s="2077" t="s">
        <v>1494</v>
      </c>
      <c r="J8" s="2078"/>
      <c r="K8" s="2077" t="s">
        <v>1497</v>
      </c>
      <c r="L8" s="2078"/>
      <c r="M8" s="2078" t="s">
        <v>1124</v>
      </c>
      <c r="N8" s="2079"/>
      <c r="O8" s="2077" t="s">
        <v>1559</v>
      </c>
      <c r="P8" s="1887"/>
    </row>
    <row r="9" spans="2:31" s="1067" customFormat="1" ht="15.5">
      <c r="B9" s="1068"/>
      <c r="C9" s="1069"/>
      <c r="D9" s="1070" t="s">
        <v>473</v>
      </c>
      <c r="E9" s="1071"/>
      <c r="F9" s="1071"/>
      <c r="G9" s="1865"/>
      <c r="H9" s="1359"/>
      <c r="I9" s="1865"/>
      <c r="J9" s="1359"/>
      <c r="K9" s="1865"/>
      <c r="L9" s="1359"/>
      <c r="M9" s="1865"/>
      <c r="N9" s="1865"/>
      <c r="O9" s="1865"/>
      <c r="P9" s="1072"/>
    </row>
    <row r="10" spans="2:31" s="1067" customFormat="1" ht="15.5">
      <c r="B10" s="1073">
        <v>10050</v>
      </c>
      <c r="C10" s="1068"/>
      <c r="D10" s="1074" t="s">
        <v>1125</v>
      </c>
      <c r="E10"/>
      <c r="F10" s="1075"/>
      <c r="G10" s="1076">
        <v>0</v>
      </c>
      <c r="H10" s="1076"/>
      <c r="I10" s="1076">
        <v>0</v>
      </c>
      <c r="J10" s="1076"/>
      <c r="K10" s="1076">
        <v>0</v>
      </c>
      <c r="L10" s="1076"/>
      <c r="M10" s="1076">
        <f>ROUND(SUM(O10)-SUM(K10),2)</f>
        <v>0</v>
      </c>
      <c r="N10" s="1076"/>
      <c r="O10" s="1076">
        <v>0</v>
      </c>
      <c r="P10" s="1077" t="s">
        <v>279</v>
      </c>
      <c r="Q10" s="1888"/>
    </row>
    <row r="11" spans="2:31" s="1067" customFormat="1" ht="16" thickBot="1">
      <c r="B11" s="1077"/>
      <c r="C11" s="1069"/>
      <c r="D11" s="1078" t="s">
        <v>1126</v>
      </c>
      <c r="E11" s="1071"/>
      <c r="F11" s="1071"/>
      <c r="G11" s="1866">
        <f>ROUND(SUM(G10),2)</f>
        <v>0</v>
      </c>
      <c r="H11" s="1257"/>
      <c r="I11" s="1866">
        <f>ROUND(SUM(I10),2)</f>
        <v>0</v>
      </c>
      <c r="J11" s="1257"/>
      <c r="K11" s="1866">
        <f>ROUND(SUM(K10),2)</f>
        <v>0</v>
      </c>
      <c r="L11" s="1257"/>
      <c r="M11" s="1866">
        <f>ROUND(SUM(M10),2)</f>
        <v>0</v>
      </c>
      <c r="N11" s="1257"/>
      <c r="O11" s="1866">
        <f>ROUND(SUM(O10),2)</f>
        <v>0</v>
      </c>
      <c r="P11" s="1077"/>
      <c r="Q11" s="1888"/>
    </row>
    <row r="12" spans="2:31" s="1067" customFormat="1" ht="16" thickTop="1">
      <c r="B12" s="1077"/>
      <c r="C12" s="1069"/>
      <c r="D12" s="1079"/>
      <c r="E12" s="1071"/>
      <c r="F12" s="1071"/>
      <c r="G12" s="1257"/>
      <c r="H12" s="1258"/>
      <c r="I12" s="1257"/>
      <c r="J12" s="1258"/>
      <c r="K12" s="1257"/>
      <c r="L12" s="1258"/>
      <c r="M12" s="1257"/>
      <c r="N12" s="1257"/>
      <c r="O12" s="1257"/>
      <c r="P12" s="1077"/>
      <c r="Q12" s="1888"/>
    </row>
    <row r="13" spans="2:31" s="1067" customFormat="1" ht="15.5">
      <c r="B13" s="1077"/>
      <c r="C13" s="1069"/>
      <c r="D13" s="1070" t="s">
        <v>1127</v>
      </c>
      <c r="E13" s="1071"/>
      <c r="F13" s="1071"/>
      <c r="G13" s="1258"/>
      <c r="H13"/>
      <c r="I13" s="1258"/>
      <c r="J13"/>
      <c r="K13" s="1258"/>
      <c r="L13"/>
      <c r="M13" s="1258"/>
      <c r="N13" s="1258"/>
      <c r="O13" s="1258"/>
      <c r="P13" s="1077"/>
      <c r="Q13" s="1888"/>
    </row>
    <row r="14" spans="2:31" s="1067" customFormat="1" ht="15.5">
      <c r="B14" s="1073">
        <v>30051</v>
      </c>
      <c r="C14" s="554"/>
      <c r="D14" s="1074" t="s">
        <v>1128</v>
      </c>
      <c r="E14" s="554"/>
      <c r="F14" s="553"/>
      <c r="G14" s="553">
        <v>0</v>
      </c>
      <c r="H14" s="553"/>
      <c r="I14" s="553">
        <v>0</v>
      </c>
      <c r="J14" s="553"/>
      <c r="K14" s="553">
        <v>0</v>
      </c>
      <c r="L14" s="553"/>
      <c r="M14" s="553">
        <f>ROUND(SUM(O14)-SUM(K14),2)</f>
        <v>0</v>
      </c>
      <c r="N14" s="553"/>
      <c r="O14" s="553">
        <v>0</v>
      </c>
      <c r="P14" s="1077"/>
      <c r="Q14" s="1888"/>
    </row>
    <row r="15" spans="2:31" s="1067" customFormat="1" ht="15.5">
      <c r="B15" s="1073">
        <v>30101</v>
      </c>
      <c r="C15" s="1056"/>
      <c r="D15" s="1074" t="s">
        <v>1130</v>
      </c>
      <c r="E15" s="554"/>
      <c r="F15" s="553"/>
      <c r="G15" s="553">
        <v>0</v>
      </c>
      <c r="H15" s="553"/>
      <c r="I15" s="553">
        <v>0</v>
      </c>
      <c r="J15" s="553"/>
      <c r="K15" s="553">
        <v>0</v>
      </c>
      <c r="L15" s="553"/>
      <c r="M15" s="553">
        <f t="shared" ref="M15:M60" si="0">ROUND(SUM(O15)-SUM(K15),2)</f>
        <v>0</v>
      </c>
      <c r="N15" s="553"/>
      <c r="O15" s="553">
        <v>0</v>
      </c>
      <c r="P15" s="1077"/>
      <c r="Q15" s="1888"/>
    </row>
    <row r="16" spans="2:31" s="1067" customFormat="1" ht="15.5">
      <c r="B16" s="1073">
        <v>30102</v>
      </c>
      <c r="C16" s="554"/>
      <c r="D16" s="1074" t="s">
        <v>1131</v>
      </c>
      <c r="E16" s="554"/>
      <c r="F16" s="553"/>
      <c r="G16" s="553">
        <v>0</v>
      </c>
      <c r="H16" s="553"/>
      <c r="I16" s="553">
        <v>0</v>
      </c>
      <c r="J16" s="553"/>
      <c r="K16" s="553">
        <v>0</v>
      </c>
      <c r="L16" s="553"/>
      <c r="M16" s="553">
        <f t="shared" si="0"/>
        <v>0</v>
      </c>
      <c r="N16" s="553"/>
      <c r="O16" s="553">
        <v>0</v>
      </c>
      <c r="P16" s="1077"/>
      <c r="Q16" s="1888"/>
    </row>
    <row r="17" spans="2:17" s="1067" customFormat="1" ht="15.5">
      <c r="B17" s="1073">
        <v>30103</v>
      </c>
      <c r="C17" s="554"/>
      <c r="D17" s="1074" t="s">
        <v>1132</v>
      </c>
      <c r="E17" s="554"/>
      <c r="F17" s="553"/>
      <c r="G17" s="553">
        <v>0</v>
      </c>
      <c r="H17" s="553"/>
      <c r="I17" s="553">
        <v>0</v>
      </c>
      <c r="J17" s="553"/>
      <c r="K17" s="553">
        <v>0</v>
      </c>
      <c r="L17" s="553"/>
      <c r="M17" s="553">
        <f t="shared" si="0"/>
        <v>0</v>
      </c>
      <c r="N17" s="553"/>
      <c r="O17" s="553">
        <v>0</v>
      </c>
      <c r="P17" s="1077"/>
      <c r="Q17" s="1888"/>
    </row>
    <row r="18" spans="2:17" s="1067" customFormat="1" ht="15.5">
      <c r="B18" s="1073">
        <v>30104</v>
      </c>
      <c r="C18" s="554"/>
      <c r="D18" s="1074" t="s">
        <v>1133</v>
      </c>
      <c r="E18" s="554"/>
      <c r="F18" s="553"/>
      <c r="G18" s="553">
        <v>0</v>
      </c>
      <c r="H18" s="553"/>
      <c r="I18" s="553">
        <v>0</v>
      </c>
      <c r="J18" s="553"/>
      <c r="K18" s="553">
        <v>0</v>
      </c>
      <c r="L18" s="553"/>
      <c r="M18" s="553">
        <f t="shared" si="0"/>
        <v>0</v>
      </c>
      <c r="N18" s="553"/>
      <c r="O18" s="553">
        <v>0</v>
      </c>
      <c r="P18" s="1077"/>
      <c r="Q18" s="1888"/>
    </row>
    <row r="19" spans="2:17" s="1067" customFormat="1" ht="15.5">
      <c r="B19" s="1073">
        <v>30105</v>
      </c>
      <c r="C19" s="554"/>
      <c r="D19" s="1074" t="s">
        <v>1134</v>
      </c>
      <c r="E19" s="554"/>
      <c r="F19" s="553"/>
      <c r="G19" s="553">
        <v>0</v>
      </c>
      <c r="H19" s="553"/>
      <c r="I19" s="553">
        <v>0</v>
      </c>
      <c r="J19" s="553"/>
      <c r="K19" s="553">
        <v>0</v>
      </c>
      <c r="L19" s="553"/>
      <c r="M19" s="553">
        <f t="shared" si="0"/>
        <v>0</v>
      </c>
      <c r="N19" s="553"/>
      <c r="O19" s="553">
        <v>0</v>
      </c>
      <c r="P19" s="1077"/>
      <c r="Q19" s="1888"/>
    </row>
    <row r="20" spans="2:17" s="1067" customFormat="1" ht="15.5">
      <c r="B20" s="1073">
        <v>30106</v>
      </c>
      <c r="C20" s="554"/>
      <c r="D20" s="1074" t="s">
        <v>1135</v>
      </c>
      <c r="E20" s="554"/>
      <c r="F20" s="553"/>
      <c r="G20" s="553">
        <v>0</v>
      </c>
      <c r="H20" s="553"/>
      <c r="I20" s="553">
        <v>0</v>
      </c>
      <c r="J20" s="553"/>
      <c r="K20" s="553">
        <v>0</v>
      </c>
      <c r="L20" s="553"/>
      <c r="M20" s="553">
        <f t="shared" si="0"/>
        <v>0</v>
      </c>
      <c r="N20" s="553"/>
      <c r="O20" s="553">
        <v>0</v>
      </c>
      <c r="P20" s="1077"/>
      <c r="Q20" s="1888"/>
    </row>
    <row r="21" spans="2:17" s="1067" customFormat="1" ht="15.5">
      <c r="B21" s="1073">
        <v>30107</v>
      </c>
      <c r="C21" s="554"/>
      <c r="D21" s="1074" t="s">
        <v>1136</v>
      </c>
      <c r="E21" s="554"/>
      <c r="F21" s="553"/>
      <c r="G21" s="553">
        <v>0</v>
      </c>
      <c r="H21" s="553"/>
      <c r="I21" s="553">
        <v>0</v>
      </c>
      <c r="J21" s="553"/>
      <c r="K21" s="553">
        <v>0</v>
      </c>
      <c r="L21" s="553"/>
      <c r="M21" s="553">
        <f t="shared" si="0"/>
        <v>0</v>
      </c>
      <c r="N21" s="553"/>
      <c r="O21" s="553">
        <v>0</v>
      </c>
      <c r="P21" s="1077"/>
      <c r="Q21" s="1888"/>
    </row>
    <row r="22" spans="2:17" s="1067" customFormat="1" ht="15.5">
      <c r="B22" s="1073">
        <v>30108</v>
      </c>
      <c r="C22" s="554"/>
      <c r="D22" s="1074" t="s">
        <v>1137</v>
      </c>
      <c r="E22" s="554"/>
      <c r="F22" s="553"/>
      <c r="G22" s="553">
        <v>0</v>
      </c>
      <c r="H22" s="553"/>
      <c r="I22" s="553">
        <v>0</v>
      </c>
      <c r="J22" s="553"/>
      <c r="K22" s="553">
        <v>0</v>
      </c>
      <c r="L22" s="553"/>
      <c r="M22" s="553">
        <f t="shared" si="0"/>
        <v>0</v>
      </c>
      <c r="N22" s="553"/>
      <c r="O22" s="553">
        <v>0</v>
      </c>
      <c r="P22" s="1077"/>
      <c r="Q22" s="1888"/>
    </row>
    <row r="23" spans="2:17" s="1067" customFormat="1" ht="15.5">
      <c r="B23" s="1073">
        <v>30109</v>
      </c>
      <c r="C23" s="554"/>
      <c r="D23" s="1074" t="s">
        <v>1138</v>
      </c>
      <c r="E23" s="554"/>
      <c r="F23" s="553"/>
      <c r="G23" s="553">
        <v>0</v>
      </c>
      <c r="H23" s="553"/>
      <c r="I23" s="553">
        <v>0</v>
      </c>
      <c r="J23" s="553"/>
      <c r="K23" s="553">
        <v>0</v>
      </c>
      <c r="L23" s="553"/>
      <c r="M23" s="553">
        <f t="shared" si="0"/>
        <v>0</v>
      </c>
      <c r="N23" s="553"/>
      <c r="O23" s="553">
        <v>0</v>
      </c>
      <c r="P23" s="1077"/>
      <c r="Q23" s="1888"/>
    </row>
    <row r="24" spans="2:17" s="1067" customFormat="1" ht="15.5">
      <c r="B24" s="1073">
        <v>30110</v>
      </c>
      <c r="C24" s="554"/>
      <c r="D24" s="1074" t="s">
        <v>1139</v>
      </c>
      <c r="E24" s="554"/>
      <c r="F24" s="553"/>
      <c r="G24" s="553">
        <v>0</v>
      </c>
      <c r="H24" s="553"/>
      <c r="I24" s="553">
        <v>0</v>
      </c>
      <c r="J24" s="553"/>
      <c r="K24" s="553">
        <v>0</v>
      </c>
      <c r="L24" s="553"/>
      <c r="M24" s="553">
        <f t="shared" si="0"/>
        <v>0</v>
      </c>
      <c r="N24" s="553"/>
      <c r="O24" s="553">
        <v>0</v>
      </c>
      <c r="P24" s="1077"/>
      <c r="Q24" s="1888"/>
    </row>
    <row r="25" spans="2:17" s="1067" customFormat="1" ht="15.5">
      <c r="B25" s="1073">
        <v>30111</v>
      </c>
      <c r="C25" s="554"/>
      <c r="D25" s="1074" t="s">
        <v>1140</v>
      </c>
      <c r="E25" s="554"/>
      <c r="F25" s="553"/>
      <c r="G25" s="553">
        <v>0</v>
      </c>
      <c r="H25" s="553"/>
      <c r="I25" s="553">
        <v>0</v>
      </c>
      <c r="J25" s="553"/>
      <c r="K25" s="553">
        <v>0</v>
      </c>
      <c r="L25" s="553"/>
      <c r="M25" s="553">
        <f t="shared" si="0"/>
        <v>0</v>
      </c>
      <c r="N25" s="553"/>
      <c r="O25" s="553">
        <v>0</v>
      </c>
      <c r="P25" s="1077"/>
      <c r="Q25" s="1888"/>
    </row>
    <row r="26" spans="2:17" s="1067" customFormat="1" ht="15.5">
      <c r="B26" s="1073">
        <v>30112</v>
      </c>
      <c r="C26" s="554"/>
      <c r="D26" s="1074" t="s">
        <v>1141</v>
      </c>
      <c r="E26" s="554"/>
      <c r="F26" s="553"/>
      <c r="G26" s="553">
        <v>0</v>
      </c>
      <c r="H26" s="553"/>
      <c r="I26" s="553">
        <v>0</v>
      </c>
      <c r="J26" s="553"/>
      <c r="K26" s="553">
        <v>0</v>
      </c>
      <c r="L26" s="553"/>
      <c r="M26" s="553">
        <f t="shared" si="0"/>
        <v>0</v>
      </c>
      <c r="N26" s="553"/>
      <c r="O26" s="553">
        <v>0</v>
      </c>
      <c r="P26" s="1077"/>
      <c r="Q26" s="1888"/>
    </row>
    <row r="27" spans="2:17" s="1067" customFormat="1" ht="15.5">
      <c r="B27" s="1073">
        <v>30113</v>
      </c>
      <c r="C27" s="554"/>
      <c r="D27" s="1074" t="s">
        <v>1142</v>
      </c>
      <c r="E27" s="554"/>
      <c r="F27" s="553"/>
      <c r="G27" s="553">
        <v>0</v>
      </c>
      <c r="H27" s="553"/>
      <c r="I27" s="553">
        <v>0</v>
      </c>
      <c r="J27" s="553"/>
      <c r="K27" s="553">
        <v>0</v>
      </c>
      <c r="L27" s="553"/>
      <c r="M27" s="553">
        <f t="shared" si="0"/>
        <v>0</v>
      </c>
      <c r="N27" s="553"/>
      <c r="O27" s="553">
        <v>0</v>
      </c>
      <c r="P27" s="1077"/>
      <c r="Q27" s="1888"/>
    </row>
    <row r="28" spans="2:17" s="1067" customFormat="1" ht="15.5">
      <c r="B28" s="1073">
        <v>30114</v>
      </c>
      <c r="C28" s="554"/>
      <c r="D28" s="1074" t="s">
        <v>1143</v>
      </c>
      <c r="E28" s="554"/>
      <c r="F28" s="553"/>
      <c r="G28" s="553">
        <v>0</v>
      </c>
      <c r="H28" s="553"/>
      <c r="I28" s="553">
        <v>0</v>
      </c>
      <c r="J28" s="553"/>
      <c r="K28" s="553">
        <v>0</v>
      </c>
      <c r="L28" s="553"/>
      <c r="M28" s="553">
        <f t="shared" si="0"/>
        <v>0</v>
      </c>
      <c r="N28" s="553"/>
      <c r="O28" s="553">
        <v>0</v>
      </c>
      <c r="P28" s="1077"/>
      <c r="Q28" s="1888"/>
    </row>
    <row r="29" spans="2:17" s="1067" customFormat="1" ht="15.5">
      <c r="B29" s="1073">
        <v>30115</v>
      </c>
      <c r="C29" s="554"/>
      <c r="D29" s="1074" t="s">
        <v>1144</v>
      </c>
      <c r="E29" s="554"/>
      <c r="F29" s="553"/>
      <c r="G29" s="553">
        <v>0</v>
      </c>
      <c r="H29" s="553"/>
      <c r="I29" s="553">
        <v>0</v>
      </c>
      <c r="J29" s="553"/>
      <c r="K29" s="553">
        <v>0</v>
      </c>
      <c r="L29" s="553"/>
      <c r="M29" s="553">
        <f t="shared" si="0"/>
        <v>0</v>
      </c>
      <c r="N29" s="553"/>
      <c r="O29" s="553">
        <v>0</v>
      </c>
      <c r="P29" s="1077"/>
      <c r="Q29" s="1888"/>
    </row>
    <row r="30" spans="2:17" s="1067" customFormat="1" ht="15.5">
      <c r="B30" s="1073">
        <v>30116</v>
      </c>
      <c r="C30" s="554"/>
      <c r="D30" s="1074" t="s">
        <v>1145</v>
      </c>
      <c r="E30" s="554"/>
      <c r="F30" s="553"/>
      <c r="G30" s="553">
        <v>0</v>
      </c>
      <c r="H30" s="553"/>
      <c r="I30" s="553">
        <v>0</v>
      </c>
      <c r="J30" s="553"/>
      <c r="K30" s="553">
        <v>0</v>
      </c>
      <c r="L30" s="553"/>
      <c r="M30" s="553">
        <f t="shared" si="0"/>
        <v>0</v>
      </c>
      <c r="N30" s="553"/>
      <c r="O30" s="553">
        <v>0</v>
      </c>
      <c r="P30" s="1077"/>
      <c r="Q30" s="1888"/>
    </row>
    <row r="31" spans="2:17" s="1067" customFormat="1" ht="15.5">
      <c r="B31" s="1073">
        <v>30117</v>
      </c>
      <c r="C31" s="554"/>
      <c r="D31" s="1074" t="s">
        <v>1146</v>
      </c>
      <c r="E31" s="554"/>
      <c r="F31" s="553"/>
      <c r="G31" s="553">
        <v>0</v>
      </c>
      <c r="H31" s="553"/>
      <c r="I31" s="553">
        <v>0</v>
      </c>
      <c r="J31" s="553"/>
      <c r="K31" s="553">
        <v>0</v>
      </c>
      <c r="L31" s="553"/>
      <c r="M31" s="553">
        <f t="shared" si="0"/>
        <v>0</v>
      </c>
      <c r="N31" s="553"/>
      <c r="O31" s="553">
        <v>0</v>
      </c>
      <c r="P31" s="1077"/>
      <c r="Q31" s="1888"/>
    </row>
    <row r="32" spans="2:17" s="1067" customFormat="1" ht="15.5">
      <c r="B32" s="1073">
        <v>30118</v>
      </c>
      <c r="C32" s="554"/>
      <c r="D32" s="1074" t="s">
        <v>1147</v>
      </c>
      <c r="E32" s="554"/>
      <c r="F32" s="553"/>
      <c r="G32" s="553">
        <v>0</v>
      </c>
      <c r="H32" s="553"/>
      <c r="I32" s="553">
        <v>0</v>
      </c>
      <c r="J32" s="553"/>
      <c r="K32" s="553">
        <v>0</v>
      </c>
      <c r="L32" s="553"/>
      <c r="M32" s="553">
        <f t="shared" si="0"/>
        <v>0</v>
      </c>
      <c r="N32" s="553"/>
      <c r="O32" s="553">
        <v>0</v>
      </c>
      <c r="P32" s="1077"/>
      <c r="Q32" s="1888"/>
    </row>
    <row r="33" spans="2:17" s="1067" customFormat="1" ht="15.5">
      <c r="B33" s="1073">
        <v>30119</v>
      </c>
      <c r="C33" s="554"/>
      <c r="D33" s="1074" t="s">
        <v>1148</v>
      </c>
      <c r="E33" s="554"/>
      <c r="F33" s="553"/>
      <c r="G33" s="553">
        <v>0</v>
      </c>
      <c r="H33" s="553"/>
      <c r="I33" s="553">
        <v>0</v>
      </c>
      <c r="J33" s="553"/>
      <c r="K33" s="553">
        <v>0</v>
      </c>
      <c r="L33" s="553"/>
      <c r="M33" s="553">
        <f t="shared" si="0"/>
        <v>0</v>
      </c>
      <c r="N33" s="553"/>
      <c r="O33" s="553">
        <v>0</v>
      </c>
      <c r="P33" s="1077"/>
      <c r="Q33" s="1888"/>
    </row>
    <row r="34" spans="2:17" s="1067" customFormat="1" ht="15.5">
      <c r="B34" s="1073">
        <v>30120</v>
      </c>
      <c r="C34" s="554"/>
      <c r="D34" s="1074" t="s">
        <v>1149</v>
      </c>
      <c r="E34" s="554"/>
      <c r="F34" s="553"/>
      <c r="G34" s="553">
        <v>0</v>
      </c>
      <c r="H34" s="553"/>
      <c r="I34" s="553">
        <v>0</v>
      </c>
      <c r="J34" s="553"/>
      <c r="K34" s="553">
        <v>0</v>
      </c>
      <c r="L34" s="553"/>
      <c r="M34" s="553">
        <f t="shared" si="0"/>
        <v>0</v>
      </c>
      <c r="N34" s="553"/>
      <c r="O34" s="553">
        <v>0</v>
      </c>
      <c r="P34" s="1077"/>
      <c r="Q34" s="1888"/>
    </row>
    <row r="35" spans="2:17" s="1067" customFormat="1" ht="15.5">
      <c r="B35" s="1073">
        <v>30121</v>
      </c>
      <c r="C35" s="554"/>
      <c r="D35" s="1074" t="s">
        <v>1150</v>
      </c>
      <c r="E35" s="554"/>
      <c r="F35" s="553"/>
      <c r="G35" s="553">
        <v>0</v>
      </c>
      <c r="H35" s="553"/>
      <c r="I35" s="553">
        <v>0</v>
      </c>
      <c r="J35" s="553"/>
      <c r="K35" s="553">
        <v>0</v>
      </c>
      <c r="L35" s="553"/>
      <c r="M35" s="553">
        <f t="shared" si="0"/>
        <v>0</v>
      </c>
      <c r="N35" s="553"/>
      <c r="O35" s="553">
        <v>0</v>
      </c>
      <c r="P35" s="1077"/>
      <c r="Q35" s="1888"/>
    </row>
    <row r="36" spans="2:17" s="1067" customFormat="1" ht="15.5">
      <c r="B36" s="1073">
        <v>30122</v>
      </c>
      <c r="C36" s="554"/>
      <c r="D36" s="1074" t="s">
        <v>1151</v>
      </c>
      <c r="E36" s="554"/>
      <c r="F36" s="553"/>
      <c r="G36" s="553">
        <v>0</v>
      </c>
      <c r="H36" s="553"/>
      <c r="I36" s="553">
        <v>0</v>
      </c>
      <c r="J36" s="553"/>
      <c r="K36" s="553">
        <v>0</v>
      </c>
      <c r="L36" s="553"/>
      <c r="M36" s="553">
        <f t="shared" si="0"/>
        <v>0</v>
      </c>
      <c r="N36" s="553"/>
      <c r="O36" s="553">
        <v>0</v>
      </c>
      <c r="P36" s="1077"/>
      <c r="Q36" s="1888"/>
    </row>
    <row r="37" spans="2:17" s="1067" customFormat="1" ht="15.5">
      <c r="B37" s="1073">
        <v>30123</v>
      </c>
      <c r="C37" s="554"/>
      <c r="D37" s="1074" t="s">
        <v>1152</v>
      </c>
      <c r="E37" s="554"/>
      <c r="F37" s="553"/>
      <c r="G37" s="553">
        <v>0</v>
      </c>
      <c r="H37" s="553"/>
      <c r="I37" s="553">
        <v>0</v>
      </c>
      <c r="J37" s="553"/>
      <c r="K37" s="553">
        <v>0</v>
      </c>
      <c r="L37" s="553"/>
      <c r="M37" s="553">
        <f t="shared" si="0"/>
        <v>0</v>
      </c>
      <c r="N37" s="553"/>
      <c r="O37" s="553">
        <v>0</v>
      </c>
      <c r="P37" s="1077"/>
      <c r="Q37" s="1888"/>
    </row>
    <row r="38" spans="2:17" s="1067" customFormat="1" ht="15.5">
      <c r="B38" s="1073">
        <v>30124</v>
      </c>
      <c r="C38" s="554"/>
      <c r="D38" s="1074" t="s">
        <v>1153</v>
      </c>
      <c r="E38" s="554"/>
      <c r="F38" s="553"/>
      <c r="G38" s="553">
        <v>0</v>
      </c>
      <c r="H38" s="553"/>
      <c r="I38" s="553">
        <v>0</v>
      </c>
      <c r="J38" s="553"/>
      <c r="K38" s="553">
        <v>0</v>
      </c>
      <c r="L38" s="553"/>
      <c r="M38" s="553">
        <f t="shared" si="0"/>
        <v>0</v>
      </c>
      <c r="N38" s="553"/>
      <c r="O38" s="553">
        <v>0</v>
      </c>
      <c r="P38" s="1077"/>
      <c r="Q38" s="1888"/>
    </row>
    <row r="39" spans="2:17" s="1067" customFormat="1" ht="15.5">
      <c r="B39" s="1073">
        <v>30125</v>
      </c>
      <c r="C39" s="554"/>
      <c r="D39" s="1074" t="s">
        <v>1154</v>
      </c>
      <c r="E39" s="554"/>
      <c r="F39" s="553"/>
      <c r="G39" s="553">
        <v>0</v>
      </c>
      <c r="H39" s="553"/>
      <c r="I39" s="553">
        <v>0</v>
      </c>
      <c r="J39" s="553"/>
      <c r="K39" s="553">
        <v>0</v>
      </c>
      <c r="L39" s="553"/>
      <c r="M39" s="553">
        <f t="shared" si="0"/>
        <v>0</v>
      </c>
      <c r="N39" s="553"/>
      <c r="O39" s="553">
        <v>0</v>
      </c>
      <c r="P39" s="1077"/>
      <c r="Q39" s="1888"/>
    </row>
    <row r="40" spans="2:17" s="1067" customFormat="1" ht="15.5">
      <c r="B40" s="1073">
        <v>30126</v>
      </c>
      <c r="C40" s="554"/>
      <c r="D40" s="1074" t="s">
        <v>1155</v>
      </c>
      <c r="E40" s="554"/>
      <c r="F40" s="553"/>
      <c r="G40" s="553">
        <v>0</v>
      </c>
      <c r="H40" s="553"/>
      <c r="I40" s="553">
        <v>0</v>
      </c>
      <c r="J40" s="553"/>
      <c r="K40" s="553">
        <v>0</v>
      </c>
      <c r="L40" s="553"/>
      <c r="M40" s="553">
        <f t="shared" si="0"/>
        <v>0</v>
      </c>
      <c r="N40" s="553"/>
      <c r="O40" s="553">
        <v>0</v>
      </c>
      <c r="P40" s="1077"/>
      <c r="Q40" s="1888"/>
    </row>
    <row r="41" spans="2:17" s="1067" customFormat="1" ht="15.5">
      <c r="B41" s="1073">
        <v>30127</v>
      </c>
      <c r="C41" s="554"/>
      <c r="D41" s="1074" t="s">
        <v>1156</v>
      </c>
      <c r="E41" s="554"/>
      <c r="F41" s="553"/>
      <c r="G41" s="553">
        <v>0</v>
      </c>
      <c r="H41" s="553"/>
      <c r="I41" s="553">
        <v>0</v>
      </c>
      <c r="J41" s="553"/>
      <c r="K41" s="553">
        <v>0</v>
      </c>
      <c r="L41" s="553"/>
      <c r="M41" s="553">
        <f t="shared" si="0"/>
        <v>0</v>
      </c>
      <c r="N41" s="553"/>
      <c r="O41" s="553">
        <v>0</v>
      </c>
      <c r="P41" s="1077"/>
      <c r="Q41" s="1888"/>
    </row>
    <row r="42" spans="2:17" s="1067" customFormat="1" ht="15.5">
      <c r="B42" s="1073">
        <v>30128</v>
      </c>
      <c r="C42" s="554"/>
      <c r="D42" s="1074" t="s">
        <v>1157</v>
      </c>
      <c r="E42" s="554"/>
      <c r="F42" s="553"/>
      <c r="G42" s="553">
        <v>0</v>
      </c>
      <c r="H42" s="553"/>
      <c r="I42" s="553">
        <v>0</v>
      </c>
      <c r="J42" s="553"/>
      <c r="K42" s="553">
        <v>0</v>
      </c>
      <c r="L42" s="553"/>
      <c r="M42" s="553">
        <f t="shared" si="0"/>
        <v>0</v>
      </c>
      <c r="N42" s="553"/>
      <c r="O42" s="553">
        <v>0</v>
      </c>
      <c r="P42" s="1077"/>
      <c r="Q42" s="1888"/>
    </row>
    <row r="43" spans="2:17" s="1067" customFormat="1" ht="15.5">
      <c r="B43" s="1073">
        <v>30129</v>
      </c>
      <c r="C43" s="554"/>
      <c r="D43" s="1074" t="s">
        <v>1158</v>
      </c>
      <c r="E43" s="554"/>
      <c r="F43" s="553"/>
      <c r="G43" s="553">
        <v>0</v>
      </c>
      <c r="H43" s="553"/>
      <c r="I43" s="553">
        <v>0</v>
      </c>
      <c r="J43" s="553"/>
      <c r="K43" s="553">
        <v>0</v>
      </c>
      <c r="L43" s="553"/>
      <c r="M43" s="553">
        <f t="shared" si="0"/>
        <v>0</v>
      </c>
      <c r="N43" s="553"/>
      <c r="O43" s="553">
        <v>0</v>
      </c>
      <c r="P43" s="1077"/>
      <c r="Q43" s="1888"/>
    </row>
    <row r="44" spans="2:17" s="1067" customFormat="1" ht="15.5">
      <c r="B44" s="1073">
        <v>30130</v>
      </c>
      <c r="C44" s="554"/>
      <c r="D44" s="1074" t="s">
        <v>1159</v>
      </c>
      <c r="E44" s="554"/>
      <c r="F44" s="553"/>
      <c r="G44" s="553">
        <v>0</v>
      </c>
      <c r="H44" s="553"/>
      <c r="I44" s="553">
        <v>0</v>
      </c>
      <c r="J44" s="553"/>
      <c r="K44" s="553">
        <v>0</v>
      </c>
      <c r="L44" s="553"/>
      <c r="M44" s="553">
        <f t="shared" si="0"/>
        <v>0</v>
      </c>
      <c r="N44" s="553"/>
      <c r="O44" s="553">
        <v>0</v>
      </c>
      <c r="P44" s="1077"/>
      <c r="Q44" s="1888"/>
    </row>
    <row r="45" spans="2:17" s="1067" customFormat="1" ht="15.5">
      <c r="B45" s="1073">
        <v>30131</v>
      </c>
      <c r="C45" s="554"/>
      <c r="D45" s="1074" t="s">
        <v>1160</v>
      </c>
      <c r="E45" s="554"/>
      <c r="F45" s="553"/>
      <c r="G45" s="553">
        <v>0</v>
      </c>
      <c r="H45" s="553"/>
      <c r="I45" s="553">
        <v>0</v>
      </c>
      <c r="J45" s="553"/>
      <c r="K45" s="553">
        <v>0</v>
      </c>
      <c r="L45" s="553"/>
      <c r="M45" s="553">
        <f t="shared" si="0"/>
        <v>0</v>
      </c>
      <c r="N45" s="553"/>
      <c r="O45" s="553">
        <v>0</v>
      </c>
      <c r="P45" s="1077"/>
      <c r="Q45" s="1888"/>
    </row>
    <row r="46" spans="2:17" s="1067" customFormat="1" ht="15.5">
      <c r="B46" s="1073">
        <v>30132</v>
      </c>
      <c r="C46" s="554"/>
      <c r="D46" s="1074" t="s">
        <v>1161</v>
      </c>
      <c r="E46" s="554"/>
      <c r="F46" s="553"/>
      <c r="G46" s="553">
        <v>0</v>
      </c>
      <c r="H46" s="553"/>
      <c r="I46" s="553">
        <v>0</v>
      </c>
      <c r="J46" s="553"/>
      <c r="K46" s="553">
        <v>0</v>
      </c>
      <c r="L46" s="553"/>
      <c r="M46" s="553">
        <f t="shared" si="0"/>
        <v>0</v>
      </c>
      <c r="N46" s="553"/>
      <c r="O46" s="553">
        <v>0</v>
      </c>
      <c r="P46" s="1077"/>
      <c r="Q46" s="1888"/>
    </row>
    <row r="47" spans="2:17" s="1067" customFormat="1" ht="15.5">
      <c r="B47" s="1073">
        <v>30133</v>
      </c>
      <c r="C47" s="554"/>
      <c r="D47" s="1074" t="s">
        <v>1162</v>
      </c>
      <c r="E47" s="554"/>
      <c r="F47" s="553"/>
      <c r="G47" s="553">
        <v>0</v>
      </c>
      <c r="H47" s="553"/>
      <c r="I47" s="553">
        <v>317522.26</v>
      </c>
      <c r="J47" s="553"/>
      <c r="K47" s="553">
        <v>317485.82</v>
      </c>
      <c r="L47" s="553"/>
      <c r="M47" s="553">
        <f t="shared" si="0"/>
        <v>3652.66</v>
      </c>
      <c r="N47" s="553"/>
      <c r="O47" s="553">
        <v>321138.48</v>
      </c>
      <c r="P47" s="1077"/>
      <c r="Q47" s="1888"/>
    </row>
    <row r="48" spans="2:17" s="1067" customFormat="1" ht="15.5">
      <c r="B48" s="1073">
        <v>30134</v>
      </c>
      <c r="C48" s="554"/>
      <c r="D48" s="1074" t="s">
        <v>1163</v>
      </c>
      <c r="E48" s="554"/>
      <c r="F48" s="553"/>
      <c r="G48" s="553">
        <v>0</v>
      </c>
      <c r="H48" s="553"/>
      <c r="I48" s="553">
        <v>0</v>
      </c>
      <c r="J48" s="553"/>
      <c r="K48" s="553">
        <v>0</v>
      </c>
      <c r="L48" s="553"/>
      <c r="M48" s="553">
        <f t="shared" si="0"/>
        <v>0</v>
      </c>
      <c r="N48" s="553"/>
      <c r="O48" s="553">
        <v>0</v>
      </c>
      <c r="P48" s="1077"/>
      <c r="Q48" s="1888"/>
    </row>
    <row r="49" spans="2:17" s="1067" customFormat="1" ht="15.5">
      <c r="B49" s="1073">
        <v>30135</v>
      </c>
      <c r="C49" s="554"/>
      <c r="D49" s="1074" t="s">
        <v>1164</v>
      </c>
      <c r="E49" s="554"/>
      <c r="F49" s="553"/>
      <c r="G49" s="553">
        <v>110006.15</v>
      </c>
      <c r="H49" s="553"/>
      <c r="I49" s="553">
        <v>110038.15</v>
      </c>
      <c r="J49" s="553"/>
      <c r="K49" s="553">
        <v>110525.49</v>
      </c>
      <c r="L49" s="553"/>
      <c r="M49" s="553">
        <f t="shared" si="0"/>
        <v>509.37</v>
      </c>
      <c r="N49" s="553"/>
      <c r="O49" s="553">
        <v>111034.86</v>
      </c>
      <c r="P49" s="1077"/>
      <c r="Q49" s="1888"/>
    </row>
    <row r="50" spans="2:17" s="1067" customFormat="1" ht="15.5">
      <c r="B50" s="1073">
        <v>30136</v>
      </c>
      <c r="C50" s="554"/>
      <c r="D50" s="1074" t="s">
        <v>1165</v>
      </c>
      <c r="E50" s="554"/>
      <c r="F50" s="553"/>
      <c r="G50" s="553">
        <v>0</v>
      </c>
      <c r="H50" s="553"/>
      <c r="I50" s="553">
        <v>0</v>
      </c>
      <c r="J50" s="553"/>
      <c r="K50" s="553">
        <v>0</v>
      </c>
      <c r="L50" s="553"/>
      <c r="M50" s="553">
        <f t="shared" si="0"/>
        <v>0</v>
      </c>
      <c r="N50" s="553"/>
      <c r="O50" s="553">
        <v>0</v>
      </c>
      <c r="P50" s="1077"/>
      <c r="Q50" s="1888"/>
    </row>
    <row r="51" spans="2:17" s="1067" customFormat="1" ht="15.5">
      <c r="B51" s="1073">
        <v>30137</v>
      </c>
      <c r="C51" s="554"/>
      <c r="D51" s="1074" t="s">
        <v>1166</v>
      </c>
      <c r="E51" s="554"/>
      <c r="F51" s="553"/>
      <c r="G51" s="553">
        <v>0</v>
      </c>
      <c r="H51" s="553"/>
      <c r="I51" s="553">
        <v>0</v>
      </c>
      <c r="J51" s="553"/>
      <c r="K51" s="553">
        <v>0</v>
      </c>
      <c r="L51" s="553"/>
      <c r="M51" s="553">
        <f t="shared" si="0"/>
        <v>0</v>
      </c>
      <c r="N51" s="553"/>
      <c r="O51" s="553">
        <v>0</v>
      </c>
      <c r="P51" s="1077"/>
      <c r="Q51" s="1888"/>
    </row>
    <row r="52" spans="2:17" s="1067" customFormat="1" ht="15.5">
      <c r="B52" s="1073">
        <v>30138</v>
      </c>
      <c r="C52" s="554"/>
      <c r="D52" s="1074" t="s">
        <v>1167</v>
      </c>
      <c r="E52" s="554"/>
      <c r="F52" s="553"/>
      <c r="G52" s="553">
        <v>0</v>
      </c>
      <c r="H52" s="553"/>
      <c r="I52" s="553">
        <v>0</v>
      </c>
      <c r="J52" s="553"/>
      <c r="K52" s="553">
        <v>0</v>
      </c>
      <c r="L52" s="553"/>
      <c r="M52" s="553">
        <f t="shared" si="0"/>
        <v>0</v>
      </c>
      <c r="N52" s="553"/>
      <c r="O52" s="553">
        <v>0</v>
      </c>
      <c r="P52" s="1077"/>
      <c r="Q52" s="1888"/>
    </row>
    <row r="53" spans="2:17" s="1067" customFormat="1" ht="15.5">
      <c r="B53" s="1073">
        <v>30139</v>
      </c>
      <c r="C53" s="554"/>
      <c r="D53" s="1074" t="s">
        <v>1168</v>
      </c>
      <c r="E53" s="554"/>
      <c r="F53" s="553"/>
      <c r="G53" s="553">
        <v>0</v>
      </c>
      <c r="H53" s="553"/>
      <c r="I53" s="553">
        <v>0</v>
      </c>
      <c r="J53" s="553"/>
      <c r="K53" s="553">
        <v>0</v>
      </c>
      <c r="L53" s="553"/>
      <c r="M53" s="553">
        <f t="shared" si="0"/>
        <v>0</v>
      </c>
      <c r="N53" s="553"/>
      <c r="O53" s="553">
        <v>0</v>
      </c>
      <c r="P53" s="1077"/>
      <c r="Q53" s="1888"/>
    </row>
    <row r="54" spans="2:17" s="1067" customFormat="1" ht="15.5">
      <c r="B54" s="1073">
        <v>30140</v>
      </c>
      <c r="C54" s="554"/>
      <c r="D54" s="1074" t="s">
        <v>1169</v>
      </c>
      <c r="E54" s="554"/>
      <c r="F54" s="553"/>
      <c r="G54" s="553">
        <v>0</v>
      </c>
      <c r="H54" s="553"/>
      <c r="I54" s="553">
        <v>0</v>
      </c>
      <c r="J54" s="553"/>
      <c r="K54" s="553">
        <v>0</v>
      </c>
      <c r="L54" s="553"/>
      <c r="M54" s="553">
        <f t="shared" si="0"/>
        <v>0</v>
      </c>
      <c r="N54" s="553"/>
      <c r="O54" s="553">
        <v>0</v>
      </c>
      <c r="P54" s="1077"/>
      <c r="Q54" s="1888"/>
    </row>
    <row r="55" spans="2:17" s="1067" customFormat="1" ht="15.5">
      <c r="B55" s="1073">
        <v>30141</v>
      </c>
      <c r="C55" s="554"/>
      <c r="D55" s="1074" t="s">
        <v>1170</v>
      </c>
      <c r="E55" s="554"/>
      <c r="F55" s="553"/>
      <c r="G55" s="553">
        <v>19550.830000000002</v>
      </c>
      <c r="H55" s="553"/>
      <c r="I55" s="553">
        <v>19638.86</v>
      </c>
      <c r="J55" s="553"/>
      <c r="K55" s="553">
        <v>19725.740000000002</v>
      </c>
      <c r="L55" s="553"/>
      <c r="M55" s="553">
        <f t="shared" si="0"/>
        <v>90.91</v>
      </c>
      <c r="N55" s="553"/>
      <c r="O55" s="553">
        <v>19816.650000000001</v>
      </c>
      <c r="P55" s="1077"/>
      <c r="Q55" s="1888"/>
    </row>
    <row r="56" spans="2:17" s="1067" customFormat="1" ht="15.5">
      <c r="B56" s="1073">
        <v>30142</v>
      </c>
      <c r="C56" s="554"/>
      <c r="D56" s="1074" t="s">
        <v>1171</v>
      </c>
      <c r="E56" s="554"/>
      <c r="F56" s="553"/>
      <c r="G56" s="553">
        <v>0</v>
      </c>
      <c r="H56" s="553"/>
      <c r="I56" s="553">
        <v>0</v>
      </c>
      <c r="J56" s="553"/>
      <c r="K56" s="553">
        <v>0</v>
      </c>
      <c r="L56" s="553"/>
      <c r="M56" s="553">
        <f t="shared" si="0"/>
        <v>0</v>
      </c>
      <c r="N56" s="553"/>
      <c r="O56" s="553">
        <v>0</v>
      </c>
      <c r="P56" s="1077"/>
      <c r="Q56" s="1888"/>
    </row>
    <row r="57" spans="2:17" s="1067" customFormat="1" ht="15.5">
      <c r="B57" s="1073">
        <v>30143</v>
      </c>
      <c r="C57" s="554"/>
      <c r="D57" s="1074" t="s">
        <v>1172</v>
      </c>
      <c r="E57" s="554"/>
      <c r="F57" s="553"/>
      <c r="G57" s="553">
        <v>0</v>
      </c>
      <c r="H57" s="553"/>
      <c r="I57" s="553">
        <v>0</v>
      </c>
      <c r="J57" s="553"/>
      <c r="K57" s="553">
        <v>0</v>
      </c>
      <c r="L57" s="553"/>
      <c r="M57" s="553">
        <f t="shared" si="0"/>
        <v>0</v>
      </c>
      <c r="N57" s="553"/>
      <c r="O57" s="553">
        <v>0</v>
      </c>
      <c r="P57" s="1077"/>
      <c r="Q57" s="1888"/>
    </row>
    <row r="58" spans="2:17" s="1067" customFormat="1" ht="15.5">
      <c r="B58" s="1073">
        <v>30144</v>
      </c>
      <c r="C58" s="554"/>
      <c r="D58" s="1074" t="s">
        <v>1173</v>
      </c>
      <c r="E58" s="554"/>
      <c r="F58" s="553"/>
      <c r="G58" s="553">
        <v>0</v>
      </c>
      <c r="H58" s="553"/>
      <c r="I58" s="553">
        <v>0</v>
      </c>
      <c r="J58" s="553"/>
      <c r="K58" s="553">
        <v>0</v>
      </c>
      <c r="L58" s="553"/>
      <c r="M58" s="553">
        <f t="shared" si="0"/>
        <v>0</v>
      </c>
      <c r="N58" s="553"/>
      <c r="O58" s="553">
        <v>0</v>
      </c>
      <c r="P58" s="1077"/>
      <c r="Q58" s="1888"/>
    </row>
    <row r="59" spans="2:17" s="1067" customFormat="1" ht="15.5">
      <c r="B59" s="1073">
        <v>30145</v>
      </c>
      <c r="C59" s="554"/>
      <c r="D59" s="1074" t="s">
        <v>1174</v>
      </c>
      <c r="E59" s="554"/>
      <c r="F59" s="553"/>
      <c r="G59" s="553">
        <v>0</v>
      </c>
      <c r="H59" s="553"/>
      <c r="I59" s="553">
        <v>0</v>
      </c>
      <c r="J59" s="553"/>
      <c r="K59" s="553">
        <v>0</v>
      </c>
      <c r="L59" s="553"/>
      <c r="M59" s="553">
        <f t="shared" si="0"/>
        <v>0</v>
      </c>
      <c r="N59" s="553"/>
      <c r="O59" s="553">
        <v>0</v>
      </c>
      <c r="P59" s="1077"/>
      <c r="Q59" s="1888"/>
    </row>
    <row r="60" spans="2:17" s="1067" customFormat="1" ht="15.5">
      <c r="B60" s="1073">
        <v>30146</v>
      </c>
      <c r="C60" s="554"/>
      <c r="D60" s="1074" t="s">
        <v>1175</v>
      </c>
      <c r="E60" s="554"/>
      <c r="F60" s="553"/>
      <c r="G60" s="553">
        <v>0</v>
      </c>
      <c r="H60" s="553"/>
      <c r="I60" s="553">
        <v>0</v>
      </c>
      <c r="J60" s="553"/>
      <c r="K60" s="553">
        <v>0</v>
      </c>
      <c r="L60" s="553"/>
      <c r="M60" s="553">
        <f t="shared" si="0"/>
        <v>0</v>
      </c>
      <c r="N60" s="553"/>
      <c r="O60" s="553">
        <v>0</v>
      </c>
      <c r="P60" s="1077"/>
      <c r="Q60" s="1888"/>
    </row>
    <row r="61" spans="2:17" s="1067" customFormat="1" ht="15.5">
      <c r="B61" s="1073">
        <v>30147</v>
      </c>
      <c r="C61" s="554"/>
      <c r="D61" s="1074" t="s">
        <v>1176</v>
      </c>
      <c r="E61" s="554"/>
      <c r="F61" s="553"/>
      <c r="G61" s="553">
        <v>0</v>
      </c>
      <c r="H61" s="553"/>
      <c r="I61" s="553">
        <v>0</v>
      </c>
      <c r="J61" s="553"/>
      <c r="K61" s="553">
        <v>0</v>
      </c>
      <c r="L61" s="553"/>
      <c r="M61" s="553">
        <f t="shared" ref="M61:M74" si="1">ROUND(SUM(O61)-SUM(K61),2)</f>
        <v>0</v>
      </c>
      <c r="N61" s="553"/>
      <c r="O61" s="553">
        <v>0</v>
      </c>
      <c r="P61" s="1077"/>
      <c r="Q61" s="1888"/>
    </row>
    <row r="62" spans="2:17" s="1067" customFormat="1" ht="15.5">
      <c r="B62" s="1073">
        <v>30148</v>
      </c>
      <c r="C62" s="554"/>
      <c r="D62" s="1074" t="s">
        <v>1177</v>
      </c>
      <c r="E62" s="554"/>
      <c r="F62" s="553"/>
      <c r="G62" s="553">
        <v>0</v>
      </c>
      <c r="H62" s="553"/>
      <c r="I62" s="553">
        <v>0</v>
      </c>
      <c r="J62" s="553"/>
      <c r="K62" s="553">
        <v>0</v>
      </c>
      <c r="L62" s="553"/>
      <c r="M62" s="553">
        <f t="shared" ref="M62:M68" si="2">ROUND(SUM(O62)-SUM(K62),2)</f>
        <v>0</v>
      </c>
      <c r="N62" s="553"/>
      <c r="O62" s="553">
        <v>0</v>
      </c>
      <c r="P62" s="1077"/>
      <c r="Q62" s="1888"/>
    </row>
    <row r="63" spans="2:17" s="1067" customFormat="1" ht="15.5">
      <c r="B63" s="1073">
        <v>30149</v>
      </c>
      <c r="C63" s="554"/>
      <c r="D63" s="1074" t="s">
        <v>1178</v>
      </c>
      <c r="E63" s="554"/>
      <c r="F63" s="553"/>
      <c r="G63" s="553">
        <v>0</v>
      </c>
      <c r="H63" s="553"/>
      <c r="I63" s="553">
        <v>0</v>
      </c>
      <c r="J63" s="553"/>
      <c r="K63" s="553">
        <v>0</v>
      </c>
      <c r="L63" s="553"/>
      <c r="M63" s="553">
        <f t="shared" si="2"/>
        <v>50015.63</v>
      </c>
      <c r="N63" s="553"/>
      <c r="O63" s="553">
        <v>50015.63</v>
      </c>
      <c r="P63" s="1077"/>
      <c r="Q63" s="1888"/>
    </row>
    <row r="64" spans="2:17" s="1067" customFormat="1" ht="15.5">
      <c r="B64" s="1073">
        <v>30150</v>
      </c>
      <c r="C64" s="554"/>
      <c r="D64" s="1074" t="s">
        <v>1179</v>
      </c>
      <c r="E64" s="554"/>
      <c r="F64" s="553"/>
      <c r="G64" s="553">
        <v>0</v>
      </c>
      <c r="H64" s="553"/>
      <c r="I64" s="553">
        <v>0</v>
      </c>
      <c r="J64" s="553"/>
      <c r="K64" s="553">
        <v>0</v>
      </c>
      <c r="L64" s="553"/>
      <c r="M64" s="553">
        <f t="shared" si="2"/>
        <v>0</v>
      </c>
      <c r="N64" s="553"/>
      <c r="O64" s="553">
        <v>0</v>
      </c>
      <c r="P64" s="1077"/>
      <c r="Q64" s="1888"/>
    </row>
    <row r="65" spans="2:17" s="1067" customFormat="1" ht="15.5">
      <c r="B65" s="1073">
        <v>30151</v>
      </c>
      <c r="C65" s="554"/>
      <c r="D65" s="1074" t="s">
        <v>1180</v>
      </c>
      <c r="E65" s="554"/>
      <c r="F65" s="553"/>
      <c r="G65" s="553">
        <v>0</v>
      </c>
      <c r="H65" s="553"/>
      <c r="I65" s="553">
        <v>0</v>
      </c>
      <c r="J65" s="553"/>
      <c r="K65" s="553">
        <v>0</v>
      </c>
      <c r="L65" s="553"/>
      <c r="M65" s="553">
        <f t="shared" si="2"/>
        <v>0</v>
      </c>
      <c r="N65" s="553"/>
      <c r="O65" s="553">
        <v>0</v>
      </c>
      <c r="P65" s="1077"/>
      <c r="Q65" s="1888"/>
    </row>
    <row r="66" spans="2:17" s="1067" customFormat="1" ht="15.5">
      <c r="B66" s="1073">
        <v>30152</v>
      </c>
      <c r="C66" s="554"/>
      <c r="D66" s="1074" t="s">
        <v>1181</v>
      </c>
      <c r="E66" s="554"/>
      <c r="F66" s="553"/>
      <c r="G66" s="553">
        <v>0</v>
      </c>
      <c r="H66" s="553"/>
      <c r="I66" s="553">
        <v>0</v>
      </c>
      <c r="J66" s="553"/>
      <c r="K66" s="553">
        <v>0</v>
      </c>
      <c r="L66" s="553"/>
      <c r="M66" s="553">
        <f t="shared" si="2"/>
        <v>0</v>
      </c>
      <c r="N66" s="553"/>
      <c r="O66" s="553">
        <v>0</v>
      </c>
      <c r="P66" s="1077"/>
      <c r="Q66" s="1888"/>
    </row>
    <row r="67" spans="2:17" s="1067" customFormat="1" ht="15.5">
      <c r="B67" s="1073">
        <v>30153</v>
      </c>
      <c r="C67" s="554"/>
      <c r="D67" s="1074" t="s">
        <v>1182</v>
      </c>
      <c r="E67" s="554"/>
      <c r="F67" s="553"/>
      <c r="G67" s="553">
        <v>0</v>
      </c>
      <c r="H67" s="553"/>
      <c r="I67" s="553">
        <v>0</v>
      </c>
      <c r="J67" s="553"/>
      <c r="K67" s="553">
        <v>0</v>
      </c>
      <c r="L67" s="553"/>
      <c r="M67" s="553">
        <f t="shared" si="2"/>
        <v>0</v>
      </c>
      <c r="N67" s="553"/>
      <c r="O67" s="553">
        <v>0</v>
      </c>
      <c r="P67" s="1077"/>
      <c r="Q67" s="1888"/>
    </row>
    <row r="68" spans="2:17" s="1067" customFormat="1" ht="15.5">
      <c r="B68" s="1073">
        <v>30154</v>
      </c>
      <c r="C68" s="554"/>
      <c r="D68" s="1074" t="s">
        <v>1183</v>
      </c>
      <c r="E68" s="554"/>
      <c r="F68" s="553"/>
      <c r="G68" s="553">
        <v>0</v>
      </c>
      <c r="H68" s="553"/>
      <c r="I68" s="553">
        <v>0</v>
      </c>
      <c r="J68" s="553"/>
      <c r="K68" s="553">
        <v>0</v>
      </c>
      <c r="L68" s="553"/>
      <c r="M68" s="553">
        <f t="shared" si="2"/>
        <v>0</v>
      </c>
      <c r="N68" s="553"/>
      <c r="O68" s="553">
        <v>0</v>
      </c>
      <c r="P68" s="1077"/>
      <c r="Q68" s="1888"/>
    </row>
    <row r="69" spans="2:17" s="1067" customFormat="1" ht="15.5">
      <c r="B69" s="1073">
        <v>30351</v>
      </c>
      <c r="C69" s="554"/>
      <c r="D69" s="1074" t="s">
        <v>1184</v>
      </c>
      <c r="E69" s="554"/>
      <c r="F69" s="553"/>
      <c r="G69" s="553">
        <v>167260878.84</v>
      </c>
      <c r="H69" s="553"/>
      <c r="I69" s="553">
        <v>181388653.65000001</v>
      </c>
      <c r="J69" s="553"/>
      <c r="K69" s="553">
        <v>197060762.65000001</v>
      </c>
      <c r="L69" s="553"/>
      <c r="M69" s="553">
        <f t="shared" si="1"/>
        <v>209532.16</v>
      </c>
      <c r="N69" s="553"/>
      <c r="O69" s="553">
        <v>197270294.81</v>
      </c>
      <c r="P69" s="1077"/>
      <c r="Q69" s="1888"/>
    </row>
    <row r="70" spans="2:17" s="1067" customFormat="1" ht="15.5">
      <c r="B70" s="1073">
        <v>30501</v>
      </c>
      <c r="C70" s="554"/>
      <c r="D70" s="1074" t="s">
        <v>1185</v>
      </c>
      <c r="E70" s="554"/>
      <c r="F70" s="553"/>
      <c r="G70" s="553">
        <v>0</v>
      </c>
      <c r="H70" s="553"/>
      <c r="I70" s="553">
        <v>0</v>
      </c>
      <c r="J70" s="553"/>
      <c r="K70" s="553">
        <v>0</v>
      </c>
      <c r="L70" s="553"/>
      <c r="M70" s="553">
        <f>ROUND(SUM(O70)-SUM(K70),2)</f>
        <v>0</v>
      </c>
      <c r="N70" s="553"/>
      <c r="O70" s="553">
        <v>0</v>
      </c>
      <c r="P70" s="1077"/>
      <c r="Q70" s="1888"/>
    </row>
    <row r="71" spans="2:17" s="1067" customFormat="1" ht="15.5">
      <c r="B71" s="1073">
        <v>30502</v>
      </c>
      <c r="C71" s="554"/>
      <c r="D71" s="1074" t="s">
        <v>1186</v>
      </c>
      <c r="E71" s="554"/>
      <c r="F71" s="553"/>
      <c r="G71" s="553">
        <v>0</v>
      </c>
      <c r="H71" s="553"/>
      <c r="I71" s="553">
        <v>0</v>
      </c>
      <c r="J71" s="553"/>
      <c r="K71" s="553">
        <v>0</v>
      </c>
      <c r="L71" s="553"/>
      <c r="M71" s="553">
        <f>ROUND(SUM(O71)-SUM(K71),2)</f>
        <v>0</v>
      </c>
      <c r="N71" s="553"/>
      <c r="O71" s="553">
        <v>0</v>
      </c>
      <c r="P71" s="1077"/>
      <c r="Q71" s="1888"/>
    </row>
    <row r="72" spans="2:17" s="1067" customFormat="1" ht="15.5">
      <c r="B72" s="1073">
        <v>30503</v>
      </c>
      <c r="C72" s="554"/>
      <c r="D72" s="1074" t="s">
        <v>1187</v>
      </c>
      <c r="E72" s="554"/>
      <c r="F72" s="553"/>
      <c r="G72" s="553">
        <v>0</v>
      </c>
      <c r="H72" s="553"/>
      <c r="I72" s="553">
        <v>0</v>
      </c>
      <c r="J72" s="553"/>
      <c r="K72" s="553">
        <v>0</v>
      </c>
      <c r="L72" s="553"/>
      <c r="M72" s="553">
        <f>ROUND(SUM(O72)-SUM(K72),2)</f>
        <v>0</v>
      </c>
      <c r="N72" s="553"/>
      <c r="O72" s="553">
        <v>0</v>
      </c>
      <c r="P72" s="1077"/>
      <c r="Q72" s="1888"/>
    </row>
    <row r="73" spans="2:17" s="1067" customFormat="1" ht="15.5">
      <c r="B73" s="1073">
        <v>30504</v>
      </c>
      <c r="C73" s="554"/>
      <c r="D73" s="1074" t="s">
        <v>1188</v>
      </c>
      <c r="E73" s="554"/>
      <c r="F73" s="553"/>
      <c r="G73" s="553">
        <v>0</v>
      </c>
      <c r="H73" s="553"/>
      <c r="I73" s="553">
        <v>0</v>
      </c>
      <c r="J73" s="553"/>
      <c r="K73" s="553">
        <v>0</v>
      </c>
      <c r="L73" s="553"/>
      <c r="M73" s="553">
        <f>ROUND(SUM(O73)-SUM(K73),2)</f>
        <v>0</v>
      </c>
      <c r="N73" s="553"/>
      <c r="O73" s="553">
        <v>0</v>
      </c>
      <c r="P73" s="1077"/>
      <c r="Q73" s="1888"/>
    </row>
    <row r="74" spans="2:17" s="1067" customFormat="1" ht="15.5">
      <c r="B74" s="1073">
        <v>31506</v>
      </c>
      <c r="C74" s="1081"/>
      <c r="D74" s="1080" t="s">
        <v>1189</v>
      </c>
      <c r="E74" s="1082"/>
      <c r="F74" s="553"/>
      <c r="G74" s="553">
        <v>204725943.84999999</v>
      </c>
      <c r="H74" s="553"/>
      <c r="I74" s="553">
        <v>218611619.06999999</v>
      </c>
      <c r="J74" s="553"/>
      <c r="K74" s="553">
        <v>230343476.81</v>
      </c>
      <c r="L74" s="553"/>
      <c r="M74" s="553">
        <f t="shared" si="1"/>
        <v>13255977.369999999</v>
      </c>
      <c r="N74" s="553"/>
      <c r="O74" s="553">
        <v>243599454.18000001</v>
      </c>
      <c r="P74" s="1077"/>
      <c r="Q74" s="1888"/>
    </row>
    <row r="75" spans="2:17" s="1067" customFormat="1" ht="15.5">
      <c r="B75" s="1073">
        <v>31701</v>
      </c>
      <c r="C75" s="554"/>
      <c r="D75" s="1074" t="s">
        <v>1190</v>
      </c>
      <c r="E75" s="554"/>
      <c r="F75" s="553"/>
      <c r="G75" s="553">
        <v>23313358.359999999</v>
      </c>
      <c r="H75" s="553"/>
      <c r="I75" s="553">
        <v>24087054.260000002</v>
      </c>
      <c r="J75" s="553"/>
      <c r="K75" s="553">
        <v>14037921.890000001</v>
      </c>
      <c r="L75" s="553"/>
      <c r="M75" s="553">
        <f t="shared" ref="M75:M82" si="3">ROUND(SUM(O75)-SUM(K75),2)</f>
        <v>1450972.64</v>
      </c>
      <c r="N75" s="553"/>
      <c r="O75" s="553">
        <v>15488894.529999999</v>
      </c>
      <c r="P75" s="1077"/>
      <c r="Q75" s="1888"/>
    </row>
    <row r="76" spans="2:17" s="1067" customFormat="1" ht="15.5">
      <c r="B76" s="1073">
        <v>31801</v>
      </c>
      <c r="C76" s="554"/>
      <c r="D76" s="1074" t="s">
        <v>1191</v>
      </c>
      <c r="E76" s="554"/>
      <c r="F76" s="553"/>
      <c r="G76" s="553">
        <v>12941967.060000001</v>
      </c>
      <c r="H76" s="553"/>
      <c r="I76" s="553">
        <v>12941967.060000001</v>
      </c>
      <c r="J76" s="553"/>
      <c r="K76" s="553">
        <v>12941967.060000001</v>
      </c>
      <c r="L76" s="553"/>
      <c r="M76" s="553">
        <f t="shared" si="3"/>
        <v>0</v>
      </c>
      <c r="N76" s="553"/>
      <c r="O76" s="553">
        <v>12941967.060000001</v>
      </c>
      <c r="P76" s="1077"/>
      <c r="Q76" s="1888"/>
    </row>
    <row r="77" spans="2:17" s="1067" customFormat="1" ht="15.5">
      <c r="B77" s="1073">
        <v>31851</v>
      </c>
      <c r="C77" s="554"/>
      <c r="D77" s="1080" t="s">
        <v>1192</v>
      </c>
      <c r="E77" s="554"/>
      <c r="F77" s="553"/>
      <c r="G77" s="553">
        <v>610072854.13</v>
      </c>
      <c r="H77" s="553"/>
      <c r="I77" s="553">
        <v>633163650.13</v>
      </c>
      <c r="J77" s="553"/>
      <c r="K77" s="553">
        <v>292229380.63999999</v>
      </c>
      <c r="L77" s="553"/>
      <c r="M77" s="553">
        <f t="shared" si="3"/>
        <v>97772463</v>
      </c>
      <c r="N77" s="553"/>
      <c r="O77" s="553">
        <v>390001843.63999999</v>
      </c>
      <c r="P77" s="1077"/>
      <c r="Q77" s="1888"/>
    </row>
    <row r="78" spans="2:17" s="1067" customFormat="1" ht="15.5">
      <c r="B78" s="1073">
        <v>31852</v>
      </c>
      <c r="C78" s="554"/>
      <c r="D78" s="1074" t="s">
        <v>1193</v>
      </c>
      <c r="E78" s="554"/>
      <c r="F78" s="553"/>
      <c r="G78" s="553">
        <v>39695336.25</v>
      </c>
      <c r="H78" s="553"/>
      <c r="I78" s="553">
        <v>39695336.25</v>
      </c>
      <c r="J78" s="553"/>
      <c r="K78" s="553">
        <v>43547644.25</v>
      </c>
      <c r="L78" s="553"/>
      <c r="M78" s="553">
        <f t="shared" si="3"/>
        <v>0</v>
      </c>
      <c r="N78" s="553"/>
      <c r="O78" s="553">
        <v>43547644.25</v>
      </c>
      <c r="P78" s="1077"/>
      <c r="Q78" s="1888"/>
    </row>
    <row r="79" spans="2:17" s="1067" customFormat="1" ht="15.5">
      <c r="B79" s="1073">
        <v>31853</v>
      </c>
      <c r="C79" s="554"/>
      <c r="D79" s="1080" t="s">
        <v>1194</v>
      </c>
      <c r="E79" s="554"/>
      <c r="F79" s="553"/>
      <c r="G79" s="553">
        <v>249898710.25</v>
      </c>
      <c r="H79" s="553"/>
      <c r="I79" s="553">
        <v>249898710.25</v>
      </c>
      <c r="J79" s="553"/>
      <c r="K79" s="553">
        <v>249898710.25</v>
      </c>
      <c r="L79" s="553"/>
      <c r="M79" s="553">
        <f t="shared" si="3"/>
        <v>25292000</v>
      </c>
      <c r="N79" s="553"/>
      <c r="O79" s="553">
        <v>275190710.25</v>
      </c>
      <c r="P79" s="1077"/>
      <c r="Q79" s="1888"/>
    </row>
    <row r="80" spans="2:17" s="1067" customFormat="1" ht="15.5">
      <c r="B80" s="1073">
        <v>31854</v>
      </c>
      <c r="C80" s="554"/>
      <c r="D80" s="1080" t="s">
        <v>1195</v>
      </c>
      <c r="E80" s="554"/>
      <c r="F80" s="553"/>
      <c r="G80" s="553">
        <v>0</v>
      </c>
      <c r="H80" s="553"/>
      <c r="I80" s="553">
        <v>0</v>
      </c>
      <c r="J80" s="553"/>
      <c r="K80" s="553">
        <v>0</v>
      </c>
      <c r="L80" s="553"/>
      <c r="M80" s="553">
        <f t="shared" ref="M80" si="4">ROUND(SUM(O80)-SUM(K80),2)</f>
        <v>0</v>
      </c>
      <c r="N80" s="553"/>
      <c r="O80" s="553">
        <v>0</v>
      </c>
      <c r="P80" s="1077"/>
      <c r="Q80" s="1888"/>
    </row>
    <row r="81" spans="2:17" s="1067" customFormat="1" ht="15.5">
      <c r="B81" s="1073">
        <v>31951</v>
      </c>
      <c r="C81" s="554"/>
      <c r="D81" s="1080" t="s">
        <v>1196</v>
      </c>
      <c r="E81" s="554"/>
      <c r="F81" s="553"/>
      <c r="G81" s="553">
        <v>12015920.550000001</v>
      </c>
      <c r="H81" s="553"/>
      <c r="I81" s="553">
        <v>12015920.550000001</v>
      </c>
      <c r="J81" s="553"/>
      <c r="K81" s="553">
        <v>12015920.550000001</v>
      </c>
      <c r="L81" s="553"/>
      <c r="M81" s="553">
        <f t="shared" si="3"/>
        <v>0</v>
      </c>
      <c r="N81" s="553"/>
      <c r="O81" s="553">
        <v>12015920.550000001</v>
      </c>
      <c r="P81" s="1077"/>
      <c r="Q81" s="1888"/>
    </row>
    <row r="82" spans="2:17" s="1067" customFormat="1" ht="15.5">
      <c r="B82" s="1073">
        <v>32213</v>
      </c>
      <c r="C82" s="554"/>
      <c r="D82" s="1074" t="s">
        <v>1197</v>
      </c>
      <c r="E82" s="554"/>
      <c r="F82" s="553"/>
      <c r="G82" s="553">
        <v>153750</v>
      </c>
      <c r="H82" s="553"/>
      <c r="I82" s="553">
        <v>153750</v>
      </c>
      <c r="J82" s="553"/>
      <c r="K82" s="553">
        <v>153750</v>
      </c>
      <c r="L82" s="553"/>
      <c r="M82" s="553">
        <f t="shared" si="3"/>
        <v>0</v>
      </c>
      <c r="N82" s="553"/>
      <c r="O82" s="553">
        <v>153750</v>
      </c>
      <c r="P82" s="1077"/>
      <c r="Q82" s="1888"/>
    </row>
    <row r="83" spans="2:17" s="1067" customFormat="1" ht="15.5">
      <c r="B83" s="1073">
        <v>32214</v>
      </c>
      <c r="C83" s="554"/>
      <c r="D83" s="1074" t="s">
        <v>1198</v>
      </c>
      <c r="E83" s="554"/>
      <c r="F83" s="553"/>
      <c r="G83" s="553">
        <v>0</v>
      </c>
      <c r="H83" s="553"/>
      <c r="I83" s="553">
        <v>0</v>
      </c>
      <c r="J83" s="553"/>
      <c r="K83" s="553">
        <v>0</v>
      </c>
      <c r="L83" s="553"/>
      <c r="M83" s="553">
        <f t="shared" ref="M83" si="5">ROUND(SUM(O83)-SUM(K83),2)</f>
        <v>0</v>
      </c>
      <c r="N83" s="553"/>
      <c r="O83" s="553">
        <v>0</v>
      </c>
      <c r="P83" s="1077"/>
      <c r="Q83" s="1888"/>
    </row>
    <row r="84" spans="2:17" s="1067" customFormat="1" ht="15.5">
      <c r="B84" s="1073">
        <v>32215</v>
      </c>
      <c r="C84" s="554"/>
      <c r="D84" s="1074" t="s">
        <v>1199</v>
      </c>
      <c r="E84" s="554"/>
      <c r="F84" s="553"/>
      <c r="G84" s="553">
        <v>1030.3</v>
      </c>
      <c r="H84" s="553"/>
      <c r="I84" s="553">
        <v>1034.93</v>
      </c>
      <c r="J84" s="553"/>
      <c r="K84" s="553">
        <v>1039.5</v>
      </c>
      <c r="L84" s="553"/>
      <c r="M84" s="553">
        <f>ROUND(SUM(O84)-SUM(K84),2)</f>
        <v>4.8</v>
      </c>
      <c r="N84" s="553"/>
      <c r="O84" s="553">
        <v>1044.3</v>
      </c>
      <c r="P84" s="1077"/>
      <c r="Q84" s="1888"/>
    </row>
    <row r="85" spans="2:17" s="1067" customFormat="1" ht="15.5">
      <c r="B85" s="1073">
        <v>32219</v>
      </c>
      <c r="C85" s="554"/>
      <c r="D85" s="1074" t="s">
        <v>1200</v>
      </c>
      <c r="E85" s="554"/>
      <c r="F85" s="553"/>
      <c r="G85" s="553">
        <v>0</v>
      </c>
      <c r="H85" s="553"/>
      <c r="I85" s="553">
        <v>0</v>
      </c>
      <c r="J85" s="553"/>
      <c r="K85" s="553">
        <v>0</v>
      </c>
      <c r="L85" s="553"/>
      <c r="M85" s="553">
        <f>ROUND(SUM(O85)-SUM(K85),2)</f>
        <v>0</v>
      </c>
      <c r="N85" s="553"/>
      <c r="O85" s="553">
        <v>0</v>
      </c>
      <c r="P85" s="1077"/>
      <c r="Q85" s="1888"/>
    </row>
    <row r="86" spans="2:17" s="1067" customFormat="1" ht="15.5">
      <c r="B86" s="1073">
        <v>32301</v>
      </c>
      <c r="C86" s="554"/>
      <c r="D86" s="1074" t="s">
        <v>1201</v>
      </c>
      <c r="E86" s="554"/>
      <c r="F86" s="553"/>
      <c r="G86" s="553">
        <v>0</v>
      </c>
      <c r="H86" s="553"/>
      <c r="I86" s="553">
        <v>0</v>
      </c>
      <c r="J86" s="553"/>
      <c r="K86" s="553">
        <v>0</v>
      </c>
      <c r="L86" s="553"/>
      <c r="M86" s="553">
        <f t="shared" ref="M86:M87" si="6">ROUND(SUM(O86)-SUM(K86),2)</f>
        <v>0</v>
      </c>
      <c r="N86" s="553"/>
      <c r="O86" s="553">
        <v>0</v>
      </c>
      <c r="P86" s="1077"/>
      <c r="Q86" s="1888"/>
    </row>
    <row r="87" spans="2:17" s="1067" customFormat="1" ht="15.5">
      <c r="B87" s="1073">
        <v>32302</v>
      </c>
      <c r="C87" s="554"/>
      <c r="D87" s="1074" t="s">
        <v>1202</v>
      </c>
      <c r="E87" s="554"/>
      <c r="F87" s="553"/>
      <c r="G87" s="553">
        <v>0</v>
      </c>
      <c r="H87" s="553"/>
      <c r="I87" s="553">
        <v>0</v>
      </c>
      <c r="J87" s="553"/>
      <c r="K87" s="553">
        <v>0</v>
      </c>
      <c r="L87" s="553"/>
      <c r="M87" s="553">
        <f t="shared" si="6"/>
        <v>0</v>
      </c>
      <c r="N87" s="553"/>
      <c r="O87" s="553">
        <v>0</v>
      </c>
      <c r="P87" s="1077"/>
      <c r="Q87" s="1888"/>
    </row>
    <row r="88" spans="2:17" s="1067" customFormat="1" ht="15.5">
      <c r="B88" s="1073">
        <v>32303</v>
      </c>
      <c r="C88" s="554"/>
      <c r="D88" s="1074" t="s">
        <v>1203</v>
      </c>
      <c r="E88" s="1082"/>
      <c r="F88" s="553"/>
      <c r="G88" s="553">
        <v>106854324.2</v>
      </c>
      <c r="H88" s="553"/>
      <c r="I88" s="553">
        <v>110265925.64</v>
      </c>
      <c r="J88" s="553"/>
      <c r="K88" s="553">
        <v>113819863.86</v>
      </c>
      <c r="L88" s="553"/>
      <c r="M88" s="553">
        <f>ROUND(SUM(O88)-SUM(K88),2)</f>
        <v>3349062.7</v>
      </c>
      <c r="N88" s="553"/>
      <c r="O88" s="553">
        <v>117168926.56</v>
      </c>
      <c r="P88" s="1077"/>
      <c r="Q88" s="1888"/>
    </row>
    <row r="89" spans="2:17" s="1067" customFormat="1" ht="15.5">
      <c r="B89" s="1073">
        <v>32304</v>
      </c>
      <c r="C89" s="554"/>
      <c r="D89" s="1074" t="s">
        <v>1204</v>
      </c>
      <c r="E89" s="1082"/>
      <c r="F89" s="553"/>
      <c r="G89" s="553">
        <v>0</v>
      </c>
      <c r="H89" s="553"/>
      <c r="I89" s="553">
        <v>0</v>
      </c>
      <c r="J89" s="553"/>
      <c r="K89" s="553">
        <v>0</v>
      </c>
      <c r="L89" s="553"/>
      <c r="M89" s="553">
        <f>ROUND(SUM(O89)-SUM(K89),2)</f>
        <v>0</v>
      </c>
      <c r="N89" s="553"/>
      <c r="O89" s="553">
        <v>0</v>
      </c>
      <c r="P89" s="1077"/>
      <c r="Q89" s="1888"/>
    </row>
    <row r="90" spans="2:17" s="1067" customFormat="1" ht="15.5">
      <c r="B90" s="1073">
        <v>32305</v>
      </c>
      <c r="C90" s="554"/>
      <c r="D90" s="1074" t="s">
        <v>1205</v>
      </c>
      <c r="E90" s="1082"/>
      <c r="F90" s="553"/>
      <c r="G90" s="553">
        <v>231818277.71000001</v>
      </c>
      <c r="H90" s="553"/>
      <c r="I90" s="553">
        <v>234518277.71000001</v>
      </c>
      <c r="J90" s="553"/>
      <c r="K90" s="553">
        <v>237868277.71000001</v>
      </c>
      <c r="L90" s="553"/>
      <c r="M90" s="553">
        <f t="shared" ref="M90:M100" si="7">ROUND(SUM(O90)-SUM(K90),2)</f>
        <v>2300000</v>
      </c>
      <c r="N90" s="553"/>
      <c r="O90" s="553">
        <v>240168277.71000001</v>
      </c>
      <c r="P90" s="1077"/>
      <c r="Q90" s="1888"/>
    </row>
    <row r="91" spans="2:17" s="1067" customFormat="1" ht="15.5">
      <c r="B91" s="1073">
        <v>32306</v>
      </c>
      <c r="C91" s="554"/>
      <c r="D91" s="1074" t="s">
        <v>1206</v>
      </c>
      <c r="E91" s="1082"/>
      <c r="F91" s="553"/>
      <c r="G91" s="553">
        <v>0</v>
      </c>
      <c r="H91" s="553"/>
      <c r="I91" s="553">
        <v>0</v>
      </c>
      <c r="J91" s="553"/>
      <c r="K91" s="553">
        <v>0</v>
      </c>
      <c r="L91" s="553"/>
      <c r="M91" s="553">
        <f t="shared" ref="M91" si="8">ROUND(SUM(O91)-SUM(K91),2)</f>
        <v>0</v>
      </c>
      <c r="N91" s="553"/>
      <c r="O91" s="553">
        <v>0</v>
      </c>
      <c r="P91" s="1077"/>
      <c r="Q91" s="1888"/>
    </row>
    <row r="92" spans="2:17" s="1067" customFormat="1" ht="15.5">
      <c r="B92" s="1073">
        <v>32307</v>
      </c>
      <c r="C92" s="554"/>
      <c r="D92" s="1080" t="s">
        <v>1207</v>
      </c>
      <c r="E92" s="1082"/>
      <c r="F92" s="553"/>
      <c r="G92" s="553">
        <v>13238402.039999999</v>
      </c>
      <c r="H92" s="553"/>
      <c r="I92" s="553">
        <v>13238402.039999999</v>
      </c>
      <c r="J92" s="553"/>
      <c r="K92" s="553">
        <v>13238402.039999999</v>
      </c>
      <c r="L92" s="553"/>
      <c r="M92" s="553">
        <f t="shared" si="7"/>
        <v>2339750</v>
      </c>
      <c r="N92" s="553"/>
      <c r="O92" s="553">
        <v>15578152.039999999</v>
      </c>
      <c r="P92" s="1077"/>
      <c r="Q92" s="1888"/>
    </row>
    <row r="93" spans="2:17" s="1067" customFormat="1" ht="15.5">
      <c r="B93" s="1073">
        <v>32308</v>
      </c>
      <c r="C93" s="554"/>
      <c r="D93" s="1080" t="s">
        <v>1208</v>
      </c>
      <c r="E93" s="1082"/>
      <c r="F93" s="553"/>
      <c r="G93" s="553">
        <v>1279633.1599999999</v>
      </c>
      <c r="H93" s="553"/>
      <c r="I93" s="553">
        <v>1279633.1599999999</v>
      </c>
      <c r="J93" s="553"/>
      <c r="K93" s="553">
        <v>1279633.1599999999</v>
      </c>
      <c r="L93" s="553"/>
      <c r="M93" s="553">
        <f t="shared" si="7"/>
        <v>627500</v>
      </c>
      <c r="N93" s="553"/>
      <c r="O93" s="553">
        <v>1907133.16</v>
      </c>
      <c r="P93" s="1077"/>
      <c r="Q93" s="1888"/>
    </row>
    <row r="94" spans="2:17" s="1067" customFormat="1" ht="15.5">
      <c r="B94" s="1073">
        <v>32309</v>
      </c>
      <c r="C94" s="554"/>
      <c r="D94" s="1080" t="s">
        <v>1209</v>
      </c>
      <c r="E94" s="1082"/>
      <c r="F94" s="553"/>
      <c r="G94" s="553">
        <v>279122325.68000001</v>
      </c>
      <c r="H94" s="553"/>
      <c r="I94" s="553">
        <v>301620699.67000002</v>
      </c>
      <c r="J94" s="553"/>
      <c r="K94" s="553">
        <v>315612089.26999998</v>
      </c>
      <c r="L94" s="553"/>
      <c r="M94" s="553">
        <f t="shared" si="7"/>
        <v>23825904.920000002</v>
      </c>
      <c r="N94" s="553"/>
      <c r="O94" s="553">
        <v>339437994.19</v>
      </c>
      <c r="P94" s="1077"/>
      <c r="Q94" s="1888"/>
    </row>
    <row r="95" spans="2:17" s="1067" customFormat="1" ht="15.5">
      <c r="B95" s="1073">
        <v>32310</v>
      </c>
      <c r="C95" s="554"/>
      <c r="D95" s="1080" t="s">
        <v>1210</v>
      </c>
      <c r="E95" s="1082"/>
      <c r="F95" s="553"/>
      <c r="G95" s="553">
        <v>49151463.5</v>
      </c>
      <c r="H95" s="553"/>
      <c r="I95" s="553">
        <v>51803487.229999997</v>
      </c>
      <c r="J95" s="553"/>
      <c r="K95" s="553">
        <v>53510541.390000001</v>
      </c>
      <c r="L95" s="553"/>
      <c r="M95" s="553">
        <f t="shared" si="7"/>
        <v>7152067.0999999996</v>
      </c>
      <c r="N95" s="553"/>
      <c r="O95" s="553">
        <v>60662608.490000002</v>
      </c>
      <c r="P95" s="1077"/>
      <c r="Q95" s="1888"/>
    </row>
    <row r="96" spans="2:17" s="1067" customFormat="1" ht="15.5">
      <c r="B96" s="1073">
        <v>32311</v>
      </c>
      <c r="C96" s="554"/>
      <c r="D96" s="1320" t="s">
        <v>1211</v>
      </c>
      <c r="E96" s="1082"/>
      <c r="F96" s="553"/>
      <c r="G96" s="553">
        <v>8102836.5</v>
      </c>
      <c r="H96" s="553"/>
      <c r="I96" s="553">
        <v>8708950.0500000007</v>
      </c>
      <c r="J96" s="553"/>
      <c r="K96" s="553">
        <v>9159084.9000000004</v>
      </c>
      <c r="L96" s="553"/>
      <c r="M96" s="553">
        <f t="shared" si="7"/>
        <v>419064.51</v>
      </c>
      <c r="N96" s="553"/>
      <c r="O96" s="553">
        <v>9578149.4100000001</v>
      </c>
      <c r="P96" s="1077"/>
      <c r="Q96" s="1888"/>
    </row>
    <row r="97" spans="2:17" s="1067" customFormat="1" ht="15.5">
      <c r="B97" s="1073">
        <v>32351</v>
      </c>
      <c r="C97" s="1056"/>
      <c r="D97" s="1080" t="s">
        <v>1212</v>
      </c>
      <c r="E97" s="1082"/>
      <c r="F97" s="553"/>
      <c r="G97" s="553">
        <v>0</v>
      </c>
      <c r="H97" s="553"/>
      <c r="I97" s="553">
        <v>0</v>
      </c>
      <c r="J97" s="553"/>
      <c r="K97" s="553">
        <v>0</v>
      </c>
      <c r="L97" s="553"/>
      <c r="M97" s="553">
        <f t="shared" si="7"/>
        <v>0</v>
      </c>
      <c r="N97" s="553"/>
      <c r="O97" s="553">
        <v>0</v>
      </c>
      <c r="P97" s="1077"/>
      <c r="Q97" s="1888"/>
    </row>
    <row r="98" spans="2:17" s="1067" customFormat="1" ht="15.5">
      <c r="B98" s="1073">
        <v>32352</v>
      </c>
      <c r="C98" s="554"/>
      <c r="D98" s="1074" t="s">
        <v>1213</v>
      </c>
      <c r="E98" s="1082"/>
      <c r="F98" s="553"/>
      <c r="G98" s="553">
        <v>358283936.48000002</v>
      </c>
      <c r="H98" s="553"/>
      <c r="I98" s="553">
        <v>389088158.82999998</v>
      </c>
      <c r="J98" s="553"/>
      <c r="K98" s="553">
        <v>421068820.60000002</v>
      </c>
      <c r="L98" s="553"/>
      <c r="M98" s="553">
        <f t="shared" ref="M98" si="9">ROUND(SUM(O98)-SUM(K98),2)</f>
        <v>23134956.039999999</v>
      </c>
      <c r="N98" s="553"/>
      <c r="O98" s="553">
        <v>444203776.63999999</v>
      </c>
      <c r="P98" s="1077"/>
      <c r="Q98" s="1888"/>
    </row>
    <row r="99" spans="2:17" s="1067" customFormat="1" ht="15.5">
      <c r="B99" s="1073">
        <v>32353</v>
      </c>
      <c r="C99" s="1056"/>
      <c r="D99" s="1074" t="s">
        <v>1214</v>
      </c>
      <c r="E99" s="1082"/>
      <c r="F99" s="553"/>
      <c r="G99" s="553">
        <v>0</v>
      </c>
      <c r="H99" s="553"/>
      <c r="I99" s="553">
        <v>0</v>
      </c>
      <c r="J99" s="553"/>
      <c r="K99" s="553">
        <v>0</v>
      </c>
      <c r="L99" s="553"/>
      <c r="M99" s="553">
        <f t="shared" ref="M99" si="10">ROUND(SUM(O99)-SUM(K99),2)</f>
        <v>0</v>
      </c>
      <c r="N99" s="553"/>
      <c r="O99" s="553">
        <v>0</v>
      </c>
      <c r="P99" s="1077"/>
      <c r="Q99" s="1888"/>
    </row>
    <row r="100" spans="2:17" s="1067" customFormat="1" ht="15.5">
      <c r="B100" s="1073">
        <v>33001</v>
      </c>
      <c r="C100" s="554"/>
      <c r="D100" s="1074" t="s">
        <v>1215</v>
      </c>
      <c r="E100" s="1082"/>
      <c r="F100" s="553"/>
      <c r="G100" s="553">
        <v>42834110.210000001</v>
      </c>
      <c r="H100" s="553"/>
      <c r="I100" s="553">
        <v>38764348.710000001</v>
      </c>
      <c r="J100" s="553"/>
      <c r="K100" s="553">
        <v>33786922.359999999</v>
      </c>
      <c r="L100" s="553"/>
      <c r="M100" s="553">
        <f t="shared" si="7"/>
        <v>-228704.72</v>
      </c>
      <c r="N100" s="553"/>
      <c r="O100" s="553">
        <v>33558217.640000001</v>
      </c>
      <c r="P100" s="1077"/>
      <c r="Q100" s="1888"/>
    </row>
    <row r="101" spans="2:17" s="1067" customFormat="1" ht="16" thickBot="1">
      <c r="B101" s="1083"/>
      <c r="C101" s="1084"/>
      <c r="D101" s="1078" t="s">
        <v>1216</v>
      </c>
      <c r="E101" s="1071"/>
      <c r="F101" s="1071"/>
      <c r="G101" s="1867">
        <f>ROUND(SUM(G14:G100),2)</f>
        <v>2410894616.0500002</v>
      </c>
      <c r="H101" s="866"/>
      <c r="I101" s="1867">
        <f>ROUND(SUM(I14:I100),2)</f>
        <v>2521692778.46</v>
      </c>
      <c r="J101" s="866"/>
      <c r="K101" s="1867">
        <f>ROUND(SUM(K14:K100),2)</f>
        <v>2252021945.9400001</v>
      </c>
      <c r="L101"/>
      <c r="M101" s="1867">
        <f>ROUND(SUM(M14:M100),2)</f>
        <v>200954819.09</v>
      </c>
      <c r="N101"/>
      <c r="O101" s="1867">
        <f>ROUND(SUM(O14:O100),2)</f>
        <v>2452976765.0300002</v>
      </c>
      <c r="P101" s="1077"/>
      <c r="Q101" s="1888"/>
    </row>
    <row r="102" spans="2:17" s="1067" customFormat="1" ht="16" thickTop="1">
      <c r="B102" s="1072"/>
      <c r="C102" s="1072"/>
      <c r="D102" s="1085"/>
      <c r="E102" s="1072"/>
      <c r="F102" s="1072"/>
      <c r="G102" s="1259"/>
      <c r="H102" s="327"/>
      <c r="I102" s="1259"/>
      <c r="J102" s="327"/>
      <c r="K102" s="1259"/>
      <c r="L102" s="327"/>
      <c r="M102" s="1889"/>
      <c r="N102" s="327"/>
      <c r="O102" s="1259"/>
      <c r="P102" s="1086"/>
      <c r="Q102" s="1888"/>
    </row>
    <row r="103" spans="2:17" s="1067" customFormat="1" ht="15.5">
      <c r="B103" s="1068"/>
      <c r="C103" s="1084"/>
      <c r="D103" s="1087" t="s">
        <v>1217</v>
      </c>
      <c r="E103" s="1088"/>
      <c r="F103" s="1088"/>
      <c r="G103" s="1260"/>
      <c r="H103" s="1160"/>
      <c r="I103" s="1260"/>
      <c r="J103" s="1160"/>
      <c r="K103" s="1260"/>
      <c r="L103" s="1160"/>
      <c r="M103" s="866"/>
      <c r="N103" s="866"/>
      <c r="O103" s="1260"/>
      <c r="P103" s="1072"/>
      <c r="Q103" s="1888"/>
    </row>
    <row r="104" spans="2:17" s="1067" customFormat="1" ht="15.5">
      <c r="B104" s="1073">
        <v>20401</v>
      </c>
      <c r="C104" s="1084"/>
      <c r="D104" s="1074" t="s">
        <v>1218</v>
      </c>
      <c r="E104" s="1088"/>
      <c r="F104" s="1088"/>
      <c r="G104" s="553">
        <v>0</v>
      </c>
      <c r="H104" s="1160"/>
      <c r="I104" s="553">
        <v>0</v>
      </c>
      <c r="J104" s="1160"/>
      <c r="K104" s="553">
        <v>0</v>
      </c>
      <c r="L104" s="1160"/>
      <c r="M104" s="553">
        <f t="shared" ref="M104:M163" si="11">ROUND(SUM(O104)-SUM(K104),2)</f>
        <v>0</v>
      </c>
      <c r="N104" s="866"/>
      <c r="O104" s="553">
        <v>0</v>
      </c>
      <c r="P104" s="1072"/>
      <c r="Q104" s="1888"/>
    </row>
    <row r="105" spans="2:17" s="1067" customFormat="1" ht="15.5">
      <c r="B105" s="1073">
        <v>20501</v>
      </c>
      <c r="C105" s="1089"/>
      <c r="D105" s="1074" t="s">
        <v>1219</v>
      </c>
      <c r="E105" s="1090"/>
      <c r="F105" s="1090"/>
      <c r="G105" s="553">
        <v>0</v>
      </c>
      <c r="H105" s="553"/>
      <c r="I105" s="553">
        <v>0</v>
      </c>
      <c r="J105" s="553"/>
      <c r="K105" s="553">
        <v>0</v>
      </c>
      <c r="L105" s="553"/>
      <c r="M105" s="553">
        <f t="shared" si="11"/>
        <v>0</v>
      </c>
      <c r="N105" s="553"/>
      <c r="O105" s="553">
        <v>0</v>
      </c>
      <c r="P105" s="1077"/>
      <c r="Q105" s="1888"/>
    </row>
    <row r="106" spans="2:17" s="1067" customFormat="1" ht="15.5">
      <c r="B106" s="1073">
        <v>20810</v>
      </c>
      <c r="C106" s="1081"/>
      <c r="D106" s="1074" t="s">
        <v>1220</v>
      </c>
      <c r="E106" s="1082"/>
      <c r="F106" s="1082"/>
      <c r="G106" s="553">
        <v>77323463.319999993</v>
      </c>
      <c r="H106" s="553"/>
      <c r="I106" s="553">
        <v>0</v>
      </c>
      <c r="J106" s="553"/>
      <c r="K106" s="553">
        <v>41742968.289999999</v>
      </c>
      <c r="L106" s="553"/>
      <c r="M106" s="553">
        <f t="shared" si="11"/>
        <v>54645732</v>
      </c>
      <c r="N106" s="553"/>
      <c r="O106" s="553">
        <v>96388700.290000007</v>
      </c>
      <c r="P106" s="874"/>
      <c r="Q106" s="1888"/>
    </row>
    <row r="107" spans="2:17" s="1067" customFormat="1" ht="15.5">
      <c r="B107" s="1073">
        <v>20818</v>
      </c>
      <c r="C107" s="1081"/>
      <c r="D107" s="1074" t="s">
        <v>1221</v>
      </c>
      <c r="E107" s="1082"/>
      <c r="F107" s="1082"/>
      <c r="G107" s="553">
        <v>0</v>
      </c>
      <c r="H107" s="553"/>
      <c r="I107" s="553">
        <v>0</v>
      </c>
      <c r="J107" s="553"/>
      <c r="K107" s="553">
        <v>2775584.96</v>
      </c>
      <c r="L107" s="553"/>
      <c r="M107" s="553">
        <f t="shared" si="11"/>
        <v>6009210.4400000004</v>
      </c>
      <c r="N107" s="553"/>
      <c r="O107" s="553">
        <v>8784795.4000000004</v>
      </c>
      <c r="P107" s="874"/>
      <c r="Q107" s="1888"/>
    </row>
    <row r="108" spans="2:17" s="1067" customFormat="1" ht="15.5">
      <c r="B108" s="1073">
        <v>20901</v>
      </c>
      <c r="C108" s="1081"/>
      <c r="D108" s="1074" t="s">
        <v>1222</v>
      </c>
      <c r="E108" s="1082"/>
      <c r="F108" s="1082"/>
      <c r="G108" s="553">
        <v>0</v>
      </c>
      <c r="H108" s="553"/>
      <c r="I108" s="553">
        <v>1147536595.25</v>
      </c>
      <c r="J108" s="553"/>
      <c r="K108" s="553">
        <v>961262914.32000005</v>
      </c>
      <c r="L108" s="553"/>
      <c r="M108" s="553">
        <f t="shared" si="11"/>
        <v>-193602919.78999999</v>
      </c>
      <c r="N108" s="553"/>
      <c r="O108" s="553">
        <v>767659994.52999997</v>
      </c>
      <c r="P108" s="874"/>
      <c r="Q108" s="1888"/>
    </row>
    <row r="109" spans="2:17" s="1067" customFormat="1" ht="15.5">
      <c r="B109" s="1073">
        <v>20904</v>
      </c>
      <c r="C109" s="1081"/>
      <c r="D109" s="1074" t="s">
        <v>1223</v>
      </c>
      <c r="E109" s="1082"/>
      <c r="F109" s="1082"/>
      <c r="G109" s="553">
        <v>0</v>
      </c>
      <c r="H109" s="553"/>
      <c r="I109" s="553">
        <v>0</v>
      </c>
      <c r="J109" s="553"/>
      <c r="K109" s="553">
        <v>0</v>
      </c>
      <c r="L109" s="553"/>
      <c r="M109" s="553">
        <f t="shared" si="11"/>
        <v>0</v>
      </c>
      <c r="N109" s="553"/>
      <c r="O109" s="553">
        <v>0</v>
      </c>
      <c r="P109" s="874"/>
      <c r="Q109" s="1888"/>
    </row>
    <row r="110" spans="2:17" s="1067" customFormat="1" ht="15.5">
      <c r="B110" s="1073">
        <v>21001</v>
      </c>
      <c r="C110" s="1081"/>
      <c r="D110" s="1074" t="s">
        <v>1224</v>
      </c>
      <c r="E110" s="1082"/>
      <c r="F110" s="1082"/>
      <c r="G110" s="553">
        <v>0</v>
      </c>
      <c r="H110" s="553"/>
      <c r="I110" s="553">
        <v>0</v>
      </c>
      <c r="J110" s="553"/>
      <c r="K110" s="553">
        <v>0</v>
      </c>
      <c r="L110" s="553"/>
      <c r="M110" s="553">
        <f>ROUND(SUM(O110)-SUM(K110),2)</f>
        <v>0</v>
      </c>
      <c r="N110" s="553"/>
      <c r="O110" s="553">
        <v>0</v>
      </c>
      <c r="P110" s="874"/>
      <c r="Q110" s="1888"/>
    </row>
    <row r="111" spans="2:17" s="1067" customFormat="1" ht="15.5">
      <c r="B111" s="1073">
        <v>21002</v>
      </c>
      <c r="C111" s="1081"/>
      <c r="D111" s="1074" t="s">
        <v>1225</v>
      </c>
      <c r="E111" s="1082"/>
      <c r="F111" s="1082"/>
      <c r="G111" s="553">
        <v>115155.3</v>
      </c>
      <c r="H111" s="553"/>
      <c r="I111" s="553">
        <v>168849.27</v>
      </c>
      <c r="J111" s="553"/>
      <c r="K111" s="553">
        <v>219900.53</v>
      </c>
      <c r="L111" s="553"/>
      <c r="M111" s="553">
        <f t="shared" si="11"/>
        <v>80955.94</v>
      </c>
      <c r="N111" s="553"/>
      <c r="O111" s="553">
        <v>300856.46999999997</v>
      </c>
      <c r="P111" s="874"/>
      <c r="Q111" s="1888"/>
    </row>
    <row r="112" spans="2:17" s="1067" customFormat="1" ht="15.5">
      <c r="B112" s="1073">
        <v>21061</v>
      </c>
      <c r="C112" s="1081"/>
      <c r="D112" s="1074" t="s">
        <v>1226</v>
      </c>
      <c r="E112" s="1082"/>
      <c r="F112" s="1082"/>
      <c r="G112" s="553">
        <v>0</v>
      </c>
      <c r="H112" s="553"/>
      <c r="I112" s="553">
        <v>0</v>
      </c>
      <c r="J112" s="553"/>
      <c r="K112" s="553">
        <v>0</v>
      </c>
      <c r="L112" s="553"/>
      <c r="M112" s="553">
        <f t="shared" si="11"/>
        <v>0</v>
      </c>
      <c r="N112" s="553"/>
      <c r="O112" s="553">
        <v>0</v>
      </c>
      <c r="P112" s="874"/>
      <c r="Q112" s="1888"/>
    </row>
    <row r="113" spans="2:17" s="1067" customFormat="1" ht="15.5">
      <c r="B113" s="1073">
        <v>21064</v>
      </c>
      <c r="C113" s="1081"/>
      <c r="D113" s="1074" t="s">
        <v>1227</v>
      </c>
      <c r="E113" s="1082"/>
      <c r="F113" s="1082"/>
      <c r="G113" s="553">
        <v>618.66</v>
      </c>
      <c r="H113" s="553"/>
      <c r="I113" s="553">
        <v>618.66</v>
      </c>
      <c r="J113" s="553"/>
      <c r="K113" s="553">
        <v>618.66</v>
      </c>
      <c r="L113" s="553"/>
      <c r="M113" s="553">
        <f t="shared" ref="M113" si="12">ROUND(SUM(O113)-SUM(K113),2)</f>
        <v>0</v>
      </c>
      <c r="N113" s="553"/>
      <c r="O113" s="553">
        <v>618.66</v>
      </c>
      <c r="P113" s="874"/>
      <c r="Q113" s="1888"/>
    </row>
    <row r="114" spans="2:17" s="1067" customFormat="1" ht="15.5">
      <c r="B114" s="1073">
        <v>21065</v>
      </c>
      <c r="C114" s="1081"/>
      <c r="D114" s="1074" t="s">
        <v>1228</v>
      </c>
      <c r="E114" s="1082"/>
      <c r="F114" s="1082"/>
      <c r="G114" s="553">
        <v>3473819.67</v>
      </c>
      <c r="H114" s="553"/>
      <c r="I114" s="553">
        <v>4137261.78</v>
      </c>
      <c r="J114" s="553"/>
      <c r="K114" s="553">
        <v>1610896.17</v>
      </c>
      <c r="L114" s="553"/>
      <c r="M114" s="553">
        <f t="shared" si="11"/>
        <v>-1610896.17</v>
      </c>
      <c r="N114" s="553"/>
      <c r="O114" s="553">
        <v>0</v>
      </c>
      <c r="P114" s="874"/>
      <c r="Q114" s="1888"/>
    </row>
    <row r="115" spans="2:17" s="1067" customFormat="1" ht="15.5">
      <c r="B115" s="1073">
        <v>21066</v>
      </c>
      <c r="C115" s="1081"/>
      <c r="D115" s="1080" t="s">
        <v>1229</v>
      </c>
      <c r="E115" s="1082"/>
      <c r="F115" s="1082"/>
      <c r="G115" s="553">
        <v>1314938.6499999999</v>
      </c>
      <c r="H115" s="553"/>
      <c r="I115" s="553">
        <v>955006.31</v>
      </c>
      <c r="J115" s="553"/>
      <c r="K115" s="553">
        <v>1111295.52</v>
      </c>
      <c r="L115" s="553"/>
      <c r="M115" s="553">
        <f t="shared" si="11"/>
        <v>604688.69999999995</v>
      </c>
      <c r="N115" s="553"/>
      <c r="O115" s="553">
        <v>1715984.22</v>
      </c>
      <c r="P115" s="874"/>
      <c r="Q115" s="1888"/>
    </row>
    <row r="116" spans="2:17" s="1067" customFormat="1" ht="15.5">
      <c r="B116" s="1073">
        <v>21067</v>
      </c>
      <c r="C116" s="1081"/>
      <c r="D116" s="1080" t="s">
        <v>1230</v>
      </c>
      <c r="E116" s="1082"/>
      <c r="F116" s="1082"/>
      <c r="G116" s="553">
        <v>0</v>
      </c>
      <c r="H116" s="553"/>
      <c r="I116" s="553">
        <v>0</v>
      </c>
      <c r="J116" s="553"/>
      <c r="K116" s="553">
        <v>0</v>
      </c>
      <c r="L116" s="553"/>
      <c r="M116" s="553">
        <f t="shared" si="11"/>
        <v>0</v>
      </c>
      <c r="N116" s="553"/>
      <c r="O116" s="553">
        <v>0</v>
      </c>
      <c r="P116" s="874"/>
      <c r="Q116" s="1888"/>
    </row>
    <row r="117" spans="2:17" s="1067" customFormat="1" ht="15.5">
      <c r="B117" s="1073">
        <v>21077</v>
      </c>
      <c r="C117" s="1081"/>
      <c r="D117" s="1074" t="s">
        <v>1231</v>
      </c>
      <c r="E117" s="1082"/>
      <c r="F117" s="1082"/>
      <c r="G117" s="553">
        <v>0</v>
      </c>
      <c r="H117" s="553"/>
      <c r="I117" s="553">
        <v>0</v>
      </c>
      <c r="J117" s="553"/>
      <c r="K117" s="553">
        <v>0</v>
      </c>
      <c r="L117" s="553"/>
      <c r="M117" s="553">
        <f t="shared" si="11"/>
        <v>0</v>
      </c>
      <c r="N117" s="553"/>
      <c r="O117" s="553">
        <v>0</v>
      </c>
      <c r="P117" s="874"/>
      <c r="Q117" s="1888"/>
    </row>
    <row r="118" spans="2:17" s="1067" customFormat="1" ht="15.5">
      <c r="B118" s="1073">
        <v>21081</v>
      </c>
      <c r="C118" s="1081"/>
      <c r="D118" s="1080" t="s">
        <v>1232</v>
      </c>
      <c r="E118" s="1082"/>
      <c r="F118" s="1082"/>
      <c r="G118" s="553">
        <v>88428701.980000004</v>
      </c>
      <c r="H118" s="553"/>
      <c r="I118" s="553">
        <v>90935650.680000007</v>
      </c>
      <c r="J118" s="553"/>
      <c r="K118" s="553">
        <v>91702746.269999996</v>
      </c>
      <c r="L118" s="553"/>
      <c r="M118" s="553">
        <f t="shared" si="11"/>
        <v>-154589.89000000001</v>
      </c>
      <c r="N118" s="553"/>
      <c r="O118" s="553">
        <v>91548156.379999995</v>
      </c>
      <c r="P118" s="874"/>
      <c r="Q118" s="1888"/>
    </row>
    <row r="119" spans="2:17" s="1067" customFormat="1" ht="15.5">
      <c r="B119" s="1073">
        <v>21082</v>
      </c>
      <c r="C119" s="1081"/>
      <c r="D119" s="1074" t="s">
        <v>1233</v>
      </c>
      <c r="E119" s="1082"/>
      <c r="F119" s="1082"/>
      <c r="G119" s="553">
        <v>2772241.67</v>
      </c>
      <c r="H119" s="553"/>
      <c r="I119" s="553">
        <v>2416922.9</v>
      </c>
      <c r="J119" s="553"/>
      <c r="K119" s="553">
        <v>2779772.99</v>
      </c>
      <c r="L119" s="553"/>
      <c r="M119" s="553">
        <f t="shared" si="11"/>
        <v>542954.09</v>
      </c>
      <c r="N119" s="553"/>
      <c r="O119" s="553">
        <v>3322727.08</v>
      </c>
      <c r="P119" s="874"/>
      <c r="Q119" s="1888"/>
    </row>
    <row r="120" spans="2:17" s="1067" customFormat="1" ht="15.5">
      <c r="B120" s="1073">
        <v>21084</v>
      </c>
      <c r="C120" s="1081"/>
      <c r="D120" s="1074" t="s">
        <v>1234</v>
      </c>
      <c r="E120" s="1082"/>
      <c r="F120" s="1082"/>
      <c r="G120" s="553">
        <v>0</v>
      </c>
      <c r="H120" s="553"/>
      <c r="I120" s="553">
        <v>0</v>
      </c>
      <c r="J120" s="553"/>
      <c r="K120" s="553">
        <v>0</v>
      </c>
      <c r="L120" s="553"/>
      <c r="M120" s="553">
        <f t="shared" si="11"/>
        <v>0</v>
      </c>
      <c r="N120" s="553"/>
      <c r="O120" s="553">
        <v>0</v>
      </c>
      <c r="P120" s="874"/>
      <c r="Q120" s="1888"/>
    </row>
    <row r="121" spans="2:17" s="1067" customFormat="1" ht="15.5">
      <c r="B121" s="1073">
        <v>21087</v>
      </c>
      <c r="C121" s="1081"/>
      <c r="D121" s="1074" t="s">
        <v>1235</v>
      </c>
      <c r="E121" s="1082"/>
      <c r="F121" s="1082"/>
      <c r="G121" s="553">
        <v>0</v>
      </c>
      <c r="H121" s="553"/>
      <c r="I121" s="553">
        <v>0</v>
      </c>
      <c r="J121" s="553"/>
      <c r="K121" s="553">
        <v>0</v>
      </c>
      <c r="L121" s="553"/>
      <c r="M121" s="553">
        <f t="shared" si="11"/>
        <v>0</v>
      </c>
      <c r="N121" s="553"/>
      <c r="O121" s="553">
        <v>0</v>
      </c>
      <c r="P121" s="874"/>
      <c r="Q121" s="1888"/>
    </row>
    <row r="122" spans="2:17" s="1067" customFormat="1" ht="15.5">
      <c r="B122" s="1073">
        <v>21201</v>
      </c>
      <c r="C122" s="1081"/>
      <c r="D122" s="1074" t="s">
        <v>1236</v>
      </c>
      <c r="E122" s="1082"/>
      <c r="F122" s="1082"/>
      <c r="G122" s="553">
        <v>0</v>
      </c>
      <c r="H122" s="553"/>
      <c r="I122" s="553">
        <v>0</v>
      </c>
      <c r="J122" s="553"/>
      <c r="K122" s="553">
        <v>0</v>
      </c>
      <c r="L122" s="553"/>
      <c r="M122" s="553">
        <f t="shared" si="11"/>
        <v>0</v>
      </c>
      <c r="N122" s="553"/>
      <c r="O122" s="553">
        <v>0</v>
      </c>
      <c r="P122" s="874"/>
      <c r="Q122" s="1888"/>
    </row>
    <row r="123" spans="2:17" s="1067" customFormat="1" ht="15.5">
      <c r="B123" s="1073">
        <v>21202</v>
      </c>
      <c r="C123" s="1081"/>
      <c r="D123" s="1074" t="s">
        <v>1237</v>
      </c>
      <c r="E123" s="1082"/>
      <c r="F123" s="1082"/>
      <c r="G123" s="553">
        <v>0</v>
      </c>
      <c r="H123" s="553"/>
      <c r="I123" s="553">
        <v>0</v>
      </c>
      <c r="J123" s="553"/>
      <c r="K123" s="553">
        <v>0</v>
      </c>
      <c r="L123" s="553"/>
      <c r="M123" s="553">
        <f t="shared" si="11"/>
        <v>0</v>
      </c>
      <c r="N123" s="553"/>
      <c r="O123" s="553">
        <v>0</v>
      </c>
      <c r="P123" s="874"/>
      <c r="Q123" s="1888"/>
    </row>
    <row r="124" spans="2:17" s="1067" customFormat="1" ht="15.5">
      <c r="B124" s="1073">
        <v>21203</v>
      </c>
      <c r="C124" s="1081"/>
      <c r="D124" s="1074" t="s">
        <v>1238</v>
      </c>
      <c r="E124" s="1082"/>
      <c r="F124" s="1082"/>
      <c r="G124" s="553">
        <v>0</v>
      </c>
      <c r="H124" s="553"/>
      <c r="I124" s="553">
        <v>46.37</v>
      </c>
      <c r="J124" s="553"/>
      <c r="K124" s="553">
        <v>678.27</v>
      </c>
      <c r="L124" s="553"/>
      <c r="M124" s="553">
        <f t="shared" si="11"/>
        <v>-678.27</v>
      </c>
      <c r="N124" s="553"/>
      <c r="O124" s="553">
        <v>0</v>
      </c>
      <c r="P124" s="874"/>
      <c r="Q124" s="1888"/>
    </row>
    <row r="125" spans="2:17" s="1067" customFormat="1" ht="15.5">
      <c r="B125" s="1073">
        <v>21204</v>
      </c>
      <c r="C125" s="1081"/>
      <c r="D125" s="1074" t="s">
        <v>1239</v>
      </c>
      <c r="E125" s="1082"/>
      <c r="F125" s="1082"/>
      <c r="G125" s="553">
        <v>0</v>
      </c>
      <c r="H125" s="553"/>
      <c r="I125" s="553">
        <v>0</v>
      </c>
      <c r="J125" s="553"/>
      <c r="K125" s="553">
        <v>0</v>
      </c>
      <c r="L125" s="553"/>
      <c r="M125" s="553">
        <f t="shared" ref="M125:M126" si="13">ROUND(SUM(O125)-SUM(K125),2)</f>
        <v>0</v>
      </c>
      <c r="N125" s="553"/>
      <c r="O125" s="553">
        <v>0</v>
      </c>
      <c r="P125" s="874"/>
      <c r="Q125" s="1888"/>
    </row>
    <row r="126" spans="2:17" s="1067" customFormat="1" ht="15.5">
      <c r="B126" s="1073">
        <v>21205</v>
      </c>
      <c r="C126" s="1081"/>
      <c r="D126" s="1074" t="s">
        <v>1240</v>
      </c>
      <c r="E126" s="1082"/>
      <c r="F126" s="1082"/>
      <c r="G126" s="553">
        <v>0</v>
      </c>
      <c r="H126" s="553"/>
      <c r="I126" s="553">
        <v>0</v>
      </c>
      <c r="J126" s="553"/>
      <c r="K126" s="553">
        <v>0</v>
      </c>
      <c r="L126" s="553"/>
      <c r="M126" s="553">
        <f t="shared" si="13"/>
        <v>0</v>
      </c>
      <c r="N126" s="553"/>
      <c r="O126" s="553">
        <v>0</v>
      </c>
      <c r="P126" s="874"/>
      <c r="Q126" s="1888"/>
    </row>
    <row r="127" spans="2:17" s="1067" customFormat="1" ht="15.5">
      <c r="B127" s="1073">
        <v>21206</v>
      </c>
      <c r="C127" s="1081"/>
      <c r="D127" s="1074" t="s">
        <v>1241</v>
      </c>
      <c r="E127" s="1082"/>
      <c r="F127" s="1082"/>
      <c r="G127" s="553">
        <v>0</v>
      </c>
      <c r="H127" s="553"/>
      <c r="I127" s="553">
        <v>0</v>
      </c>
      <c r="J127" s="553"/>
      <c r="K127" s="553">
        <v>0</v>
      </c>
      <c r="L127" s="553"/>
      <c r="M127" s="553">
        <f t="shared" ref="M127" si="14">ROUND(SUM(O127)-SUM(K127),2)</f>
        <v>0</v>
      </c>
      <c r="N127" s="553"/>
      <c r="O127" s="553">
        <v>0</v>
      </c>
      <c r="P127" s="874"/>
      <c r="Q127" s="1888"/>
    </row>
    <row r="128" spans="2:17" s="1067" customFormat="1" ht="15.5">
      <c r="B128" s="1073">
        <v>21401</v>
      </c>
      <c r="C128" s="1081"/>
      <c r="D128" s="1080" t="s">
        <v>1242</v>
      </c>
      <c r="E128" s="1082"/>
      <c r="F128" s="1082"/>
      <c r="G128" s="553">
        <v>0</v>
      </c>
      <c r="H128" s="553"/>
      <c r="I128" s="553">
        <v>0</v>
      </c>
      <c r="J128" s="553"/>
      <c r="K128" s="553">
        <v>0</v>
      </c>
      <c r="L128" s="553"/>
      <c r="M128" s="553">
        <f t="shared" si="11"/>
        <v>0</v>
      </c>
      <c r="N128" s="553"/>
      <c r="O128" s="553">
        <v>0</v>
      </c>
      <c r="P128" s="874"/>
      <c r="Q128" s="1888"/>
    </row>
    <row r="129" spans="2:17" s="1067" customFormat="1" ht="15.5">
      <c r="B129" s="1073">
        <v>21402</v>
      </c>
      <c r="C129" s="1081"/>
      <c r="D129" s="1080" t="s">
        <v>1243</v>
      </c>
      <c r="E129" s="1082"/>
      <c r="F129" s="1082"/>
      <c r="G129" s="553">
        <v>0</v>
      </c>
      <c r="H129" s="553"/>
      <c r="I129" s="553">
        <v>0</v>
      </c>
      <c r="J129" s="553"/>
      <c r="K129" s="553">
        <v>0</v>
      </c>
      <c r="L129" s="553"/>
      <c r="M129" s="553">
        <f t="shared" si="11"/>
        <v>0</v>
      </c>
      <c r="N129" s="553"/>
      <c r="O129" s="553">
        <v>0</v>
      </c>
      <c r="P129" s="874"/>
      <c r="Q129" s="1888"/>
    </row>
    <row r="130" spans="2:17" s="1067" customFormat="1" ht="15.5">
      <c r="B130" s="1073">
        <v>21451</v>
      </c>
      <c r="C130" s="1081"/>
      <c r="D130" s="1080" t="s">
        <v>1244</v>
      </c>
      <c r="E130" s="1082"/>
      <c r="F130" s="1082"/>
      <c r="G130" s="553">
        <v>44768735.969999999</v>
      </c>
      <c r="H130" s="553"/>
      <c r="I130" s="553">
        <v>45304009.93</v>
      </c>
      <c r="J130" s="553"/>
      <c r="K130" s="553">
        <v>43075627.390000001</v>
      </c>
      <c r="L130" s="553"/>
      <c r="M130" s="553">
        <f t="shared" si="11"/>
        <v>526294.02</v>
      </c>
      <c r="N130" s="553"/>
      <c r="O130" s="553">
        <v>43601921.409999996</v>
      </c>
      <c r="P130" s="874"/>
      <c r="Q130" s="1888"/>
    </row>
    <row r="131" spans="2:17" s="1067" customFormat="1" ht="15.5">
      <c r="B131" s="1073">
        <v>21452</v>
      </c>
      <c r="C131" s="1081"/>
      <c r="D131" s="1074" t="s">
        <v>1245</v>
      </c>
      <c r="E131" s="1082"/>
      <c r="F131" s="1082"/>
      <c r="G131" s="553">
        <v>0</v>
      </c>
      <c r="H131" s="553"/>
      <c r="I131" s="553">
        <v>0</v>
      </c>
      <c r="J131" s="553"/>
      <c r="K131" s="553">
        <v>0</v>
      </c>
      <c r="L131" s="553"/>
      <c r="M131" s="553">
        <f t="shared" si="11"/>
        <v>0</v>
      </c>
      <c r="N131" s="553"/>
      <c r="O131" s="553">
        <v>0</v>
      </c>
      <c r="P131" s="874"/>
      <c r="Q131" s="1888"/>
    </row>
    <row r="132" spans="2:17" s="1067" customFormat="1" ht="15.5">
      <c r="B132" s="1073">
        <v>21902</v>
      </c>
      <c r="C132" s="1081"/>
      <c r="D132" s="1080" t="s">
        <v>1246</v>
      </c>
      <c r="E132" s="1082"/>
      <c r="F132" s="1082"/>
      <c r="G132" s="553">
        <v>0</v>
      </c>
      <c r="H132" s="553"/>
      <c r="I132" s="553">
        <v>0</v>
      </c>
      <c r="J132" s="553"/>
      <c r="K132" s="553">
        <v>0</v>
      </c>
      <c r="L132" s="553"/>
      <c r="M132" s="553">
        <f t="shared" si="11"/>
        <v>0</v>
      </c>
      <c r="N132" s="553"/>
      <c r="O132" s="553">
        <v>0</v>
      </c>
      <c r="P132" s="874"/>
      <c r="Q132" s="1888"/>
    </row>
    <row r="133" spans="2:17" s="1067" customFormat="1" ht="15.5">
      <c r="B133" s="1073">
        <v>21905</v>
      </c>
      <c r="C133" s="1081"/>
      <c r="D133" s="1158" t="s">
        <v>1247</v>
      </c>
      <c r="E133" s="1082"/>
      <c r="F133" s="1082"/>
      <c r="G133" s="553">
        <v>1523471.18</v>
      </c>
      <c r="H133" s="553"/>
      <c r="I133" s="553">
        <v>1315257.82</v>
      </c>
      <c r="J133" s="553"/>
      <c r="K133" s="553">
        <v>0</v>
      </c>
      <c r="L133" s="553"/>
      <c r="M133" s="553">
        <f t="shared" si="11"/>
        <v>0</v>
      </c>
      <c r="N133" s="553"/>
      <c r="O133" s="553">
        <v>0</v>
      </c>
      <c r="P133" s="874"/>
      <c r="Q133" s="1888"/>
    </row>
    <row r="134" spans="2:17" s="1067" customFormat="1" ht="15.5">
      <c r="B134" s="1073">
        <v>21907</v>
      </c>
      <c r="C134" s="1081"/>
      <c r="D134" s="1074" t="s">
        <v>1248</v>
      </c>
      <c r="E134" s="1082"/>
      <c r="F134" s="1082"/>
      <c r="G134" s="553">
        <v>0</v>
      </c>
      <c r="H134" s="553"/>
      <c r="I134" s="553">
        <v>0</v>
      </c>
      <c r="J134" s="553"/>
      <c r="K134" s="553">
        <v>0</v>
      </c>
      <c r="L134" s="553"/>
      <c r="M134" s="553">
        <f t="shared" si="11"/>
        <v>0</v>
      </c>
      <c r="N134" s="553"/>
      <c r="O134" s="553">
        <v>0</v>
      </c>
      <c r="P134" s="874"/>
      <c r="Q134" s="1888"/>
    </row>
    <row r="135" spans="2:17" s="1067" customFormat="1" ht="15.5">
      <c r="B135" s="1073">
        <v>21909</v>
      </c>
      <c r="C135" s="1081"/>
      <c r="D135" s="1074" t="s">
        <v>1249</v>
      </c>
      <c r="E135" s="1082"/>
      <c r="F135" s="1082"/>
      <c r="G135" s="553">
        <v>0</v>
      </c>
      <c r="H135" s="553"/>
      <c r="I135" s="553">
        <v>0</v>
      </c>
      <c r="J135" s="553"/>
      <c r="K135" s="553">
        <v>0</v>
      </c>
      <c r="L135" s="553"/>
      <c r="M135" s="553">
        <f t="shared" si="11"/>
        <v>0</v>
      </c>
      <c r="N135" s="553"/>
      <c r="O135" s="553">
        <v>0</v>
      </c>
      <c r="P135" s="874"/>
      <c r="Q135" s="1888"/>
    </row>
    <row r="136" spans="2:17" s="1067" customFormat="1" ht="15.5">
      <c r="B136" s="1073">
        <v>21911</v>
      </c>
      <c r="C136" s="1081"/>
      <c r="D136" s="1074" t="s">
        <v>1250</v>
      </c>
      <c r="E136" s="1082"/>
      <c r="F136" s="1082"/>
      <c r="G136" s="553">
        <v>479848.64</v>
      </c>
      <c r="H136" s="553"/>
      <c r="I136" s="553">
        <v>760116.27</v>
      </c>
      <c r="J136" s="553"/>
      <c r="K136" s="553">
        <v>160656.72</v>
      </c>
      <c r="L136" s="553"/>
      <c r="M136" s="553">
        <f t="shared" si="11"/>
        <v>272852.68</v>
      </c>
      <c r="N136" s="553"/>
      <c r="O136" s="553">
        <v>433509.4</v>
      </c>
      <c r="P136" s="874"/>
      <c r="Q136" s="1888"/>
    </row>
    <row r="137" spans="2:17" s="1067" customFormat="1" ht="15.5">
      <c r="B137" s="1073">
        <v>21912</v>
      </c>
      <c r="C137" s="1081"/>
      <c r="D137" s="1080" t="s">
        <v>1251</v>
      </c>
      <c r="E137" s="1082"/>
      <c r="F137" s="1082"/>
      <c r="G137" s="553">
        <v>3394043.43</v>
      </c>
      <c r="H137" s="553"/>
      <c r="I137" s="553">
        <v>3072935.09</v>
      </c>
      <c r="J137" s="553"/>
      <c r="K137" s="553">
        <v>2485429.31</v>
      </c>
      <c r="L137" s="553"/>
      <c r="M137" s="553">
        <f t="shared" si="11"/>
        <v>230438.25</v>
      </c>
      <c r="N137" s="553"/>
      <c r="O137" s="553">
        <v>2715867.56</v>
      </c>
      <c r="P137" s="874"/>
      <c r="Q137" s="1888"/>
    </row>
    <row r="138" spans="2:17" s="1067" customFormat="1" ht="15.5">
      <c r="B138" s="1073">
        <v>21937</v>
      </c>
      <c r="C138" s="1081"/>
      <c r="D138" s="1074" t="s">
        <v>1252</v>
      </c>
      <c r="E138" s="1082"/>
      <c r="F138" s="1082"/>
      <c r="G138" s="553">
        <v>879377.96</v>
      </c>
      <c r="H138" s="553"/>
      <c r="I138" s="553">
        <v>255295.18</v>
      </c>
      <c r="J138" s="553"/>
      <c r="K138" s="553">
        <v>439673.3</v>
      </c>
      <c r="L138" s="553"/>
      <c r="M138" s="553">
        <f>ROUND(SUM(O138)-SUM(K138),2)</f>
        <v>-141795.85999999999</v>
      </c>
      <c r="N138" s="553"/>
      <c r="O138" s="553">
        <v>297877.44</v>
      </c>
      <c r="P138" s="874"/>
      <c r="Q138" s="1888"/>
    </row>
    <row r="139" spans="2:17" s="1067" customFormat="1" ht="15.5">
      <c r="B139" s="1073">
        <v>21945</v>
      </c>
      <c r="C139" s="1081"/>
      <c r="D139" s="1080" t="s">
        <v>1253</v>
      </c>
      <c r="E139" s="1082"/>
      <c r="F139" s="1082"/>
      <c r="G139" s="553">
        <v>0</v>
      </c>
      <c r="H139" s="553"/>
      <c r="I139" s="553">
        <v>0</v>
      </c>
      <c r="J139" s="553"/>
      <c r="K139" s="553">
        <v>0</v>
      </c>
      <c r="L139" s="553"/>
      <c r="M139" s="553">
        <f t="shared" si="11"/>
        <v>0</v>
      </c>
      <c r="N139" s="553"/>
      <c r="O139" s="553">
        <v>0</v>
      </c>
      <c r="P139" s="874"/>
      <c r="Q139" s="1888"/>
    </row>
    <row r="140" spans="2:17" s="1067" customFormat="1" ht="15.5">
      <c r="B140" s="1073">
        <v>21959</v>
      </c>
      <c r="C140" s="1081"/>
      <c r="D140" s="1074" t="s">
        <v>1254</v>
      </c>
      <c r="E140" s="1082"/>
      <c r="F140" s="1082"/>
      <c r="G140" s="553">
        <v>0</v>
      </c>
      <c r="H140" s="553"/>
      <c r="I140" s="553">
        <v>0</v>
      </c>
      <c r="J140" s="553"/>
      <c r="K140" s="553">
        <v>0</v>
      </c>
      <c r="L140" s="553"/>
      <c r="M140" s="553">
        <f t="shared" si="11"/>
        <v>0</v>
      </c>
      <c r="N140" s="553"/>
      <c r="O140" s="553">
        <v>0</v>
      </c>
      <c r="P140" s="874"/>
      <c r="Q140" s="1888"/>
    </row>
    <row r="141" spans="2:17" s="1067" customFormat="1" ht="15.5">
      <c r="B141" s="1073">
        <v>21961</v>
      </c>
      <c r="C141" s="1081"/>
      <c r="D141" s="1074" t="s">
        <v>1255</v>
      </c>
      <c r="E141" s="1082"/>
      <c r="F141" s="1082"/>
      <c r="G141" s="553">
        <v>267670.95</v>
      </c>
      <c r="H141" s="553"/>
      <c r="I141" s="553">
        <v>880862.81</v>
      </c>
      <c r="J141" s="553"/>
      <c r="K141" s="553">
        <v>831882.03</v>
      </c>
      <c r="L141" s="553"/>
      <c r="M141" s="553">
        <f t="shared" si="11"/>
        <v>-396180.96</v>
      </c>
      <c r="N141" s="553"/>
      <c r="O141" s="553">
        <v>435701.07</v>
      </c>
      <c r="P141" s="874"/>
      <c r="Q141" s="1888"/>
    </row>
    <row r="142" spans="2:17" s="1067" customFormat="1" ht="15.5">
      <c r="B142" s="1073">
        <v>21962</v>
      </c>
      <c r="C142" s="1081"/>
      <c r="D142" s="1074" t="s">
        <v>1256</v>
      </c>
      <c r="E142" s="1082"/>
      <c r="F142" s="1082"/>
      <c r="G142" s="553">
        <v>11937176.949999999</v>
      </c>
      <c r="H142" s="553"/>
      <c r="I142" s="553">
        <v>11290599.630000001</v>
      </c>
      <c r="J142" s="553"/>
      <c r="K142" s="553">
        <v>10903010.560000001</v>
      </c>
      <c r="L142" s="553"/>
      <c r="M142" s="553">
        <f t="shared" si="11"/>
        <v>533681.07999999996</v>
      </c>
      <c r="N142" s="553"/>
      <c r="O142" s="553">
        <v>11436691.640000001</v>
      </c>
      <c r="P142" s="874"/>
      <c r="Q142" s="1888"/>
    </row>
    <row r="143" spans="2:17" s="1067" customFormat="1" ht="15.5">
      <c r="B143" s="1073">
        <v>21978</v>
      </c>
      <c r="C143" s="1081"/>
      <c r="D143" s="1080" t="s">
        <v>1257</v>
      </c>
      <c r="E143" s="1082"/>
      <c r="F143" s="1082"/>
      <c r="G143" s="553">
        <v>0</v>
      </c>
      <c r="H143" s="553"/>
      <c r="I143" s="553">
        <v>0</v>
      </c>
      <c r="J143" s="553"/>
      <c r="K143" s="553">
        <v>0</v>
      </c>
      <c r="L143" s="553"/>
      <c r="M143" s="553">
        <f t="shared" si="11"/>
        <v>0</v>
      </c>
      <c r="N143" s="553"/>
      <c r="O143" s="553">
        <v>0</v>
      </c>
      <c r="P143" s="874"/>
      <c r="Q143" s="1888"/>
    </row>
    <row r="144" spans="2:17" s="1067" customFormat="1" ht="15.5">
      <c r="B144" s="1073">
        <v>21989</v>
      </c>
      <c r="C144" s="1081"/>
      <c r="D144" s="1080" t="s">
        <v>1258</v>
      </c>
      <c r="E144" s="1082"/>
      <c r="F144" s="1082"/>
      <c r="G144" s="553">
        <v>0</v>
      </c>
      <c r="H144" s="553"/>
      <c r="I144" s="553">
        <v>0</v>
      </c>
      <c r="J144" s="553"/>
      <c r="K144" s="553">
        <v>0</v>
      </c>
      <c r="L144" s="553"/>
      <c r="M144" s="553">
        <f t="shared" si="11"/>
        <v>0</v>
      </c>
      <c r="N144" s="553"/>
      <c r="O144" s="553">
        <v>0</v>
      </c>
      <c r="P144" s="874"/>
      <c r="Q144" s="1888"/>
    </row>
    <row r="145" spans="2:17" s="1067" customFormat="1" ht="15.5">
      <c r="B145" s="1073">
        <v>22003</v>
      </c>
      <c r="C145" s="1081"/>
      <c r="D145" s="1080" t="s">
        <v>1259</v>
      </c>
      <c r="E145" s="1082"/>
      <c r="F145" s="1082"/>
      <c r="G145" s="553">
        <v>0</v>
      </c>
      <c r="H145" s="553"/>
      <c r="I145" s="553">
        <v>0</v>
      </c>
      <c r="J145" s="553"/>
      <c r="K145" s="553">
        <v>0</v>
      </c>
      <c r="L145" s="553"/>
      <c r="M145" s="553">
        <f t="shared" si="11"/>
        <v>0</v>
      </c>
      <c r="N145" s="553"/>
      <c r="O145" s="553">
        <v>0</v>
      </c>
      <c r="P145" s="874"/>
      <c r="Q145" s="1888"/>
    </row>
    <row r="146" spans="2:17" s="1067" customFormat="1" ht="15.5">
      <c r="B146" s="1073">
        <v>22004</v>
      </c>
      <c r="C146" s="1081"/>
      <c r="D146" s="1074" t="s">
        <v>1260</v>
      </c>
      <c r="E146" s="1082"/>
      <c r="F146" s="1082"/>
      <c r="G146" s="553">
        <v>0</v>
      </c>
      <c r="H146" s="553"/>
      <c r="I146" s="553">
        <v>0</v>
      </c>
      <c r="J146" s="553"/>
      <c r="K146" s="553">
        <v>0</v>
      </c>
      <c r="L146" s="553"/>
      <c r="M146" s="553">
        <f t="shared" si="11"/>
        <v>0</v>
      </c>
      <c r="N146" s="553"/>
      <c r="O146" s="553">
        <v>0</v>
      </c>
      <c r="P146" s="874"/>
      <c r="Q146" s="1888"/>
    </row>
    <row r="147" spans="2:17" s="1067" customFormat="1" ht="15.5">
      <c r="B147" s="1073">
        <v>22006</v>
      </c>
      <c r="C147" s="1081"/>
      <c r="D147" s="1080" t="s">
        <v>1261</v>
      </c>
      <c r="E147" s="1082"/>
      <c r="F147" s="1082"/>
      <c r="G147" s="553">
        <v>0</v>
      </c>
      <c r="H147" s="553"/>
      <c r="I147" s="553">
        <v>0</v>
      </c>
      <c r="J147" s="553"/>
      <c r="K147" s="553">
        <v>0</v>
      </c>
      <c r="L147" s="553"/>
      <c r="M147" s="553">
        <f t="shared" si="11"/>
        <v>0</v>
      </c>
      <c r="N147" s="553"/>
      <c r="O147" s="553">
        <v>0</v>
      </c>
      <c r="P147" s="874"/>
      <c r="Q147" s="1888"/>
    </row>
    <row r="148" spans="2:17" s="1067" customFormat="1" ht="15.5">
      <c r="B148" s="1073">
        <v>22007</v>
      </c>
      <c r="C148" s="1081"/>
      <c r="D148" s="1074" t="s">
        <v>1262</v>
      </c>
      <c r="E148" s="1082"/>
      <c r="F148" s="1082"/>
      <c r="G148" s="553">
        <v>3156306.1</v>
      </c>
      <c r="H148" s="553"/>
      <c r="I148" s="553">
        <v>3226926.73</v>
      </c>
      <c r="J148" s="553"/>
      <c r="K148" s="553">
        <v>3266522.38</v>
      </c>
      <c r="L148" s="553"/>
      <c r="M148" s="553">
        <f t="shared" si="11"/>
        <v>351715.11</v>
      </c>
      <c r="N148" s="553"/>
      <c r="O148" s="553">
        <v>3618237.49</v>
      </c>
      <c r="P148" s="874"/>
      <c r="Q148" s="1888"/>
    </row>
    <row r="149" spans="2:17" s="1067" customFormat="1" ht="15.5">
      <c r="B149" s="1073">
        <v>22008</v>
      </c>
      <c r="C149" s="1081"/>
      <c r="D149" s="1074" t="s">
        <v>1263</v>
      </c>
      <c r="E149" s="1082"/>
      <c r="F149" s="1082"/>
      <c r="G149" s="553">
        <v>0</v>
      </c>
      <c r="H149" s="553"/>
      <c r="I149" s="553">
        <v>0</v>
      </c>
      <c r="J149" s="553"/>
      <c r="K149" s="553">
        <v>0</v>
      </c>
      <c r="L149" s="553"/>
      <c r="M149" s="553">
        <f t="shared" ref="M149" si="15">ROUND(SUM(O149)-SUM(K149),2)</f>
        <v>0</v>
      </c>
      <c r="N149" s="553"/>
      <c r="O149" s="553">
        <v>0</v>
      </c>
      <c r="P149" s="874"/>
      <c r="Q149" s="1888"/>
    </row>
    <row r="150" spans="2:17" s="1067" customFormat="1" ht="15.5">
      <c r="B150" s="1073">
        <v>22009</v>
      </c>
      <c r="C150" s="1081"/>
      <c r="D150" s="1074" t="s">
        <v>1264</v>
      </c>
      <c r="E150" s="1082"/>
      <c r="F150" s="1082"/>
      <c r="G150" s="553">
        <v>0</v>
      </c>
      <c r="H150" s="553"/>
      <c r="I150" s="553">
        <v>0</v>
      </c>
      <c r="J150" s="553"/>
      <c r="K150" s="553">
        <v>0</v>
      </c>
      <c r="L150" s="553"/>
      <c r="M150" s="553">
        <f t="shared" si="11"/>
        <v>0</v>
      </c>
      <c r="N150" s="553"/>
      <c r="O150" s="553">
        <v>0</v>
      </c>
      <c r="P150" s="874"/>
      <c r="Q150" s="1888"/>
    </row>
    <row r="151" spans="2:17" s="1067" customFormat="1" ht="15.5">
      <c r="B151" s="1073">
        <v>22032</v>
      </c>
      <c r="C151" s="1081"/>
      <c r="D151" s="1074" t="s">
        <v>1265</v>
      </c>
      <c r="E151" s="1082"/>
      <c r="F151" s="1082"/>
      <c r="G151" s="553">
        <v>10228824.26</v>
      </c>
      <c r="H151" s="553"/>
      <c r="I151" s="553">
        <v>11177979.960000001</v>
      </c>
      <c r="J151" s="553"/>
      <c r="K151" s="553">
        <v>11959379.74</v>
      </c>
      <c r="L151" s="553"/>
      <c r="M151" s="553">
        <f t="shared" si="11"/>
        <v>1727884.6</v>
      </c>
      <c r="N151" s="553"/>
      <c r="O151" s="553">
        <v>13687264.34</v>
      </c>
      <c r="P151" s="874"/>
      <c r="Q151" s="1888"/>
    </row>
    <row r="152" spans="2:17" s="1067" customFormat="1" ht="15.5">
      <c r="B152" s="1073">
        <v>22034</v>
      </c>
      <c r="C152" s="1081"/>
      <c r="D152" s="1074" t="s">
        <v>1266</v>
      </c>
      <c r="E152" s="1082"/>
      <c r="F152" s="1082"/>
      <c r="G152" s="553">
        <v>0</v>
      </c>
      <c r="H152" s="553"/>
      <c r="I152" s="553">
        <v>0</v>
      </c>
      <c r="J152" s="553"/>
      <c r="K152" s="553">
        <v>0</v>
      </c>
      <c r="L152" s="553"/>
      <c r="M152" s="553">
        <f t="shared" si="11"/>
        <v>0</v>
      </c>
      <c r="N152" s="553"/>
      <c r="O152" s="553">
        <v>0</v>
      </c>
      <c r="P152" s="874"/>
      <c r="Q152" s="1888"/>
    </row>
    <row r="153" spans="2:17" s="1067" customFormat="1" ht="15.5">
      <c r="B153" s="1073">
        <v>22036</v>
      </c>
      <c r="C153" s="1081"/>
      <c r="D153" s="1074" t="s">
        <v>1267</v>
      </c>
      <c r="E153" s="1082"/>
      <c r="F153" s="1082"/>
      <c r="G153" s="553">
        <v>0</v>
      </c>
      <c r="H153" s="553"/>
      <c r="I153" s="553">
        <v>0</v>
      </c>
      <c r="J153" s="553"/>
      <c r="K153" s="553">
        <v>0</v>
      </c>
      <c r="L153" s="553"/>
      <c r="M153" s="553">
        <f t="shared" si="11"/>
        <v>0</v>
      </c>
      <c r="N153" s="553"/>
      <c r="O153" s="553">
        <v>0</v>
      </c>
      <c r="P153" s="874"/>
      <c r="Q153" s="1888"/>
    </row>
    <row r="154" spans="2:17" s="1067" customFormat="1" ht="15.5">
      <c r="B154" s="1073">
        <v>22039</v>
      </c>
      <c r="C154" s="1081"/>
      <c r="D154" s="1074" t="s">
        <v>1268</v>
      </c>
      <c r="E154" s="1082"/>
      <c r="F154" s="1082"/>
      <c r="G154" s="553">
        <v>771076.56</v>
      </c>
      <c r="H154" s="553"/>
      <c r="I154" s="553">
        <v>1075540.77</v>
      </c>
      <c r="J154" s="553"/>
      <c r="K154" s="553">
        <v>361932.21</v>
      </c>
      <c r="L154" s="553"/>
      <c r="M154" s="553">
        <f t="shared" si="11"/>
        <v>398848.24</v>
      </c>
      <c r="N154" s="553"/>
      <c r="O154" s="553">
        <v>760780.45</v>
      </c>
      <c r="P154" s="874"/>
      <c r="Q154" s="1888"/>
    </row>
    <row r="155" spans="2:17" s="1067" customFormat="1" ht="15.5">
      <c r="B155" s="1073">
        <v>22046</v>
      </c>
      <c r="C155" s="1081"/>
      <c r="D155" s="1074" t="s">
        <v>1269</v>
      </c>
      <c r="E155" s="1082"/>
      <c r="F155" s="1082"/>
      <c r="G155" s="553">
        <v>119346655.76000001</v>
      </c>
      <c r="H155" s="553"/>
      <c r="I155" s="553">
        <v>120157237.70999999</v>
      </c>
      <c r="J155" s="553"/>
      <c r="K155" s="553">
        <v>120603934.48</v>
      </c>
      <c r="L155" s="553"/>
      <c r="M155" s="553">
        <f t="shared" si="11"/>
        <v>981198.82</v>
      </c>
      <c r="N155" s="553"/>
      <c r="O155" s="553">
        <v>121585133.3</v>
      </c>
      <c r="P155" s="874"/>
      <c r="Q155" s="1888"/>
    </row>
    <row r="156" spans="2:17" s="1067" customFormat="1" ht="15.5">
      <c r="B156" s="1073">
        <v>22053</v>
      </c>
      <c r="C156" s="1081"/>
      <c r="D156" s="1074" t="s">
        <v>1270</v>
      </c>
      <c r="E156" s="1082"/>
      <c r="F156" s="1082"/>
      <c r="G156" s="553">
        <v>5276605.0199999996</v>
      </c>
      <c r="H156" s="553"/>
      <c r="I156" s="553">
        <v>6006018.5700000003</v>
      </c>
      <c r="J156" s="553"/>
      <c r="K156" s="553">
        <v>6569095.6500000004</v>
      </c>
      <c r="L156" s="553"/>
      <c r="M156" s="553">
        <f t="shared" si="11"/>
        <v>1356945.13</v>
      </c>
      <c r="N156" s="553"/>
      <c r="O156" s="553">
        <v>7926040.7800000003</v>
      </c>
      <c r="P156" s="874"/>
      <c r="Q156" s="1888"/>
    </row>
    <row r="157" spans="2:17" s="1067" customFormat="1" ht="15.5">
      <c r="B157" s="1073">
        <v>22054</v>
      </c>
      <c r="C157" s="1081"/>
      <c r="D157" s="1074" t="s">
        <v>1271</v>
      </c>
      <c r="E157" s="1082"/>
      <c r="F157" s="1082"/>
      <c r="G157" s="553">
        <v>0</v>
      </c>
      <c r="H157" s="553"/>
      <c r="I157" s="553">
        <v>0</v>
      </c>
      <c r="J157" s="553"/>
      <c r="K157" s="553">
        <v>0</v>
      </c>
      <c r="L157" s="553"/>
      <c r="M157" s="553">
        <f t="shared" si="11"/>
        <v>0</v>
      </c>
      <c r="N157" s="553"/>
      <c r="O157" s="553">
        <v>0</v>
      </c>
      <c r="P157" s="874"/>
      <c r="Q157" s="1888"/>
    </row>
    <row r="158" spans="2:17" s="1067" customFormat="1" ht="15.5">
      <c r="B158" s="1073">
        <v>22055</v>
      </c>
      <c r="C158" s="1081"/>
      <c r="D158" s="1074" t="s">
        <v>1272</v>
      </c>
      <c r="E158" s="1082"/>
      <c r="F158" s="1082"/>
      <c r="G158" s="553">
        <v>48879769.219999999</v>
      </c>
      <c r="H158" s="553"/>
      <c r="I158" s="553">
        <v>52800076.07</v>
      </c>
      <c r="J158" s="553"/>
      <c r="K158" s="553">
        <v>53470437.259999998</v>
      </c>
      <c r="L158" s="553"/>
      <c r="M158" s="553">
        <f t="shared" si="11"/>
        <v>3985863.29</v>
      </c>
      <c r="N158" s="553"/>
      <c r="O158" s="553">
        <v>57456300.549999997</v>
      </c>
      <c r="P158" s="874"/>
      <c r="Q158" s="1888"/>
    </row>
    <row r="159" spans="2:17" s="1067" customFormat="1" ht="15.5">
      <c r="B159" s="1073">
        <v>22062</v>
      </c>
      <c r="C159" s="1081"/>
      <c r="D159" s="1074" t="s">
        <v>1273</v>
      </c>
      <c r="E159" s="1082"/>
      <c r="F159" s="1082"/>
      <c r="G159" s="553">
        <v>0</v>
      </c>
      <c r="H159" s="553"/>
      <c r="I159" s="553">
        <v>0</v>
      </c>
      <c r="J159" s="553"/>
      <c r="K159" s="553">
        <v>0</v>
      </c>
      <c r="L159" s="553"/>
      <c r="M159" s="553">
        <f t="shared" si="11"/>
        <v>0</v>
      </c>
      <c r="N159" s="553"/>
      <c r="O159" s="553">
        <v>0</v>
      </c>
      <c r="P159" s="874"/>
      <c r="Q159" s="1888"/>
    </row>
    <row r="160" spans="2:17" s="1067" customFormat="1" ht="15.5">
      <c r="B160" s="1073">
        <v>22063</v>
      </c>
      <c r="C160" s="1081"/>
      <c r="D160" s="1074" t="s">
        <v>1274</v>
      </c>
      <c r="E160" s="1082"/>
      <c r="F160" s="1082"/>
      <c r="G160" s="553">
        <v>0</v>
      </c>
      <c r="H160" s="553"/>
      <c r="I160" s="553">
        <v>0</v>
      </c>
      <c r="J160" s="553"/>
      <c r="K160" s="553">
        <v>0</v>
      </c>
      <c r="L160" s="553"/>
      <c r="M160" s="553">
        <f t="shared" si="11"/>
        <v>0</v>
      </c>
      <c r="N160" s="553"/>
      <c r="O160" s="553">
        <v>0</v>
      </c>
      <c r="P160" s="874"/>
      <c r="Q160" s="1888"/>
    </row>
    <row r="161" spans="2:17" s="1067" customFormat="1" ht="15.5">
      <c r="B161" s="1073">
        <v>22078</v>
      </c>
      <c r="C161" s="1081"/>
      <c r="D161" s="1074" t="s">
        <v>1275</v>
      </c>
      <c r="E161" s="1082"/>
      <c r="F161" s="1082"/>
      <c r="G161" s="553">
        <v>0</v>
      </c>
      <c r="H161" s="553"/>
      <c r="I161" s="553">
        <v>0</v>
      </c>
      <c r="J161" s="553"/>
      <c r="K161" s="553">
        <v>0</v>
      </c>
      <c r="L161" s="553"/>
      <c r="M161" s="553">
        <f t="shared" si="11"/>
        <v>0</v>
      </c>
      <c r="N161" s="553"/>
      <c r="O161" s="553">
        <v>0</v>
      </c>
      <c r="P161" s="874"/>
      <c r="Q161" s="1888"/>
    </row>
    <row r="162" spans="2:17" s="1067" customFormat="1" ht="15.5">
      <c r="B162" s="1073">
        <v>22085</v>
      </c>
      <c r="C162" s="1081"/>
      <c r="D162" s="1074" t="s">
        <v>1276</v>
      </c>
      <c r="E162" s="1082"/>
      <c r="F162" s="1082"/>
      <c r="G162" s="553">
        <v>0</v>
      </c>
      <c r="H162" s="553"/>
      <c r="I162" s="553">
        <v>0</v>
      </c>
      <c r="J162" s="553"/>
      <c r="K162" s="553">
        <v>0</v>
      </c>
      <c r="L162" s="553"/>
      <c r="M162" s="553">
        <f>ROUND(SUM(O162)-SUM(K162),2)</f>
        <v>0</v>
      </c>
      <c r="N162" s="553"/>
      <c r="O162" s="553">
        <v>0</v>
      </c>
      <c r="P162" s="874"/>
      <c r="Q162" s="1888"/>
    </row>
    <row r="163" spans="2:17" s="1067" customFormat="1" ht="15.5">
      <c r="B163" s="1073">
        <v>22090</v>
      </c>
      <c r="C163" s="1081"/>
      <c r="D163" s="1074" t="s">
        <v>1277</v>
      </c>
      <c r="E163" s="1082"/>
      <c r="F163" s="1082"/>
      <c r="G163" s="553">
        <v>0</v>
      </c>
      <c r="H163" s="553"/>
      <c r="I163" s="553">
        <v>0</v>
      </c>
      <c r="J163" s="553"/>
      <c r="K163" s="553">
        <v>0</v>
      </c>
      <c r="L163" s="553"/>
      <c r="M163" s="553">
        <f t="shared" si="11"/>
        <v>0</v>
      </c>
      <c r="N163" s="553"/>
      <c r="O163" s="553">
        <v>0</v>
      </c>
      <c r="P163" s="874"/>
      <c r="Q163" s="1888"/>
    </row>
    <row r="164" spans="2:17" s="1067" customFormat="1" ht="15.5">
      <c r="B164" s="1073">
        <v>22099</v>
      </c>
      <c r="C164" s="1081"/>
      <c r="D164" s="1074" t="s">
        <v>1278</v>
      </c>
      <c r="E164" s="1082"/>
      <c r="F164" s="1082"/>
      <c r="G164" s="553">
        <v>0</v>
      </c>
      <c r="H164" s="553"/>
      <c r="I164" s="553">
        <v>0</v>
      </c>
      <c r="J164" s="553"/>
      <c r="K164" s="553">
        <v>0</v>
      </c>
      <c r="L164" s="553"/>
      <c r="M164" s="553">
        <f t="shared" ref="M164" si="16">ROUND(SUM(O164)-SUM(K164),2)</f>
        <v>0</v>
      </c>
      <c r="N164" s="553"/>
      <c r="O164" s="553">
        <v>0</v>
      </c>
      <c r="P164" s="874"/>
      <c r="Q164" s="1888"/>
    </row>
    <row r="165" spans="2:17" s="1067" customFormat="1" ht="15.5">
      <c r="B165" s="1073">
        <v>22100</v>
      </c>
      <c r="C165" s="1081"/>
      <c r="D165" s="1074" t="s">
        <v>1279</v>
      </c>
      <c r="E165" s="1082"/>
      <c r="F165" s="1082"/>
      <c r="G165" s="553">
        <v>16263549.34</v>
      </c>
      <c r="H165" s="553"/>
      <c r="I165" s="553">
        <v>16384472.5</v>
      </c>
      <c r="J165" s="553"/>
      <c r="K165" s="553">
        <v>16827351.469999999</v>
      </c>
      <c r="L165" s="553"/>
      <c r="M165" s="553">
        <f t="shared" ref="M165:M176" si="17">ROUND(SUM(O165)-SUM(K165),2)</f>
        <v>91729.72</v>
      </c>
      <c r="N165" s="553"/>
      <c r="O165" s="553">
        <v>16919081.190000001</v>
      </c>
      <c r="P165" s="874"/>
      <c r="Q165" s="1888"/>
    </row>
    <row r="166" spans="2:17" s="1067" customFormat="1" ht="15.5">
      <c r="B166" s="1073">
        <v>22130</v>
      </c>
      <c r="C166" s="1081"/>
      <c r="D166" s="1080" t="s">
        <v>1280</v>
      </c>
      <c r="E166" s="1082"/>
      <c r="F166" s="1082"/>
      <c r="G166" s="553">
        <v>0</v>
      </c>
      <c r="H166" s="553"/>
      <c r="I166" s="553">
        <v>0</v>
      </c>
      <c r="J166" s="553"/>
      <c r="K166" s="553">
        <v>0</v>
      </c>
      <c r="L166" s="553"/>
      <c r="M166" s="553">
        <f t="shared" si="17"/>
        <v>0</v>
      </c>
      <c r="N166" s="553"/>
      <c r="O166" s="553">
        <v>0</v>
      </c>
      <c r="P166" s="874"/>
      <c r="Q166" s="1888"/>
    </row>
    <row r="167" spans="2:17" s="1067" customFormat="1" ht="15.5">
      <c r="B167" s="1073">
        <v>22134</v>
      </c>
      <c r="C167" s="1081"/>
      <c r="D167" s="1080" t="s">
        <v>1281</v>
      </c>
      <c r="E167" s="1082"/>
      <c r="F167" s="1082"/>
      <c r="G167" s="553">
        <v>0</v>
      </c>
      <c r="H167" s="553"/>
      <c r="I167" s="553">
        <v>0</v>
      </c>
      <c r="J167" s="553"/>
      <c r="K167" s="553">
        <v>0</v>
      </c>
      <c r="L167" s="553"/>
      <c r="M167" s="553">
        <f t="shared" ref="M167" si="18">ROUND(SUM(O167)-SUM(K167),2)</f>
        <v>0</v>
      </c>
      <c r="N167" s="553"/>
      <c r="O167" s="553">
        <v>0</v>
      </c>
      <c r="P167" s="874"/>
      <c r="Q167" s="1888"/>
    </row>
    <row r="168" spans="2:17" s="1067" customFormat="1" ht="15.5">
      <c r="B168" s="1073">
        <v>22135</v>
      </c>
      <c r="C168" s="1081"/>
      <c r="D168" s="1080" t="s">
        <v>1282</v>
      </c>
      <c r="E168" s="1082"/>
      <c r="F168" s="1082"/>
      <c r="G168" s="553">
        <v>0</v>
      </c>
      <c r="H168" s="553"/>
      <c r="I168" s="553">
        <v>0</v>
      </c>
      <c r="J168" s="553"/>
      <c r="K168" s="553">
        <v>0</v>
      </c>
      <c r="L168" s="553"/>
      <c r="M168" s="553">
        <f t="shared" si="17"/>
        <v>0</v>
      </c>
      <c r="N168" s="553"/>
      <c r="O168" s="553">
        <v>0</v>
      </c>
      <c r="P168" s="874"/>
      <c r="Q168" s="1888"/>
    </row>
    <row r="169" spans="2:17" s="1067" customFormat="1" ht="15.5">
      <c r="B169" s="1073">
        <v>22144</v>
      </c>
      <c r="C169" s="1081"/>
      <c r="D169" s="1074" t="s">
        <v>1283</v>
      </c>
      <c r="E169" s="1082"/>
      <c r="F169" s="1082"/>
      <c r="G169" s="553">
        <v>0</v>
      </c>
      <c r="H169" s="553"/>
      <c r="I169" s="553">
        <v>0</v>
      </c>
      <c r="J169" s="553"/>
      <c r="K169" s="553">
        <v>0</v>
      </c>
      <c r="L169" s="553"/>
      <c r="M169" s="553">
        <f t="shared" si="17"/>
        <v>0</v>
      </c>
      <c r="N169" s="553"/>
      <c r="O169" s="553">
        <v>0</v>
      </c>
      <c r="P169" s="874"/>
      <c r="Q169" s="1888"/>
    </row>
    <row r="170" spans="2:17" s="1067" customFormat="1" ht="15.5">
      <c r="B170" s="1073">
        <v>22151</v>
      </c>
      <c r="C170" s="1081"/>
      <c r="D170" s="1080" t="s">
        <v>1284</v>
      </c>
      <c r="E170" s="1082"/>
      <c r="F170" s="1082"/>
      <c r="G170" s="553">
        <v>83219.38</v>
      </c>
      <c r="H170" s="553"/>
      <c r="I170" s="553">
        <v>133834.16</v>
      </c>
      <c r="J170" s="553"/>
      <c r="K170" s="553">
        <v>185716.38</v>
      </c>
      <c r="L170" s="553"/>
      <c r="M170" s="553">
        <f t="shared" si="17"/>
        <v>-117347.67</v>
      </c>
      <c r="N170" s="553"/>
      <c r="O170" s="553">
        <v>68368.710000000006</v>
      </c>
      <c r="P170" s="874"/>
      <c r="Q170" s="1888"/>
    </row>
    <row r="171" spans="2:17" s="1067" customFormat="1" ht="15.5">
      <c r="B171" s="1073">
        <v>22156</v>
      </c>
      <c r="C171" s="1081"/>
      <c r="D171" s="1080" t="s">
        <v>1285</v>
      </c>
      <c r="E171" s="1082"/>
      <c r="F171" s="1082"/>
      <c r="G171" s="553">
        <v>0</v>
      </c>
      <c r="H171" s="553"/>
      <c r="I171" s="553">
        <v>0</v>
      </c>
      <c r="J171" s="553"/>
      <c r="K171" s="553">
        <v>0</v>
      </c>
      <c r="L171" s="553"/>
      <c r="M171" s="553">
        <f t="shared" si="17"/>
        <v>0</v>
      </c>
      <c r="N171" s="553"/>
      <c r="O171" s="553">
        <v>0</v>
      </c>
      <c r="P171" s="874"/>
      <c r="Q171" s="1888"/>
    </row>
    <row r="172" spans="2:17" s="1067" customFormat="1" ht="15.5">
      <c r="B172" s="1073">
        <v>22158</v>
      </c>
      <c r="C172" s="1081"/>
      <c r="D172" s="1074" t="s">
        <v>1286</v>
      </c>
      <c r="E172" s="1082"/>
      <c r="F172" s="1082"/>
      <c r="G172" s="553">
        <v>0</v>
      </c>
      <c r="H172" s="553"/>
      <c r="I172" s="553">
        <v>0</v>
      </c>
      <c r="J172" s="553"/>
      <c r="K172" s="553">
        <v>0</v>
      </c>
      <c r="L172" s="553"/>
      <c r="M172" s="553">
        <f t="shared" si="17"/>
        <v>0</v>
      </c>
      <c r="N172" s="553"/>
      <c r="O172" s="553">
        <v>0</v>
      </c>
      <c r="P172" s="874"/>
      <c r="Q172" s="1888"/>
    </row>
    <row r="173" spans="2:17" s="1067" customFormat="1" ht="15.5">
      <c r="B173" s="1073">
        <v>22165</v>
      </c>
      <c r="C173" s="1081"/>
      <c r="D173" s="1074" t="s">
        <v>1287</v>
      </c>
      <c r="E173" s="1082"/>
      <c r="F173" s="1082"/>
      <c r="G173" s="553">
        <v>0</v>
      </c>
      <c r="H173" s="553"/>
      <c r="I173" s="553">
        <v>0</v>
      </c>
      <c r="J173" s="553"/>
      <c r="K173" s="553">
        <v>0</v>
      </c>
      <c r="L173" s="553"/>
      <c r="M173" s="553">
        <f t="shared" ref="M173" si="19">ROUND(SUM(O173)-SUM(K173),2)</f>
        <v>0</v>
      </c>
      <c r="N173" s="553"/>
      <c r="O173" s="553">
        <v>0</v>
      </c>
      <c r="P173" s="874"/>
      <c r="Q173" s="1888"/>
    </row>
    <row r="174" spans="2:17" s="1067" customFormat="1" ht="15.5">
      <c r="B174" s="1073">
        <v>22168</v>
      </c>
      <c r="C174" s="1081"/>
      <c r="D174" s="1074" t="s">
        <v>1288</v>
      </c>
      <c r="E174" s="1082"/>
      <c r="F174" s="1082"/>
      <c r="G174" s="553">
        <v>0</v>
      </c>
      <c r="H174" s="553"/>
      <c r="I174" s="553">
        <v>0</v>
      </c>
      <c r="J174" s="553"/>
      <c r="K174" s="553">
        <v>0</v>
      </c>
      <c r="L174" s="553"/>
      <c r="M174" s="553">
        <f t="shared" si="17"/>
        <v>0</v>
      </c>
      <c r="N174" s="553"/>
      <c r="O174" s="553">
        <v>0</v>
      </c>
      <c r="P174" s="874"/>
      <c r="Q174" s="1888"/>
    </row>
    <row r="175" spans="2:17" s="1067" customFormat="1" ht="15.5">
      <c r="B175" s="1073">
        <v>22211</v>
      </c>
      <c r="C175" s="1081"/>
      <c r="D175" s="1074" t="s">
        <v>1289</v>
      </c>
      <c r="E175" s="1082"/>
      <c r="F175" s="1082"/>
      <c r="G175" s="553">
        <v>0</v>
      </c>
      <c r="H175" s="553"/>
      <c r="I175" s="553">
        <v>0</v>
      </c>
      <c r="J175" s="553"/>
      <c r="K175" s="553">
        <v>0</v>
      </c>
      <c r="L175" s="553"/>
      <c r="M175" s="553">
        <f t="shared" ref="M175" si="20">ROUND(SUM(O175)-SUM(K175),2)</f>
        <v>0</v>
      </c>
      <c r="N175" s="553"/>
      <c r="O175" s="553">
        <v>0</v>
      </c>
      <c r="P175" s="874"/>
      <c r="Q175" s="1888"/>
    </row>
    <row r="176" spans="2:17" s="1067" customFormat="1" ht="15.5">
      <c r="B176" s="1073">
        <v>22240</v>
      </c>
      <c r="C176" s="1081"/>
      <c r="D176" s="1074" t="s">
        <v>1290</v>
      </c>
      <c r="E176" s="1082"/>
      <c r="F176" s="1082"/>
      <c r="G176" s="553">
        <v>4120143.24</v>
      </c>
      <c r="H176" s="553" t="s">
        <v>104</v>
      </c>
      <c r="I176" s="553">
        <v>4236716.6100000003</v>
      </c>
      <c r="J176" s="553" t="s">
        <v>104</v>
      </c>
      <c r="K176" s="553">
        <v>4349741.62</v>
      </c>
      <c r="L176" s="553" t="s">
        <v>104</v>
      </c>
      <c r="M176" s="553">
        <f t="shared" si="17"/>
        <v>173346.07</v>
      </c>
      <c r="N176" s="553" t="s">
        <v>104</v>
      </c>
      <c r="O176" s="553">
        <v>4523087.6900000004</v>
      </c>
      <c r="P176" s="874"/>
      <c r="Q176" s="1888"/>
    </row>
    <row r="177" spans="2:17" s="1067" customFormat="1" ht="15.5">
      <c r="B177" s="1073">
        <v>22246</v>
      </c>
      <c r="C177" s="1081"/>
      <c r="D177" s="1074" t="s">
        <v>1291</v>
      </c>
      <c r="E177" s="1082"/>
      <c r="F177" s="1082"/>
      <c r="G177" s="553">
        <v>0</v>
      </c>
      <c r="H177" s="553" t="s">
        <v>104</v>
      </c>
      <c r="I177" s="553">
        <v>0</v>
      </c>
      <c r="J177" s="553" t="s">
        <v>104</v>
      </c>
      <c r="K177" s="553">
        <v>0</v>
      </c>
      <c r="L177" s="553" t="s">
        <v>104</v>
      </c>
      <c r="M177" s="553">
        <f>ROUND(SUM(O177)-SUM(K177),2)</f>
        <v>0</v>
      </c>
      <c r="N177" s="553" t="s">
        <v>104</v>
      </c>
      <c r="O177" s="553">
        <v>0</v>
      </c>
      <c r="P177" s="874"/>
      <c r="Q177" s="1888"/>
    </row>
    <row r="178" spans="2:17" s="1067" customFormat="1" ht="15.5">
      <c r="B178" s="1073">
        <v>22255</v>
      </c>
      <c r="C178" s="1081"/>
      <c r="D178" s="1074" t="s">
        <v>1292</v>
      </c>
      <c r="E178" s="1082"/>
      <c r="F178" s="1082"/>
      <c r="G178" s="553">
        <v>1065070.8500000001</v>
      </c>
      <c r="H178" s="553" t="s">
        <v>104</v>
      </c>
      <c r="I178" s="553">
        <v>1339090.17</v>
      </c>
      <c r="J178" s="553" t="s">
        <v>104</v>
      </c>
      <c r="K178" s="553">
        <v>1650662.43</v>
      </c>
      <c r="L178" s="553" t="s">
        <v>104</v>
      </c>
      <c r="M178" s="553">
        <f>ROUND(SUM(O178)-SUM(K178),2)</f>
        <v>386617.93</v>
      </c>
      <c r="N178" s="553" t="s">
        <v>104</v>
      </c>
      <c r="O178" s="553">
        <v>2037280.36</v>
      </c>
      <c r="P178" s="874"/>
      <c r="Q178" s="1888"/>
    </row>
    <row r="179" spans="2:17" s="1067" customFormat="1" ht="15.5">
      <c r="B179" s="1073">
        <v>22262</v>
      </c>
      <c r="C179" s="1081"/>
      <c r="D179" s="1074" t="s">
        <v>1498</v>
      </c>
      <c r="E179" s="1082"/>
      <c r="F179" s="1082"/>
      <c r="G179" s="553">
        <v>0</v>
      </c>
      <c r="H179" s="553" t="s">
        <v>104</v>
      </c>
      <c r="I179" s="553">
        <v>0</v>
      </c>
      <c r="J179" s="553" t="s">
        <v>104</v>
      </c>
      <c r="K179" s="553">
        <v>813663.54</v>
      </c>
      <c r="L179" s="553" t="s">
        <v>104</v>
      </c>
      <c r="M179" s="553">
        <f>ROUND(SUM(O179)-SUM(K179),2)</f>
        <v>1561018.97</v>
      </c>
      <c r="N179" s="553" t="s">
        <v>104</v>
      </c>
      <c r="O179" s="553">
        <v>2374682.5099999998</v>
      </c>
      <c r="P179" s="2126"/>
      <c r="Q179" s="1888"/>
    </row>
    <row r="180" spans="2:17" s="1067" customFormat="1" ht="15.5">
      <c r="B180" s="1073">
        <v>22654</v>
      </c>
      <c r="C180" s="1081"/>
      <c r="D180" s="1080" t="s">
        <v>1293</v>
      </c>
      <c r="E180" s="1082"/>
      <c r="F180" s="1082"/>
      <c r="G180" s="553">
        <v>21605895.23</v>
      </c>
      <c r="H180" s="553" t="s">
        <v>104</v>
      </c>
      <c r="I180" s="553">
        <v>21703000.199999999</v>
      </c>
      <c r="J180" s="553" t="s">
        <v>104</v>
      </c>
      <c r="K180" s="553">
        <v>21798881.699999999</v>
      </c>
      <c r="L180" s="553" t="s">
        <v>104</v>
      </c>
      <c r="M180" s="553">
        <f t="shared" ref="M180:M191" si="21">ROUND(SUM(O180)-SUM(K180),2)</f>
        <v>100292.62</v>
      </c>
      <c r="N180" s="553" t="s">
        <v>104</v>
      </c>
      <c r="O180" s="553">
        <v>21899174.32</v>
      </c>
      <c r="P180" s="874"/>
      <c r="Q180" s="1888"/>
    </row>
    <row r="181" spans="2:17" s="1067" customFormat="1" ht="15.5">
      <c r="B181" s="1073">
        <v>22751</v>
      </c>
      <c r="C181" s="1081"/>
      <c r="D181" s="1080" t="s">
        <v>1294</v>
      </c>
      <c r="E181" s="1082"/>
      <c r="F181" s="1082"/>
      <c r="G181" s="553">
        <v>0</v>
      </c>
      <c r="H181" s="553" t="s">
        <v>104</v>
      </c>
      <c r="I181" s="553">
        <v>0</v>
      </c>
      <c r="J181" s="553" t="s">
        <v>104</v>
      </c>
      <c r="K181" s="553">
        <v>0</v>
      </c>
      <c r="L181" s="553" t="s">
        <v>104</v>
      </c>
      <c r="M181" s="553">
        <f t="shared" si="21"/>
        <v>0</v>
      </c>
      <c r="N181" s="553" t="s">
        <v>104</v>
      </c>
      <c r="O181" s="553">
        <v>0</v>
      </c>
      <c r="P181" s="874"/>
      <c r="Q181" s="1888"/>
    </row>
    <row r="182" spans="2:17" s="1067" customFormat="1" ht="15.5">
      <c r="B182" s="1073">
        <v>23001</v>
      </c>
      <c r="C182" s="1081"/>
      <c r="D182" s="1080" t="s">
        <v>1295</v>
      </c>
      <c r="E182" s="1082"/>
      <c r="F182" s="1082"/>
      <c r="G182" s="553">
        <v>23510644.390000001</v>
      </c>
      <c r="H182" s="553" t="s">
        <v>104</v>
      </c>
      <c r="I182" s="553">
        <v>23684123.579999998</v>
      </c>
      <c r="J182" s="553" t="s">
        <v>104</v>
      </c>
      <c r="K182" s="553">
        <v>23985771.23</v>
      </c>
      <c r="L182" s="553" t="s">
        <v>104</v>
      </c>
      <c r="M182" s="553">
        <f t="shared" si="21"/>
        <v>195787.89</v>
      </c>
      <c r="N182" s="553" t="s">
        <v>104</v>
      </c>
      <c r="O182" s="553">
        <v>24181559.120000001</v>
      </c>
      <c r="P182" s="874"/>
      <c r="Q182" s="1888"/>
    </row>
    <row r="183" spans="2:17" s="1067" customFormat="1" ht="15.5">
      <c r="B183" s="1073">
        <v>23102</v>
      </c>
      <c r="C183" s="1081"/>
      <c r="D183" s="1074" t="s">
        <v>1296</v>
      </c>
      <c r="E183" s="1082"/>
      <c r="F183" s="1082"/>
      <c r="G183" s="553">
        <v>0</v>
      </c>
      <c r="H183" s="553" t="s">
        <v>104</v>
      </c>
      <c r="I183" s="553">
        <v>0</v>
      </c>
      <c r="J183" s="553" t="s">
        <v>104</v>
      </c>
      <c r="K183" s="553">
        <v>0</v>
      </c>
      <c r="L183" s="553" t="s">
        <v>104</v>
      </c>
      <c r="M183" s="553">
        <f t="shared" si="21"/>
        <v>0</v>
      </c>
      <c r="N183" s="553" t="s">
        <v>104</v>
      </c>
      <c r="O183" s="553">
        <v>0</v>
      </c>
      <c r="P183" s="874"/>
      <c r="Q183" s="1888"/>
    </row>
    <row r="184" spans="2:17" s="1067" customFormat="1" ht="15.5">
      <c r="B184" s="1073">
        <v>23151</v>
      </c>
      <c r="C184" s="1081"/>
      <c r="D184" s="1080" t="s">
        <v>1297</v>
      </c>
      <c r="E184" s="1082"/>
      <c r="F184" s="1082"/>
      <c r="G184" s="553">
        <v>44117324.07</v>
      </c>
      <c r="H184" s="553" t="s">
        <v>104</v>
      </c>
      <c r="I184" s="553">
        <v>46789501.939999998</v>
      </c>
      <c r="J184" s="553" t="s">
        <v>104</v>
      </c>
      <c r="K184" s="553">
        <v>49381103.799999997</v>
      </c>
      <c r="L184" s="553" t="s">
        <v>104</v>
      </c>
      <c r="M184" s="553">
        <f t="shared" si="21"/>
        <v>2643245.3199999998</v>
      </c>
      <c r="N184" s="553" t="s">
        <v>104</v>
      </c>
      <c r="O184" s="553">
        <v>52024349.119999997</v>
      </c>
      <c r="P184" s="874"/>
      <c r="Q184" s="1888"/>
    </row>
    <row r="185" spans="2:17" s="1067" customFormat="1" ht="15.5">
      <c r="B185" s="1073">
        <v>23701</v>
      </c>
      <c r="C185" s="1081"/>
      <c r="D185" s="1080" t="s">
        <v>1298</v>
      </c>
      <c r="E185" s="1082"/>
      <c r="F185" s="1082"/>
      <c r="G185" s="553">
        <v>0</v>
      </c>
      <c r="H185" s="553" t="s">
        <v>104</v>
      </c>
      <c r="I185" s="553">
        <v>0</v>
      </c>
      <c r="J185" s="553" t="s">
        <v>104</v>
      </c>
      <c r="K185" s="553">
        <v>0</v>
      </c>
      <c r="L185" s="553" t="s">
        <v>104</v>
      </c>
      <c r="M185" s="553">
        <f t="shared" si="21"/>
        <v>0</v>
      </c>
      <c r="N185" s="553" t="s">
        <v>104</v>
      </c>
      <c r="O185" s="553">
        <v>0</v>
      </c>
      <c r="P185" s="874"/>
      <c r="Q185" s="1888"/>
    </row>
    <row r="186" spans="2:17" s="1067" customFormat="1" ht="15.5">
      <c r="B186" s="1091">
        <v>23702</v>
      </c>
      <c r="C186" s="1081"/>
      <c r="D186" s="1074" t="s">
        <v>1299</v>
      </c>
      <c r="E186" s="1082"/>
      <c r="F186" s="1082"/>
      <c r="G186" s="553">
        <v>26164414.82</v>
      </c>
      <c r="H186" s="553" t="s">
        <v>104</v>
      </c>
      <c r="I186" s="553">
        <v>26479150.300000001</v>
      </c>
      <c r="J186" s="553" t="s">
        <v>104</v>
      </c>
      <c r="K186" s="553">
        <v>26797023.09</v>
      </c>
      <c r="L186" s="553" t="s">
        <v>104</v>
      </c>
      <c r="M186" s="553">
        <f t="shared" si="21"/>
        <v>344405</v>
      </c>
      <c r="N186" s="553" t="s">
        <v>104</v>
      </c>
      <c r="O186" s="553">
        <v>27141428.09</v>
      </c>
      <c r="P186" s="874"/>
      <c r="Q186" s="1888"/>
    </row>
    <row r="187" spans="2:17" s="1067" customFormat="1" ht="15.5">
      <c r="B187" s="1091">
        <v>23801</v>
      </c>
      <c r="C187" s="1081"/>
      <c r="D187" s="1074" t="s">
        <v>1300</v>
      </c>
      <c r="E187" s="1082"/>
      <c r="F187" s="1082"/>
      <c r="G187" s="553">
        <v>0</v>
      </c>
      <c r="H187" s="553" t="s">
        <v>104</v>
      </c>
      <c r="I187" s="553">
        <v>0</v>
      </c>
      <c r="J187" s="553" t="s">
        <v>104</v>
      </c>
      <c r="K187" s="553">
        <v>0</v>
      </c>
      <c r="L187" s="553" t="s">
        <v>104</v>
      </c>
      <c r="M187" s="553">
        <f t="shared" si="21"/>
        <v>0</v>
      </c>
      <c r="N187" s="553" t="s">
        <v>104</v>
      </c>
      <c r="O187" s="553">
        <v>0</v>
      </c>
      <c r="P187" s="1077"/>
      <c r="Q187" s="1888"/>
    </row>
    <row r="188" spans="2:17" s="1067" customFormat="1" ht="15.5">
      <c r="B188" s="1091">
        <v>23806</v>
      </c>
      <c r="C188" s="1081"/>
      <c r="D188" s="1074" t="s">
        <v>1301</v>
      </c>
      <c r="E188" s="1082"/>
      <c r="F188" s="1082"/>
      <c r="G188" s="553">
        <v>689112.07</v>
      </c>
      <c r="H188" s="553" t="s">
        <v>104</v>
      </c>
      <c r="I188" s="553">
        <v>724475.1</v>
      </c>
      <c r="J188" s="553" t="s">
        <v>104</v>
      </c>
      <c r="K188" s="553">
        <v>758070.52</v>
      </c>
      <c r="L188" s="553" t="s">
        <v>104</v>
      </c>
      <c r="M188" s="553">
        <f t="shared" si="21"/>
        <v>40499.32</v>
      </c>
      <c r="N188" s="553" t="s">
        <v>104</v>
      </c>
      <c r="O188" s="553">
        <v>798569.84</v>
      </c>
      <c r="P188" s="1077"/>
      <c r="Q188" s="1888"/>
    </row>
    <row r="189" spans="2:17" s="1067" customFormat="1" ht="15.5">
      <c r="B189" s="1091">
        <v>24800</v>
      </c>
      <c r="C189" s="1081"/>
      <c r="D189" s="1074" t="s">
        <v>1302</v>
      </c>
      <c r="E189" s="1082"/>
      <c r="F189" s="1082"/>
      <c r="G189" s="553">
        <v>34860398.060000002</v>
      </c>
      <c r="H189" s="553" t="s">
        <v>104</v>
      </c>
      <c r="I189" s="553">
        <v>29325254.460000001</v>
      </c>
      <c r="J189" s="553" t="s">
        <v>104</v>
      </c>
      <c r="K189" s="553">
        <v>32490048.559999999</v>
      </c>
      <c r="L189" s="553" t="s">
        <v>104</v>
      </c>
      <c r="M189" s="553">
        <f t="shared" si="21"/>
        <v>10712311.5</v>
      </c>
      <c r="N189" s="553" t="s">
        <v>104</v>
      </c>
      <c r="O189" s="553">
        <v>43202360.060000002</v>
      </c>
      <c r="P189" s="1077"/>
      <c r="Q189" s="1888"/>
    </row>
    <row r="190" spans="2:17" s="1067" customFormat="1" ht="15.5">
      <c r="B190" s="1091">
        <v>24951</v>
      </c>
      <c r="C190" s="1081"/>
      <c r="D190" s="1074" t="s">
        <v>1303</v>
      </c>
      <c r="E190" s="1082"/>
      <c r="F190" s="1082"/>
      <c r="G190" s="553">
        <v>124104.44</v>
      </c>
      <c r="H190" s="553" t="s">
        <v>104</v>
      </c>
      <c r="I190" s="553">
        <v>124509.19</v>
      </c>
      <c r="J190" s="553" t="s">
        <v>104</v>
      </c>
      <c r="K190" s="553">
        <v>124509.19</v>
      </c>
      <c r="L190" s="553" t="s">
        <v>104</v>
      </c>
      <c r="M190" s="553">
        <f t="shared" si="21"/>
        <v>0</v>
      </c>
      <c r="N190" s="553" t="s">
        <v>104</v>
      </c>
      <c r="O190" s="553">
        <v>124509.19</v>
      </c>
      <c r="P190" s="1077"/>
      <c r="Q190" s="1888"/>
    </row>
    <row r="191" spans="2:17" s="1067" customFormat="1" ht="15.5">
      <c r="B191" s="1091">
        <v>24955</v>
      </c>
      <c r="C191" s="1081"/>
      <c r="D191" s="1074" t="s">
        <v>1304</v>
      </c>
      <c r="E191" s="1082"/>
      <c r="F191" s="1082"/>
      <c r="G191" s="553">
        <v>0</v>
      </c>
      <c r="H191" s="553" t="s">
        <v>104</v>
      </c>
      <c r="I191" s="553">
        <v>313802066.06</v>
      </c>
      <c r="J191" s="553" t="s">
        <v>104</v>
      </c>
      <c r="K191" s="553">
        <v>226730033.69</v>
      </c>
      <c r="L191" s="553" t="s">
        <v>104</v>
      </c>
      <c r="M191" s="553">
        <f t="shared" si="21"/>
        <v>-82781745.989999995</v>
      </c>
      <c r="N191" s="553" t="s">
        <v>104</v>
      </c>
      <c r="O191" s="553">
        <v>143948287.69999999</v>
      </c>
      <c r="P191" s="1077"/>
      <c r="Q191" s="1888"/>
    </row>
    <row r="192" spans="2:17" s="1067" customFormat="1" ht="16" thickBot="1">
      <c r="B192" s="1083"/>
      <c r="C192" s="1069"/>
      <c r="D192" s="1078" t="s">
        <v>1305</v>
      </c>
      <c r="E192" s="1071"/>
      <c r="F192" s="1071"/>
      <c r="G192" s="1867">
        <f>ROUND(SUM(G104:G191),2)</f>
        <v>596942377.13999999</v>
      </c>
      <c r="H192" s="866"/>
      <c r="I192" s="1867">
        <f>ROUND(SUM(I104:I191),2)</f>
        <v>1988200002.03</v>
      </c>
      <c r="J192" s="866"/>
      <c r="K192" s="1867">
        <f>ROUND(SUM(K104:K191),2)</f>
        <v>1763227534.23</v>
      </c>
      <c r="L192"/>
      <c r="M192" s="1867">
        <f>ROUND(SUM(M104:M191),2)</f>
        <v>-190307637.87</v>
      </c>
      <c r="N192"/>
      <c r="O192" s="1867">
        <f>ROUND(SUM(O104:O191),2)</f>
        <v>1572919896.3599999</v>
      </c>
      <c r="P192" s="1077"/>
      <c r="Q192" s="1888"/>
    </row>
    <row r="193" spans="2:17" s="1067" customFormat="1" ht="16" thickTop="1">
      <c r="B193" s="1085"/>
      <c r="C193" s="1072"/>
      <c r="D193" s="1092"/>
      <c r="E193" s="1081"/>
      <c r="F193" s="1081"/>
      <c r="G193" s="874"/>
      <c r="H193" s="1160"/>
      <c r="I193" s="874"/>
      <c r="J193" s="1160"/>
      <c r="K193" s="874"/>
      <c r="L193" s="1160"/>
      <c r="M193" s="553"/>
      <c r="N193" s="1160"/>
      <c r="O193" s="874"/>
      <c r="P193" s="1077"/>
      <c r="Q193" s="1888"/>
    </row>
    <row r="194" spans="2:17" s="1067" customFormat="1" ht="15.5">
      <c r="B194" s="1085"/>
      <c r="C194" s="1069"/>
      <c r="D194" s="1078" t="s">
        <v>1306</v>
      </c>
      <c r="E194" s="1071"/>
      <c r="F194" s="1071"/>
      <c r="G194" s="874"/>
      <c r="H194" s="1160"/>
      <c r="I194" s="874"/>
      <c r="J194" s="1160"/>
      <c r="K194" s="874"/>
      <c r="L194" s="1160"/>
      <c r="M194" s="1870"/>
      <c r="N194" s="866"/>
      <c r="O194" s="874"/>
      <c r="P194" s="1077"/>
      <c r="Q194" s="1888"/>
    </row>
    <row r="195" spans="2:17" s="1067" customFormat="1" ht="15.5">
      <c r="B195" s="1093" t="s">
        <v>1307</v>
      </c>
      <c r="C195" s="1334"/>
      <c r="D195" s="1080" t="s">
        <v>1308</v>
      </c>
      <c r="E195" s="1151"/>
      <c r="F195" s="1151"/>
      <c r="G195" s="1335">
        <v>64197165.82</v>
      </c>
      <c r="H195" s="553"/>
      <c r="I195" s="1335">
        <v>7944806.1799999997</v>
      </c>
      <c r="J195" s="553"/>
      <c r="K195" s="1335">
        <v>38564832.290000007</v>
      </c>
      <c r="L195" s="409"/>
      <c r="M195" s="553">
        <v>-16509381.560000001</v>
      </c>
      <c r="N195" s="553"/>
      <c r="O195" s="1335">
        <v>22055450.73</v>
      </c>
      <c r="P195" s="1077"/>
      <c r="Q195" s="1888"/>
    </row>
    <row r="196" spans="2:17" s="1067" customFormat="1" ht="15.5">
      <c r="B196" s="1093" t="s">
        <v>1309</v>
      </c>
      <c r="C196" s="1334"/>
      <c r="D196" s="1080" t="s">
        <v>1310</v>
      </c>
      <c r="E196" s="1151"/>
      <c r="F196" s="1151"/>
      <c r="G196" s="1335">
        <v>178112116.81999999</v>
      </c>
      <c r="H196" s="553"/>
      <c r="I196" s="1335">
        <v>299201594.95000005</v>
      </c>
      <c r="J196" s="553"/>
      <c r="K196" s="1335">
        <v>1309257535.0500002</v>
      </c>
      <c r="L196" s="409"/>
      <c r="M196" s="553">
        <v>-940383717.10000002</v>
      </c>
      <c r="N196" s="553"/>
      <c r="O196" s="1335">
        <v>368873817.94999993</v>
      </c>
      <c r="P196" s="1077"/>
      <c r="Q196" s="1888"/>
    </row>
    <row r="197" spans="2:17" s="1067" customFormat="1" ht="15.5">
      <c r="B197" s="1093" t="s">
        <v>1311</v>
      </c>
      <c r="C197" s="1334"/>
      <c r="D197" s="1074" t="s">
        <v>1312</v>
      </c>
      <c r="E197" s="1151"/>
      <c r="F197" s="1151"/>
      <c r="G197" s="1335">
        <v>93007454.620000005</v>
      </c>
      <c r="H197" s="553"/>
      <c r="I197" s="1335">
        <v>115830325.38000001</v>
      </c>
      <c r="J197" s="553"/>
      <c r="K197" s="1335">
        <v>67757209.840000004</v>
      </c>
      <c r="L197" s="409"/>
      <c r="M197" s="553">
        <v>679118921.57000005</v>
      </c>
      <c r="N197" s="553"/>
      <c r="O197" s="1335">
        <v>746876131.40999997</v>
      </c>
      <c r="P197" s="1077"/>
      <c r="Q197" s="1888"/>
    </row>
    <row r="198" spans="2:17" s="1067" customFormat="1" ht="15.5">
      <c r="B198" s="1093" t="s">
        <v>1313</v>
      </c>
      <c r="C198" s="1074"/>
      <c r="D198" s="1080" t="s">
        <v>1314</v>
      </c>
      <c r="E198" s="1151"/>
      <c r="F198" s="1151"/>
      <c r="G198" s="1335">
        <v>468435128.69000018</v>
      </c>
      <c r="H198" s="553"/>
      <c r="I198" s="1335">
        <v>453057462.02000016</v>
      </c>
      <c r="J198" s="553"/>
      <c r="K198" s="1335">
        <v>434141392.30999994</v>
      </c>
      <c r="L198" s="409"/>
      <c r="M198" s="553">
        <v>40572920.100000001</v>
      </c>
      <c r="N198" s="553"/>
      <c r="O198" s="1335">
        <v>474714312.41000003</v>
      </c>
      <c r="P198" s="1077"/>
      <c r="Q198" s="1888"/>
    </row>
    <row r="199" spans="2:17" s="1067" customFormat="1" ht="15.5">
      <c r="B199" s="1042">
        <v>31354</v>
      </c>
      <c r="C199" s="1152"/>
      <c r="D199" s="1074" t="s">
        <v>1315</v>
      </c>
      <c r="E199" s="1151"/>
      <c r="F199" s="1151"/>
      <c r="G199" s="553">
        <v>422695064.07999998</v>
      </c>
      <c r="I199" s="553">
        <v>413410665.30000001</v>
      </c>
      <c r="K199" s="553">
        <v>452858609.06999999</v>
      </c>
      <c r="L199" s="553"/>
      <c r="M199" s="553">
        <v>-43098737.390000001</v>
      </c>
      <c r="N199" s="553"/>
      <c r="O199" s="553">
        <v>409759871.68000001</v>
      </c>
      <c r="P199" s="1082"/>
      <c r="Q199" s="553"/>
    </row>
    <row r="200" spans="2:17" s="1067" customFormat="1" ht="15.5">
      <c r="B200" s="1153" t="s">
        <v>1316</v>
      </c>
      <c r="C200" s="1081"/>
      <c r="D200" s="1080" t="s">
        <v>1317</v>
      </c>
      <c r="E200" s="1151"/>
      <c r="F200" s="1151"/>
      <c r="G200" s="2084">
        <v>140805763.50000006</v>
      </c>
      <c r="H200" s="553"/>
      <c r="I200" s="2084">
        <v>143762331.88000005</v>
      </c>
      <c r="J200" s="553"/>
      <c r="K200" s="2084">
        <v>160369492.45000011</v>
      </c>
      <c r="L200" s="409"/>
      <c r="M200" s="553">
        <v>-1112316.1399999999</v>
      </c>
      <c r="N200" s="553"/>
      <c r="O200" s="2084">
        <v>159257176.31</v>
      </c>
      <c r="P200" s="1086"/>
      <c r="Q200" s="1888" t="s">
        <v>104</v>
      </c>
    </row>
    <row r="201" spans="2:17" s="1067" customFormat="1" ht="15.5">
      <c r="B201" s="1091" t="s">
        <v>1318</v>
      </c>
      <c r="C201" s="1081"/>
      <c r="D201" s="1080" t="s">
        <v>1319</v>
      </c>
      <c r="E201" s="1093"/>
      <c r="F201" s="1093"/>
      <c r="G201" s="2084">
        <v>45862854.780000001</v>
      </c>
      <c r="H201" s="553"/>
      <c r="I201" s="2084">
        <v>39285246.210000001</v>
      </c>
      <c r="J201" s="553"/>
      <c r="K201" s="2084">
        <v>35851683.770000003</v>
      </c>
      <c r="L201" s="409"/>
      <c r="M201" s="553">
        <v>14138146.73</v>
      </c>
      <c r="N201" s="553"/>
      <c r="O201" s="2084">
        <v>49989830.5</v>
      </c>
      <c r="P201" s="1093"/>
      <c r="Q201" s="1888"/>
    </row>
    <row r="202" spans="2:17" s="1067" customFormat="1" ht="15.5">
      <c r="B202" s="1073">
        <v>25950</v>
      </c>
      <c r="C202" s="1081"/>
      <c r="D202" s="1080" t="s">
        <v>1320</v>
      </c>
      <c r="E202" s="1094"/>
      <c r="F202" s="1094"/>
      <c r="G202" s="409">
        <v>473970.8</v>
      </c>
      <c r="I202" s="409">
        <v>508763.04</v>
      </c>
      <c r="J202" s="2083"/>
      <c r="K202" s="409">
        <v>479637.84</v>
      </c>
      <c r="L202" s="409"/>
      <c r="M202" s="553">
        <v>11706.61</v>
      </c>
      <c r="N202" s="553"/>
      <c r="O202" s="409">
        <v>491344.45</v>
      </c>
      <c r="P202" s="1093"/>
      <c r="Q202" s="1888"/>
    </row>
    <row r="203" spans="2:17" s="1067" customFormat="1" ht="15.5">
      <c r="B203" s="1091" t="s">
        <v>1321</v>
      </c>
      <c r="C203" s="1081"/>
      <c r="D203" s="1074" t="s">
        <v>1322</v>
      </c>
      <c r="E203" s="1093"/>
      <c r="F203" s="1093"/>
      <c r="G203" s="1335">
        <v>3276530.48</v>
      </c>
      <c r="H203" s="553"/>
      <c r="I203" s="1335">
        <v>12740371.49</v>
      </c>
      <c r="J203" s="553"/>
      <c r="K203" s="1335">
        <v>9132086.2200000007</v>
      </c>
      <c r="L203" s="409"/>
      <c r="M203" s="553">
        <v>-7318015.7000000002</v>
      </c>
      <c r="N203" s="553"/>
      <c r="O203" s="1335">
        <v>1814070.52</v>
      </c>
      <c r="P203" s="1093"/>
      <c r="Q203" s="1888"/>
    </row>
    <row r="204" spans="2:17" s="1067" customFormat="1" ht="16" thickBot="1">
      <c r="B204" s="1086"/>
      <c r="C204" s="1069"/>
      <c r="D204" s="1078" t="s">
        <v>1323</v>
      </c>
      <c r="E204" s="1079"/>
      <c r="F204" s="1079"/>
      <c r="G204" s="1867">
        <f>ROUND(SUM(G195:G203),2)</f>
        <v>1416866049.5899999</v>
      </c>
      <c r="H204" s="866"/>
      <c r="I204" s="1867">
        <f>ROUND(SUM(I195:I203),2)</f>
        <v>1485741566.45</v>
      </c>
      <c r="J204" s="866"/>
      <c r="K204" s="1867">
        <f>ROUND(SUM(K195:K203),2)</f>
        <v>2508412478.8400002</v>
      </c>
      <c r="L204"/>
      <c r="M204" s="1867">
        <f>ROUND(SUM(M195:M203),2)</f>
        <v>-274580472.88</v>
      </c>
      <c r="N204"/>
      <c r="O204" s="1867">
        <f>ROUND(SUM(O195:O203),2)</f>
        <v>2233832005.96</v>
      </c>
      <c r="P204" s="1082" t="s">
        <v>292</v>
      </c>
      <c r="Q204" s="1888"/>
    </row>
    <row r="205" spans="2:17" s="1067" customFormat="1" ht="16" thickTop="1">
      <c r="B205" s="1083"/>
      <c r="C205" s="1069"/>
      <c r="D205" s="1082"/>
      <c r="E205" s="1079"/>
      <c r="F205" s="1079"/>
      <c r="G205" s="1095"/>
      <c r="H205" s="866"/>
      <c r="I205" s="1095"/>
      <c r="J205" s="866"/>
      <c r="K205" s="1095"/>
      <c r="L205" s="866"/>
      <c r="M205" s="1870"/>
      <c r="N205" s="866"/>
      <c r="O205" s="1095"/>
      <c r="P205" s="1153"/>
      <c r="Q205" s="1888"/>
    </row>
    <row r="206" spans="2:17" s="1067" customFormat="1" ht="15.5">
      <c r="B206" s="1085"/>
      <c r="C206" s="1069"/>
      <c r="D206" s="1070" t="s">
        <v>1324</v>
      </c>
      <c r="E206" s="1079"/>
      <c r="F206" s="1079"/>
      <c r="G206" s="874"/>
      <c r="H206" s="1160"/>
      <c r="I206" s="874"/>
      <c r="J206" s="1160"/>
      <c r="K206" s="874"/>
      <c r="L206" s="1160"/>
      <c r="M206" s="1870"/>
      <c r="N206" s="866"/>
      <c r="O206" s="874"/>
      <c r="P206" s="1091"/>
      <c r="Q206" s="1888"/>
    </row>
    <row r="207" spans="2:17" s="1067" customFormat="1" ht="15.5">
      <c r="B207" s="1073">
        <v>60201</v>
      </c>
      <c r="C207" s="1069"/>
      <c r="D207" s="1080" t="s">
        <v>1325</v>
      </c>
      <c r="E207" s="1079"/>
      <c r="F207" s="1079"/>
      <c r="G207" s="553">
        <v>174648662</v>
      </c>
      <c r="H207" s="553"/>
      <c r="I207" s="553">
        <v>162189192.31</v>
      </c>
      <c r="J207" s="553"/>
      <c r="K207" s="553">
        <v>275887415.58999997</v>
      </c>
      <c r="L207" s="553"/>
      <c r="M207" s="553">
        <f>ROUND(SUM(O207)-SUM(K207),2)</f>
        <v>188997546.38</v>
      </c>
      <c r="N207" s="553"/>
      <c r="O207" s="553">
        <v>464884961.97000003</v>
      </c>
      <c r="P207" s="1091"/>
      <c r="Q207" s="1888"/>
    </row>
    <row r="208" spans="2:17" s="1067" customFormat="1" ht="15.5">
      <c r="B208" s="1073">
        <v>60901</v>
      </c>
      <c r="C208" s="1081"/>
      <c r="D208" s="1074" t="s">
        <v>1326</v>
      </c>
      <c r="E208" s="1082"/>
      <c r="F208" s="1082"/>
      <c r="G208" s="553">
        <v>0</v>
      </c>
      <c r="H208" s="553"/>
      <c r="I208" s="553">
        <v>0</v>
      </c>
      <c r="J208" s="553"/>
      <c r="K208" s="553">
        <v>0</v>
      </c>
      <c r="L208" s="553"/>
      <c r="M208" s="553">
        <f>ROUND(SUM(O208)-SUM(K208),2)</f>
        <v>0</v>
      </c>
      <c r="N208" s="553"/>
      <c r="O208" s="553">
        <v>0</v>
      </c>
      <c r="P208" s="1091"/>
      <c r="Q208" s="1888" t="s">
        <v>104</v>
      </c>
    </row>
    <row r="209" spans="2:17" s="1067" customFormat="1" ht="16" thickBot="1">
      <c r="B209" s="1091"/>
      <c r="C209" s="1069"/>
      <c r="D209" s="1070" t="s">
        <v>1327</v>
      </c>
      <c r="E209" s="1079"/>
      <c r="F209" s="1079"/>
      <c r="G209" s="1868">
        <f>ROUND(SUM(G207:G208),2)</f>
        <v>174648662</v>
      </c>
      <c r="H209" s="866"/>
      <c r="I209" s="1868">
        <f>ROUND(SUM(I207:I208),2)</f>
        <v>162189192.31</v>
      </c>
      <c r="J209" s="866"/>
      <c r="K209" s="1868">
        <f>ROUND(SUM(K207:K208),2)</f>
        <v>275887415.58999997</v>
      </c>
      <c r="L209" s="866"/>
      <c r="M209" s="1867">
        <f>ROUND(SUM(M207:M208),2)</f>
        <v>188997546.38</v>
      </c>
      <c r="N209" s="866"/>
      <c r="O209" s="1868">
        <f>ROUND(SUM(O207:O208),2)</f>
        <v>464884961.97000003</v>
      </c>
      <c r="P209" s="1077"/>
      <c r="Q209" s="1888"/>
    </row>
    <row r="210" spans="2:17" s="1067" customFormat="1" ht="16" thickTop="1">
      <c r="B210" s="1091"/>
      <c r="C210" s="1096"/>
      <c r="D210" s="1096"/>
      <c r="E210" s="1097"/>
      <c r="F210" s="1097"/>
      <c r="G210" s="874"/>
      <c r="H210" s="1160"/>
      <c r="I210" s="874"/>
      <c r="J210" s="1160"/>
      <c r="K210" s="874"/>
      <c r="L210" s="1160"/>
      <c r="M210" s="553"/>
      <c r="N210" s="1160"/>
      <c r="O210" s="874"/>
      <c r="P210" s="1077"/>
      <c r="Q210" s="1888"/>
    </row>
    <row r="211" spans="2:17" s="1067" customFormat="1" ht="15.5">
      <c r="B211" s="1091"/>
      <c r="C211" s="1084"/>
      <c r="D211" s="1070" t="s">
        <v>1328</v>
      </c>
      <c r="E211" s="1088"/>
      <c r="F211" s="1088"/>
      <c r="G211" s="874"/>
      <c r="H211" s="1160"/>
      <c r="I211" s="874"/>
      <c r="J211" s="1160"/>
      <c r="K211" s="874"/>
      <c r="L211" s="1160"/>
      <c r="M211" s="1890"/>
      <c r="N211" s="1891"/>
      <c r="O211" s="874"/>
      <c r="P211" s="1153"/>
      <c r="Q211" s="1888"/>
    </row>
    <row r="212" spans="2:17" s="1067" customFormat="1" ht="15.5">
      <c r="B212" s="1073">
        <v>50318</v>
      </c>
      <c r="C212" s="1072"/>
      <c r="D212" s="1074" t="s">
        <v>1329</v>
      </c>
      <c r="E212" s="1072"/>
      <c r="F212" s="1072"/>
      <c r="G212" s="553">
        <v>617566.36</v>
      </c>
      <c r="H212" s="553"/>
      <c r="I212" s="553">
        <v>692141.69</v>
      </c>
      <c r="J212" s="553"/>
      <c r="K212" s="553">
        <v>685637.59</v>
      </c>
      <c r="L212" s="553"/>
      <c r="M212" s="553">
        <f>ROUND(SUM(O212)-SUM(K212),2)</f>
        <v>101562.35</v>
      </c>
      <c r="N212" s="553"/>
      <c r="O212" s="553">
        <v>787199.94</v>
      </c>
      <c r="P212" s="1091"/>
      <c r="Q212" s="1888"/>
    </row>
    <row r="213" spans="2:17" s="1067" customFormat="1" ht="15.5">
      <c r="B213" s="1073">
        <v>50327</v>
      </c>
      <c r="C213" s="1072"/>
      <c r="D213" s="1074" t="s">
        <v>1330</v>
      </c>
      <c r="E213" s="1072"/>
      <c r="F213" s="1072"/>
      <c r="G213" s="553">
        <v>349013.76000000001</v>
      </c>
      <c r="H213" s="553"/>
      <c r="I213" s="553">
        <v>387405.53</v>
      </c>
      <c r="J213" s="553"/>
      <c r="K213" s="553">
        <v>340442.57</v>
      </c>
      <c r="L213" s="553"/>
      <c r="M213" s="553">
        <f t="shared" ref="M213:M214" si="22">ROUND(SUM(O213)-SUM(K213),2)</f>
        <v>40107.83</v>
      </c>
      <c r="N213" s="553"/>
      <c r="O213" s="553">
        <v>380550.40000000002</v>
      </c>
      <c r="P213" s="1091"/>
      <c r="Q213" s="1888"/>
    </row>
    <row r="214" spans="2:17" s="1067" customFormat="1" ht="15.5">
      <c r="B214" s="1073">
        <v>50651</v>
      </c>
      <c r="C214" s="1072"/>
      <c r="D214" s="1074" t="s">
        <v>1331</v>
      </c>
      <c r="E214" s="1072"/>
      <c r="F214" s="1072"/>
      <c r="G214" s="553">
        <v>0</v>
      </c>
      <c r="H214" s="553"/>
      <c r="I214" s="553">
        <v>0</v>
      </c>
      <c r="J214" s="553"/>
      <c r="K214" s="553">
        <v>0</v>
      </c>
      <c r="L214" s="553"/>
      <c r="M214" s="553">
        <f t="shared" si="22"/>
        <v>0</v>
      </c>
      <c r="N214" s="553"/>
      <c r="O214" s="553">
        <v>0</v>
      </c>
      <c r="P214" s="1091"/>
      <c r="Q214" s="1888"/>
    </row>
    <row r="215" spans="2:17" s="1067" customFormat="1" ht="16" thickBot="1">
      <c r="B215" s="1086"/>
      <c r="C215" s="1069"/>
      <c r="D215" s="1078" t="s">
        <v>1332</v>
      </c>
      <c r="E215" s="1071"/>
      <c r="F215" s="1071"/>
      <c r="G215" s="1869">
        <f>ROUND(SUM(G212:G214),2)</f>
        <v>966580.12</v>
      </c>
      <c r="H215" s="866"/>
      <c r="I215" s="1869">
        <f>ROUND(SUM(I212:I214),2)</f>
        <v>1079547.22</v>
      </c>
      <c r="J215" s="866"/>
      <c r="K215" s="1869">
        <f>ROUND(SUM(K212:K214),2)</f>
        <v>1026080.16</v>
      </c>
      <c r="L215" s="866"/>
      <c r="M215" s="1869">
        <f>ROUND(SUM(M212:M214),2)</f>
        <v>141670.18</v>
      </c>
      <c r="N215" s="866"/>
      <c r="O215" s="1869">
        <f>ROUND(SUM(O212:O214),2)</f>
        <v>1167750.3400000001</v>
      </c>
      <c r="P215" s="1086"/>
      <c r="Q215" s="1888"/>
    </row>
    <row r="216" spans="2:17" s="1067" customFormat="1" ht="16" thickTop="1">
      <c r="B216" s="1072"/>
      <c r="C216" s="1072"/>
      <c r="D216" s="1098"/>
      <c r="E216" s="1072"/>
      <c r="F216" s="1072"/>
      <c r="G216" s="874"/>
      <c r="H216" s="671"/>
      <c r="I216" s="874"/>
      <c r="J216" s="671"/>
      <c r="K216" s="874"/>
      <c r="L216" s="671"/>
      <c r="M216" s="671"/>
      <c r="N216" s="671"/>
      <c r="O216" s="874"/>
      <c r="P216" s="1086"/>
      <c r="Q216" s="1888"/>
    </row>
    <row r="217" spans="2:17" s="1067" customFormat="1" ht="15.5">
      <c r="B217" s="1068"/>
      <c r="C217" s="1069"/>
      <c r="D217" s="1070" t="s">
        <v>631</v>
      </c>
      <c r="E217" s="1071"/>
      <c r="F217" s="1071"/>
      <c r="G217" s="1260"/>
      <c r="H217" s="1160"/>
      <c r="I217" s="1260"/>
      <c r="J217" s="1160"/>
      <c r="K217" s="1260"/>
      <c r="L217" s="1160"/>
      <c r="M217" s="866"/>
      <c r="N217" s="866"/>
      <c r="O217" s="1260"/>
      <c r="P217" s="1072"/>
      <c r="Q217" s="1888"/>
    </row>
    <row r="218" spans="2:17" s="1067" customFormat="1" ht="15.5">
      <c r="B218" s="1073">
        <v>55001</v>
      </c>
      <c r="C218" s="1072"/>
      <c r="D218" s="1074" t="s">
        <v>1333</v>
      </c>
      <c r="E218" s="1072"/>
      <c r="F218" s="1072"/>
      <c r="G218" s="553">
        <v>0</v>
      </c>
      <c r="H218" s="553"/>
      <c r="I218" s="553">
        <v>0</v>
      </c>
      <c r="J218" s="553"/>
      <c r="K218" s="553">
        <v>0</v>
      </c>
      <c r="L218" s="553"/>
      <c r="M218" s="553">
        <f t="shared" ref="M218" si="23">ROUND(SUM(O218)-SUM(K218),2)</f>
        <v>0</v>
      </c>
      <c r="N218" s="553"/>
      <c r="O218" s="553">
        <v>0</v>
      </c>
      <c r="P218" s="1077"/>
      <c r="Q218" s="1888"/>
    </row>
    <row r="219" spans="2:17" s="1067" customFormat="1" ht="15.5">
      <c r="B219" s="1073">
        <v>55002</v>
      </c>
      <c r="C219" s="1072"/>
      <c r="D219" s="1074" t="s">
        <v>1334</v>
      </c>
      <c r="E219" s="1072"/>
      <c r="F219" s="1072"/>
      <c r="G219" s="553">
        <v>0</v>
      </c>
      <c r="H219" s="553"/>
      <c r="I219" s="553">
        <v>0</v>
      </c>
      <c r="J219" s="553"/>
      <c r="K219" s="553">
        <v>0</v>
      </c>
      <c r="L219" s="553"/>
      <c r="M219" s="553">
        <f t="shared" ref="M219:M261" si="24">ROUND(SUM(O219)-SUM(K219),2)</f>
        <v>0</v>
      </c>
      <c r="N219" s="553"/>
      <c r="O219" s="553">
        <v>0</v>
      </c>
      <c r="P219" s="1077"/>
      <c r="Q219" s="1888"/>
    </row>
    <row r="220" spans="2:17" s="1067" customFormat="1" ht="15.5">
      <c r="B220" s="1073">
        <v>55003</v>
      </c>
      <c r="C220" s="1081"/>
      <c r="D220" s="1074" t="s">
        <v>1335</v>
      </c>
      <c r="E220" s="1082"/>
      <c r="F220" s="1082"/>
      <c r="G220" s="553">
        <v>342978.61</v>
      </c>
      <c r="H220" s="553"/>
      <c r="I220" s="553">
        <v>333498.92</v>
      </c>
      <c r="J220" s="553"/>
      <c r="K220" s="553">
        <v>335857.54</v>
      </c>
      <c r="L220" s="553"/>
      <c r="M220" s="553">
        <f t="shared" si="24"/>
        <v>-44698.68</v>
      </c>
      <c r="N220" s="553"/>
      <c r="O220" s="553">
        <v>291158.86</v>
      </c>
      <c r="P220" s="1077"/>
      <c r="Q220" s="1888"/>
    </row>
    <row r="221" spans="2:17" s="1067" customFormat="1" ht="15.5">
      <c r="B221" s="1073">
        <v>55004</v>
      </c>
      <c r="C221" s="1081"/>
      <c r="D221" s="1080" t="s">
        <v>1336</v>
      </c>
      <c r="E221" s="1082"/>
      <c r="F221" s="1082"/>
      <c r="G221" s="553">
        <v>0</v>
      </c>
      <c r="H221" s="553"/>
      <c r="I221" s="553">
        <v>33917.370000000003</v>
      </c>
      <c r="J221" s="553"/>
      <c r="K221" s="553">
        <v>220573.78</v>
      </c>
      <c r="L221" s="553"/>
      <c r="M221" s="553">
        <f t="shared" si="24"/>
        <v>222210.2</v>
      </c>
      <c r="N221" s="553"/>
      <c r="O221" s="553">
        <v>442783.98</v>
      </c>
      <c r="P221" s="1077"/>
      <c r="Q221" s="1888"/>
    </row>
    <row r="222" spans="2:17" s="1067" customFormat="1" ht="15.5">
      <c r="B222" s="1073">
        <v>55005</v>
      </c>
      <c r="C222" s="1081"/>
      <c r="D222" s="1080" t="s">
        <v>1337</v>
      </c>
      <c r="E222" s="1082"/>
      <c r="F222" s="1082"/>
      <c r="G222" s="553">
        <v>0</v>
      </c>
      <c r="H222" s="553"/>
      <c r="I222" s="553">
        <v>0</v>
      </c>
      <c r="J222" s="553"/>
      <c r="K222" s="553">
        <v>0</v>
      </c>
      <c r="L222" s="553"/>
      <c r="M222" s="553">
        <f t="shared" si="24"/>
        <v>0</v>
      </c>
      <c r="N222" s="553"/>
      <c r="O222" s="553">
        <v>0</v>
      </c>
      <c r="P222" s="1077"/>
      <c r="Q222" s="1888"/>
    </row>
    <row r="223" spans="2:17" s="1067" customFormat="1" ht="15.5">
      <c r="B223" s="1073">
        <v>55006</v>
      </c>
      <c r="C223" s="1081"/>
      <c r="D223" s="1074" t="s">
        <v>1338</v>
      </c>
      <c r="E223" s="1082"/>
      <c r="F223" s="1082"/>
      <c r="G223" s="553">
        <v>32700.5</v>
      </c>
      <c r="H223" s="553"/>
      <c r="I223" s="553">
        <v>45093.31</v>
      </c>
      <c r="J223" s="553"/>
      <c r="K223" s="553">
        <v>50855.79</v>
      </c>
      <c r="L223" s="553"/>
      <c r="M223" s="553">
        <f t="shared" si="24"/>
        <v>10411.68</v>
      </c>
      <c r="N223" s="553"/>
      <c r="O223" s="553">
        <v>61267.47</v>
      </c>
      <c r="P223" s="1077"/>
      <c r="Q223" s="1888"/>
    </row>
    <row r="224" spans="2:17" s="1067" customFormat="1" ht="15.5">
      <c r="B224" s="1073">
        <v>55007</v>
      </c>
      <c r="C224" s="1089"/>
      <c r="D224" s="1074" t="s">
        <v>1339</v>
      </c>
      <c r="E224" s="1090"/>
      <c r="F224" s="1090"/>
      <c r="G224" s="553">
        <v>1519268.05</v>
      </c>
      <c r="H224" s="553"/>
      <c r="I224" s="553">
        <v>1470268.23</v>
      </c>
      <c r="J224" s="553"/>
      <c r="K224" s="553">
        <v>1572817.07</v>
      </c>
      <c r="L224" s="553"/>
      <c r="M224" s="553">
        <f t="shared" si="24"/>
        <v>75192.37</v>
      </c>
      <c r="N224" s="553"/>
      <c r="O224" s="553">
        <v>1648009.44</v>
      </c>
      <c r="P224" s="1077"/>
      <c r="Q224" s="1888"/>
    </row>
    <row r="225" spans="2:17" s="1067" customFormat="1" ht="15.5">
      <c r="B225" s="1073">
        <v>55008</v>
      </c>
      <c r="C225" s="1081"/>
      <c r="D225" s="1080" t="s">
        <v>1340</v>
      </c>
      <c r="E225" s="1082"/>
      <c r="F225" s="1082"/>
      <c r="G225" s="553">
        <v>8871276.3599999994</v>
      </c>
      <c r="H225" s="553"/>
      <c r="I225" s="553">
        <v>5066749.21</v>
      </c>
      <c r="J225" s="553"/>
      <c r="K225" s="553">
        <v>5852598.6699999999</v>
      </c>
      <c r="L225" s="553"/>
      <c r="M225" s="553">
        <f t="shared" si="24"/>
        <v>-473052.91</v>
      </c>
      <c r="N225" s="553"/>
      <c r="O225" s="553">
        <v>5379545.7599999998</v>
      </c>
      <c r="P225" s="1086"/>
      <c r="Q225" s="1888"/>
    </row>
    <row r="226" spans="2:17" s="1067" customFormat="1" ht="15.5">
      <c r="B226" s="1073">
        <v>55009</v>
      </c>
      <c r="C226" s="1081"/>
      <c r="D226" s="1080" t="s">
        <v>1341</v>
      </c>
      <c r="E226" s="1082"/>
      <c r="F226" s="1082"/>
      <c r="G226" s="553">
        <v>0</v>
      </c>
      <c r="H226" s="553"/>
      <c r="I226" s="553">
        <v>0</v>
      </c>
      <c r="J226" s="553"/>
      <c r="K226" s="553">
        <v>0</v>
      </c>
      <c r="L226" s="553"/>
      <c r="M226" s="553">
        <f t="shared" si="24"/>
        <v>0</v>
      </c>
      <c r="N226" s="553"/>
      <c r="O226" s="553">
        <v>0</v>
      </c>
      <c r="P226" s="1086"/>
      <c r="Q226" s="1888"/>
    </row>
    <row r="227" spans="2:17" s="1067" customFormat="1" ht="15.5">
      <c r="B227" s="1042">
        <v>55010</v>
      </c>
      <c r="C227" s="1081"/>
      <c r="D227" s="1074" t="s">
        <v>1342</v>
      </c>
      <c r="E227" s="1082"/>
      <c r="F227" s="1082"/>
      <c r="G227" s="553">
        <v>24685346.02</v>
      </c>
      <c r="H227" s="553"/>
      <c r="I227" s="553">
        <v>19215343.809999999</v>
      </c>
      <c r="J227" s="553"/>
      <c r="K227" s="553">
        <v>20903204.600000001</v>
      </c>
      <c r="L227" s="553"/>
      <c r="M227" s="553">
        <f t="shared" si="24"/>
        <v>3111537.03</v>
      </c>
      <c r="N227" s="553"/>
      <c r="O227" s="553">
        <v>24014741.629999999</v>
      </c>
      <c r="P227" s="1072"/>
      <c r="Q227" s="1888"/>
    </row>
    <row r="228" spans="2:17" s="1067" customFormat="1" ht="15.5">
      <c r="B228" s="1073">
        <v>55011</v>
      </c>
      <c r="C228" s="1089"/>
      <c r="D228" s="1074" t="s">
        <v>1343</v>
      </c>
      <c r="E228" s="1090"/>
      <c r="F228" s="1090"/>
      <c r="G228" s="553">
        <v>6360974.6799999997</v>
      </c>
      <c r="H228" s="553"/>
      <c r="I228" s="553">
        <v>6166955.1900000004</v>
      </c>
      <c r="J228" s="553"/>
      <c r="K228" s="553">
        <v>0</v>
      </c>
      <c r="L228" s="553"/>
      <c r="M228" s="553">
        <f t="shared" si="24"/>
        <v>456880.42</v>
      </c>
      <c r="N228" s="553"/>
      <c r="O228" s="553">
        <v>456880.42</v>
      </c>
      <c r="P228" s="1077"/>
      <c r="Q228" s="1888"/>
    </row>
    <row r="229" spans="2:17" s="1067" customFormat="1" ht="15.5">
      <c r="B229" s="1073">
        <v>55012</v>
      </c>
      <c r="C229" s="1081"/>
      <c r="D229" s="1080" t="s">
        <v>1344</v>
      </c>
      <c r="E229" s="1082"/>
      <c r="F229" s="1082"/>
      <c r="G229" s="553">
        <v>158984.98000000001</v>
      </c>
      <c r="H229" s="553"/>
      <c r="I229" s="553">
        <v>144476.98000000001</v>
      </c>
      <c r="J229" s="553"/>
      <c r="K229" s="553">
        <v>133894.48000000001</v>
      </c>
      <c r="L229" s="553"/>
      <c r="M229" s="553">
        <f t="shared" si="24"/>
        <v>95497</v>
      </c>
      <c r="N229" s="553"/>
      <c r="O229" s="553">
        <v>229391.48</v>
      </c>
      <c r="P229" s="1077"/>
      <c r="Q229" s="1888"/>
    </row>
    <row r="230" spans="2:17" s="1067" customFormat="1" ht="15.5">
      <c r="B230" s="1073">
        <v>55013</v>
      </c>
      <c r="C230" s="1081"/>
      <c r="D230" s="1080" t="s">
        <v>1345</v>
      </c>
      <c r="E230" s="1082"/>
      <c r="F230" s="1082"/>
      <c r="G230" s="553">
        <v>0</v>
      </c>
      <c r="H230" s="553"/>
      <c r="I230" s="553">
        <v>0</v>
      </c>
      <c r="J230" s="553"/>
      <c r="K230" s="553">
        <v>0</v>
      </c>
      <c r="L230" s="553"/>
      <c r="M230" s="553">
        <f t="shared" si="24"/>
        <v>0</v>
      </c>
      <c r="N230" s="553"/>
      <c r="O230" s="553">
        <v>0</v>
      </c>
      <c r="P230" s="1077"/>
      <c r="Q230" s="1888"/>
    </row>
    <row r="231" spans="2:17" s="1067" customFormat="1" ht="15.5">
      <c r="B231" s="1073">
        <v>55014</v>
      </c>
      <c r="C231" s="1081"/>
      <c r="D231" s="1080" t="s">
        <v>1346</v>
      </c>
      <c r="E231" s="1082"/>
      <c r="F231" s="1082"/>
      <c r="G231" s="553">
        <v>0</v>
      </c>
      <c r="H231" s="553"/>
      <c r="I231" s="553">
        <v>0</v>
      </c>
      <c r="J231" s="553"/>
      <c r="K231" s="553">
        <v>0</v>
      </c>
      <c r="L231" s="553"/>
      <c r="M231" s="553">
        <f t="shared" si="24"/>
        <v>0</v>
      </c>
      <c r="N231" s="553"/>
      <c r="O231" s="553">
        <v>0</v>
      </c>
      <c r="P231" s="1077"/>
      <c r="Q231" s="1888"/>
    </row>
    <row r="232" spans="2:17" s="1067" customFormat="1" ht="15.5">
      <c r="B232" s="1073">
        <v>55015</v>
      </c>
      <c r="C232" s="1081"/>
      <c r="D232" s="1080" t="s">
        <v>1347</v>
      </c>
      <c r="E232" s="1082"/>
      <c r="F232" s="1082"/>
      <c r="G232" s="553">
        <v>0</v>
      </c>
      <c r="H232" s="553"/>
      <c r="I232" s="553">
        <v>0</v>
      </c>
      <c r="J232" s="553"/>
      <c r="K232" s="553">
        <v>0</v>
      </c>
      <c r="L232" s="553"/>
      <c r="M232" s="553">
        <f t="shared" si="24"/>
        <v>0</v>
      </c>
      <c r="N232" s="553"/>
      <c r="O232" s="553">
        <v>0</v>
      </c>
      <c r="P232" s="1077"/>
      <c r="Q232" s="1888"/>
    </row>
    <row r="233" spans="2:17" s="1067" customFormat="1" ht="15.5">
      <c r="B233" s="1073">
        <v>55016</v>
      </c>
      <c r="C233" s="1081"/>
      <c r="D233" s="1074" t="s">
        <v>1348</v>
      </c>
      <c r="E233" s="1082"/>
      <c r="F233" s="1082"/>
      <c r="G233" s="553">
        <v>433881.93</v>
      </c>
      <c r="H233" s="553"/>
      <c r="I233" s="553">
        <v>519761.85</v>
      </c>
      <c r="J233" s="553"/>
      <c r="K233" s="553">
        <v>785241.45</v>
      </c>
      <c r="L233" s="553"/>
      <c r="M233" s="553">
        <f t="shared" si="24"/>
        <v>-391204.2</v>
      </c>
      <c r="N233" s="553"/>
      <c r="O233" s="553">
        <v>394037.25</v>
      </c>
      <c r="P233" s="1077"/>
      <c r="Q233" s="1888"/>
    </row>
    <row r="234" spans="2:17" s="1067" customFormat="1" ht="15.5">
      <c r="B234" s="1073">
        <v>55017</v>
      </c>
      <c r="C234" s="1081"/>
      <c r="D234" s="1074" t="s">
        <v>1349</v>
      </c>
      <c r="E234" s="1082"/>
      <c r="F234" s="1082"/>
      <c r="G234" s="553">
        <v>240308.28</v>
      </c>
      <c r="H234" s="553"/>
      <c r="I234" s="553">
        <v>556968.62</v>
      </c>
      <c r="J234" s="553"/>
      <c r="K234" s="553">
        <v>187009.43</v>
      </c>
      <c r="L234" s="553"/>
      <c r="M234" s="553">
        <f t="shared" si="24"/>
        <v>-79790.539999999994</v>
      </c>
      <c r="N234" s="553"/>
      <c r="O234" s="553">
        <v>107218.89</v>
      </c>
      <c r="P234" s="1077"/>
      <c r="Q234" s="1888"/>
    </row>
    <row r="235" spans="2:17" s="1067" customFormat="1" ht="15.5">
      <c r="B235" s="1073">
        <v>55018</v>
      </c>
      <c r="C235" s="1081"/>
      <c r="D235" s="1074" t="s">
        <v>1350</v>
      </c>
      <c r="E235" s="1082"/>
      <c r="F235" s="1082"/>
      <c r="G235" s="553">
        <v>0</v>
      </c>
      <c r="H235" s="553"/>
      <c r="I235" s="553">
        <v>0</v>
      </c>
      <c r="J235" s="553"/>
      <c r="K235" s="553">
        <v>0</v>
      </c>
      <c r="L235" s="553"/>
      <c r="M235" s="553">
        <f t="shared" si="24"/>
        <v>0</v>
      </c>
      <c r="N235" s="553"/>
      <c r="O235" s="553">
        <v>0</v>
      </c>
      <c r="P235" s="1077"/>
      <c r="Q235" s="1888"/>
    </row>
    <row r="236" spans="2:17" s="1067" customFormat="1" ht="15.5">
      <c r="B236" s="1073">
        <v>55019</v>
      </c>
      <c r="C236" s="1081"/>
      <c r="D236" s="1074" t="s">
        <v>1351</v>
      </c>
      <c r="E236" s="1082"/>
      <c r="F236" s="1082"/>
      <c r="G236" s="553">
        <v>0</v>
      </c>
      <c r="H236" s="553"/>
      <c r="I236" s="553">
        <v>0</v>
      </c>
      <c r="J236" s="553"/>
      <c r="K236" s="553">
        <v>0</v>
      </c>
      <c r="L236" s="553"/>
      <c r="M236" s="553">
        <f t="shared" si="24"/>
        <v>0</v>
      </c>
      <c r="N236" s="553"/>
      <c r="O236" s="553">
        <v>0</v>
      </c>
      <c r="P236" s="1077"/>
      <c r="Q236" s="1888"/>
    </row>
    <row r="237" spans="2:17" s="1067" customFormat="1" ht="15.5">
      <c r="B237" s="1073">
        <v>55020</v>
      </c>
      <c r="C237" s="1081"/>
      <c r="D237" s="1074" t="s">
        <v>1352</v>
      </c>
      <c r="E237" s="1082"/>
      <c r="F237" s="1082"/>
      <c r="G237" s="553">
        <v>22920064.510000002</v>
      </c>
      <c r="H237" s="553"/>
      <c r="I237" s="553">
        <v>25719197.41</v>
      </c>
      <c r="J237" s="553"/>
      <c r="K237" s="553">
        <v>21615966.18</v>
      </c>
      <c r="L237" s="553"/>
      <c r="M237" s="553">
        <f t="shared" si="24"/>
        <v>1915318.43</v>
      </c>
      <c r="N237" s="553"/>
      <c r="O237" s="553">
        <v>23531284.609999999</v>
      </c>
      <c r="P237" s="1077"/>
      <c r="Q237" s="1888"/>
    </row>
    <row r="238" spans="2:17" s="1067" customFormat="1" ht="15.5">
      <c r="B238" s="1073">
        <v>55021</v>
      </c>
      <c r="C238" s="1081"/>
      <c r="D238" s="1074" t="s">
        <v>1353</v>
      </c>
      <c r="E238" s="1082"/>
      <c r="F238" s="1082"/>
      <c r="G238" s="553">
        <v>8326053.8300000001</v>
      </c>
      <c r="H238" s="553"/>
      <c r="I238" s="553">
        <v>8844743.0299999993</v>
      </c>
      <c r="J238" s="553"/>
      <c r="K238" s="553">
        <v>8925149.1999999993</v>
      </c>
      <c r="L238" s="553"/>
      <c r="M238" s="553">
        <f t="shared" si="24"/>
        <v>-214090.93</v>
      </c>
      <c r="N238" s="553"/>
      <c r="O238" s="553">
        <v>8711058.2699999996</v>
      </c>
      <c r="P238" s="1077"/>
      <c r="Q238" s="1888"/>
    </row>
    <row r="239" spans="2:17" s="1067" customFormat="1" ht="15.5">
      <c r="B239" s="1073">
        <v>55022</v>
      </c>
      <c r="C239" s="1081"/>
      <c r="D239" s="1080" t="s">
        <v>1354</v>
      </c>
      <c r="E239" s="1082"/>
      <c r="F239" s="1082"/>
      <c r="G239" s="553">
        <v>13695469.369999999</v>
      </c>
      <c r="H239" s="553"/>
      <c r="I239" s="553">
        <v>15947404.189999999</v>
      </c>
      <c r="J239" s="553"/>
      <c r="K239" s="553">
        <v>18499831.460000001</v>
      </c>
      <c r="L239" s="553"/>
      <c r="M239" s="553">
        <f t="shared" si="24"/>
        <v>2635919.92</v>
      </c>
      <c r="N239" s="553"/>
      <c r="O239" s="553">
        <v>21135751.379999999</v>
      </c>
      <c r="P239" s="1077"/>
      <c r="Q239" s="1888"/>
    </row>
    <row r="240" spans="2:17" s="1067" customFormat="1" ht="15.5">
      <c r="B240" s="1073">
        <v>55052</v>
      </c>
      <c r="C240" s="1081"/>
      <c r="D240" s="1080" t="s">
        <v>1355</v>
      </c>
      <c r="E240" s="1082"/>
      <c r="F240" s="1082"/>
      <c r="G240" s="553">
        <v>804912.74</v>
      </c>
      <c r="H240" s="553"/>
      <c r="I240" s="553">
        <v>872785.34</v>
      </c>
      <c r="J240" s="553"/>
      <c r="K240" s="553">
        <v>932535.96</v>
      </c>
      <c r="L240" s="553"/>
      <c r="M240" s="553">
        <f t="shared" si="24"/>
        <v>234589.46</v>
      </c>
      <c r="N240" s="553"/>
      <c r="O240" s="553">
        <v>1167125.42</v>
      </c>
      <c r="P240" s="1077"/>
      <c r="Q240" s="1888"/>
    </row>
    <row r="241" spans="2:17" s="1067" customFormat="1" ht="15.5">
      <c r="B241" s="1073">
        <v>55053</v>
      </c>
      <c r="C241" s="1081"/>
      <c r="D241" s="1074" t="s">
        <v>1356</v>
      </c>
      <c r="E241" s="1082"/>
      <c r="F241" s="1082"/>
      <c r="G241" s="553">
        <v>0</v>
      </c>
      <c r="H241" s="553"/>
      <c r="I241" s="553">
        <v>0</v>
      </c>
      <c r="J241" s="553"/>
      <c r="K241" s="553">
        <v>0</v>
      </c>
      <c r="L241" s="553"/>
      <c r="M241" s="553">
        <f t="shared" si="24"/>
        <v>0</v>
      </c>
      <c r="N241" s="553"/>
      <c r="O241" s="553">
        <v>0</v>
      </c>
      <c r="P241" s="1077"/>
      <c r="Q241" s="1888"/>
    </row>
    <row r="242" spans="2:17" s="1067" customFormat="1" ht="15.5">
      <c r="B242" s="1073">
        <v>55055</v>
      </c>
      <c r="C242" s="1081"/>
      <c r="D242" s="1074" t="s">
        <v>1357</v>
      </c>
      <c r="E242" s="1082"/>
      <c r="F242" s="1082"/>
      <c r="G242" s="553">
        <v>2780848.77</v>
      </c>
      <c r="H242" s="553"/>
      <c r="I242" s="553">
        <v>3511136.88</v>
      </c>
      <c r="J242" s="553"/>
      <c r="K242" s="553">
        <v>3790956.42</v>
      </c>
      <c r="L242" s="553"/>
      <c r="M242" s="553">
        <f t="shared" si="24"/>
        <v>2926082.02</v>
      </c>
      <c r="N242" s="553"/>
      <c r="O242" s="553">
        <v>6717038.4400000004</v>
      </c>
      <c r="P242" s="1077"/>
      <c r="Q242" s="1888"/>
    </row>
    <row r="243" spans="2:17" s="1067" customFormat="1" ht="15.5">
      <c r="B243" s="1073">
        <v>55056</v>
      </c>
      <c r="C243" s="1081"/>
      <c r="D243" s="1074" t="s">
        <v>1358</v>
      </c>
      <c r="E243" s="1082"/>
      <c r="F243" s="1082"/>
      <c r="G243" s="553">
        <v>0</v>
      </c>
      <c r="H243" s="553"/>
      <c r="I243" s="553">
        <v>0</v>
      </c>
      <c r="J243" s="553"/>
      <c r="K243" s="553">
        <v>0</v>
      </c>
      <c r="L243" s="553"/>
      <c r="M243" s="553">
        <f t="shared" si="24"/>
        <v>0</v>
      </c>
      <c r="N243" s="553"/>
      <c r="O243" s="553">
        <v>0</v>
      </c>
      <c r="P243" s="1077"/>
      <c r="Q243" s="1888"/>
    </row>
    <row r="244" spans="2:17" s="1067" customFormat="1" ht="15.5">
      <c r="B244" s="1073">
        <v>55057</v>
      </c>
      <c r="C244" s="1081"/>
      <c r="D244" s="1074" t="s">
        <v>1359</v>
      </c>
      <c r="E244" s="1082"/>
      <c r="F244" s="1082"/>
      <c r="G244" s="553">
        <v>6621.78</v>
      </c>
      <c r="H244" s="553"/>
      <c r="I244" s="553">
        <v>859332.27</v>
      </c>
      <c r="J244" s="553"/>
      <c r="K244" s="553">
        <v>383837.1</v>
      </c>
      <c r="L244" s="553"/>
      <c r="M244" s="553">
        <f t="shared" si="24"/>
        <v>-259322.38</v>
      </c>
      <c r="N244" s="553"/>
      <c r="O244" s="553">
        <v>124514.72</v>
      </c>
      <c r="P244" s="1077"/>
      <c r="Q244" s="1888"/>
    </row>
    <row r="245" spans="2:17" s="1067" customFormat="1" ht="15.5">
      <c r="B245" s="1073">
        <v>55058</v>
      </c>
      <c r="C245" s="1081"/>
      <c r="D245" s="1074" t="s">
        <v>1360</v>
      </c>
      <c r="E245" s="1082"/>
      <c r="F245" s="1082"/>
      <c r="G245" s="553">
        <v>3146402.67</v>
      </c>
      <c r="H245" s="553"/>
      <c r="I245" s="553">
        <v>3510426.5</v>
      </c>
      <c r="J245" s="553"/>
      <c r="K245" s="553">
        <v>3788969.85</v>
      </c>
      <c r="L245" s="553"/>
      <c r="M245" s="553">
        <f t="shared" si="24"/>
        <v>-239207.4</v>
      </c>
      <c r="N245" s="553"/>
      <c r="O245" s="553">
        <v>3549762.45</v>
      </c>
      <c r="P245" s="1077"/>
      <c r="Q245" s="1888"/>
    </row>
    <row r="246" spans="2:17" s="1067" customFormat="1" ht="15.5">
      <c r="B246" s="1073">
        <v>55059</v>
      </c>
      <c r="C246" s="1081"/>
      <c r="D246" s="1074" t="s">
        <v>1361</v>
      </c>
      <c r="E246" s="1082"/>
      <c r="F246" s="1082"/>
      <c r="G246" s="553">
        <v>12045435.59</v>
      </c>
      <c r="H246" s="553"/>
      <c r="I246" s="553">
        <v>12388418.99</v>
      </c>
      <c r="J246" s="553"/>
      <c r="K246" s="553">
        <v>11889293.65</v>
      </c>
      <c r="L246" s="553"/>
      <c r="M246" s="553">
        <f t="shared" si="24"/>
        <v>-467866.09</v>
      </c>
      <c r="N246" s="553"/>
      <c r="O246" s="553">
        <v>11421427.560000001</v>
      </c>
      <c r="P246" s="1077"/>
      <c r="Q246" s="1888"/>
    </row>
    <row r="247" spans="2:17" s="1067" customFormat="1" ht="15.5">
      <c r="B247" s="1073">
        <v>55060</v>
      </c>
      <c r="C247" s="1081"/>
      <c r="D247" s="1080" t="s">
        <v>1362</v>
      </c>
      <c r="E247" s="1082"/>
      <c r="F247" s="1082"/>
      <c r="G247" s="553">
        <v>8299957.8600000003</v>
      </c>
      <c r="H247" s="553"/>
      <c r="I247" s="553">
        <v>9472066.4399999995</v>
      </c>
      <c r="J247" s="553"/>
      <c r="K247" s="553">
        <v>10596298.800000001</v>
      </c>
      <c r="L247" s="553"/>
      <c r="M247" s="553">
        <f t="shared" si="24"/>
        <v>1825971.43</v>
      </c>
      <c r="N247" s="553"/>
      <c r="O247" s="553">
        <v>12422270.23</v>
      </c>
      <c r="P247" s="1077"/>
      <c r="Q247" s="1888"/>
    </row>
    <row r="248" spans="2:17" s="1067" customFormat="1" ht="15.5">
      <c r="B248" s="1073">
        <v>55061</v>
      </c>
      <c r="C248" s="1081"/>
      <c r="D248" s="1080" t="s">
        <v>1363</v>
      </c>
      <c r="E248" s="1082"/>
      <c r="F248" s="1082"/>
      <c r="G248" s="553">
        <v>0</v>
      </c>
      <c r="H248" s="553"/>
      <c r="I248" s="553">
        <v>0</v>
      </c>
      <c r="J248" s="553"/>
      <c r="K248" s="553">
        <v>0</v>
      </c>
      <c r="L248" s="553"/>
      <c r="M248" s="553">
        <f t="shared" si="24"/>
        <v>0</v>
      </c>
      <c r="N248" s="553"/>
      <c r="O248" s="553">
        <v>0</v>
      </c>
      <c r="P248" s="1077"/>
      <c r="Q248" s="1888"/>
    </row>
    <row r="249" spans="2:17" s="1067" customFormat="1" ht="15.5">
      <c r="B249" s="1073">
        <v>55062</v>
      </c>
      <c r="C249" s="1081"/>
      <c r="D249" s="1074" t="s">
        <v>1364</v>
      </c>
      <c r="E249" s="1082"/>
      <c r="F249" s="1082"/>
      <c r="G249" s="553">
        <v>12383759.02</v>
      </c>
      <c r="H249" s="553"/>
      <c r="I249" s="553">
        <v>12359381.41</v>
      </c>
      <c r="J249" s="553"/>
      <c r="K249" s="553">
        <v>12359381.41</v>
      </c>
      <c r="L249" s="553"/>
      <c r="M249" s="553">
        <f t="shared" si="24"/>
        <v>-1715458.5</v>
      </c>
      <c r="N249" s="553"/>
      <c r="O249" s="553">
        <v>10643922.91</v>
      </c>
      <c r="P249" s="1077"/>
      <c r="Q249" s="1888"/>
    </row>
    <row r="250" spans="2:17" s="1067" customFormat="1" ht="15.5">
      <c r="B250" s="1073">
        <v>55066</v>
      </c>
      <c r="C250" s="1081"/>
      <c r="D250" s="1074" t="s">
        <v>1365</v>
      </c>
      <c r="E250" s="1082"/>
      <c r="F250" s="1082"/>
      <c r="G250" s="553">
        <v>1261584.27</v>
      </c>
      <c r="H250" s="553"/>
      <c r="I250" s="553">
        <v>1261584.27</v>
      </c>
      <c r="J250" s="553"/>
      <c r="K250" s="553">
        <v>1261584.27</v>
      </c>
      <c r="L250" s="553"/>
      <c r="M250" s="553">
        <f t="shared" si="24"/>
        <v>0</v>
      </c>
      <c r="N250" s="553"/>
      <c r="O250" s="553">
        <v>1261584.27</v>
      </c>
      <c r="P250" s="1077"/>
      <c r="Q250" s="1888"/>
    </row>
    <row r="251" spans="2:17" s="1067" customFormat="1" ht="15.5">
      <c r="B251" s="1073">
        <v>55067</v>
      </c>
      <c r="C251" s="1081"/>
      <c r="D251" s="1074" t="s">
        <v>1366</v>
      </c>
      <c r="E251" s="1082"/>
      <c r="F251" s="1082"/>
      <c r="G251" s="553">
        <v>416982.84</v>
      </c>
      <c r="H251" s="553"/>
      <c r="I251" s="553">
        <v>456059.26</v>
      </c>
      <c r="J251" s="553"/>
      <c r="K251" s="553">
        <v>468466.83</v>
      </c>
      <c r="L251" s="553"/>
      <c r="M251" s="553">
        <f t="shared" si="24"/>
        <v>56756.04</v>
      </c>
      <c r="N251" s="553"/>
      <c r="O251" s="553">
        <v>525222.87</v>
      </c>
      <c r="P251" s="1077"/>
      <c r="Q251" s="1888"/>
    </row>
    <row r="252" spans="2:17" s="1067" customFormat="1" ht="15.5">
      <c r="B252" s="1073">
        <v>55069</v>
      </c>
      <c r="C252" s="1081"/>
      <c r="D252" s="1074" t="s">
        <v>1367</v>
      </c>
      <c r="E252" s="1082"/>
      <c r="F252" s="1082"/>
      <c r="G252" s="553">
        <v>389919.73</v>
      </c>
      <c r="H252" s="553"/>
      <c r="I252" s="553">
        <v>6865586.5899999999</v>
      </c>
      <c r="J252" s="553"/>
      <c r="K252" s="553">
        <v>3444638.88</v>
      </c>
      <c r="L252" s="553"/>
      <c r="M252" s="553">
        <f t="shared" si="24"/>
        <v>-3444638.88</v>
      </c>
      <c r="N252" s="553"/>
      <c r="O252" s="553">
        <v>0</v>
      </c>
      <c r="P252" s="1077"/>
      <c r="Q252" s="1888"/>
    </row>
    <row r="253" spans="2:17" s="1067" customFormat="1" ht="15.5">
      <c r="B253" s="1091">
        <v>55071</v>
      </c>
      <c r="C253" s="1081"/>
      <c r="D253" s="1074" t="s">
        <v>1368</v>
      </c>
      <c r="E253" s="1082"/>
      <c r="F253" s="1082"/>
      <c r="G253" s="553">
        <v>834415.17</v>
      </c>
      <c r="H253" s="553"/>
      <c r="I253" s="553">
        <v>1059861.49</v>
      </c>
      <c r="J253" s="553"/>
      <c r="K253" s="553">
        <v>1256679.42</v>
      </c>
      <c r="L253" s="553"/>
      <c r="M253" s="553">
        <f t="shared" si="24"/>
        <v>-579121.56000000006</v>
      </c>
      <c r="N253" s="553"/>
      <c r="O253" s="553">
        <v>677557.86</v>
      </c>
      <c r="P253" s="1077"/>
      <c r="Q253" s="1888"/>
    </row>
    <row r="254" spans="2:17" s="1067" customFormat="1" ht="15.5">
      <c r="B254" s="1073">
        <v>55072</v>
      </c>
      <c r="C254" s="1081"/>
      <c r="D254" s="1074" t="s">
        <v>1369</v>
      </c>
      <c r="E254" s="1082"/>
      <c r="F254" s="1082"/>
      <c r="G254" s="553">
        <v>3602292.7</v>
      </c>
      <c r="H254" s="553"/>
      <c r="I254" s="553">
        <v>3679951.24</v>
      </c>
      <c r="J254" s="553"/>
      <c r="K254" s="553">
        <v>4677212.41</v>
      </c>
      <c r="L254" s="553"/>
      <c r="M254" s="553">
        <f t="shared" si="24"/>
        <v>-2469551.54</v>
      </c>
      <c r="N254" s="553"/>
      <c r="O254" s="553">
        <v>2207660.87</v>
      </c>
      <c r="P254" s="1077"/>
      <c r="Q254" s="1888"/>
    </row>
    <row r="255" spans="2:17" s="1067" customFormat="1" ht="15.5">
      <c r="B255" s="1091">
        <v>55073</v>
      </c>
      <c r="C255" s="1081"/>
      <c r="D255" s="1074" t="s">
        <v>1370</v>
      </c>
      <c r="E255" s="1082"/>
      <c r="F255" s="1082"/>
      <c r="G255" s="553">
        <v>0</v>
      </c>
      <c r="H255" s="553"/>
      <c r="I255" s="553">
        <v>0</v>
      </c>
      <c r="J255" s="553"/>
      <c r="K255" s="553">
        <v>0</v>
      </c>
      <c r="L255" s="553"/>
      <c r="M255" s="553">
        <f t="shared" si="24"/>
        <v>0</v>
      </c>
      <c r="N255" s="553"/>
      <c r="O255" s="553">
        <v>0</v>
      </c>
      <c r="P255" s="1077"/>
      <c r="Q255" s="1888"/>
    </row>
    <row r="256" spans="2:17" s="1067" customFormat="1" ht="15.5">
      <c r="B256" s="1091">
        <v>55074</v>
      </c>
      <c r="C256" s="1081"/>
      <c r="D256" s="1074" t="s">
        <v>1371</v>
      </c>
      <c r="E256" s="1082"/>
      <c r="F256" s="1082"/>
      <c r="G256" s="553">
        <v>0</v>
      </c>
      <c r="H256" s="553"/>
      <c r="I256" s="553">
        <v>0</v>
      </c>
      <c r="J256" s="553"/>
      <c r="K256" s="553">
        <v>0</v>
      </c>
      <c r="L256" s="553"/>
      <c r="M256" s="553">
        <f t="shared" si="24"/>
        <v>0</v>
      </c>
      <c r="N256" s="553"/>
      <c r="O256" s="553">
        <v>0</v>
      </c>
      <c r="P256" s="1077"/>
      <c r="Q256" s="1888"/>
    </row>
    <row r="257" spans="2:17" s="1067" customFormat="1" ht="15.5">
      <c r="B257" s="1073">
        <v>55251</v>
      </c>
      <c r="C257" s="1081"/>
      <c r="D257" s="1080" t="s">
        <v>1372</v>
      </c>
      <c r="E257" s="1082"/>
      <c r="F257" s="1082"/>
      <c r="G257" s="553">
        <v>7534134.4000000004</v>
      </c>
      <c r="H257" s="553"/>
      <c r="I257" s="553">
        <v>7760506.4299999997</v>
      </c>
      <c r="J257" s="553"/>
      <c r="K257" s="553">
        <v>7956262.2400000002</v>
      </c>
      <c r="L257" s="553"/>
      <c r="M257" s="553">
        <f t="shared" si="24"/>
        <v>253580.38</v>
      </c>
      <c r="N257" s="553"/>
      <c r="O257" s="553">
        <v>8209842.6200000001</v>
      </c>
      <c r="P257" s="1077"/>
      <c r="Q257" s="1888"/>
    </row>
    <row r="258" spans="2:17" s="1067" customFormat="1" ht="15.5">
      <c r="B258" s="1073">
        <v>55252</v>
      </c>
      <c r="C258" s="1081"/>
      <c r="D258" s="1074" t="s">
        <v>1373</v>
      </c>
      <c r="E258" s="1082"/>
      <c r="F258" s="1082"/>
      <c r="G258" s="553">
        <v>62793537.5</v>
      </c>
      <c r="H258" s="553"/>
      <c r="I258" s="553">
        <v>68953731.480000004</v>
      </c>
      <c r="J258" s="553"/>
      <c r="K258" s="553">
        <v>72315280.140000001</v>
      </c>
      <c r="L258" s="553"/>
      <c r="M258" s="553">
        <f t="shared" si="24"/>
        <v>7146625.2300000004</v>
      </c>
      <c r="N258" s="553"/>
      <c r="O258" s="553">
        <v>79461905.370000005</v>
      </c>
      <c r="P258" s="1077"/>
      <c r="Q258" s="1888"/>
    </row>
    <row r="259" spans="2:17" s="1067" customFormat="1" ht="15.5">
      <c r="B259" s="1073">
        <v>55300</v>
      </c>
      <c r="C259" s="1081"/>
      <c r="D259" s="1080" t="s">
        <v>1374</v>
      </c>
      <c r="E259" s="1082"/>
      <c r="F259" s="1082"/>
      <c r="G259" s="553">
        <v>6942556.4400000004</v>
      </c>
      <c r="H259" s="553"/>
      <c r="I259" s="553">
        <v>8107515.7999999998</v>
      </c>
      <c r="J259" s="553"/>
      <c r="K259" s="553">
        <v>9628989.8399999999</v>
      </c>
      <c r="L259" s="553"/>
      <c r="M259" s="553">
        <f t="shared" si="24"/>
        <v>-719720.9</v>
      </c>
      <c r="N259" s="553"/>
      <c r="O259" s="553">
        <v>8909268.9399999995</v>
      </c>
      <c r="P259" s="1077"/>
      <c r="Q259" s="1888"/>
    </row>
    <row r="260" spans="2:17" s="1067" customFormat="1" ht="15.5">
      <c r="B260" s="1073">
        <v>55301</v>
      </c>
      <c r="C260" s="1081"/>
      <c r="D260" s="1080" t="s">
        <v>1375</v>
      </c>
      <c r="E260" s="1082"/>
      <c r="F260" s="1082"/>
      <c r="G260" s="553">
        <v>439596.09</v>
      </c>
      <c r="H260" s="553"/>
      <c r="I260" s="553">
        <v>521147.52</v>
      </c>
      <c r="J260" s="553"/>
      <c r="K260" s="553">
        <v>598530.6</v>
      </c>
      <c r="L260" s="553"/>
      <c r="M260" s="553">
        <f t="shared" si="24"/>
        <v>103986.69</v>
      </c>
      <c r="N260" s="553"/>
      <c r="O260" s="553">
        <v>702517.29</v>
      </c>
      <c r="P260" s="1077"/>
      <c r="Q260" s="1888"/>
    </row>
    <row r="261" spans="2:17" s="1067" customFormat="1" ht="15.5">
      <c r="B261" s="1073">
        <v>55350</v>
      </c>
      <c r="C261" s="1072"/>
      <c r="D261" s="1080" t="s">
        <v>1376</v>
      </c>
      <c r="E261" s="1072"/>
      <c r="F261" s="1072"/>
      <c r="G261" s="553">
        <v>9135247.3000000007</v>
      </c>
      <c r="H261" s="553"/>
      <c r="I261" s="553">
        <v>11829533.029999999</v>
      </c>
      <c r="J261" s="553"/>
      <c r="K261" s="553">
        <v>14892645.939999999</v>
      </c>
      <c r="L261" s="553"/>
      <c r="M261" s="553">
        <f t="shared" si="24"/>
        <v>3429064.02</v>
      </c>
      <c r="N261" s="553"/>
      <c r="O261" s="553">
        <v>18321709.960000001</v>
      </c>
      <c r="P261" s="1077"/>
      <c r="Q261" s="1888"/>
    </row>
    <row r="262" spans="2:17" s="1067" customFormat="1" ht="16" thickBot="1">
      <c r="B262" s="1099"/>
      <c r="C262" s="1069"/>
      <c r="D262" s="1070" t="s">
        <v>1377</v>
      </c>
      <c r="E262" s="1071"/>
      <c r="F262" s="1071"/>
      <c r="G262" s="1867">
        <f>ROUND(SUM(G218:G261),2)</f>
        <v>220405511.99000001</v>
      </c>
      <c r="H262" s="866"/>
      <c r="I262" s="1867">
        <f>ROUND(SUM(I218:I261),2)</f>
        <v>237533403.06</v>
      </c>
      <c r="J262" s="866"/>
      <c r="K262" s="1867">
        <f>ROUND(SUM(K218:K261),2)</f>
        <v>239324563.41</v>
      </c>
      <c r="L262" s="866"/>
      <c r="M262" s="1867">
        <f>ROUND(SUM(M218:M261),2)</f>
        <v>13401897.810000001</v>
      </c>
      <c r="N262" s="866"/>
      <c r="O262" s="1867">
        <f>ROUND(SUM(O218:O261),2)</f>
        <v>252726461.22</v>
      </c>
      <c r="P262" s="1077"/>
      <c r="Q262" s="1888"/>
    </row>
    <row r="263" spans="2:17" s="1067" customFormat="1" ht="16" thickTop="1">
      <c r="B263" s="1085"/>
      <c r="C263" s="1072"/>
      <c r="D263" s="1100"/>
      <c r="E263" s="1072"/>
      <c r="F263" s="1072"/>
      <c r="G263" s="553"/>
      <c r="H263" s="1160"/>
      <c r="I263" s="553"/>
      <c r="J263" s="1160"/>
      <c r="K263" s="553"/>
      <c r="L263" s="1160"/>
      <c r="M263" s="553"/>
      <c r="N263" s="1160"/>
      <c r="O263" s="553"/>
      <c r="P263" s="1077"/>
      <c r="Q263" s="1888"/>
    </row>
    <row r="264" spans="2:17" s="1067" customFormat="1" ht="16" thickBot="1">
      <c r="B264" s="1085"/>
      <c r="C264" s="1072"/>
      <c r="D264" s="1100"/>
      <c r="E264" s="1072"/>
      <c r="F264" s="1072"/>
      <c r="G264" s="553"/>
      <c r="H264" s="1160"/>
      <c r="I264" s="553"/>
      <c r="J264" s="1160"/>
      <c r="K264" s="553"/>
      <c r="L264" s="1160"/>
      <c r="M264" s="553"/>
      <c r="N264" s="1160"/>
      <c r="O264" s="553"/>
      <c r="P264" s="1077"/>
      <c r="Q264" s="1888"/>
    </row>
    <row r="265" spans="2:17" s="1067" customFormat="1" ht="16" thickBot="1">
      <c r="B265" s="1099"/>
      <c r="C265" s="1101"/>
      <c r="D265" s="1102" t="s">
        <v>1378</v>
      </c>
      <c r="E265" s="1071"/>
      <c r="F265" s="1075"/>
      <c r="G265" s="2080">
        <f>ROUND(SUM(G11+G101+G192+G204+G209+G215+G262),2)</f>
        <v>4820723796.8900003</v>
      </c>
      <c r="H265" s="1075"/>
      <c r="I265" s="2080">
        <f>ROUND(SUM(I11+I101+I192+I204+I209+I215+I262),2)</f>
        <v>6396436489.5299997</v>
      </c>
      <c r="J265" s="1075"/>
      <c r="K265" s="2080">
        <f>ROUND(SUM(K11+K101+K192+K204+K209+K215+K262),2)</f>
        <v>7039900018.1700001</v>
      </c>
      <c r="L265" s="1075"/>
      <c r="M265" s="2080">
        <f>ROUND(SUM(M11+M101+M192+M204+M209+M215+M262),2)</f>
        <v>-61392177.289999999</v>
      </c>
      <c r="N265" s="1075"/>
      <c r="O265" s="2080">
        <f>ROUND(SUM(O11+O101+O192+O204+O209+O215+O262),2)</f>
        <v>6978507840.8800001</v>
      </c>
      <c r="P265" s="1077"/>
      <c r="Q265" s="1888"/>
    </row>
    <row r="266" spans="2:17" s="1067" customFormat="1" ht="15.5">
      <c r="B266" s="1085"/>
      <c r="C266" s="1072"/>
      <c r="D266" s="1100"/>
      <c r="E266" s="1072"/>
      <c r="F266" s="1072"/>
      <c r="G266"/>
      <c r="H266" s="866"/>
      <c r="I266" s="1870"/>
      <c r="J266" s="866"/>
      <c r="K266" s="1870"/>
      <c r="L266" s="866"/>
      <c r="M266" s="554"/>
      <c r="N266" s="1072"/>
      <c r="O266" s="554"/>
      <c r="P266" s="1077"/>
    </row>
    <row r="267" spans="2:17" s="1067" customFormat="1" ht="15.5">
      <c r="B267" s="1266" t="s">
        <v>1379</v>
      </c>
      <c r="C267" s="877" t="s">
        <v>1380</v>
      </c>
      <c r="D267" s="1103"/>
      <c r="E267" s="421"/>
      <c r="F267" s="421"/>
      <c r="G267" s="1870"/>
      <c r="H267" s="1104"/>
      <c r="I267" s="1871"/>
      <c r="J267" s="327"/>
      <c r="K267" s="1871"/>
      <c r="L267" s="327"/>
      <c r="M267" s="1871"/>
      <c r="N267" s="327"/>
      <c r="O267" s="1871"/>
      <c r="P267" s="1077"/>
    </row>
    <row r="268" spans="2:17" s="1067" customFormat="1" ht="15.5">
      <c r="B268" s="1105"/>
      <c r="C268" s="421" t="s">
        <v>1381</v>
      </c>
      <c r="D268" s="1106"/>
      <c r="E268" s="421"/>
      <c r="F268" s="421"/>
      <c r="G268" s="1871"/>
      <c r="H268" s="1104"/>
      <c r="I268" s="1871"/>
      <c r="J268" s="327"/>
      <c r="K268" s="1871"/>
      <c r="L268" s="327"/>
      <c r="M268" s="1871"/>
      <c r="N268" s="327"/>
      <c r="O268" s="1871"/>
      <c r="P268" s="1077"/>
    </row>
    <row r="269" spans="2:17" s="1067" customFormat="1" ht="15.5">
      <c r="B269" s="1105"/>
      <c r="C269" s="421" t="s">
        <v>1382</v>
      </c>
      <c r="D269" s="1103"/>
      <c r="E269" s="421"/>
      <c r="F269" s="421"/>
      <c r="G269" s="1871"/>
      <c r="H269" s="1104"/>
      <c r="I269" s="1872"/>
      <c r="J269" s="423"/>
      <c r="K269" s="1872"/>
      <c r="L269" s="423"/>
      <c r="M269" s="1872"/>
      <c r="N269" s="423"/>
      <c r="O269" s="1872"/>
      <c r="P269" s="1077"/>
    </row>
    <row r="270" spans="2:17" s="1067" customFormat="1" ht="15.5">
      <c r="B270" s="1105"/>
      <c r="C270" s="421" t="s">
        <v>1383</v>
      </c>
      <c r="D270" s="1103"/>
      <c r="E270" s="421"/>
      <c r="F270" s="421"/>
      <c r="G270" s="1872"/>
      <c r="H270" s="1104"/>
      <c r="I270" s="1872"/>
      <c r="J270" s="423"/>
      <c r="K270" s="1872"/>
      <c r="L270" s="423"/>
      <c r="M270" s="1872"/>
      <c r="N270" s="423"/>
      <c r="O270" s="1872"/>
      <c r="P270" s="1077"/>
    </row>
    <row r="271" spans="2:17" s="1067" customFormat="1" ht="15.5">
      <c r="B271" s="1105"/>
      <c r="C271" s="421" t="s">
        <v>1384</v>
      </c>
      <c r="D271" s="1103"/>
      <c r="E271" s="421"/>
      <c r="F271" s="421"/>
      <c r="G271" s="1872"/>
      <c r="H271" s="1104"/>
      <c r="I271" s="1873"/>
      <c r="J271" s="1107"/>
      <c r="K271" s="1873"/>
      <c r="L271" s="1107"/>
      <c r="M271" s="1873"/>
      <c r="N271" s="1107"/>
      <c r="O271" s="1873"/>
      <c r="P271" s="1077"/>
    </row>
    <row r="272" spans="2:17" s="1067" customFormat="1" ht="15.5">
      <c r="B272" s="877"/>
      <c r="C272" s="421" t="s">
        <v>1385</v>
      </c>
      <c r="D272" s="1103"/>
      <c r="E272" s="421"/>
      <c r="F272" s="421"/>
      <c r="G272" s="1873"/>
      <c r="H272" s="1104"/>
      <c r="I272" s="1873"/>
      <c r="J272" s="1107"/>
      <c r="K272" s="1873"/>
      <c r="L272" s="1107"/>
      <c r="M272" s="1873"/>
      <c r="N272" s="1107"/>
      <c r="O272" s="1873"/>
      <c r="P272" s="1077"/>
    </row>
    <row r="273" spans="2:31" s="1067" customFormat="1" ht="15.5">
      <c r="B273" s="877"/>
      <c r="C273" s="1104" t="s">
        <v>1386</v>
      </c>
      <c r="D273" s="1106"/>
      <c r="E273" s="1104"/>
      <c r="F273" s="1104"/>
      <c r="G273" s="1873"/>
      <c r="H273" s="1104"/>
      <c r="I273" s="1873"/>
      <c r="J273" s="1107"/>
      <c r="K273" s="1873"/>
      <c r="L273" s="1107"/>
      <c r="M273" s="1873"/>
      <c r="N273" s="1107"/>
      <c r="O273" s="1873"/>
      <c r="P273" s="1077"/>
    </row>
    <row r="274" spans="2:31" s="1067" customFormat="1" ht="15.5">
      <c r="B274" s="1108" t="s">
        <v>292</v>
      </c>
      <c r="C274" s="421" t="s">
        <v>1549</v>
      </c>
      <c r="D274" s="1103"/>
      <c r="E274" s="1104"/>
      <c r="F274" s="1104"/>
      <c r="G274" s="1873"/>
      <c r="H274" s="1104"/>
      <c r="I274" s="1109"/>
      <c r="J274" s="1110"/>
      <c r="K274" s="1109"/>
      <c r="L274" s="1109"/>
      <c r="M274" s="423"/>
      <c r="N274" s="423"/>
      <c r="O274" s="1109"/>
      <c r="P274" s="1072"/>
    </row>
    <row r="275" spans="2:31" s="1067" customFormat="1" ht="15.5">
      <c r="B275" s="1111"/>
      <c r="C275" s="1109" t="s">
        <v>1387</v>
      </c>
      <c r="D275" s="327"/>
      <c r="E275" s="1104"/>
      <c r="F275" s="1104"/>
      <c r="G275" s="1109"/>
      <c r="H275" s="1104"/>
      <c r="I275" s="1109"/>
      <c r="J275" s="1110"/>
      <c r="K275" s="1109"/>
      <c r="L275" s="1109"/>
      <c r="M275" s="423"/>
      <c r="N275" s="423"/>
      <c r="O275" s="1109"/>
      <c r="P275" s="423"/>
    </row>
    <row r="276" spans="2:31" s="1067" customFormat="1" ht="15.5">
      <c r="B276" s="1112" t="s">
        <v>279</v>
      </c>
      <c r="C276" s="877" t="s">
        <v>1388</v>
      </c>
      <c r="D276" s="327"/>
      <c r="E276" s="327"/>
      <c r="F276" s="327"/>
      <c r="G276" s="1109"/>
      <c r="H276" s="1874"/>
      <c r="I276" s="421"/>
      <c r="J276" s="422"/>
      <c r="K276" s="421"/>
      <c r="L276" s="1874"/>
      <c r="M276" s="1892"/>
      <c r="N276" s="423"/>
      <c r="O276" s="421"/>
      <c r="P276" s="1887"/>
    </row>
    <row r="277" spans="2:31" s="1067" customFormat="1" ht="15.5">
      <c r="C277" s="421"/>
      <c r="D277" s="423"/>
      <c r="E277" s="421"/>
      <c r="F277" s="421"/>
      <c r="G277" s="1114"/>
      <c r="H277" s="1114"/>
      <c r="I277" s="1114"/>
      <c r="J277" s="1114"/>
      <c r="K277" s="1114"/>
      <c r="L277" s="1114"/>
      <c r="M277" s="1114"/>
      <c r="N277" s="1114"/>
      <c r="O277" s="1114"/>
      <c r="P277" s="1104"/>
    </row>
    <row r="278" spans="2:31" s="1067" customFormat="1" ht="15.5">
      <c r="B278" s="421"/>
      <c r="C278" s="421"/>
      <c r="D278" s="423"/>
      <c r="E278" s="421"/>
      <c r="F278" s="421"/>
      <c r="G278" s="1115"/>
      <c r="H278" s="1115"/>
      <c r="I278" s="1115"/>
      <c r="J278" s="1115"/>
      <c r="K278" s="1115"/>
      <c r="L278" s="1115"/>
      <c r="M278" s="423"/>
      <c r="N278" s="423"/>
      <c r="O278" s="423"/>
      <c r="P278" s="1104"/>
    </row>
    <row r="279" spans="2:31" s="1067" customFormat="1" ht="15.5">
      <c r="B279" s="421"/>
      <c r="C279" s="421"/>
      <c r="D279" s="423"/>
      <c r="E279" s="421"/>
      <c r="F279" s="421"/>
      <c r="G279" s="1115"/>
      <c r="H279" s="1115"/>
      <c r="I279" s="1115"/>
      <c r="J279" s="1115"/>
      <c r="K279" s="1115"/>
      <c r="L279" s="1115"/>
      <c r="M279" s="423"/>
      <c r="N279" s="423"/>
      <c r="O279" s="423"/>
      <c r="P279" s="1104"/>
    </row>
    <row r="280" spans="2:31" s="1067" customFormat="1" ht="15.5">
      <c r="B280" s="1108"/>
      <c r="C280" s="1104"/>
      <c r="D280" s="423"/>
      <c r="E280" s="421"/>
      <c r="F280" s="421"/>
      <c r="G280" s="1115"/>
      <c r="H280" s="1104"/>
      <c r="I280" s="1104"/>
      <c r="J280" s="1104"/>
      <c r="K280" s="1104"/>
      <c r="L280" s="423"/>
      <c r="M280" s="423"/>
      <c r="N280" s="423"/>
      <c r="O280" s="423"/>
      <c r="P280" s="1113"/>
    </row>
    <row r="281" spans="2:31" s="1067" customFormat="1" ht="15.5">
      <c r="B281" s="1116"/>
      <c r="C281" s="1104"/>
      <c r="D281" s="423"/>
      <c r="E281" s="421"/>
      <c r="F281" s="421"/>
      <c r="G281" s="1104"/>
      <c r="H281" s="1104"/>
      <c r="I281" s="1104"/>
      <c r="J281" s="1104"/>
      <c r="K281" s="1104"/>
      <c r="L281" s="423"/>
      <c r="M281" s="423"/>
      <c r="N281" s="423"/>
      <c r="O281" s="423"/>
      <c r="P281" s="1113"/>
    </row>
    <row r="282" spans="2:31" s="1067" customFormat="1" ht="15.5">
      <c r="B282" s="1116"/>
      <c r="C282" s="1104"/>
      <c r="D282" s="423"/>
      <c r="E282" s="421"/>
      <c r="F282" s="421"/>
      <c r="G282" s="1104"/>
      <c r="H282" s="1104"/>
      <c r="I282" s="1104"/>
      <c r="J282" s="1104"/>
      <c r="K282" s="1104"/>
      <c r="L282" s="423"/>
      <c r="M282" s="327"/>
      <c r="N282" s="327"/>
      <c r="O282" s="327"/>
      <c r="P282" s="1113"/>
    </row>
    <row r="283" spans="2:31" s="1067" customFormat="1" ht="15.5">
      <c r="B283" s="1113"/>
      <c r="C283" s="1104"/>
      <c r="D283" s="423"/>
      <c r="E283"/>
      <c r="F283" s="1104"/>
      <c r="G283" s="1104"/>
      <c r="H283" s="1104"/>
      <c r="I283" s="1104"/>
      <c r="J283" s="1104"/>
      <c r="K283" s="1104"/>
      <c r="L283" s="327"/>
      <c r="M283" s="327"/>
      <c r="N283" s="327"/>
      <c r="O283" s="327"/>
      <c r="P283" s="1113"/>
    </row>
    <row r="284" spans="2:31" s="1067" customFormat="1" ht="15.5">
      <c r="B284" s="1113"/>
      <c r="C284" s="1104"/>
      <c r="D284" s="423"/>
      <c r="E284"/>
      <c r="F284" s="1104"/>
      <c r="G284" s="1104"/>
      <c r="H284" s="1104"/>
      <c r="I284" s="1104"/>
      <c r="J284" s="1104"/>
      <c r="K284" s="1104"/>
      <c r="L284" s="327"/>
      <c r="M284" s="1893"/>
      <c r="N284" s="1893"/>
      <c r="O284" s="1893"/>
      <c r="P284" s="1113"/>
    </row>
    <row r="285" spans="2:31" ht="15.5">
      <c r="B285" s="1113"/>
      <c r="C285" s="1104"/>
      <c r="D285" s="423"/>
      <c r="E285"/>
      <c r="F285" s="1104"/>
      <c r="G285" s="1104"/>
      <c r="H285" s="1104"/>
      <c r="I285" s="1104"/>
      <c r="J285" s="1104"/>
      <c r="K285" s="1104"/>
      <c r="L285" s="327"/>
      <c r="M285" s="327"/>
      <c r="N285" s="327"/>
      <c r="O285" s="327"/>
      <c r="P285" s="1113"/>
      <c r="Q285" s="1669"/>
      <c r="R285" s="1669"/>
      <c r="S285" s="1669"/>
      <c r="T285" s="1669"/>
      <c r="U285" s="1669"/>
      <c r="V285" s="1669"/>
      <c r="W285" s="1669"/>
      <c r="X285" s="1669"/>
      <c r="Y285" s="1669"/>
      <c r="Z285" s="1669"/>
      <c r="AA285" s="1669"/>
      <c r="AB285" s="1669"/>
      <c r="AC285" s="1669"/>
      <c r="AD285" s="1669"/>
      <c r="AE285" s="1669"/>
    </row>
    <row r="286" spans="2:31" ht="15.5">
      <c r="B286" s="1669"/>
      <c r="C286" s="1669"/>
      <c r="D286" s="1669"/>
      <c r="E286" s="1669"/>
      <c r="G286" s="1104"/>
      <c r="H286" s="1669"/>
      <c r="I286" s="1669"/>
      <c r="J286" s="1669"/>
      <c r="K286" s="1669"/>
      <c r="L286" s="1669"/>
      <c r="M286" s="1669"/>
      <c r="N286" s="1669"/>
      <c r="O286" s="1669"/>
      <c r="P286" s="1669"/>
      <c r="Q286" s="1669"/>
      <c r="R286" s="1669"/>
      <c r="S286" s="1669"/>
      <c r="T286" s="1669"/>
      <c r="U286" s="1669"/>
      <c r="V286" s="1669"/>
      <c r="W286" s="1669"/>
      <c r="X286" s="1669"/>
      <c r="Y286" s="1669"/>
      <c r="Z286" s="1669"/>
      <c r="AA286" s="1669"/>
      <c r="AB286" s="1669"/>
      <c r="AC286" s="1669"/>
      <c r="AD286" s="1669"/>
      <c r="AE286" s="1669"/>
    </row>
    <row r="291" spans="2:31" ht="15.5">
      <c r="B291" s="1669"/>
      <c r="C291" s="554"/>
      <c r="D291" s="554"/>
      <c r="E291" s="554"/>
      <c r="F291" s="1056"/>
      <c r="G291" s="1669"/>
      <c r="H291" s="1118"/>
      <c r="I291" s="1118"/>
      <c r="J291" s="1118"/>
      <c r="K291" s="1118"/>
      <c r="L291" s="1118"/>
      <c r="M291" s="1669"/>
      <c r="N291" s="1669"/>
      <c r="O291" s="1669"/>
      <c r="P291" s="1669"/>
      <c r="Q291" s="1669"/>
      <c r="R291" s="1669"/>
      <c r="S291" s="1669"/>
      <c r="T291" s="1669"/>
      <c r="U291" s="1669"/>
      <c r="V291" s="1669"/>
      <c r="W291" s="1669"/>
      <c r="X291" s="1669"/>
      <c r="Y291" s="1669"/>
      <c r="Z291" s="1669"/>
      <c r="AA291" s="1669"/>
      <c r="AB291" s="1669"/>
      <c r="AC291" s="1669"/>
      <c r="AD291" s="1669"/>
      <c r="AE291" s="1669"/>
    </row>
    <row r="292" spans="2:31" ht="15.5">
      <c r="B292" s="1669"/>
      <c r="C292" s="554"/>
      <c r="D292" s="554"/>
      <c r="E292" s="554"/>
      <c r="F292" s="1056"/>
      <c r="G292" s="1118"/>
      <c r="H292" s="1118"/>
      <c r="I292" s="1118"/>
      <c r="J292" s="1118"/>
      <c r="K292" s="1118"/>
      <c r="L292" s="1118"/>
      <c r="M292" s="1669"/>
      <c r="N292" s="1669"/>
      <c r="O292" s="1669"/>
      <c r="P292" s="1669"/>
      <c r="Q292" s="1669"/>
      <c r="R292" s="1669"/>
      <c r="S292" s="1669"/>
      <c r="T292" s="1669"/>
      <c r="U292" s="1669"/>
      <c r="V292" s="1669"/>
      <c r="W292" s="1669"/>
      <c r="X292" s="1669"/>
      <c r="Y292" s="1669"/>
      <c r="Z292" s="1669"/>
      <c r="AA292" s="1669"/>
      <c r="AB292" s="1669"/>
      <c r="AC292" s="1669"/>
      <c r="AD292" s="1669"/>
      <c r="AE292" s="1669"/>
    </row>
    <row r="293" spans="2:31" ht="15.5">
      <c r="B293" s="1669"/>
      <c r="C293" s="554"/>
      <c r="D293" s="554"/>
      <c r="E293" s="554"/>
      <c r="F293" s="1056"/>
      <c r="G293" s="1118"/>
      <c r="H293" s="1118"/>
      <c r="I293" s="1118"/>
      <c r="J293" s="1118"/>
      <c r="K293" s="1118"/>
      <c r="L293" s="1118"/>
      <c r="M293" s="1669"/>
      <c r="N293" s="1669"/>
      <c r="O293" s="1669"/>
      <c r="P293" s="1669"/>
      <c r="Q293" s="1669"/>
      <c r="R293" s="1669"/>
      <c r="S293" s="1669"/>
      <c r="T293" s="1669"/>
      <c r="U293" s="1669"/>
      <c r="V293" s="1669"/>
      <c r="W293" s="1669"/>
      <c r="X293" s="1669"/>
      <c r="Y293" s="1669"/>
      <c r="Z293" s="1669"/>
      <c r="AA293" s="1669"/>
      <c r="AB293" s="1669"/>
      <c r="AC293" s="1669"/>
      <c r="AD293" s="1669"/>
      <c r="AE293" s="1669"/>
    </row>
    <row r="294" spans="2:31" ht="15.5">
      <c r="B294" s="1669"/>
      <c r="C294" s="554"/>
      <c r="D294" s="554"/>
      <c r="E294" s="554"/>
      <c r="F294" s="1056"/>
      <c r="G294" s="1118"/>
      <c r="H294" s="1118"/>
      <c r="I294" s="1118"/>
      <c r="J294" s="1118"/>
      <c r="K294" s="1118"/>
      <c r="L294" s="1118"/>
      <c r="M294" s="1669"/>
      <c r="N294" s="1669"/>
      <c r="O294" s="1669"/>
      <c r="P294" s="1669"/>
      <c r="Q294" s="1669"/>
      <c r="R294" s="1669"/>
      <c r="S294" s="1669"/>
      <c r="T294" s="1669"/>
      <c r="U294" s="1669"/>
      <c r="V294" s="1669"/>
      <c r="W294" s="1669"/>
      <c r="X294" s="1669"/>
      <c r="Y294" s="1669"/>
      <c r="Z294" s="1669"/>
      <c r="AA294" s="1669"/>
      <c r="AB294" s="1669"/>
      <c r="AC294" s="1669"/>
      <c r="AD294" s="1669"/>
      <c r="AE294" s="1669"/>
    </row>
    <row r="295" spans="2:31" ht="15.5">
      <c r="B295" s="1669"/>
      <c r="C295" s="554"/>
      <c r="D295" s="554"/>
      <c r="E295" s="554"/>
      <c r="F295" s="1056"/>
      <c r="G295" s="1118"/>
      <c r="H295" s="1118"/>
      <c r="I295" s="1118"/>
      <c r="J295" s="1118"/>
      <c r="K295" s="1118"/>
      <c r="L295" s="1118"/>
      <c r="M295" s="1669"/>
      <c r="N295" s="1669"/>
      <c r="O295" s="1669"/>
      <c r="P295" s="1669"/>
      <c r="Q295" s="1669"/>
      <c r="R295" s="1669"/>
      <c r="S295" s="1669"/>
      <c r="T295" s="1669"/>
      <c r="U295" s="1669"/>
      <c r="V295" s="1669"/>
      <c r="W295" s="1669"/>
      <c r="X295" s="1669"/>
      <c r="Y295" s="1669"/>
      <c r="Z295" s="1669"/>
      <c r="AA295" s="1669"/>
      <c r="AB295" s="1669"/>
      <c r="AC295" s="1669"/>
      <c r="AD295" s="1669"/>
      <c r="AE295" s="1669"/>
    </row>
    <row r="296" spans="2:31">
      <c r="B296" s="1669"/>
      <c r="C296" s="1669"/>
      <c r="D296" s="1669"/>
      <c r="E296" s="1669"/>
      <c r="G296" s="1118"/>
      <c r="H296" s="1669"/>
      <c r="I296" s="1669"/>
      <c r="J296" s="1669"/>
      <c r="K296" s="1669"/>
      <c r="L296" s="1669"/>
      <c r="M296" s="1669"/>
      <c r="N296" s="1669"/>
      <c r="O296" s="1669"/>
      <c r="P296" s="1669"/>
      <c r="Q296" s="1669"/>
      <c r="R296" s="1669"/>
      <c r="S296" s="1669"/>
      <c r="T296" s="1669"/>
      <c r="U296" s="1669"/>
      <c r="V296" s="1669"/>
      <c r="W296" s="1669"/>
      <c r="X296" s="1669"/>
      <c r="Y296" s="1669"/>
      <c r="Z296" s="1669"/>
      <c r="AA296" s="1669"/>
      <c r="AB296" s="1669"/>
      <c r="AC296" s="1669"/>
      <c r="AD296" s="1669"/>
      <c r="AE296" s="1669"/>
    </row>
  </sheetData>
  <printOptions horizontalCentered="1"/>
  <pageMargins left="0.45" right="0.45" top="0.5" bottom="0.5" header="0.3" footer="0.25"/>
  <pageSetup scale="45" firstPageNumber="52" fitToHeight="4" orientation="landscape" useFirstPageNumber="1" r:id="rId1"/>
  <headerFooter scaleWithDoc="0" alignWithMargins="0">
    <oddFooter>&amp;C&amp;8&amp;P</oddFooter>
  </headerFooter>
  <rowBreaks count="3" manualBreakCount="3">
    <brk id="95" max="16383" man="1"/>
    <brk id="173" max="16383" man="1"/>
    <brk id="246" max="16383" man="1"/>
  </rowBreaks>
  <customProperties>
    <customPr name="SheetOptions" r:id="rId2"/>
  </customProperties>
  <ignoredErrors>
    <ignoredError sqref="L11 N11 L209 N209 L215 N215 L262 N262 L265 N265 L12:N13 L102:N103 L193:N194 L205:N206 L210:N211 L216:N217 L263:N264" unlockedFormula="1"/>
  </ignoredError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4">
    <pageSetUpPr fitToPage="1"/>
  </sheetPr>
  <dimension ref="A1:AG91"/>
  <sheetViews>
    <sheetView showGridLines="0" zoomScale="80" zoomScaleNormal="70" workbookViewId="0"/>
  </sheetViews>
  <sheetFormatPr defaultColWidth="8.84375" defaultRowHeight="12.5"/>
  <cols>
    <col min="1" max="1" width="54.84375" style="218" customWidth="1"/>
    <col min="2" max="2" width="15" style="702" bestFit="1" customWidth="1"/>
    <col min="3" max="3" width="1.84375" style="702" customWidth="1"/>
    <col min="4" max="4" width="15" style="702" bestFit="1" customWidth="1"/>
    <col min="5" max="5" width="1.84375" style="701" customWidth="1"/>
    <col min="6" max="6" width="13.84375" style="702" customWidth="1"/>
    <col min="7" max="7" width="1.84375" style="701" customWidth="1"/>
    <col min="8" max="8" width="13.84375" style="702" customWidth="1"/>
    <col min="9" max="9" width="1.84375" style="701" customWidth="1"/>
    <col min="10" max="10" width="13.84375" style="702" customWidth="1"/>
    <col min="11" max="11" width="1.84375" style="702" customWidth="1"/>
    <col min="12" max="12" width="13.84375" style="702" customWidth="1"/>
    <col min="13" max="13" width="1.84375" style="701" customWidth="1"/>
    <col min="14" max="14" width="13.84375" style="702" customWidth="1"/>
    <col min="15" max="15" width="1.84375" style="701" customWidth="1"/>
    <col min="16" max="16" width="13.84375" style="702" customWidth="1"/>
    <col min="17" max="17" width="1.84375" style="701" customWidth="1"/>
    <col min="18" max="18" width="13.84375" style="702" customWidth="1"/>
    <col min="19" max="19" width="1.84375" style="701" customWidth="1"/>
    <col min="20" max="20" width="13.84375" style="702" customWidth="1"/>
    <col min="21" max="21" width="1.84375" style="701" customWidth="1"/>
    <col min="22" max="22" width="13.84375" style="702" customWidth="1"/>
    <col min="23" max="23" width="1.84375" style="701" customWidth="1"/>
    <col min="24" max="24" width="13.84375" style="702" customWidth="1"/>
    <col min="25" max="25" width="1.84375" style="701" customWidth="1"/>
    <col min="26" max="26" width="18.84375" style="165" customWidth="1"/>
    <col min="27" max="27" width="1.53515625" style="218" customWidth="1"/>
    <col min="28" max="28" width="18.84375" style="218" bestFit="1" customWidth="1"/>
    <col min="29" max="29" width="12.84375" style="218" bestFit="1" customWidth="1"/>
    <col min="30" max="16384" width="8.84375" style="218"/>
  </cols>
  <sheetData>
    <row r="1" spans="1:33" ht="15.5">
      <c r="A1" s="490" t="s">
        <v>98</v>
      </c>
      <c r="B1" s="599"/>
      <c r="C1" s="599"/>
      <c r="D1" s="599"/>
      <c r="E1" s="599"/>
      <c r="F1" s="599"/>
      <c r="G1" s="599"/>
      <c r="H1" s="599"/>
      <c r="I1" s="599"/>
      <c r="J1" s="599"/>
      <c r="K1" s="599"/>
      <c r="L1" s="599"/>
      <c r="M1" s="599"/>
      <c r="N1" s="599"/>
      <c r="O1" s="599"/>
      <c r="P1" s="599"/>
      <c r="Q1" s="599"/>
      <c r="R1" s="599"/>
      <c r="S1" s="599"/>
      <c r="T1" s="599"/>
      <c r="U1" s="599"/>
      <c r="V1" s="599"/>
      <c r="W1" s="599"/>
      <c r="X1" s="599"/>
      <c r="Y1" s="599"/>
      <c r="Z1" s="599"/>
      <c r="AA1" s="599"/>
      <c r="AB1" s="599"/>
      <c r="AC1" s="599"/>
      <c r="AD1" s="599"/>
      <c r="AE1" s="599"/>
      <c r="AF1" s="599"/>
      <c r="AG1" s="599"/>
    </row>
    <row r="2" spans="1:33" ht="15.5">
      <c r="A2" s="490"/>
      <c r="B2" s="599"/>
      <c r="C2" s="599"/>
      <c r="D2" s="599"/>
      <c r="E2" s="599"/>
      <c r="F2" s="599"/>
      <c r="G2" s="599"/>
      <c r="H2" s="599"/>
      <c r="I2" s="599"/>
      <c r="J2" s="599"/>
      <c r="K2" s="599"/>
      <c r="L2" s="599"/>
      <c r="M2" s="599"/>
      <c r="N2" s="599"/>
      <c r="O2" s="599"/>
      <c r="P2" s="599"/>
      <c r="Q2" s="599"/>
      <c r="R2" s="599"/>
      <c r="S2" s="599"/>
      <c r="T2" s="599"/>
      <c r="U2" s="599"/>
      <c r="V2" s="599"/>
      <c r="W2" s="599"/>
      <c r="X2" s="599"/>
      <c r="Y2" s="599"/>
      <c r="Z2" s="599"/>
      <c r="AA2" s="599"/>
      <c r="AB2" s="599"/>
      <c r="AC2" s="599"/>
      <c r="AD2" s="599"/>
      <c r="AE2" s="599"/>
      <c r="AF2" s="599"/>
      <c r="AG2" s="599"/>
    </row>
    <row r="3" spans="1:33" ht="24" customHeight="1">
      <c r="A3" s="424" t="s">
        <v>99</v>
      </c>
      <c r="B3" s="215"/>
      <c r="C3" s="215"/>
      <c r="D3" s="216"/>
      <c r="E3" s="217"/>
      <c r="F3" s="216"/>
      <c r="G3" s="217"/>
      <c r="H3" s="216"/>
      <c r="I3" s="217"/>
      <c r="K3" s="215"/>
      <c r="L3" s="164"/>
      <c r="M3" s="215"/>
      <c r="N3" s="216"/>
      <c r="O3" s="217"/>
      <c r="P3" s="216"/>
      <c r="Q3" s="217"/>
      <c r="R3" s="216"/>
      <c r="S3" s="217"/>
      <c r="T3" s="216"/>
      <c r="U3" s="217"/>
      <c r="V3" s="216"/>
      <c r="W3" s="217"/>
      <c r="X3" s="216"/>
      <c r="Y3" s="217"/>
      <c r="Z3" s="420" t="s">
        <v>1389</v>
      </c>
      <c r="AA3" s="215"/>
      <c r="AC3" s="215"/>
      <c r="AE3" s="215"/>
    </row>
    <row r="4" spans="1:33" ht="16.5">
      <c r="A4" s="424" t="s">
        <v>1390</v>
      </c>
      <c r="B4" s="600"/>
      <c r="C4" s="600"/>
      <c r="D4" s="219"/>
      <c r="E4" s="217"/>
      <c r="F4" s="600"/>
      <c r="G4" s="217"/>
      <c r="H4" s="600"/>
      <c r="I4" s="217"/>
      <c r="J4" s="600"/>
      <c r="K4" s="600"/>
      <c r="L4" s="600"/>
      <c r="M4" s="220"/>
      <c r="N4" s="600"/>
      <c r="O4" s="217"/>
      <c r="P4" s="600"/>
      <c r="Q4" s="217"/>
      <c r="R4" s="600"/>
      <c r="S4" s="217"/>
      <c r="T4" s="600"/>
      <c r="U4" s="217"/>
      <c r="V4" s="600"/>
      <c r="W4" s="217"/>
      <c r="X4" s="600"/>
      <c r="Y4" s="217"/>
      <c r="Z4" s="601"/>
      <c r="AA4" s="221"/>
      <c r="AC4" s="215"/>
    </row>
    <row r="5" spans="1:33" ht="16.5">
      <c r="A5" s="425" t="s">
        <v>1391</v>
      </c>
      <c r="B5" s="600"/>
      <c r="C5" s="600"/>
      <c r="D5" s="600"/>
      <c r="E5" s="217"/>
      <c r="F5" s="600"/>
      <c r="G5" s="217"/>
      <c r="H5" s="600"/>
      <c r="I5" s="217"/>
      <c r="J5" s="600"/>
      <c r="K5" s="600"/>
      <c r="L5" s="600"/>
      <c r="M5" s="220"/>
      <c r="N5" s="600"/>
      <c r="O5" s="217"/>
      <c r="P5" s="600"/>
      <c r="Q5" s="217"/>
      <c r="R5" s="600"/>
      <c r="S5" s="217"/>
      <c r="T5" s="600"/>
      <c r="U5" s="217"/>
      <c r="V5" s="600"/>
      <c r="W5" s="217"/>
      <c r="X5" s="600"/>
      <c r="Y5" s="217"/>
      <c r="Z5" s="601"/>
    </row>
    <row r="6" spans="1:33" ht="18" customHeight="1">
      <c r="A6" s="222" t="str">
        <f>'Cashflow Governmental'!A6</f>
        <v>FISCAL YEAR 2023-2024</v>
      </c>
      <c r="B6" s="600"/>
      <c r="C6" s="600"/>
      <c r="D6" s="224"/>
      <c r="E6" s="217"/>
      <c r="F6" s="600"/>
      <c r="G6" s="217"/>
      <c r="H6" s="600"/>
      <c r="I6" s="217"/>
      <c r="J6" s="600"/>
      <c r="K6" s="600"/>
      <c r="L6" s="600"/>
      <c r="M6" s="220"/>
      <c r="N6" s="600"/>
      <c r="O6" s="217"/>
      <c r="P6" s="600"/>
      <c r="Q6" s="217"/>
      <c r="R6" s="600"/>
      <c r="S6" s="217"/>
      <c r="T6" s="600"/>
      <c r="U6" s="217"/>
      <c r="V6" s="600"/>
      <c r="W6" s="217"/>
      <c r="X6" s="600"/>
      <c r="Y6" s="217"/>
      <c r="Z6" s="601"/>
    </row>
    <row r="7" spans="1:33" ht="15" customHeight="1">
      <c r="A7" s="223"/>
      <c r="B7" s="600"/>
      <c r="C7" s="600"/>
      <c r="D7" s="600"/>
      <c r="E7" s="217"/>
      <c r="F7" s="600"/>
      <c r="G7" s="217"/>
      <c r="H7" s="600"/>
      <c r="I7" s="217"/>
      <c r="J7" s="600"/>
      <c r="K7" s="600"/>
      <c r="L7" s="600"/>
      <c r="M7" s="220"/>
      <c r="N7" s="600"/>
      <c r="O7" s="217"/>
      <c r="P7" s="600"/>
      <c r="Q7" s="217"/>
      <c r="R7" s="602"/>
      <c r="S7" s="217"/>
      <c r="T7" s="602"/>
      <c r="U7" s="217"/>
      <c r="V7" s="602"/>
      <c r="W7" s="217"/>
      <c r="X7" s="602"/>
      <c r="Y7" s="217"/>
      <c r="Z7" s="601"/>
    </row>
    <row r="8" spans="1:33" ht="15.5">
      <c r="A8" s="214"/>
      <c r="B8" s="600"/>
      <c r="C8" s="600"/>
      <c r="D8" s="600"/>
      <c r="E8" s="217"/>
      <c r="F8" s="600"/>
      <c r="G8" s="217"/>
      <c r="H8" s="600"/>
      <c r="I8" s="217"/>
      <c r="J8" s="600"/>
      <c r="K8" s="600"/>
      <c r="L8" s="600"/>
      <c r="M8" s="217"/>
      <c r="N8" s="600"/>
      <c r="O8" s="217"/>
      <c r="P8" s="600"/>
      <c r="Q8" s="217"/>
      <c r="R8" s="600"/>
      <c r="S8" s="217"/>
      <c r="T8" s="600"/>
      <c r="U8" s="217"/>
      <c r="V8" s="600"/>
      <c r="W8" s="217"/>
      <c r="X8" s="600"/>
      <c r="Y8" s="217"/>
      <c r="Z8" s="225"/>
      <c r="AA8" s="226"/>
    </row>
    <row r="9" spans="1:33" ht="15" customHeight="1">
      <c r="A9" s="603"/>
      <c r="B9" s="476" t="str">
        <f>'Cashflow Governmental'!C13</f>
        <v>2023</v>
      </c>
      <c r="C9" s="227"/>
      <c r="D9" s="227"/>
      <c r="E9" s="220"/>
      <c r="F9" s="227"/>
      <c r="G9" s="220"/>
      <c r="H9" s="227"/>
      <c r="I9" s="220"/>
      <c r="J9" s="227"/>
      <c r="K9" s="227"/>
      <c r="L9" s="228"/>
      <c r="M9" s="220"/>
      <c r="N9" s="228"/>
      <c r="O9" s="220"/>
      <c r="P9" s="228"/>
      <c r="Q9" s="220"/>
      <c r="R9" s="228"/>
      <c r="S9" s="220"/>
      <c r="T9" s="476">
        <f>'Cashflow Governmental'!U13</f>
        <v>2024</v>
      </c>
      <c r="U9" s="220"/>
      <c r="V9" s="228"/>
      <c r="W9" s="220"/>
      <c r="X9" s="228"/>
      <c r="Y9" s="220"/>
      <c r="Z9" s="228" t="s">
        <v>1556</v>
      </c>
      <c r="AA9" s="228"/>
    </row>
    <row r="10" spans="1:33" ht="15" customHeight="1">
      <c r="A10" s="603"/>
      <c r="B10" s="229" t="s">
        <v>358</v>
      </c>
      <c r="C10" s="229"/>
      <c r="D10" s="228" t="s">
        <v>359</v>
      </c>
      <c r="E10" s="220"/>
      <c r="F10" s="228" t="s">
        <v>360</v>
      </c>
      <c r="G10" s="220"/>
      <c r="H10" s="228" t="s">
        <v>361</v>
      </c>
      <c r="I10" s="220"/>
      <c r="J10" s="228" t="s">
        <v>362</v>
      </c>
      <c r="K10" s="230"/>
      <c r="L10" s="228" t="s">
        <v>475</v>
      </c>
      <c r="M10" s="220"/>
      <c r="N10" s="228" t="s">
        <v>476</v>
      </c>
      <c r="O10" s="220"/>
      <c r="P10" s="228" t="s">
        <v>365</v>
      </c>
      <c r="Q10" s="220"/>
      <c r="R10" s="228" t="s">
        <v>366</v>
      </c>
      <c r="S10" s="220"/>
      <c r="T10" s="228" t="s">
        <v>367</v>
      </c>
      <c r="U10" s="220"/>
      <c r="V10" s="228" t="s">
        <v>368</v>
      </c>
      <c r="W10" s="220"/>
      <c r="X10" s="228" t="s">
        <v>477</v>
      </c>
      <c r="Y10" s="220"/>
      <c r="Z10" s="231" t="s">
        <v>1559</v>
      </c>
      <c r="AA10" s="231"/>
    </row>
    <row r="11" spans="1:33" ht="15" customHeight="1">
      <c r="A11" s="603"/>
      <c r="B11" s="780" t="s">
        <v>104</v>
      </c>
      <c r="C11" s="604"/>
      <c r="D11" s="780" t="s">
        <v>104</v>
      </c>
      <c r="E11" s="605"/>
      <c r="F11" s="780" t="s">
        <v>104</v>
      </c>
      <c r="G11" s="605"/>
      <c r="H11" s="780" t="s">
        <v>104</v>
      </c>
      <c r="I11" s="605"/>
      <c r="J11" s="780" t="s">
        <v>104</v>
      </c>
      <c r="K11" s="230"/>
      <c r="L11" s="780" t="s">
        <v>104</v>
      </c>
      <c r="M11" s="605"/>
      <c r="N11" s="780" t="s">
        <v>104</v>
      </c>
      <c r="O11" s="605"/>
      <c r="P11" s="780" t="s">
        <v>104</v>
      </c>
      <c r="Q11" s="605"/>
      <c r="R11" s="780" t="s">
        <v>104</v>
      </c>
      <c r="S11" s="605"/>
      <c r="T11" s="780" t="s">
        <v>104</v>
      </c>
      <c r="U11" s="605"/>
      <c r="V11" s="780" t="s">
        <v>104</v>
      </c>
      <c r="W11" s="605"/>
      <c r="X11" s="780" t="s">
        <v>104</v>
      </c>
      <c r="Y11" s="605"/>
      <c r="Z11" s="2201" t="s">
        <v>104</v>
      </c>
    </row>
    <row r="12" spans="1:33" s="233" customFormat="1" ht="15" customHeight="1">
      <c r="A12" s="236" t="s">
        <v>969</v>
      </c>
      <c r="B12" s="232">
        <v>38968871</v>
      </c>
      <c r="C12" s="232"/>
      <c r="D12" s="232">
        <f>B42</f>
        <v>78341297</v>
      </c>
      <c r="E12" s="606"/>
      <c r="F12" s="232">
        <f>D42</f>
        <v>65935931</v>
      </c>
      <c r="G12" s="606"/>
      <c r="H12" s="232">
        <f>+F42</f>
        <v>52347389</v>
      </c>
      <c r="I12" s="606"/>
      <c r="J12" s="232">
        <f>+H42</f>
        <v>35480253</v>
      </c>
      <c r="K12" s="232"/>
      <c r="L12" s="232">
        <f>J42</f>
        <v>70412682</v>
      </c>
      <c r="M12" s="230"/>
      <c r="N12" s="232">
        <f>L42</f>
        <v>101658414</v>
      </c>
      <c r="O12" s="232"/>
      <c r="P12" s="232">
        <f>N42</f>
        <v>31444392</v>
      </c>
      <c r="Q12" s="232"/>
      <c r="R12" s="232"/>
      <c r="S12" s="232"/>
      <c r="T12" s="232"/>
      <c r="U12" s="232"/>
      <c r="V12" s="232"/>
      <c r="W12" s="232"/>
      <c r="X12" s="232"/>
      <c r="Y12" s="232"/>
      <c r="Z12" s="232">
        <f>+B12</f>
        <v>38968871</v>
      </c>
    </row>
    <row r="13" spans="1:33" ht="15" customHeight="1">
      <c r="A13" s="607"/>
      <c r="B13" s="608"/>
      <c r="C13" s="608"/>
      <c r="D13" s="608"/>
      <c r="E13" s="608"/>
      <c r="F13" s="608"/>
      <c r="G13" s="608"/>
      <c r="H13" s="608"/>
      <c r="I13" s="608"/>
      <c r="J13" s="608"/>
      <c r="K13" s="230"/>
      <c r="L13" s="608"/>
      <c r="M13" s="608"/>
      <c r="N13" s="608"/>
      <c r="O13" s="608"/>
      <c r="P13" s="608"/>
      <c r="Q13" s="608"/>
      <c r="R13" s="608"/>
      <c r="S13" s="608"/>
      <c r="T13" s="608"/>
      <c r="U13" s="608"/>
      <c r="V13" s="608"/>
      <c r="W13" s="608"/>
      <c r="X13" s="608"/>
      <c r="Y13" s="608"/>
      <c r="Z13" s="609"/>
    </row>
    <row r="14" spans="1:33" ht="15" customHeight="1">
      <c r="A14" s="234" t="s">
        <v>115</v>
      </c>
      <c r="B14" s="608"/>
      <c r="C14" s="608"/>
      <c r="D14" s="608"/>
      <c r="E14" s="608"/>
      <c r="F14" s="608"/>
      <c r="G14" s="608"/>
      <c r="H14" s="608"/>
      <c r="I14" s="608"/>
      <c r="J14" s="608"/>
      <c r="K14" s="608"/>
      <c r="L14" s="608"/>
      <c r="M14" s="608"/>
      <c r="N14" s="608"/>
      <c r="O14" s="608"/>
      <c r="P14" s="608"/>
      <c r="Q14" s="608"/>
      <c r="R14" s="608"/>
      <c r="S14" s="608"/>
      <c r="T14" s="608"/>
      <c r="U14" s="608"/>
      <c r="V14" s="608"/>
      <c r="W14" s="608"/>
      <c r="X14" s="608"/>
      <c r="Y14" s="608"/>
      <c r="Z14" s="609"/>
      <c r="AC14" s="781"/>
    </row>
    <row r="15" spans="1:33" ht="15" customHeight="1">
      <c r="A15" s="426" t="s">
        <v>1392</v>
      </c>
      <c r="B15" s="610">
        <v>80000000</v>
      </c>
      <c r="C15" s="610"/>
      <c r="D15" s="610">
        <v>0</v>
      </c>
      <c r="E15" s="610"/>
      <c r="F15" s="610">
        <v>0</v>
      </c>
      <c r="G15" s="610"/>
      <c r="H15" s="610">
        <v>0</v>
      </c>
      <c r="I15" s="610"/>
      <c r="J15" s="781">
        <v>50000000</v>
      </c>
      <c r="K15" s="610"/>
      <c r="L15" s="610">
        <v>80000000</v>
      </c>
      <c r="M15" s="608"/>
      <c r="N15" s="610">
        <v>0</v>
      </c>
      <c r="O15" s="610"/>
      <c r="P15" s="610">
        <v>70000000</v>
      </c>
      <c r="Q15" s="610"/>
      <c r="R15" s="610"/>
      <c r="S15" s="610"/>
      <c r="T15" s="610"/>
      <c r="U15" s="610"/>
      <c r="V15" s="610"/>
      <c r="W15" s="610"/>
      <c r="X15" s="610"/>
      <c r="Y15" s="610"/>
      <c r="Z15" s="611">
        <f>SUM(B15:X15)</f>
        <v>280000000</v>
      </c>
    </row>
    <row r="16" spans="1:33" ht="15" customHeight="1">
      <c r="A16" s="426" t="s">
        <v>1393</v>
      </c>
      <c r="B16" s="610">
        <v>0</v>
      </c>
      <c r="C16" s="610"/>
      <c r="D16" s="610">
        <v>0</v>
      </c>
      <c r="E16" s="610"/>
      <c r="F16" s="610">
        <v>0</v>
      </c>
      <c r="G16" s="610"/>
      <c r="H16" s="2092">
        <v>0</v>
      </c>
      <c r="I16" s="610"/>
      <c r="J16" s="781">
        <v>0</v>
      </c>
      <c r="K16" s="610"/>
      <c r="L16" s="610">
        <v>0</v>
      </c>
      <c r="M16" s="608"/>
      <c r="N16" s="610">
        <v>0</v>
      </c>
      <c r="O16" s="610"/>
      <c r="P16" s="610">
        <v>0</v>
      </c>
      <c r="Q16" s="610"/>
      <c r="R16" s="610"/>
      <c r="S16" s="610"/>
      <c r="T16" s="610"/>
      <c r="U16" s="610"/>
      <c r="V16" s="610"/>
      <c r="W16" s="610"/>
      <c r="X16" s="610"/>
      <c r="Y16" s="610"/>
      <c r="Z16" s="611">
        <f>SUM(B16:X16)</f>
        <v>0</v>
      </c>
    </row>
    <row r="17" spans="1:28" s="233" customFormat="1" ht="22.5" customHeight="1">
      <c r="A17" s="234" t="s">
        <v>457</v>
      </c>
      <c r="B17" s="747">
        <f>ROUND(SUM(B15:B16),0)</f>
        <v>80000000</v>
      </c>
      <c r="C17" s="235"/>
      <c r="D17" s="747">
        <f>ROUND(SUM(D15:D16),0)</f>
        <v>0</v>
      </c>
      <c r="E17" s="235"/>
      <c r="F17" s="747">
        <f>ROUND(SUM(F15:F16),0)</f>
        <v>0</v>
      </c>
      <c r="G17" s="235"/>
      <c r="H17" s="2093">
        <v>0</v>
      </c>
      <c r="I17" s="235"/>
      <c r="J17" s="747">
        <f>ROUND(SUM(J15:J16),0)</f>
        <v>50000000</v>
      </c>
      <c r="K17" s="235"/>
      <c r="L17" s="747">
        <f>ROUND(SUM(L15:L16),0)</f>
        <v>80000000</v>
      </c>
      <c r="M17" s="230"/>
      <c r="N17" s="747">
        <f>ROUND(SUM(N15:N16),0)</f>
        <v>0</v>
      </c>
      <c r="O17" s="235"/>
      <c r="P17" s="747">
        <f>ROUND(SUM(P15:P16),0)</f>
        <v>70000000</v>
      </c>
      <c r="Q17" s="235"/>
      <c r="R17" s="747">
        <f>ROUND(SUM(R15:R16),0)</f>
        <v>0</v>
      </c>
      <c r="S17" s="235"/>
      <c r="T17" s="747">
        <f>ROUND(SUM(T15:T16),0)</f>
        <v>0</v>
      </c>
      <c r="U17" s="235"/>
      <c r="V17" s="747">
        <f>ROUND(SUM(V15:V16),0)</f>
        <v>0</v>
      </c>
      <c r="W17" s="235"/>
      <c r="X17" s="747">
        <f>ROUND(SUM(X15:X16),0)</f>
        <v>0</v>
      </c>
      <c r="Y17" s="235"/>
      <c r="Z17" s="747">
        <f>ROUND(SUM(Z15:Z16),0)</f>
        <v>280000000</v>
      </c>
      <c r="AB17" s="166"/>
    </row>
    <row r="18" spans="1:28" ht="15" customHeight="1">
      <c r="A18" s="607"/>
      <c r="B18" s="610"/>
      <c r="C18" s="610"/>
      <c r="D18" s="610"/>
      <c r="E18" s="610"/>
      <c r="F18" s="610"/>
      <c r="G18" s="610"/>
      <c r="H18" s="610"/>
      <c r="I18" s="610"/>
      <c r="J18" s="610"/>
      <c r="K18" s="610"/>
      <c r="L18" s="610"/>
      <c r="M18" s="608"/>
      <c r="N18" s="610"/>
      <c r="O18" s="610"/>
      <c r="P18" s="610"/>
      <c r="Q18" s="610"/>
      <c r="R18" s="610"/>
      <c r="S18" s="610"/>
      <c r="T18" s="610"/>
      <c r="U18" s="610"/>
      <c r="V18" s="610"/>
      <c r="W18" s="610"/>
      <c r="X18" s="610"/>
      <c r="Y18" s="610"/>
      <c r="Z18" s="613"/>
    </row>
    <row r="19" spans="1:28" ht="15" customHeight="1">
      <c r="A19" s="234" t="s">
        <v>123</v>
      </c>
      <c r="B19" s="610"/>
      <c r="C19" s="610"/>
      <c r="D19" s="610"/>
      <c r="E19" s="610"/>
      <c r="F19" s="610"/>
      <c r="G19" s="610"/>
      <c r="H19" s="610"/>
      <c r="I19" s="610"/>
      <c r="J19" s="610"/>
      <c r="K19" s="610"/>
      <c r="L19" s="610"/>
      <c r="M19" s="608"/>
      <c r="N19" s="610"/>
      <c r="O19" s="610"/>
      <c r="P19" s="610"/>
      <c r="Q19" s="610"/>
      <c r="R19" s="610"/>
      <c r="S19" s="610"/>
      <c r="T19" s="610"/>
      <c r="U19" s="610"/>
      <c r="V19" s="610"/>
      <c r="W19" s="610"/>
      <c r="X19" s="610"/>
      <c r="Y19" s="610"/>
      <c r="Z19" s="611"/>
    </row>
    <row r="20" spans="1:28" ht="15" customHeight="1">
      <c r="A20" s="426" t="s">
        <v>1394</v>
      </c>
      <c r="B20" s="610">
        <v>237997</v>
      </c>
      <c r="C20" s="610"/>
      <c r="D20" s="610">
        <v>139657</v>
      </c>
      <c r="E20" s="610"/>
      <c r="F20" s="610">
        <v>-286577</v>
      </c>
      <c r="G20" s="610"/>
      <c r="H20" s="610">
        <v>0</v>
      </c>
      <c r="I20" s="610"/>
      <c r="J20" s="610">
        <v>0</v>
      </c>
      <c r="K20" s="610"/>
      <c r="L20" s="610">
        <v>36671148</v>
      </c>
      <c r="M20" s="608"/>
      <c r="N20" s="610">
        <v>0</v>
      </c>
      <c r="O20" s="610"/>
      <c r="P20" s="610">
        <v>0</v>
      </c>
      <c r="Q20" s="610"/>
      <c r="R20" s="610"/>
      <c r="S20" s="610"/>
      <c r="T20" s="610"/>
      <c r="U20" s="610"/>
      <c r="V20" s="610"/>
      <c r="W20" s="610"/>
      <c r="X20" s="610"/>
      <c r="Y20" s="610"/>
      <c r="Z20" s="611">
        <f>ROUND(SUM(B20:X20),0)</f>
        <v>36762225</v>
      </c>
    </row>
    <row r="21" spans="1:28" ht="15" customHeight="1">
      <c r="A21" s="426" t="s">
        <v>1395</v>
      </c>
      <c r="B21" s="610">
        <v>14183473</v>
      </c>
      <c r="C21" s="610"/>
      <c r="D21" s="610">
        <v>3229460</v>
      </c>
      <c r="E21" s="610"/>
      <c r="F21" s="610">
        <v>10240</v>
      </c>
      <c r="G21" s="610"/>
      <c r="H21" s="610">
        <v>2456884</v>
      </c>
      <c r="I21" s="610"/>
      <c r="J21" s="610">
        <v>5273</v>
      </c>
      <c r="K21" s="610"/>
      <c r="L21" s="610">
        <v>4043409</v>
      </c>
      <c r="M21" s="608"/>
      <c r="N21" s="610">
        <v>2362430</v>
      </c>
      <c r="O21" s="610"/>
      <c r="P21" s="610">
        <v>0</v>
      </c>
      <c r="Q21" s="610"/>
      <c r="R21" s="610"/>
      <c r="S21" s="610"/>
      <c r="T21" s="610"/>
      <c r="U21" s="610"/>
      <c r="V21" s="610"/>
      <c r="W21" s="610"/>
      <c r="X21" s="610"/>
      <c r="Y21" s="610"/>
      <c r="Z21" s="1329">
        <f>ROUND(SUM(B21:X21),0)</f>
        <v>26291169</v>
      </c>
    </row>
    <row r="22" spans="1:28" ht="15" customHeight="1">
      <c r="A22" s="426" t="s">
        <v>1396</v>
      </c>
      <c r="B22" s="610">
        <v>0</v>
      </c>
      <c r="C22" s="610"/>
      <c r="D22" s="610">
        <v>250000</v>
      </c>
      <c r="E22" s="610"/>
      <c r="F22" s="610">
        <v>0</v>
      </c>
      <c r="G22" s="610"/>
      <c r="H22" s="610">
        <v>228017</v>
      </c>
      <c r="I22" s="610"/>
      <c r="J22" s="610">
        <v>0</v>
      </c>
      <c r="K22" s="610"/>
      <c r="L22" s="610">
        <v>269030</v>
      </c>
      <c r="M22" s="608"/>
      <c r="N22" s="610">
        <v>0</v>
      </c>
      <c r="O22" s="610"/>
      <c r="P22" s="610">
        <v>519084</v>
      </c>
      <c r="Q22" s="610"/>
      <c r="R22" s="610"/>
      <c r="S22" s="610"/>
      <c r="T22" s="610"/>
      <c r="U22" s="610"/>
      <c r="V22" s="610"/>
      <c r="W22" s="610"/>
      <c r="X22" s="610"/>
      <c r="Y22" s="610"/>
      <c r="Z22" s="1329">
        <f t="shared" ref="Z22:Z25" si="0">ROUND(SUM(B22:X22),0)</f>
        <v>1266131</v>
      </c>
      <c r="AB22" s="1189"/>
    </row>
    <row r="23" spans="1:28" ht="15" customHeight="1">
      <c r="A23" s="426" t="s">
        <v>1397</v>
      </c>
      <c r="B23" s="610">
        <v>0</v>
      </c>
      <c r="C23" s="610"/>
      <c r="D23" s="610">
        <v>0</v>
      </c>
      <c r="E23" s="610"/>
      <c r="F23" s="610">
        <v>3486</v>
      </c>
      <c r="G23" s="610"/>
      <c r="H23" s="610">
        <v>0</v>
      </c>
      <c r="I23" s="610"/>
      <c r="J23" s="610">
        <v>1</v>
      </c>
      <c r="K23" s="610"/>
      <c r="L23" s="610">
        <v>0</v>
      </c>
      <c r="M23" s="608"/>
      <c r="N23" s="610">
        <v>0</v>
      </c>
      <c r="O23" s="610"/>
      <c r="P23" s="610">
        <v>98531</v>
      </c>
      <c r="Q23" s="610"/>
      <c r="R23" s="610"/>
      <c r="S23" s="610"/>
      <c r="T23" s="610"/>
      <c r="U23" s="610"/>
      <c r="V23" s="610"/>
      <c r="W23" s="610"/>
      <c r="X23" s="610"/>
      <c r="Y23" s="610"/>
      <c r="Z23" s="1329">
        <f t="shared" si="0"/>
        <v>102018</v>
      </c>
    </row>
    <row r="24" spans="1:28" ht="15" customHeight="1">
      <c r="A24" s="426" t="s">
        <v>1398</v>
      </c>
      <c r="B24" s="610">
        <v>0</v>
      </c>
      <c r="C24" s="610"/>
      <c r="D24" s="610">
        <v>0</v>
      </c>
      <c r="E24" s="610"/>
      <c r="F24" s="610">
        <v>0</v>
      </c>
      <c r="G24" s="610"/>
      <c r="H24" s="610">
        <v>0</v>
      </c>
      <c r="I24" s="610"/>
      <c r="J24" s="610">
        <v>0</v>
      </c>
      <c r="K24" s="610"/>
      <c r="L24" s="610">
        <v>0</v>
      </c>
      <c r="M24" s="608"/>
      <c r="N24" s="610">
        <v>0</v>
      </c>
      <c r="O24" s="610"/>
      <c r="P24" s="610">
        <v>0</v>
      </c>
      <c r="Q24" s="610"/>
      <c r="R24" s="610"/>
      <c r="S24" s="610"/>
      <c r="T24" s="610"/>
      <c r="U24" s="610"/>
      <c r="V24" s="610"/>
      <c r="W24" s="610"/>
      <c r="X24" s="610"/>
      <c r="Y24" s="610"/>
      <c r="Z24" s="1329">
        <f t="shared" si="0"/>
        <v>0</v>
      </c>
    </row>
    <row r="25" spans="1:28" ht="15" customHeight="1">
      <c r="A25" s="426" t="s">
        <v>1399</v>
      </c>
      <c r="B25" s="610">
        <v>0</v>
      </c>
      <c r="C25" s="610"/>
      <c r="D25" s="610">
        <v>0</v>
      </c>
      <c r="E25" s="610"/>
      <c r="F25" s="610">
        <v>0</v>
      </c>
      <c r="G25" s="610"/>
      <c r="H25" s="610">
        <v>0</v>
      </c>
      <c r="I25" s="610"/>
      <c r="J25" s="610">
        <v>0</v>
      </c>
      <c r="K25" s="610"/>
      <c r="L25" s="610">
        <v>0</v>
      </c>
      <c r="M25" s="608"/>
      <c r="N25" s="610">
        <v>135381</v>
      </c>
      <c r="O25" s="610"/>
      <c r="P25" s="610">
        <v>207953</v>
      </c>
      <c r="Q25" s="610"/>
      <c r="R25" s="610"/>
      <c r="S25" s="610"/>
      <c r="T25" s="610"/>
      <c r="U25" s="610"/>
      <c r="V25" s="610"/>
      <c r="W25" s="610"/>
      <c r="X25" s="610"/>
      <c r="Y25" s="610"/>
      <c r="Z25" s="1329">
        <f t="shared" si="0"/>
        <v>343334</v>
      </c>
    </row>
    <row r="26" spans="1:28" ht="14.9" customHeight="1">
      <c r="A26" s="426" t="s">
        <v>1400</v>
      </c>
      <c r="B26" s="610">
        <v>888453</v>
      </c>
      <c r="C26" s="610"/>
      <c r="D26" s="610">
        <v>7060</v>
      </c>
      <c r="E26" s="610"/>
      <c r="F26" s="610">
        <v>38366</v>
      </c>
      <c r="G26" s="610"/>
      <c r="H26" s="610">
        <v>648644</v>
      </c>
      <c r="I26" s="610"/>
      <c r="J26" s="610">
        <v>1650000</v>
      </c>
      <c r="K26" s="610"/>
      <c r="L26" s="610">
        <v>2378862</v>
      </c>
      <c r="M26" s="608"/>
      <c r="N26" s="610">
        <v>500000</v>
      </c>
      <c r="O26" s="610"/>
      <c r="P26" s="610">
        <v>2001212</v>
      </c>
      <c r="Q26" s="610"/>
      <c r="R26" s="610"/>
      <c r="S26" s="610"/>
      <c r="T26" s="610"/>
      <c r="U26" s="610"/>
      <c r="V26" s="610"/>
      <c r="W26" s="610"/>
      <c r="X26" s="610"/>
      <c r="Y26" s="610"/>
      <c r="Z26" s="1329">
        <f>ROUND(SUM(B26:X26),0)</f>
        <v>8112597</v>
      </c>
    </row>
    <row r="27" spans="1:28" ht="14.9" customHeight="1">
      <c r="A27" s="426" t="s">
        <v>1401</v>
      </c>
      <c r="B27" s="610">
        <v>0</v>
      </c>
      <c r="C27" s="610"/>
      <c r="D27" s="610">
        <v>0</v>
      </c>
      <c r="E27" s="610"/>
      <c r="F27" s="610">
        <v>0</v>
      </c>
      <c r="G27" s="610"/>
      <c r="H27" s="610">
        <v>143543</v>
      </c>
      <c r="I27" s="610"/>
      <c r="J27" s="610">
        <v>1722306</v>
      </c>
      <c r="K27" s="610"/>
      <c r="L27" s="610">
        <v>1000452</v>
      </c>
      <c r="M27" s="608"/>
      <c r="N27" s="610">
        <v>0</v>
      </c>
      <c r="O27" s="610"/>
      <c r="P27" s="610">
        <v>3295868</v>
      </c>
      <c r="Q27" s="610"/>
      <c r="R27" s="610"/>
      <c r="S27" s="610"/>
      <c r="T27" s="610"/>
      <c r="U27" s="610"/>
      <c r="V27" s="610"/>
      <c r="W27" s="610"/>
      <c r="X27" s="610"/>
      <c r="Y27" s="610"/>
      <c r="Z27" s="1329">
        <f>ROUND(SUM(B27:X27),0)</f>
        <v>6162169</v>
      </c>
    </row>
    <row r="28" spans="1:28" ht="14.9" customHeight="1">
      <c r="A28" s="426" t="s">
        <v>1500</v>
      </c>
      <c r="B28" s="610">
        <v>0</v>
      </c>
      <c r="C28" s="610"/>
      <c r="D28" s="610">
        <v>0</v>
      </c>
      <c r="E28" s="610"/>
      <c r="F28" s="610">
        <v>0</v>
      </c>
      <c r="G28" s="610"/>
      <c r="H28" s="610">
        <v>0</v>
      </c>
      <c r="I28" s="610"/>
      <c r="J28" s="610">
        <v>0</v>
      </c>
      <c r="K28" s="610"/>
      <c r="L28" s="610">
        <v>0</v>
      </c>
      <c r="M28" s="608"/>
      <c r="N28" s="610">
        <v>6896000</v>
      </c>
      <c r="O28" s="610"/>
      <c r="P28" s="610">
        <v>0</v>
      </c>
      <c r="Q28" s="610"/>
      <c r="R28" s="610"/>
      <c r="S28" s="610"/>
      <c r="T28" s="610"/>
      <c r="U28" s="610"/>
      <c r="V28" s="610"/>
      <c r="W28" s="610"/>
      <c r="X28" s="610"/>
      <c r="Y28" s="610"/>
      <c r="Z28" s="1329">
        <f>ROUND(SUM(B28:X28),0)</f>
        <v>6896000</v>
      </c>
    </row>
    <row r="29" spans="1:28" ht="14.9" customHeight="1">
      <c r="A29" s="426" t="s">
        <v>1501</v>
      </c>
      <c r="B29" s="610">
        <v>0</v>
      </c>
      <c r="C29" s="610"/>
      <c r="D29" s="610">
        <v>0</v>
      </c>
      <c r="E29" s="610"/>
      <c r="F29" s="610">
        <v>0</v>
      </c>
      <c r="G29" s="610"/>
      <c r="H29" s="610">
        <v>0</v>
      </c>
      <c r="I29" s="610"/>
      <c r="J29" s="610">
        <v>0</v>
      </c>
      <c r="K29" s="610"/>
      <c r="L29" s="610">
        <v>0</v>
      </c>
      <c r="M29" s="608"/>
      <c r="N29" s="610">
        <v>30000000</v>
      </c>
      <c r="O29" s="610"/>
      <c r="P29" s="610">
        <v>0</v>
      </c>
      <c r="Q29" s="610"/>
      <c r="R29" s="610"/>
      <c r="S29" s="610"/>
      <c r="T29" s="610"/>
      <c r="U29" s="610"/>
      <c r="V29" s="610"/>
      <c r="W29" s="610"/>
      <c r="X29" s="610"/>
      <c r="Y29" s="610"/>
      <c r="Z29" s="1329">
        <f>ROUND(SUM(B29:X29),0)</f>
        <v>30000000</v>
      </c>
    </row>
    <row r="30" spans="1:28" ht="15" customHeight="1">
      <c r="A30" s="426" t="s">
        <v>1402</v>
      </c>
      <c r="B30" s="610">
        <v>0</v>
      </c>
      <c r="C30" s="610"/>
      <c r="D30" s="610">
        <v>-1600602</v>
      </c>
      <c r="E30" s="610"/>
      <c r="F30" s="610">
        <v>0</v>
      </c>
      <c r="G30" s="610"/>
      <c r="H30" s="610">
        <v>0</v>
      </c>
      <c r="I30" s="610"/>
      <c r="J30" s="610">
        <v>0</v>
      </c>
      <c r="K30" s="610"/>
      <c r="L30" s="610">
        <v>0</v>
      </c>
      <c r="M30" s="608"/>
      <c r="N30" s="610">
        <v>-13666</v>
      </c>
      <c r="O30" s="610"/>
      <c r="P30" s="610">
        <v>0</v>
      </c>
      <c r="Q30" s="610"/>
      <c r="R30" s="610"/>
      <c r="S30" s="610"/>
      <c r="T30" s="610"/>
      <c r="U30" s="610"/>
      <c r="V30" s="610"/>
      <c r="W30" s="610"/>
      <c r="X30" s="610"/>
      <c r="Y30" s="610"/>
      <c r="Z30" s="611">
        <f>ROUND(SUM(B30:X30),0)</f>
        <v>-1614268</v>
      </c>
    </row>
    <row r="31" spans="1:28" ht="15" customHeight="1">
      <c r="A31" s="426" t="s">
        <v>1403</v>
      </c>
      <c r="B31" s="610">
        <v>12785</v>
      </c>
      <c r="C31" s="610"/>
      <c r="D31" s="610">
        <v>121751</v>
      </c>
      <c r="E31" s="610"/>
      <c r="F31" s="610">
        <v>5660</v>
      </c>
      <c r="G31" s="610"/>
      <c r="H31" s="610">
        <v>566351</v>
      </c>
      <c r="I31" s="610"/>
      <c r="J31" s="610">
        <v>90712</v>
      </c>
      <c r="K31" s="610"/>
      <c r="L31" s="610">
        <v>419137</v>
      </c>
      <c r="M31" s="608"/>
      <c r="N31" s="610">
        <v>62782</v>
      </c>
      <c r="O31" s="610"/>
      <c r="P31" s="610">
        <v>98274</v>
      </c>
      <c r="Q31" s="610"/>
      <c r="R31" s="610"/>
      <c r="S31" s="610"/>
      <c r="T31" s="610"/>
      <c r="U31" s="610"/>
      <c r="V31" s="610"/>
      <c r="W31" s="610"/>
      <c r="X31" s="610"/>
      <c r="Y31" s="610"/>
      <c r="Z31" s="611">
        <f t="shared" ref="Z31" si="1">ROUND(SUM(B31:X31),0)</f>
        <v>1377452</v>
      </c>
    </row>
    <row r="32" spans="1:28" ht="15" customHeight="1">
      <c r="A32" s="426" t="s">
        <v>1404</v>
      </c>
      <c r="B32" s="610">
        <v>1728541</v>
      </c>
      <c r="C32" s="610"/>
      <c r="D32" s="610">
        <v>7893611</v>
      </c>
      <c r="E32" s="610"/>
      <c r="F32" s="610">
        <v>746742</v>
      </c>
      <c r="G32" s="610"/>
      <c r="H32" s="610">
        <v>563062</v>
      </c>
      <c r="I32" s="610"/>
      <c r="J32" s="610">
        <v>681156</v>
      </c>
      <c r="K32" s="610"/>
      <c r="L32" s="610">
        <v>51343</v>
      </c>
      <c r="M32" s="608"/>
      <c r="N32" s="610">
        <v>4056168</v>
      </c>
      <c r="O32" s="610"/>
      <c r="P32" s="610">
        <v>4732704</v>
      </c>
      <c r="Q32" s="610"/>
      <c r="R32" s="610"/>
      <c r="S32" s="610"/>
      <c r="T32" s="610"/>
      <c r="U32" s="610"/>
      <c r="V32" s="610"/>
      <c r="W32" s="610"/>
      <c r="X32" s="610"/>
      <c r="Y32" s="610"/>
      <c r="Z32" s="611">
        <f>ROUND(SUM(B32:X32),0)</f>
        <v>20453327</v>
      </c>
    </row>
    <row r="33" spans="1:28" ht="15" customHeight="1">
      <c r="A33" s="426" t="s">
        <v>1405</v>
      </c>
      <c r="B33" s="610">
        <v>23576325</v>
      </c>
      <c r="C33" s="610"/>
      <c r="D33" s="610">
        <v>2364429</v>
      </c>
      <c r="E33" s="610"/>
      <c r="F33" s="610">
        <v>13070625</v>
      </c>
      <c r="G33" s="610"/>
      <c r="H33" s="610">
        <v>12260635</v>
      </c>
      <c r="I33" s="610"/>
      <c r="J33" s="610">
        <v>10918123</v>
      </c>
      <c r="K33" s="610"/>
      <c r="L33" s="610">
        <v>3920887</v>
      </c>
      <c r="M33" s="608"/>
      <c r="N33" s="610">
        <v>26214927</v>
      </c>
      <c r="O33" s="610"/>
      <c r="P33" s="610">
        <v>11935620</v>
      </c>
      <c r="Q33" s="610"/>
      <c r="R33" s="610"/>
      <c r="S33" s="610"/>
      <c r="T33" s="610"/>
      <c r="U33" s="610"/>
      <c r="V33" s="610"/>
      <c r="W33" s="610"/>
      <c r="X33" s="610"/>
      <c r="Y33" s="610"/>
      <c r="Z33" s="611">
        <f>ROUND(SUM(B33:X33),0)</f>
        <v>104261571</v>
      </c>
    </row>
    <row r="34" spans="1:28" ht="22.5" customHeight="1">
      <c r="A34" s="234" t="s">
        <v>487</v>
      </c>
      <c r="B34" s="747">
        <f>ROUND(SUM(B20:B33),0)</f>
        <v>40627574</v>
      </c>
      <c r="C34" s="610"/>
      <c r="D34" s="747">
        <f>ROUND(SUM(D20:D33),0)</f>
        <v>12405366</v>
      </c>
      <c r="E34" s="610"/>
      <c r="F34" s="747">
        <f>ROUND(SUM(F20:F33),0)</f>
        <v>13588542</v>
      </c>
      <c r="G34" s="610"/>
      <c r="H34" s="747">
        <f>ROUND(SUM(H20:H33),0)</f>
        <v>16867136</v>
      </c>
      <c r="I34" s="610"/>
      <c r="J34" s="747">
        <f>ROUND(SUM(J20:J33),0)</f>
        <v>15067571</v>
      </c>
      <c r="K34" s="610"/>
      <c r="L34" s="747">
        <f>ROUND(SUM(L20:L33),0)</f>
        <v>48754268</v>
      </c>
      <c r="M34" s="608"/>
      <c r="N34" s="747">
        <f>ROUND(SUM(N20:N33),0)</f>
        <v>70214022</v>
      </c>
      <c r="O34" s="610"/>
      <c r="P34" s="747">
        <f>ROUND(SUM(P20:P33),0)</f>
        <v>22889246</v>
      </c>
      <c r="Q34" s="610"/>
      <c r="R34" s="747">
        <f>ROUND(SUM(R20:R33),0)</f>
        <v>0</v>
      </c>
      <c r="S34" s="610"/>
      <c r="T34" s="747">
        <f>ROUND(SUM(T20:T33),0)</f>
        <v>0</v>
      </c>
      <c r="U34" s="610"/>
      <c r="V34" s="747">
        <f>ROUND(SUM(V20:V33),0)</f>
        <v>0</v>
      </c>
      <c r="W34" s="610"/>
      <c r="X34" s="747">
        <f>ROUND(SUM(X20:X33),0)</f>
        <v>0</v>
      </c>
      <c r="Y34" s="610"/>
      <c r="Z34" s="747">
        <f>ROUND(SUM(Z20:Z33),0)</f>
        <v>240413725</v>
      </c>
    </row>
    <row r="35" spans="1:28" ht="15" customHeight="1">
      <c r="A35" s="234"/>
      <c r="B35" s="610"/>
      <c r="C35" s="610"/>
      <c r="D35" s="610"/>
      <c r="E35" s="610"/>
      <c r="F35" s="612"/>
      <c r="G35" s="610"/>
      <c r="H35" s="612"/>
      <c r="I35" s="610"/>
      <c r="J35" s="610"/>
      <c r="K35" s="610"/>
      <c r="L35" s="615"/>
      <c r="M35" s="608"/>
      <c r="N35" s="615"/>
      <c r="O35" s="610"/>
      <c r="P35" s="610"/>
      <c r="Q35" s="610"/>
      <c r="R35" s="612"/>
      <c r="S35" s="610"/>
      <c r="T35" s="612"/>
      <c r="U35" s="610"/>
      <c r="V35" s="610"/>
      <c r="W35" s="610"/>
      <c r="X35" s="612"/>
      <c r="Y35" s="610"/>
      <c r="Z35" s="611"/>
    </row>
    <row r="36" spans="1:28" ht="15" customHeight="1">
      <c r="A36" s="236" t="s">
        <v>985</v>
      </c>
      <c r="B36" s="612"/>
      <c r="C36" s="612"/>
      <c r="D36" s="612"/>
      <c r="E36" s="610"/>
      <c r="F36" s="615"/>
      <c r="G36" s="610"/>
      <c r="H36" s="612"/>
      <c r="I36" s="610"/>
      <c r="J36" s="612"/>
      <c r="K36" s="610"/>
      <c r="L36" s="612"/>
      <c r="M36" s="608"/>
      <c r="N36" s="612"/>
      <c r="O36" s="610"/>
      <c r="P36" s="610"/>
      <c r="Q36" s="610"/>
      <c r="R36" s="612"/>
      <c r="S36" s="610"/>
      <c r="T36" s="612"/>
      <c r="U36" s="610"/>
      <c r="V36" s="615"/>
      <c r="W36" s="610"/>
      <c r="X36" s="615"/>
      <c r="Y36" s="610"/>
      <c r="Z36" s="611"/>
    </row>
    <row r="37" spans="1:28" ht="15" customHeight="1">
      <c r="A37" s="426" t="s">
        <v>987</v>
      </c>
      <c r="B37" s="610">
        <v>0</v>
      </c>
      <c r="C37" s="612"/>
      <c r="D37" s="610">
        <v>0</v>
      </c>
      <c r="E37" s="610"/>
      <c r="F37" s="610">
        <v>0</v>
      </c>
      <c r="G37" s="610"/>
      <c r="H37" s="610">
        <v>0</v>
      </c>
      <c r="I37" s="610"/>
      <c r="J37" s="614">
        <v>0</v>
      </c>
      <c r="K37" s="610"/>
      <c r="L37" s="610">
        <v>0</v>
      </c>
      <c r="M37" s="608"/>
      <c r="N37" s="610">
        <v>0</v>
      </c>
      <c r="O37" s="610"/>
      <c r="P37" s="610">
        <v>0</v>
      </c>
      <c r="Q37" s="610"/>
      <c r="R37" s="610"/>
      <c r="S37" s="610"/>
      <c r="T37" s="610"/>
      <c r="U37" s="610"/>
      <c r="V37" s="610"/>
      <c r="W37" s="610"/>
      <c r="X37" s="610"/>
      <c r="Y37" s="610"/>
      <c r="Z37" s="611">
        <f>ROUND(SUM(B37:X37),0)</f>
        <v>0</v>
      </c>
    </row>
    <row r="38" spans="1:28" ht="22.5" customHeight="1">
      <c r="A38" s="234" t="s">
        <v>992</v>
      </c>
      <c r="B38" s="756">
        <f>ROUND(SUM(B37:B37),0)</f>
        <v>0</v>
      </c>
      <c r="C38" s="612"/>
      <c r="D38" s="756">
        <f>ROUND(SUM(D37:D37),0)</f>
        <v>0</v>
      </c>
      <c r="E38" s="610"/>
      <c r="F38" s="756">
        <f>ROUND(SUM(F37:F37),0)</f>
        <v>0</v>
      </c>
      <c r="G38" s="610"/>
      <c r="H38" s="756">
        <f>ROUND(SUM(H37:H37),0)</f>
        <v>0</v>
      </c>
      <c r="I38" s="610"/>
      <c r="J38" s="756">
        <f>ROUND(SUM(J37:J37),0)</f>
        <v>0</v>
      </c>
      <c r="K38" s="610"/>
      <c r="L38" s="756">
        <f>ROUND(SUM(L37:L37),0)</f>
        <v>0</v>
      </c>
      <c r="M38" s="608"/>
      <c r="N38" s="756">
        <f>ROUND(SUM(N37:N37),0)</f>
        <v>0</v>
      </c>
      <c r="O38" s="610"/>
      <c r="P38" s="756">
        <f>ROUND(SUM(P37:P37),0)</f>
        <v>0</v>
      </c>
      <c r="Q38" s="610"/>
      <c r="R38" s="756">
        <f>ROUND(SUM(R37:R37),0)</f>
        <v>0</v>
      </c>
      <c r="S38" s="610"/>
      <c r="T38" s="756">
        <f>ROUND(SUM(T37:T37),0)</f>
        <v>0</v>
      </c>
      <c r="U38" s="610"/>
      <c r="V38" s="756">
        <f>ROUND(SUM(V37:V37),0)</f>
        <v>0</v>
      </c>
      <c r="W38" s="610"/>
      <c r="X38" s="756">
        <f>ROUND(SUM(X37:X37),0)</f>
        <v>0</v>
      </c>
      <c r="Y38" s="610"/>
      <c r="Z38" s="756">
        <f>ROUND(SUM(Z37:Z37),0)</f>
        <v>0</v>
      </c>
    </row>
    <row r="39" spans="1:28" ht="15" customHeight="1">
      <c r="B39" s="782"/>
      <c r="C39" s="612"/>
      <c r="D39" s="782"/>
      <c r="E39" s="610"/>
      <c r="F39" s="782"/>
      <c r="G39" s="610"/>
      <c r="H39" s="782"/>
      <c r="I39" s="610"/>
      <c r="J39" s="782"/>
      <c r="K39" s="610"/>
      <c r="L39" s="782"/>
      <c r="M39" s="608"/>
      <c r="N39" s="782"/>
      <c r="O39" s="610"/>
      <c r="P39" s="782"/>
      <c r="Q39" s="610"/>
      <c r="R39" s="782"/>
      <c r="S39" s="610"/>
      <c r="T39" s="782"/>
      <c r="U39" s="610"/>
      <c r="V39" s="782"/>
      <c r="W39" s="610"/>
      <c r="X39" s="782"/>
      <c r="Y39" s="610"/>
      <c r="Z39" s="1670"/>
    </row>
    <row r="40" spans="1:28" s="233" customFormat="1" ht="20.25" customHeight="1">
      <c r="A40" s="234" t="s">
        <v>993</v>
      </c>
      <c r="B40" s="1663">
        <f>ROUND(B34+B38,0)</f>
        <v>40627574</v>
      </c>
      <c r="C40" s="235"/>
      <c r="D40" s="1663">
        <f>ROUND(D34+D38,0)</f>
        <v>12405366</v>
      </c>
      <c r="E40" s="235"/>
      <c r="F40" s="1663">
        <f>ROUND(F34+F38,0)</f>
        <v>13588542</v>
      </c>
      <c r="G40" s="235"/>
      <c r="H40" s="1663">
        <f>ROUND(H34+H38,0)</f>
        <v>16867136</v>
      </c>
      <c r="I40" s="235"/>
      <c r="J40" s="1663">
        <f>ROUND(J34+J38,0)</f>
        <v>15067571</v>
      </c>
      <c r="K40" s="235"/>
      <c r="L40" s="1663">
        <f>ROUND(L34+L38,0)</f>
        <v>48754268</v>
      </c>
      <c r="M40" s="230"/>
      <c r="N40" s="1663">
        <f>ROUND(N34+N38,0)</f>
        <v>70214022</v>
      </c>
      <c r="O40" s="235"/>
      <c r="P40" s="1663">
        <f>ROUND(P34+P38,0)</f>
        <v>22889246</v>
      </c>
      <c r="Q40" s="235"/>
      <c r="R40" s="1663">
        <f>ROUND(R34+R38,0)</f>
        <v>0</v>
      </c>
      <c r="S40" s="235"/>
      <c r="T40" s="1663">
        <f>ROUND(T34+T38,0)</f>
        <v>0</v>
      </c>
      <c r="U40" s="235"/>
      <c r="V40" s="1663">
        <f>ROUND(V34+V38,0)</f>
        <v>0</v>
      </c>
      <c r="W40" s="235"/>
      <c r="X40" s="1663">
        <f>ROUND(X34+X38,0)</f>
        <v>0</v>
      </c>
      <c r="Y40" s="235"/>
      <c r="Z40" s="1663">
        <f>ROUND(Z34+Z38,0)</f>
        <v>240413725</v>
      </c>
      <c r="AB40" s="166"/>
    </row>
    <row r="41" spans="1:28" ht="15" customHeight="1">
      <c r="A41" s="607"/>
      <c r="B41" s="608"/>
      <c r="C41" s="608"/>
      <c r="D41" s="608"/>
      <c r="E41" s="608"/>
      <c r="F41" s="608"/>
      <c r="G41" s="608"/>
      <c r="H41" s="608"/>
      <c r="I41" s="608"/>
      <c r="J41" s="608"/>
      <c r="K41" s="608"/>
      <c r="L41" s="608"/>
      <c r="M41" s="608"/>
      <c r="N41" s="608"/>
      <c r="O41" s="608"/>
      <c r="P41" s="608"/>
      <c r="Q41" s="608"/>
      <c r="R41" s="608"/>
      <c r="S41" s="608"/>
      <c r="T41" s="608"/>
      <c r="U41" s="608"/>
      <c r="V41" s="608"/>
      <c r="W41" s="608"/>
      <c r="X41" s="608"/>
      <c r="Y41" s="608"/>
      <c r="Z41" s="616"/>
    </row>
    <row r="42" spans="1:28" s="233" customFormat="1" ht="20.25" customHeight="1" thickBot="1">
      <c r="A42" s="236" t="s">
        <v>994</v>
      </c>
      <c r="B42" s="1120">
        <f>ROUND(B12+B17-B40,0)</f>
        <v>78341297</v>
      </c>
      <c r="C42" s="232"/>
      <c r="D42" s="1120">
        <f>ROUND(D12+D17-D40,0)</f>
        <v>65935931</v>
      </c>
      <c r="E42" s="606"/>
      <c r="F42" s="1120">
        <f>ROUND(F12+F17-F40,0)</f>
        <v>52347389</v>
      </c>
      <c r="G42" s="606"/>
      <c r="H42" s="1120">
        <f>ROUND(H12+H17-H40,0)</f>
        <v>35480253</v>
      </c>
      <c r="I42" s="1325"/>
      <c r="J42" s="1120">
        <f>ROUND(J12+J17-J40,0)</f>
        <v>70412682</v>
      </c>
      <c r="K42" s="1326"/>
      <c r="L42" s="1120">
        <f>ROUND(L12+L17-L40,0)</f>
        <v>101658414</v>
      </c>
      <c r="M42" s="1327"/>
      <c r="N42" s="1120">
        <f>ROUND(N12+N17-N40,0)</f>
        <v>31444392</v>
      </c>
      <c r="O42" s="1326"/>
      <c r="P42" s="1120">
        <f>ROUND(P12+P17-P40,0)</f>
        <v>78555146</v>
      </c>
      <c r="Q42" s="1326"/>
      <c r="R42" s="1120">
        <f>ROUND(R12+R17-R40,0)</f>
        <v>0</v>
      </c>
      <c r="S42" s="1326"/>
      <c r="T42" s="1120">
        <f>ROUND(T12+T17-T40,0)</f>
        <v>0</v>
      </c>
      <c r="U42" s="1326"/>
      <c r="V42" s="1120">
        <f>ROUND(V12+V17-V40,0)</f>
        <v>0</v>
      </c>
      <c r="W42" s="1326"/>
      <c r="X42" s="1120">
        <f>ROUND(X12+X17-X40,0)</f>
        <v>0</v>
      </c>
      <c r="Y42" s="1326"/>
      <c r="Z42" s="1671">
        <f>ROUND(Z12+Z17-Z40,0)</f>
        <v>78555146</v>
      </c>
    </row>
    <row r="43" spans="1:28" ht="15" customHeight="1" thickTop="1">
      <c r="A43" s="607"/>
      <c r="B43" s="604"/>
      <c r="C43" s="604"/>
      <c r="D43" s="604"/>
      <c r="E43" s="605"/>
      <c r="F43" s="604"/>
      <c r="G43" s="605"/>
      <c r="H43" s="604"/>
      <c r="I43" s="605"/>
      <c r="J43" s="604"/>
      <c r="K43" s="604"/>
      <c r="L43" s="604"/>
      <c r="M43" s="605"/>
      <c r="N43" s="604"/>
      <c r="O43" s="605"/>
      <c r="P43" s="604"/>
      <c r="Q43" s="605"/>
      <c r="R43" s="604"/>
      <c r="S43" s="605"/>
      <c r="T43" s="604"/>
      <c r="U43" s="605"/>
      <c r="V43" s="604"/>
      <c r="W43" s="605"/>
      <c r="X43" s="604"/>
      <c r="Y43" s="605"/>
      <c r="Z43" s="616"/>
    </row>
    <row r="44" spans="1:28" ht="20.149999999999999" customHeight="1">
      <c r="A44" s="237"/>
      <c r="B44" s="604"/>
      <c r="C44" s="604"/>
      <c r="D44" s="604"/>
      <c r="E44" s="605"/>
      <c r="F44" s="604"/>
      <c r="G44" s="605"/>
      <c r="H44" s="604"/>
      <c r="I44" s="605"/>
      <c r="J44" s="604"/>
      <c r="K44" s="604"/>
      <c r="L44" s="604"/>
      <c r="M44" s="605"/>
      <c r="N44" s="604"/>
      <c r="O44" s="605"/>
      <c r="P44" s="604"/>
      <c r="Q44" s="605"/>
      <c r="R44" s="604"/>
      <c r="S44" s="605"/>
      <c r="T44" s="604"/>
      <c r="U44" s="605"/>
      <c r="V44" s="604"/>
      <c r="W44" s="605"/>
      <c r="X44" s="604"/>
      <c r="Y44" s="605"/>
      <c r="Z44" s="609"/>
    </row>
    <row r="45" spans="1:28">
      <c r="L45" s="702" t="s">
        <v>104</v>
      </c>
    </row>
    <row r="46" spans="1:28" ht="18" customHeight="1">
      <c r="A46" s="704" t="s">
        <v>1406</v>
      </c>
      <c r="B46" s="600"/>
      <c r="C46" s="600"/>
      <c r="D46" s="600"/>
      <c r="E46" s="217"/>
      <c r="F46" s="600"/>
      <c r="G46" s="217"/>
      <c r="H46" s="600"/>
      <c r="I46" s="217"/>
      <c r="J46" s="600"/>
      <c r="K46" s="600"/>
      <c r="L46" s="600"/>
      <c r="M46" s="605"/>
      <c r="N46" s="600" t="s">
        <v>104</v>
      </c>
      <c r="O46" s="217"/>
      <c r="P46" s="600"/>
      <c r="Q46" s="217"/>
      <c r="R46" s="600"/>
      <c r="S46" s="217"/>
      <c r="T46" s="600"/>
      <c r="U46" s="217"/>
      <c r="V46" s="600"/>
      <c r="W46" s="217"/>
      <c r="X46" s="600"/>
      <c r="Y46" s="217"/>
      <c r="Z46" s="601"/>
    </row>
    <row r="47" spans="1:28" ht="20.149999999999999" customHeight="1">
      <c r="A47" s="703" t="s">
        <v>1407</v>
      </c>
      <c r="B47" s="604"/>
      <c r="C47" s="604"/>
      <c r="D47" s="604"/>
      <c r="E47" s="605"/>
      <c r="F47" s="604"/>
      <c r="G47" s="605"/>
      <c r="H47" s="604"/>
      <c r="I47" s="605"/>
      <c r="J47" s="604"/>
      <c r="K47" s="604"/>
      <c r="L47" s="604"/>
      <c r="M47" s="605"/>
      <c r="N47" s="604" t="s">
        <v>104</v>
      </c>
      <c r="O47" s="605"/>
      <c r="P47" s="604"/>
      <c r="Q47" s="605"/>
      <c r="R47" s="604"/>
      <c r="S47" s="605"/>
      <c r="T47" s="604"/>
      <c r="U47" s="605"/>
      <c r="V47" s="604"/>
      <c r="W47" s="605"/>
      <c r="X47" s="604"/>
      <c r="Y47" s="605"/>
      <c r="Z47" s="609"/>
    </row>
    <row r="48" spans="1:28" ht="20.149999999999999" customHeight="1">
      <c r="A48" s="703"/>
      <c r="B48" s="604"/>
      <c r="C48" s="604"/>
      <c r="D48" s="604"/>
      <c r="E48" s="605"/>
      <c r="F48" s="604"/>
      <c r="G48" s="605"/>
      <c r="H48" s="604"/>
      <c r="I48" s="605"/>
      <c r="J48" s="604"/>
      <c r="K48" s="604"/>
      <c r="L48" s="604"/>
      <c r="M48" s="605"/>
      <c r="N48" s="604" t="s">
        <v>104</v>
      </c>
      <c r="O48" s="605"/>
      <c r="P48" s="604"/>
      <c r="Q48" s="605"/>
      <c r="R48" s="604"/>
      <c r="S48" s="605"/>
      <c r="T48" s="604"/>
      <c r="U48" s="605"/>
      <c r="V48" s="604"/>
      <c r="W48" s="605"/>
      <c r="X48" s="604"/>
      <c r="Y48" s="605"/>
      <c r="Z48" s="609"/>
    </row>
    <row r="49" spans="1:26" ht="20.149999999999999" customHeight="1">
      <c r="A49" s="703"/>
      <c r="B49" s="216"/>
      <c r="C49" s="216"/>
      <c r="D49" s="216"/>
      <c r="E49" s="217"/>
      <c r="F49" s="216"/>
      <c r="G49" s="217"/>
      <c r="H49" s="216"/>
      <c r="I49" s="217"/>
      <c r="J49" s="216"/>
      <c r="K49" s="216"/>
      <c r="L49" s="216"/>
      <c r="M49" s="217"/>
      <c r="N49" s="216"/>
      <c r="O49" s="217"/>
      <c r="P49" s="216"/>
      <c r="Q49" s="217"/>
      <c r="R49" s="216"/>
      <c r="S49" s="217"/>
      <c r="T49" s="216"/>
      <c r="U49" s="217"/>
      <c r="V49" s="216"/>
      <c r="W49" s="217"/>
      <c r="X49" s="216"/>
      <c r="Y49" s="217"/>
      <c r="Z49" s="167"/>
    </row>
    <row r="50" spans="1:26" ht="20.149999999999999" customHeight="1">
      <c r="A50" s="214"/>
      <c r="B50" s="216"/>
      <c r="C50" s="216"/>
      <c r="D50" s="216"/>
      <c r="E50" s="217"/>
      <c r="F50" s="216"/>
      <c r="G50" s="217"/>
      <c r="H50" s="216"/>
      <c r="I50" s="217"/>
      <c r="J50" s="216"/>
      <c r="K50" s="216"/>
      <c r="L50" s="216"/>
      <c r="M50" s="217"/>
      <c r="N50" s="216"/>
      <c r="O50" s="217"/>
      <c r="P50" s="216"/>
      <c r="Q50" s="217"/>
      <c r="R50" s="216"/>
      <c r="S50" s="217"/>
      <c r="T50" s="216"/>
      <c r="U50" s="217"/>
      <c r="V50" s="216"/>
      <c r="W50" s="217"/>
      <c r="X50" s="216"/>
      <c r="Y50" s="217"/>
      <c r="Z50" s="167"/>
    </row>
    <row r="51" spans="1:26" ht="20.149999999999999" customHeight="1">
      <c r="A51" s="214"/>
      <c r="B51" s="216"/>
      <c r="C51" s="216"/>
      <c r="D51" s="216"/>
      <c r="E51" s="217"/>
      <c r="F51" s="216"/>
      <c r="G51" s="217"/>
      <c r="H51" s="216"/>
      <c r="I51" s="217"/>
      <c r="J51" s="216"/>
      <c r="K51" s="216"/>
      <c r="L51" s="216"/>
      <c r="M51" s="217"/>
      <c r="N51" s="216"/>
      <c r="O51" s="217"/>
      <c r="P51" s="216"/>
      <c r="Q51" s="217"/>
      <c r="R51" s="216"/>
      <c r="S51" s="217"/>
      <c r="T51" s="216"/>
      <c r="U51" s="217"/>
      <c r="V51" s="216"/>
      <c r="W51" s="217"/>
      <c r="X51" s="216"/>
      <c r="Y51" s="217"/>
      <c r="Z51" s="167"/>
    </row>
    <row r="52" spans="1:26" ht="20.149999999999999" customHeight="1">
      <c r="A52" s="214"/>
      <c r="B52" s="216"/>
      <c r="C52" s="216"/>
      <c r="D52" s="216"/>
      <c r="E52" s="217"/>
      <c r="F52" s="216"/>
      <c r="G52" s="217"/>
      <c r="H52" s="216"/>
      <c r="I52" s="217"/>
      <c r="J52" s="216"/>
      <c r="K52" s="216"/>
      <c r="L52" s="216"/>
      <c r="M52" s="217"/>
      <c r="N52" s="216"/>
      <c r="O52" s="217"/>
      <c r="P52" s="216"/>
      <c r="Q52" s="217"/>
      <c r="R52" s="216"/>
      <c r="S52" s="217"/>
      <c r="T52" s="216"/>
      <c r="U52" s="217"/>
      <c r="V52" s="216"/>
      <c r="W52" s="217"/>
      <c r="X52" s="216"/>
      <c r="Y52" s="217"/>
      <c r="Z52" s="167"/>
    </row>
    <row r="53" spans="1:26" ht="20.149999999999999" customHeight="1">
      <c r="A53" s="214"/>
      <c r="B53" s="216"/>
      <c r="C53" s="216"/>
      <c r="D53" s="216"/>
      <c r="E53" s="217"/>
      <c r="F53" s="216"/>
      <c r="G53" s="217"/>
      <c r="H53" s="216"/>
      <c r="I53" s="217"/>
      <c r="J53" s="216"/>
      <c r="K53" s="216"/>
      <c r="L53" s="216"/>
      <c r="M53" s="217"/>
      <c r="N53" s="216"/>
      <c r="O53" s="217"/>
      <c r="P53" s="216"/>
      <c r="Q53" s="217"/>
      <c r="R53" s="216"/>
      <c r="S53" s="217"/>
      <c r="T53" s="216"/>
      <c r="U53" s="217"/>
      <c r="V53" s="216"/>
      <c r="W53" s="217"/>
      <c r="X53" s="216"/>
      <c r="Y53" s="217"/>
      <c r="Z53" s="167"/>
    </row>
    <row r="54" spans="1:26">
      <c r="A54" s="214"/>
      <c r="B54" s="216"/>
      <c r="C54" s="216"/>
      <c r="D54" s="216"/>
      <c r="E54" s="217"/>
      <c r="F54" s="216"/>
      <c r="G54" s="217"/>
      <c r="H54" s="216"/>
      <c r="I54" s="217"/>
      <c r="J54" s="216"/>
      <c r="K54" s="216"/>
      <c r="L54" s="216"/>
      <c r="M54" s="217"/>
      <c r="N54" s="216"/>
      <c r="O54" s="217"/>
      <c r="P54" s="216"/>
      <c r="Q54" s="217"/>
      <c r="R54" s="216"/>
      <c r="S54" s="217"/>
      <c r="T54" s="216"/>
      <c r="U54" s="217"/>
      <c r="V54" s="216"/>
      <c r="W54" s="217"/>
      <c r="X54" s="216"/>
      <c r="Y54" s="217"/>
      <c r="Z54" s="167"/>
    </row>
    <row r="55" spans="1:26">
      <c r="A55" s="214"/>
      <c r="B55" s="216"/>
      <c r="C55" s="216"/>
      <c r="D55" s="216"/>
      <c r="E55" s="217"/>
      <c r="F55" s="216"/>
      <c r="G55" s="217"/>
      <c r="H55" s="216"/>
      <c r="I55" s="217"/>
      <c r="J55" s="216"/>
      <c r="K55" s="216"/>
      <c r="L55" s="216"/>
      <c r="M55" s="217"/>
      <c r="N55" s="216"/>
      <c r="O55" s="217"/>
      <c r="P55" s="216"/>
      <c r="Q55" s="217"/>
      <c r="R55" s="216"/>
      <c r="S55" s="217"/>
      <c r="T55" s="216"/>
      <c r="U55" s="217"/>
      <c r="V55" s="216"/>
      <c r="W55" s="217"/>
      <c r="X55" s="216"/>
      <c r="Y55" s="217"/>
      <c r="Z55" s="167"/>
    </row>
    <row r="56" spans="1:26">
      <c r="A56" s="214"/>
      <c r="B56" s="216"/>
      <c r="C56" s="216"/>
      <c r="D56" s="216"/>
      <c r="E56" s="217"/>
      <c r="F56" s="216"/>
      <c r="G56" s="217"/>
      <c r="H56" s="216"/>
      <c r="I56" s="217"/>
      <c r="J56" s="216"/>
      <c r="K56" s="216"/>
      <c r="L56" s="216"/>
      <c r="M56" s="217"/>
      <c r="N56" s="216"/>
      <c r="O56" s="217"/>
      <c r="P56" s="216"/>
      <c r="Q56" s="217"/>
      <c r="R56" s="216"/>
      <c r="S56" s="217"/>
      <c r="T56" s="216"/>
      <c r="U56" s="217"/>
      <c r="V56" s="216"/>
      <c r="W56" s="217"/>
      <c r="X56" s="216"/>
      <c r="Y56" s="217"/>
      <c r="Z56" s="167"/>
    </row>
    <row r="57" spans="1:26">
      <c r="A57" s="214"/>
      <c r="B57" s="216"/>
      <c r="C57" s="216"/>
      <c r="D57" s="216"/>
      <c r="E57" s="217"/>
      <c r="F57" s="216"/>
      <c r="G57" s="217"/>
      <c r="H57" s="216"/>
      <c r="I57" s="217"/>
      <c r="J57" s="216"/>
      <c r="K57" s="216"/>
      <c r="L57" s="216"/>
      <c r="M57" s="217"/>
      <c r="N57" s="216"/>
      <c r="O57" s="217"/>
      <c r="P57" s="216"/>
      <c r="Q57" s="217"/>
      <c r="R57" s="216"/>
      <c r="S57" s="217"/>
      <c r="T57" s="216"/>
      <c r="U57" s="217"/>
      <c r="V57" s="216"/>
      <c r="W57" s="217"/>
      <c r="X57" s="216"/>
      <c r="Y57" s="217"/>
      <c r="Z57" s="167"/>
    </row>
    <row r="58" spans="1:26">
      <c r="A58" s="214"/>
      <c r="B58" s="216"/>
      <c r="C58" s="216"/>
      <c r="D58" s="216"/>
      <c r="E58" s="217"/>
      <c r="F58" s="216"/>
      <c r="G58" s="217"/>
      <c r="H58" s="216"/>
      <c r="I58" s="217"/>
      <c r="J58" s="216"/>
      <c r="K58" s="216"/>
      <c r="L58" s="216"/>
      <c r="M58" s="217"/>
      <c r="N58" s="216"/>
      <c r="O58" s="217"/>
      <c r="P58" s="216"/>
      <c r="Q58" s="217"/>
      <c r="R58" s="216"/>
      <c r="S58" s="217"/>
      <c r="T58" s="216"/>
      <c r="U58" s="217"/>
      <c r="V58" s="216"/>
      <c r="W58" s="217"/>
      <c r="X58" s="216"/>
      <c r="Y58" s="217"/>
      <c r="Z58" s="167"/>
    </row>
    <row r="59" spans="1:26">
      <c r="A59" s="214"/>
      <c r="B59" s="216"/>
      <c r="C59" s="216"/>
      <c r="D59" s="216"/>
      <c r="E59" s="217"/>
      <c r="F59" s="216"/>
      <c r="G59" s="217"/>
      <c r="H59" s="216"/>
      <c r="I59" s="217"/>
      <c r="J59" s="216"/>
      <c r="K59" s="216"/>
      <c r="L59" s="216"/>
      <c r="M59" s="217"/>
      <c r="N59" s="216"/>
      <c r="O59" s="217"/>
      <c r="P59" s="216"/>
      <c r="Q59" s="217"/>
      <c r="R59" s="216"/>
      <c r="S59" s="217"/>
      <c r="T59" s="216"/>
      <c r="U59" s="217"/>
      <c r="V59" s="216"/>
      <c r="W59" s="217"/>
      <c r="X59" s="216"/>
      <c r="Y59" s="217"/>
      <c r="Z59" s="167"/>
    </row>
    <row r="60" spans="1:26">
      <c r="A60" s="214"/>
      <c r="B60" s="216"/>
      <c r="C60" s="216"/>
      <c r="D60" s="216"/>
      <c r="E60" s="217"/>
      <c r="F60" s="216"/>
      <c r="G60" s="217"/>
      <c r="H60" s="216"/>
      <c r="I60" s="217"/>
      <c r="J60" s="216"/>
      <c r="K60" s="216"/>
      <c r="L60" s="216"/>
      <c r="M60" s="217"/>
      <c r="N60" s="216"/>
      <c r="O60" s="217"/>
      <c r="P60" s="216"/>
      <c r="Q60" s="217"/>
      <c r="R60" s="216"/>
      <c r="S60" s="217"/>
      <c r="T60" s="216"/>
      <c r="U60" s="217"/>
      <c r="V60" s="216"/>
      <c r="W60" s="217"/>
      <c r="X60" s="216"/>
      <c r="Y60" s="217"/>
      <c r="Z60" s="167"/>
    </row>
    <row r="61" spans="1:26">
      <c r="A61" s="214"/>
      <c r="B61" s="216"/>
      <c r="C61" s="216"/>
      <c r="D61" s="216"/>
      <c r="E61" s="217"/>
      <c r="F61" s="216"/>
      <c r="G61" s="217"/>
      <c r="H61" s="216"/>
      <c r="I61" s="217"/>
      <c r="J61" s="216"/>
      <c r="K61" s="216"/>
      <c r="L61" s="216"/>
      <c r="M61" s="217"/>
      <c r="N61" s="216"/>
      <c r="O61" s="217"/>
      <c r="P61" s="216"/>
      <c r="Q61" s="217"/>
      <c r="R61" s="216"/>
      <c r="S61" s="217"/>
      <c r="T61" s="216"/>
      <c r="U61" s="217"/>
      <c r="V61" s="216"/>
      <c r="W61" s="217"/>
      <c r="X61" s="216"/>
      <c r="Y61" s="217"/>
      <c r="Z61" s="167"/>
    </row>
    <row r="62" spans="1:26">
      <c r="A62" s="214"/>
      <c r="B62" s="216"/>
      <c r="C62" s="216"/>
      <c r="D62" s="216"/>
      <c r="E62" s="217"/>
      <c r="F62" s="216"/>
      <c r="G62" s="217"/>
      <c r="H62" s="216"/>
      <c r="I62" s="217"/>
      <c r="J62" s="216"/>
      <c r="K62" s="216"/>
      <c r="L62" s="216"/>
      <c r="M62" s="217"/>
      <c r="N62" s="216"/>
      <c r="O62" s="217"/>
      <c r="P62" s="216"/>
      <c r="Q62" s="217"/>
      <c r="R62" s="216"/>
      <c r="S62" s="217"/>
      <c r="T62" s="216"/>
      <c r="U62" s="217"/>
      <c r="V62" s="216"/>
      <c r="W62" s="217"/>
      <c r="X62" s="216"/>
      <c r="Y62" s="217"/>
      <c r="Z62" s="167"/>
    </row>
    <row r="63" spans="1:26">
      <c r="A63" s="214"/>
      <c r="B63" s="216"/>
      <c r="C63" s="216"/>
      <c r="D63" s="216"/>
      <c r="E63" s="217"/>
      <c r="F63" s="216"/>
      <c r="G63" s="217"/>
      <c r="H63" s="216"/>
      <c r="I63" s="217"/>
      <c r="J63" s="216"/>
      <c r="K63" s="216"/>
      <c r="L63" s="216"/>
      <c r="M63" s="217"/>
      <c r="N63" s="216"/>
      <c r="O63" s="217"/>
      <c r="P63" s="216"/>
      <c r="Q63" s="217"/>
      <c r="R63" s="216"/>
      <c r="S63" s="217"/>
      <c r="T63" s="216"/>
      <c r="U63" s="217"/>
      <c r="V63" s="216"/>
      <c r="W63" s="217"/>
      <c r="X63" s="216"/>
      <c r="Y63" s="217"/>
      <c r="Z63" s="167"/>
    </row>
    <row r="64" spans="1:26">
      <c r="A64" s="214"/>
      <c r="B64" s="216"/>
      <c r="C64" s="216"/>
      <c r="D64" s="216"/>
      <c r="E64" s="217"/>
      <c r="F64" s="216"/>
      <c r="G64" s="217"/>
      <c r="H64" s="216"/>
      <c r="I64" s="217"/>
      <c r="J64" s="216"/>
      <c r="K64" s="216"/>
      <c r="L64" s="216"/>
      <c r="M64" s="217"/>
      <c r="N64" s="216"/>
      <c r="O64" s="217"/>
      <c r="P64" s="216"/>
      <c r="Q64" s="217"/>
      <c r="R64" s="216"/>
      <c r="S64" s="217"/>
      <c r="T64" s="216"/>
      <c r="U64" s="217"/>
      <c r="V64" s="216"/>
      <c r="W64" s="217"/>
      <c r="X64" s="216"/>
      <c r="Y64" s="217"/>
      <c r="Z64" s="167"/>
    </row>
    <row r="65" spans="1:26">
      <c r="A65" s="214"/>
      <c r="B65" s="216"/>
      <c r="C65" s="216"/>
      <c r="D65" s="216"/>
      <c r="E65" s="217"/>
      <c r="F65" s="216"/>
      <c r="G65" s="217"/>
      <c r="H65" s="216"/>
      <c r="I65" s="217"/>
      <c r="J65" s="216"/>
      <c r="K65" s="216"/>
      <c r="L65" s="216"/>
      <c r="M65" s="217"/>
      <c r="N65" s="216"/>
      <c r="O65" s="217"/>
      <c r="P65" s="216"/>
      <c r="Q65" s="217"/>
      <c r="R65" s="216"/>
      <c r="S65" s="217"/>
      <c r="T65" s="216"/>
      <c r="U65" s="217"/>
      <c r="V65" s="216"/>
      <c r="W65" s="217"/>
      <c r="X65" s="216"/>
      <c r="Y65" s="217"/>
      <c r="Z65" s="167"/>
    </row>
    <row r="66" spans="1:26">
      <c r="A66" s="214"/>
      <c r="B66" s="216"/>
      <c r="C66" s="216"/>
      <c r="D66" s="216"/>
      <c r="E66" s="217"/>
      <c r="F66" s="216"/>
      <c r="G66" s="217"/>
      <c r="H66" s="216"/>
      <c r="I66" s="217"/>
      <c r="J66" s="216"/>
      <c r="K66" s="216"/>
      <c r="L66" s="216"/>
      <c r="M66" s="217"/>
      <c r="N66" s="216"/>
      <c r="O66" s="217"/>
      <c r="P66" s="216"/>
      <c r="Q66" s="217"/>
      <c r="R66" s="216"/>
      <c r="S66" s="217"/>
      <c r="T66" s="216"/>
      <c r="U66" s="217"/>
      <c r="V66" s="216"/>
      <c r="W66" s="217"/>
      <c r="X66" s="216"/>
      <c r="Y66" s="217"/>
      <c r="Z66" s="167"/>
    </row>
    <row r="67" spans="1:26">
      <c r="A67" s="214"/>
      <c r="B67" s="216"/>
      <c r="C67" s="216"/>
      <c r="D67" s="216"/>
      <c r="E67" s="217"/>
      <c r="F67" s="216"/>
      <c r="G67" s="217"/>
      <c r="H67" s="216"/>
      <c r="I67" s="217"/>
      <c r="J67" s="216"/>
      <c r="K67" s="216"/>
      <c r="L67" s="216"/>
      <c r="M67" s="217"/>
      <c r="N67" s="216"/>
      <c r="O67" s="217"/>
      <c r="P67" s="216"/>
      <c r="Q67" s="217"/>
      <c r="R67" s="216"/>
      <c r="S67" s="217"/>
      <c r="T67" s="216"/>
      <c r="U67" s="217"/>
      <c r="V67" s="216"/>
      <c r="W67" s="217"/>
      <c r="X67" s="216"/>
      <c r="Y67" s="217"/>
      <c r="Z67" s="167"/>
    </row>
    <row r="68" spans="1:26">
      <c r="A68" s="214"/>
      <c r="B68" s="216"/>
      <c r="C68" s="216"/>
      <c r="D68" s="216"/>
      <c r="E68" s="217"/>
      <c r="F68" s="216"/>
      <c r="G68" s="217"/>
      <c r="H68" s="216"/>
      <c r="I68" s="217"/>
      <c r="J68" s="216"/>
      <c r="K68" s="216"/>
      <c r="L68" s="216"/>
      <c r="M68" s="217"/>
      <c r="N68" s="216"/>
      <c r="O68" s="217"/>
      <c r="P68" s="216"/>
      <c r="Q68" s="217"/>
      <c r="R68" s="216"/>
      <c r="S68" s="217"/>
      <c r="T68" s="216"/>
      <c r="U68" s="217"/>
      <c r="V68" s="216"/>
      <c r="W68" s="217"/>
      <c r="X68" s="216"/>
      <c r="Y68" s="217"/>
      <c r="Z68" s="167"/>
    </row>
    <row r="69" spans="1:26">
      <c r="A69" s="214"/>
      <c r="B69" s="216"/>
      <c r="C69" s="216"/>
      <c r="D69" s="216"/>
      <c r="E69" s="217"/>
      <c r="F69" s="216"/>
      <c r="G69" s="217"/>
      <c r="H69" s="216"/>
      <c r="I69" s="217"/>
      <c r="J69" s="216"/>
      <c r="K69" s="216"/>
      <c r="L69" s="216"/>
      <c r="M69" s="217"/>
      <c r="N69" s="216"/>
      <c r="O69" s="217"/>
      <c r="P69" s="216"/>
      <c r="Q69" s="217"/>
      <c r="R69" s="216"/>
      <c r="S69" s="217"/>
      <c r="T69" s="216"/>
      <c r="U69" s="217"/>
      <c r="V69" s="216"/>
      <c r="W69" s="217"/>
      <c r="X69" s="216"/>
      <c r="Y69" s="217"/>
      <c r="Z69" s="167"/>
    </row>
    <row r="70" spans="1:26">
      <c r="A70" s="214"/>
      <c r="B70" s="216"/>
      <c r="C70" s="216"/>
      <c r="D70" s="216"/>
      <c r="E70" s="217"/>
      <c r="F70" s="216"/>
      <c r="G70" s="217"/>
      <c r="H70" s="216"/>
      <c r="I70" s="217"/>
      <c r="J70" s="216"/>
      <c r="K70" s="216"/>
      <c r="L70" s="216"/>
      <c r="M70" s="217"/>
      <c r="N70" s="216"/>
      <c r="O70" s="217"/>
      <c r="P70" s="216"/>
      <c r="Q70" s="217"/>
      <c r="R70" s="216"/>
      <c r="S70" s="217"/>
      <c r="T70" s="216"/>
      <c r="U70" s="217"/>
      <c r="V70" s="216"/>
      <c r="W70" s="217"/>
      <c r="X70" s="216"/>
      <c r="Y70" s="217"/>
      <c r="Z70" s="167"/>
    </row>
    <row r="71" spans="1:26">
      <c r="A71" s="214"/>
      <c r="B71" s="216"/>
      <c r="C71" s="216"/>
      <c r="D71" s="216"/>
      <c r="E71" s="217"/>
      <c r="F71" s="216"/>
      <c r="G71" s="217"/>
      <c r="H71" s="216"/>
      <c r="I71" s="217"/>
      <c r="J71" s="216"/>
      <c r="K71" s="216"/>
      <c r="L71" s="216"/>
      <c r="M71" s="217"/>
      <c r="N71" s="216"/>
      <c r="O71" s="217"/>
      <c r="P71" s="216"/>
      <c r="Q71" s="217"/>
      <c r="R71" s="216"/>
      <c r="S71" s="217"/>
      <c r="T71" s="216"/>
      <c r="U71" s="217"/>
      <c r="V71" s="216"/>
      <c r="W71" s="217"/>
      <c r="X71" s="216"/>
      <c r="Y71" s="217"/>
      <c r="Z71" s="167"/>
    </row>
    <row r="72" spans="1:26">
      <c r="A72" s="214"/>
      <c r="B72" s="216"/>
      <c r="C72" s="216"/>
      <c r="D72" s="216"/>
      <c r="E72" s="217"/>
      <c r="F72" s="216"/>
      <c r="G72" s="217"/>
      <c r="H72" s="216"/>
      <c r="I72" s="217"/>
      <c r="J72" s="216"/>
      <c r="K72" s="216"/>
      <c r="L72" s="216"/>
      <c r="M72" s="217"/>
      <c r="N72" s="216"/>
      <c r="O72" s="217"/>
      <c r="P72" s="216"/>
      <c r="Q72" s="217"/>
      <c r="R72" s="216"/>
      <c r="S72" s="217"/>
      <c r="T72" s="216"/>
      <c r="U72" s="217"/>
      <c r="V72" s="216"/>
      <c r="W72" s="217"/>
      <c r="X72" s="216"/>
      <c r="Y72" s="217"/>
      <c r="Z72" s="167"/>
    </row>
    <row r="73" spans="1:26">
      <c r="A73" s="214"/>
      <c r="B73" s="216"/>
      <c r="C73" s="216"/>
      <c r="D73" s="216"/>
      <c r="E73" s="217"/>
      <c r="F73" s="216"/>
      <c r="G73" s="217"/>
      <c r="H73" s="216"/>
      <c r="I73" s="217"/>
      <c r="J73" s="216"/>
      <c r="K73" s="216"/>
      <c r="L73" s="216"/>
      <c r="M73" s="217"/>
      <c r="N73" s="216"/>
      <c r="O73" s="217"/>
      <c r="P73" s="216"/>
      <c r="Q73" s="217"/>
      <c r="R73" s="216"/>
      <c r="S73" s="217"/>
      <c r="T73" s="216"/>
      <c r="U73" s="217"/>
      <c r="V73" s="216"/>
      <c r="W73" s="217"/>
      <c r="X73" s="216"/>
      <c r="Y73" s="217"/>
      <c r="Z73" s="167"/>
    </row>
    <row r="74" spans="1:26">
      <c r="A74" s="214"/>
      <c r="B74" s="216"/>
      <c r="C74" s="216"/>
      <c r="D74" s="216"/>
      <c r="E74" s="217"/>
      <c r="F74" s="216"/>
      <c r="G74" s="217"/>
      <c r="H74" s="216"/>
      <c r="I74" s="217"/>
      <c r="J74" s="216"/>
      <c r="K74" s="216"/>
      <c r="L74" s="216"/>
      <c r="M74" s="217"/>
      <c r="N74" s="216"/>
      <c r="O74" s="217"/>
      <c r="P74" s="216"/>
      <c r="Q74" s="217"/>
      <c r="R74" s="216"/>
      <c r="S74" s="217"/>
      <c r="T74" s="216"/>
      <c r="U74" s="217"/>
      <c r="V74" s="216"/>
      <c r="W74" s="217"/>
      <c r="X74" s="216"/>
      <c r="Y74" s="217"/>
      <c r="Z74" s="167"/>
    </row>
    <row r="75" spans="1:26">
      <c r="A75" s="214"/>
      <c r="B75" s="216"/>
      <c r="C75" s="216"/>
      <c r="D75" s="216"/>
      <c r="E75" s="217"/>
      <c r="F75" s="216"/>
      <c r="G75" s="217"/>
      <c r="H75" s="216"/>
      <c r="I75" s="217"/>
      <c r="J75" s="216"/>
      <c r="K75" s="216"/>
      <c r="L75" s="216"/>
      <c r="M75" s="217"/>
      <c r="N75" s="216"/>
      <c r="O75" s="217"/>
      <c r="P75" s="216"/>
      <c r="Q75" s="217"/>
      <c r="R75" s="216"/>
      <c r="S75" s="217"/>
      <c r="T75" s="216"/>
      <c r="U75" s="217"/>
      <c r="V75" s="216"/>
      <c r="W75" s="217"/>
      <c r="X75" s="216"/>
      <c r="Y75" s="217"/>
      <c r="Z75" s="167"/>
    </row>
    <row r="76" spans="1:26">
      <c r="A76" s="214"/>
      <c r="B76" s="216"/>
      <c r="C76" s="216"/>
      <c r="D76" s="216"/>
      <c r="E76" s="217"/>
      <c r="F76" s="216"/>
      <c r="G76" s="217"/>
      <c r="H76" s="216"/>
      <c r="I76" s="217"/>
      <c r="J76" s="216"/>
      <c r="K76" s="216"/>
      <c r="L76" s="216"/>
      <c r="M76" s="217"/>
      <c r="N76" s="216"/>
      <c r="O76" s="217"/>
      <c r="P76" s="216"/>
      <c r="Q76" s="217"/>
      <c r="R76" s="216"/>
      <c r="S76" s="217"/>
      <c r="T76" s="216"/>
      <c r="U76" s="217"/>
      <c r="V76" s="216"/>
      <c r="W76" s="217"/>
      <c r="X76" s="216"/>
      <c r="Y76" s="217"/>
      <c r="Z76" s="167"/>
    </row>
    <row r="77" spans="1:26">
      <c r="A77" s="214"/>
      <c r="B77" s="216"/>
      <c r="C77" s="216"/>
      <c r="D77" s="216"/>
      <c r="E77" s="217"/>
      <c r="F77" s="216"/>
      <c r="G77" s="217"/>
      <c r="H77" s="216"/>
      <c r="I77" s="217"/>
      <c r="J77" s="216"/>
      <c r="K77" s="216"/>
      <c r="L77" s="216"/>
      <c r="M77" s="217"/>
      <c r="N77" s="216"/>
      <c r="O77" s="217"/>
      <c r="P77" s="216"/>
      <c r="Q77" s="217"/>
      <c r="R77" s="216"/>
      <c r="S77" s="217"/>
      <c r="T77" s="216"/>
      <c r="U77" s="217"/>
      <c r="V77" s="216"/>
      <c r="W77" s="217"/>
      <c r="X77" s="216"/>
      <c r="Y77" s="217"/>
      <c r="Z77" s="167"/>
    </row>
    <row r="78" spans="1:26">
      <c r="A78" s="214"/>
      <c r="B78" s="216"/>
      <c r="C78" s="216"/>
      <c r="D78" s="216"/>
      <c r="E78" s="217"/>
      <c r="F78" s="216"/>
      <c r="G78" s="217"/>
      <c r="H78" s="216"/>
      <c r="I78" s="217"/>
      <c r="J78" s="216"/>
      <c r="K78" s="216"/>
      <c r="L78" s="216"/>
      <c r="M78" s="217"/>
      <c r="N78" s="216"/>
      <c r="O78" s="217"/>
      <c r="P78" s="216"/>
      <c r="Q78" s="217"/>
      <c r="R78" s="216"/>
      <c r="S78" s="217"/>
      <c r="T78" s="216"/>
      <c r="U78" s="217"/>
      <c r="V78" s="216"/>
      <c r="W78" s="217"/>
      <c r="X78" s="216"/>
      <c r="Y78" s="217"/>
      <c r="Z78" s="167"/>
    </row>
    <row r="79" spans="1:26">
      <c r="A79" s="214"/>
      <c r="B79" s="216"/>
      <c r="C79" s="216"/>
      <c r="D79" s="216"/>
      <c r="E79" s="217"/>
      <c r="F79" s="216"/>
      <c r="G79" s="217"/>
      <c r="H79" s="216"/>
      <c r="I79" s="217"/>
      <c r="J79" s="216"/>
      <c r="K79" s="216"/>
      <c r="L79" s="216"/>
      <c r="M79" s="217"/>
      <c r="N79" s="216"/>
      <c r="O79" s="217"/>
      <c r="P79" s="216"/>
      <c r="Q79" s="217"/>
      <c r="R79" s="216"/>
      <c r="S79" s="217"/>
      <c r="T79" s="216"/>
      <c r="U79" s="217"/>
      <c r="V79" s="216"/>
      <c r="W79" s="217"/>
      <c r="X79" s="216"/>
      <c r="Y79" s="217"/>
      <c r="Z79" s="167"/>
    </row>
    <row r="80" spans="1:26">
      <c r="A80" s="214"/>
      <c r="B80" s="216"/>
      <c r="C80" s="216"/>
      <c r="D80" s="216"/>
      <c r="E80" s="217"/>
      <c r="F80" s="216"/>
      <c r="G80" s="217"/>
      <c r="H80" s="216"/>
      <c r="I80" s="217"/>
      <c r="J80" s="216"/>
      <c r="K80" s="216"/>
      <c r="L80" s="216"/>
      <c r="M80" s="217"/>
      <c r="N80" s="216"/>
      <c r="O80" s="217"/>
      <c r="P80" s="216"/>
      <c r="Q80" s="217"/>
      <c r="R80" s="216"/>
      <c r="S80" s="217"/>
      <c r="T80" s="216"/>
      <c r="U80" s="217"/>
      <c r="V80" s="216"/>
      <c r="W80" s="217"/>
      <c r="X80" s="216"/>
      <c r="Y80" s="217"/>
      <c r="Z80" s="167"/>
    </row>
    <row r="81" spans="1:26">
      <c r="A81" s="214"/>
      <c r="B81" s="216"/>
      <c r="C81" s="216"/>
      <c r="D81" s="216"/>
      <c r="E81" s="217"/>
      <c r="F81" s="216"/>
      <c r="G81" s="217"/>
      <c r="H81" s="216"/>
      <c r="I81" s="217"/>
      <c r="J81" s="216"/>
      <c r="K81" s="216"/>
      <c r="L81" s="216"/>
      <c r="M81" s="217"/>
      <c r="N81" s="216"/>
      <c r="O81" s="217"/>
      <c r="P81" s="216"/>
      <c r="Q81" s="217"/>
      <c r="R81" s="216"/>
      <c r="S81" s="217"/>
      <c r="T81" s="216"/>
      <c r="U81" s="217"/>
      <c r="V81" s="216"/>
      <c r="W81" s="217"/>
      <c r="X81" s="216"/>
      <c r="Y81" s="217"/>
      <c r="Z81" s="167"/>
    </row>
    <row r="82" spans="1:26">
      <c r="A82" s="214"/>
      <c r="B82" s="216"/>
      <c r="C82" s="216"/>
      <c r="D82" s="216"/>
      <c r="E82" s="217"/>
      <c r="F82" s="216"/>
      <c r="G82" s="217"/>
      <c r="H82" s="216"/>
      <c r="I82" s="217"/>
      <c r="J82" s="216"/>
      <c r="K82" s="216"/>
      <c r="L82" s="216"/>
      <c r="M82" s="217"/>
      <c r="N82" s="216"/>
      <c r="O82" s="217"/>
      <c r="P82" s="216"/>
      <c r="Q82" s="217"/>
      <c r="R82" s="216"/>
      <c r="S82" s="217"/>
      <c r="T82" s="216"/>
      <c r="U82" s="217"/>
      <c r="V82" s="216"/>
      <c r="W82" s="217"/>
      <c r="X82" s="216"/>
      <c r="Y82" s="217"/>
      <c r="Z82" s="167"/>
    </row>
    <row r="83" spans="1:26">
      <c r="A83" s="214"/>
      <c r="B83" s="216"/>
      <c r="C83" s="216"/>
      <c r="D83" s="216"/>
      <c r="E83" s="217"/>
      <c r="F83" s="216"/>
      <c r="G83" s="217"/>
      <c r="H83" s="216"/>
      <c r="I83" s="217"/>
      <c r="J83" s="216"/>
      <c r="K83" s="216"/>
      <c r="L83" s="216"/>
      <c r="M83" s="217"/>
      <c r="N83" s="216"/>
      <c r="O83" s="217"/>
      <c r="P83" s="216"/>
      <c r="Q83" s="217"/>
      <c r="R83" s="216"/>
      <c r="S83" s="217"/>
      <c r="T83" s="216"/>
      <c r="U83" s="217"/>
      <c r="V83" s="216"/>
      <c r="W83" s="217"/>
      <c r="X83" s="216"/>
      <c r="Y83" s="217"/>
      <c r="Z83" s="167"/>
    </row>
    <row r="84" spans="1:26">
      <c r="A84" s="214"/>
      <c r="B84" s="216"/>
      <c r="C84" s="216"/>
      <c r="D84" s="216"/>
      <c r="E84" s="217"/>
      <c r="F84" s="216"/>
      <c r="G84" s="217"/>
      <c r="H84" s="216"/>
      <c r="I84" s="217"/>
      <c r="J84" s="216"/>
      <c r="K84" s="216"/>
      <c r="L84" s="216"/>
      <c r="M84" s="217"/>
      <c r="N84" s="216"/>
      <c r="O84" s="217"/>
      <c r="P84" s="216"/>
      <c r="Q84" s="217"/>
      <c r="R84" s="216"/>
      <c r="S84" s="217"/>
      <c r="T84" s="216"/>
      <c r="U84" s="217"/>
      <c r="V84" s="216"/>
      <c r="W84" s="217"/>
      <c r="X84" s="216"/>
      <c r="Y84" s="217"/>
      <c r="Z84" s="167"/>
    </row>
    <row r="85" spans="1:26">
      <c r="A85" s="214"/>
      <c r="B85" s="216"/>
      <c r="C85" s="216"/>
      <c r="D85" s="216"/>
      <c r="E85" s="217"/>
      <c r="F85" s="216"/>
      <c r="G85" s="217"/>
      <c r="H85" s="216"/>
      <c r="I85" s="217"/>
      <c r="J85" s="216"/>
      <c r="K85" s="216"/>
      <c r="L85" s="216"/>
      <c r="M85" s="217"/>
      <c r="N85" s="216"/>
      <c r="O85" s="217"/>
      <c r="P85" s="216"/>
      <c r="Q85" s="217"/>
      <c r="R85" s="216"/>
      <c r="S85" s="217"/>
      <c r="T85" s="216"/>
      <c r="U85" s="217"/>
      <c r="V85" s="216"/>
      <c r="W85" s="217"/>
      <c r="X85" s="216"/>
      <c r="Y85" s="217"/>
      <c r="Z85" s="167"/>
    </row>
    <row r="86" spans="1:26">
      <c r="A86" s="214"/>
      <c r="B86" s="216"/>
      <c r="C86" s="216"/>
      <c r="D86" s="216"/>
      <c r="E86" s="217"/>
      <c r="F86" s="216"/>
      <c r="G86" s="217"/>
      <c r="H86" s="216"/>
      <c r="I86" s="217"/>
      <c r="J86" s="216"/>
      <c r="K86" s="216"/>
      <c r="L86" s="216"/>
      <c r="M86" s="217"/>
      <c r="N86" s="216"/>
      <c r="O86" s="217"/>
      <c r="P86" s="216"/>
      <c r="Q86" s="217"/>
      <c r="R86" s="216"/>
      <c r="S86" s="217"/>
      <c r="T86" s="216"/>
      <c r="U86" s="217"/>
      <c r="V86" s="216"/>
      <c r="W86" s="217"/>
      <c r="X86" s="216"/>
      <c r="Y86" s="217"/>
      <c r="Z86" s="167"/>
    </row>
    <row r="87" spans="1:26">
      <c r="A87" s="214"/>
      <c r="B87" s="216"/>
      <c r="C87" s="216"/>
      <c r="D87" s="216"/>
      <c r="E87" s="217"/>
      <c r="F87" s="216"/>
      <c r="G87" s="217"/>
      <c r="H87" s="216"/>
      <c r="I87" s="217"/>
      <c r="J87" s="216"/>
      <c r="K87" s="216"/>
      <c r="L87" s="216"/>
      <c r="M87" s="217"/>
      <c r="N87" s="216"/>
      <c r="O87" s="217"/>
      <c r="P87" s="216"/>
      <c r="Q87" s="217"/>
      <c r="R87" s="216"/>
      <c r="S87" s="217"/>
      <c r="T87" s="216"/>
      <c r="U87" s="217"/>
      <c r="V87" s="216"/>
      <c r="W87" s="217"/>
      <c r="X87" s="216"/>
      <c r="Y87" s="217"/>
      <c r="Z87" s="167"/>
    </row>
    <row r="88" spans="1:26">
      <c r="A88" s="214"/>
      <c r="B88" s="216"/>
      <c r="C88" s="216"/>
      <c r="D88" s="216"/>
      <c r="E88" s="217"/>
      <c r="F88" s="216"/>
      <c r="G88" s="217"/>
      <c r="H88" s="216"/>
      <c r="I88" s="217"/>
      <c r="J88" s="216"/>
      <c r="K88" s="216"/>
      <c r="L88" s="216"/>
      <c r="M88" s="217"/>
      <c r="N88" s="216"/>
      <c r="O88" s="217"/>
      <c r="P88" s="216"/>
      <c r="Q88" s="217"/>
      <c r="R88" s="216"/>
      <c r="S88" s="217"/>
      <c r="T88" s="216"/>
      <c r="U88" s="217"/>
      <c r="V88" s="216"/>
      <c r="W88" s="217"/>
      <c r="X88" s="216"/>
      <c r="Y88" s="217"/>
      <c r="Z88" s="167"/>
    </row>
    <row r="89" spans="1:26">
      <c r="A89" s="214"/>
      <c r="B89" s="216"/>
      <c r="C89" s="216"/>
      <c r="D89" s="216"/>
      <c r="E89" s="217"/>
      <c r="F89" s="216"/>
      <c r="G89" s="217"/>
      <c r="H89" s="216"/>
      <c r="I89" s="217"/>
      <c r="J89" s="216"/>
      <c r="K89" s="216"/>
      <c r="L89" s="216"/>
      <c r="M89" s="217"/>
      <c r="N89" s="216"/>
      <c r="O89" s="217"/>
      <c r="P89" s="216"/>
      <c r="Q89" s="217"/>
      <c r="R89" s="216"/>
      <c r="S89" s="217"/>
      <c r="T89" s="216"/>
      <c r="U89" s="217"/>
      <c r="V89" s="216"/>
      <c r="W89" s="217"/>
      <c r="X89" s="216"/>
      <c r="Y89" s="217"/>
      <c r="Z89" s="167"/>
    </row>
    <row r="90" spans="1:26">
      <c r="A90" s="214"/>
      <c r="B90" s="216"/>
      <c r="C90" s="216"/>
      <c r="D90" s="216"/>
      <c r="E90" s="217"/>
      <c r="F90" s="216"/>
      <c r="G90" s="217"/>
      <c r="H90" s="216"/>
      <c r="I90" s="217"/>
      <c r="J90" s="216"/>
      <c r="K90" s="216"/>
      <c r="L90" s="216"/>
      <c r="M90" s="217"/>
      <c r="N90" s="216"/>
      <c r="O90" s="217"/>
      <c r="P90" s="216"/>
      <c r="Q90" s="217"/>
      <c r="R90" s="216"/>
      <c r="S90" s="217"/>
      <c r="T90" s="216"/>
      <c r="U90" s="217"/>
      <c r="V90" s="216"/>
      <c r="W90" s="217"/>
      <c r="X90" s="216"/>
      <c r="Y90" s="217"/>
      <c r="Z90" s="167"/>
    </row>
    <row r="91" spans="1:26">
      <c r="A91" s="214"/>
      <c r="B91" s="216"/>
      <c r="C91" s="216"/>
      <c r="D91" s="216"/>
      <c r="E91" s="217"/>
      <c r="F91" s="216"/>
      <c r="G91" s="217"/>
      <c r="H91" s="216"/>
      <c r="I91" s="217"/>
      <c r="J91" s="216"/>
      <c r="K91" s="216"/>
      <c r="L91" s="216"/>
      <c r="M91" s="217"/>
      <c r="N91" s="216"/>
      <c r="O91" s="217"/>
      <c r="P91" s="216"/>
      <c r="Q91" s="217"/>
      <c r="R91" s="216"/>
      <c r="S91" s="217"/>
      <c r="T91" s="216"/>
      <c r="U91" s="217"/>
      <c r="V91" s="216"/>
      <c r="W91" s="217"/>
      <c r="X91" s="216"/>
      <c r="Y91" s="217"/>
      <c r="Z91" s="167"/>
    </row>
  </sheetData>
  <sortState xmlns:xlrd2="http://schemas.microsoft.com/office/spreadsheetml/2017/richdata2" ref="A19:AN26">
    <sortCondition ref="A19:A26"/>
  </sortState>
  <pageMargins left="0.25" right="0.25" top="0.5" bottom="0.25" header="0" footer="0.25"/>
  <pageSetup scale="42" firstPageNumber="56" orientation="landscape" useFirstPageNumber="1" r:id="rId1"/>
  <headerFooter scaleWithDoc="0" alignWithMargins="0">
    <oddHeader xml:space="preserve">&amp;L&amp;14 </oddHeader>
    <oddFooter>&amp;C&amp;8&amp;P</oddFooter>
  </headerFooter>
  <colBreaks count="1" manualBreakCount="1">
    <brk id="30" max="54" man="1"/>
  </colBreaks>
  <customProperties>
    <customPr name="SheetOptions" r:id="rId2"/>
  </customPropertie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pageSetUpPr fitToPage="1"/>
  </sheetPr>
  <dimension ref="A1:O72"/>
  <sheetViews>
    <sheetView showGridLines="0" zoomScale="70" zoomScaleNormal="80" workbookViewId="0"/>
  </sheetViews>
  <sheetFormatPr defaultColWidth="8.84375" defaultRowHeight="17.25" customHeight="1"/>
  <cols>
    <col min="1" max="1" width="41.4609375" style="1284" customWidth="1"/>
    <col min="2" max="2" width="2.07421875" style="1248" customWidth="1"/>
    <col min="3" max="3" width="26" style="1284" customWidth="1"/>
    <col min="4" max="4" width="22.07421875" style="1284" customWidth="1"/>
    <col min="5" max="5" width="25.07421875" style="1284" customWidth="1"/>
    <col min="6" max="6" width="2" style="1284" customWidth="1"/>
    <col min="7" max="7" width="24.07421875" style="1249" customWidth="1"/>
    <col min="8" max="8" width="22.84375" style="1248" customWidth="1"/>
    <col min="9" max="9" width="26.53515625" style="1248" customWidth="1"/>
    <col min="10" max="10" width="17.53515625" style="1312" customWidth="1"/>
    <col min="11" max="11" width="20.84375" style="1312" customWidth="1"/>
    <col min="12" max="12" width="19.53515625" style="1248" customWidth="1"/>
    <col min="13" max="13" width="17" style="1312" customWidth="1"/>
    <col min="14" max="14" width="16.07421875" style="1248" customWidth="1"/>
    <col min="15" max="16384" width="8.84375" style="1248"/>
  </cols>
  <sheetData>
    <row r="1" spans="1:14" ht="17.25" customHeight="1">
      <c r="A1" s="326" t="s">
        <v>98</v>
      </c>
    </row>
    <row r="3" spans="1:14" ht="25.4" customHeight="1">
      <c r="A3" s="1291" t="s">
        <v>99</v>
      </c>
      <c r="C3" s="1384"/>
      <c r="D3" s="1384"/>
      <c r="E3" s="1384"/>
      <c r="F3" s="1384"/>
      <c r="H3" s="1413" t="s">
        <v>104</v>
      </c>
      <c r="I3" s="1385" t="s">
        <v>1408</v>
      </c>
    </row>
    <row r="4" spans="1:14" ht="25.4" customHeight="1">
      <c r="A4" s="1291" t="s">
        <v>1409</v>
      </c>
      <c r="C4" s="1384"/>
      <c r="D4" s="1384"/>
      <c r="E4" s="1384"/>
      <c r="F4" s="1384"/>
    </row>
    <row r="5" spans="1:14" ht="21" customHeight="1">
      <c r="A5" s="1321" t="str">
        <f>'HCRA '!A6</f>
        <v>FISCAL YEAR 2023-2024</v>
      </c>
      <c r="C5" s="1384"/>
      <c r="D5" s="1384"/>
      <c r="E5" s="1384"/>
      <c r="F5" s="1384"/>
    </row>
    <row r="6" spans="1:14" ht="17.25" customHeight="1">
      <c r="A6" s="1292"/>
      <c r="C6" s="1384"/>
      <c r="D6" s="1384"/>
      <c r="E6" s="1384"/>
      <c r="F6" s="1384"/>
    </row>
    <row r="7" spans="1:14" ht="17.25" customHeight="1">
      <c r="A7" s="1293"/>
      <c r="B7" s="1262"/>
      <c r="C7" s="2260" t="s">
        <v>1557</v>
      </c>
      <c r="D7" s="2260"/>
      <c r="E7" s="2260"/>
      <c r="F7" s="1388"/>
      <c r="G7" s="2261" t="s">
        <v>1562</v>
      </c>
      <c r="H7" s="2261"/>
      <c r="I7" s="2261"/>
    </row>
    <row r="8" spans="1:14" ht="17.25" customHeight="1">
      <c r="A8" s="1293"/>
      <c r="B8" s="1262"/>
      <c r="C8" s="1293"/>
      <c r="D8" s="1293"/>
      <c r="E8" s="1293"/>
      <c r="F8" s="1293"/>
      <c r="G8" s="1390"/>
      <c r="H8" s="1262"/>
      <c r="I8" s="1262"/>
    </row>
    <row r="9" spans="1:14" ht="17.25" customHeight="1">
      <c r="A9" s="1263"/>
      <c r="B9" s="1262"/>
      <c r="C9" s="1263" t="s">
        <v>1410</v>
      </c>
      <c r="D9" s="1263" t="s">
        <v>1411</v>
      </c>
      <c r="E9" s="1263" t="s">
        <v>1564</v>
      </c>
      <c r="F9" s="1263"/>
      <c r="G9" s="1263" t="s">
        <v>1410</v>
      </c>
      <c r="H9" s="1263" t="s">
        <v>1411</v>
      </c>
      <c r="I9" s="2128" t="s">
        <v>1412</v>
      </c>
      <c r="J9" s="1310"/>
      <c r="K9" s="1252"/>
      <c r="L9" s="1252"/>
      <c r="M9" s="1252"/>
    </row>
    <row r="10" spans="1:14" s="1295" customFormat="1" ht="17.25" customHeight="1">
      <c r="A10" s="1294"/>
      <c r="B10" s="1281"/>
      <c r="C10" s="2132"/>
      <c r="D10" s="2132"/>
      <c r="E10" s="2132"/>
      <c r="F10" s="2132"/>
      <c r="G10" s="2192"/>
      <c r="H10" s="2192"/>
      <c r="I10" s="2192"/>
      <c r="J10" s="1366"/>
      <c r="K10" s="1366"/>
      <c r="M10" s="1366"/>
    </row>
    <row r="11" spans="1:14" s="1299" customFormat="1" ht="17.25" customHeight="1">
      <c r="A11" s="1296" t="s">
        <v>1413</v>
      </c>
      <c r="B11" s="1297"/>
      <c r="C11" s="2097">
        <v>0</v>
      </c>
      <c r="D11" s="1372">
        <v>0</v>
      </c>
      <c r="E11" s="2098">
        <f>C11+D11</f>
        <v>0</v>
      </c>
      <c r="F11" s="1298"/>
      <c r="G11" s="2097">
        <v>0</v>
      </c>
      <c r="H11" s="2097">
        <v>150886345</v>
      </c>
      <c r="I11" s="2098">
        <f>G11+H11</f>
        <v>150886345</v>
      </c>
      <c r="J11" s="1367"/>
      <c r="K11" s="1367"/>
      <c r="L11" s="1368"/>
      <c r="M11" s="1367"/>
      <c r="N11" s="1368"/>
    </row>
    <row r="12" spans="1:14" s="1299" customFormat="1" ht="17.25" customHeight="1">
      <c r="A12" s="1296" t="s">
        <v>1414</v>
      </c>
      <c r="B12" s="1297"/>
      <c r="C12" s="2099">
        <v>0</v>
      </c>
      <c r="D12" s="1256">
        <v>-11306983.16</v>
      </c>
      <c r="E12" s="1253">
        <f>C12+D12</f>
        <v>-11306983.16</v>
      </c>
      <c r="F12" s="1253"/>
      <c r="G12" s="2099">
        <v>82695912</v>
      </c>
      <c r="H12" s="1256">
        <v>-5901002.3200000003</v>
      </c>
      <c r="I12" s="1253">
        <f>G12+H12</f>
        <v>76794909.680000007</v>
      </c>
      <c r="J12" s="1367"/>
      <c r="K12" s="1367"/>
      <c r="L12" s="1368"/>
      <c r="M12" s="1367"/>
      <c r="N12" s="1368"/>
    </row>
    <row r="13" spans="1:14" s="1299" customFormat="1" ht="17.25" customHeight="1">
      <c r="A13" s="1296" t="s">
        <v>1415</v>
      </c>
      <c r="B13" s="1297"/>
      <c r="C13" s="2099">
        <v>0</v>
      </c>
      <c r="D13" s="1256">
        <v>0</v>
      </c>
      <c r="E13" s="1253">
        <f t="shared" ref="E13:E48" si="0">C13+D13</f>
        <v>0</v>
      </c>
      <c r="F13" s="1253"/>
      <c r="G13" s="2099">
        <v>0</v>
      </c>
      <c r="H13" s="1256">
        <v>1811953387</v>
      </c>
      <c r="I13" s="1253">
        <f t="shared" ref="I13:I48" si="1">G13+H13</f>
        <v>1811953387</v>
      </c>
      <c r="J13" s="1367"/>
      <c r="K13" s="1367"/>
      <c r="L13" s="1368"/>
      <c r="M13" s="1367"/>
      <c r="N13" s="1368"/>
    </row>
    <row r="14" spans="1:14" s="1299" customFormat="1" ht="17.25" customHeight="1">
      <c r="A14" s="1250" t="s">
        <v>1416</v>
      </c>
      <c r="B14" s="1300"/>
      <c r="C14" s="2099">
        <v>22982941.760000002</v>
      </c>
      <c r="D14" s="1256">
        <v>0</v>
      </c>
      <c r="E14" s="1253">
        <f t="shared" si="0"/>
        <v>22982941.760000002</v>
      </c>
      <c r="F14" s="1253"/>
      <c r="G14" s="2099">
        <v>91682462.700000003</v>
      </c>
      <c r="H14" s="1256">
        <v>203785609</v>
      </c>
      <c r="I14" s="1253">
        <f t="shared" si="1"/>
        <v>295468071.69999999</v>
      </c>
      <c r="J14" s="1367"/>
      <c r="K14" s="1367"/>
      <c r="L14" s="1368"/>
      <c r="M14" s="1367"/>
      <c r="N14" s="1368"/>
    </row>
    <row r="15" spans="1:14" s="1299" customFormat="1" ht="17.25" customHeight="1">
      <c r="A15" s="1296" t="s">
        <v>1417</v>
      </c>
      <c r="B15" s="1297"/>
      <c r="C15" s="2099">
        <v>1045571.17</v>
      </c>
      <c r="D15" s="1256">
        <v>0</v>
      </c>
      <c r="E15" s="1253">
        <f t="shared" si="0"/>
        <v>1045571.17</v>
      </c>
      <c r="F15" s="1253"/>
      <c r="G15" s="2099">
        <v>8134816.0599999996</v>
      </c>
      <c r="H15" s="1256">
        <v>0</v>
      </c>
      <c r="I15" s="1253">
        <f t="shared" si="1"/>
        <v>8134816.0599999996</v>
      </c>
      <c r="J15" s="1367"/>
      <c r="K15" s="1367"/>
      <c r="L15" s="1368"/>
      <c r="M15" s="1367"/>
      <c r="N15" s="1368"/>
    </row>
    <row r="16" spans="1:14" s="1299" customFormat="1" ht="17.25" customHeight="1">
      <c r="A16" s="1296" t="s">
        <v>1418</v>
      </c>
      <c r="B16" s="1297"/>
      <c r="C16" s="2099">
        <v>0</v>
      </c>
      <c r="D16" s="1256">
        <v>0</v>
      </c>
      <c r="E16" s="1253">
        <f t="shared" si="0"/>
        <v>0</v>
      </c>
      <c r="F16" s="1253"/>
      <c r="G16" s="2099">
        <v>554852.18999999994</v>
      </c>
      <c r="H16" s="1256">
        <v>0</v>
      </c>
      <c r="I16" s="1253">
        <f t="shared" si="1"/>
        <v>554852.18999999994</v>
      </c>
      <c r="J16" s="1367"/>
      <c r="K16" s="1367"/>
      <c r="L16" s="1368"/>
      <c r="M16" s="1367"/>
      <c r="N16" s="1368"/>
    </row>
    <row r="17" spans="1:14" s="1299" customFormat="1" ht="17.25" customHeight="1">
      <c r="A17" s="1296" t="s">
        <v>1419</v>
      </c>
      <c r="B17" s="1297"/>
      <c r="C17" s="2099">
        <v>431424.69</v>
      </c>
      <c r="D17" s="1256">
        <v>0</v>
      </c>
      <c r="E17" s="1253">
        <f t="shared" si="0"/>
        <v>431424.69</v>
      </c>
      <c r="F17" s="1253"/>
      <c r="G17" s="2099">
        <v>1237802.22</v>
      </c>
      <c r="H17" s="1256">
        <v>0</v>
      </c>
      <c r="I17" s="1253">
        <f t="shared" si="1"/>
        <v>1237802.22</v>
      </c>
      <c r="J17" s="1367"/>
      <c r="K17" s="1367"/>
      <c r="L17" s="1368"/>
      <c r="M17" s="1367"/>
      <c r="N17" s="1368"/>
    </row>
    <row r="18" spans="1:14" s="1299" customFormat="1" ht="17.25" customHeight="1">
      <c r="A18" s="1296" t="s">
        <v>1420</v>
      </c>
      <c r="B18" s="1297"/>
      <c r="C18" s="2099">
        <v>0</v>
      </c>
      <c r="D18" s="1256">
        <v>2284224.25</v>
      </c>
      <c r="E18" s="1253">
        <f t="shared" si="0"/>
        <v>2284224.25</v>
      </c>
      <c r="F18" s="1253"/>
      <c r="G18" s="2099">
        <v>0</v>
      </c>
      <c r="H18" s="1256">
        <v>5577111.2599999998</v>
      </c>
      <c r="I18" s="1253">
        <f t="shared" si="1"/>
        <v>5577111.2599999998</v>
      </c>
      <c r="J18" s="1367"/>
      <c r="K18" s="1367"/>
      <c r="L18" s="1368"/>
      <c r="M18" s="1367"/>
      <c r="N18" s="1368"/>
    </row>
    <row r="19" spans="1:14" s="1299" customFormat="1" ht="17.25" customHeight="1">
      <c r="A19" s="1296" t="s">
        <v>1421</v>
      </c>
      <c r="B19" s="1297"/>
      <c r="C19" s="2099">
        <v>0</v>
      </c>
      <c r="D19" s="1256">
        <v>0</v>
      </c>
      <c r="E19" s="1253">
        <f t="shared" si="0"/>
        <v>0</v>
      </c>
      <c r="F19" s="1253"/>
      <c r="G19" s="2099">
        <v>0</v>
      </c>
      <c r="H19" s="1256">
        <v>0</v>
      </c>
      <c r="I19" s="1253">
        <f t="shared" si="1"/>
        <v>0</v>
      </c>
      <c r="J19" s="1367"/>
      <c r="K19" s="1367"/>
      <c r="L19" s="1368"/>
      <c r="M19" s="1367"/>
      <c r="N19" s="1368"/>
    </row>
    <row r="20" spans="1:14" s="1299" customFormat="1" ht="17.25" customHeight="1">
      <c r="A20" s="1296" t="s">
        <v>1422</v>
      </c>
      <c r="B20" s="1297"/>
      <c r="C20" s="2099">
        <v>758270.69</v>
      </c>
      <c r="D20" s="1256">
        <v>0</v>
      </c>
      <c r="E20" s="1253">
        <f t="shared" si="0"/>
        <v>758270.69</v>
      </c>
      <c r="F20" s="1253"/>
      <c r="G20" s="2099">
        <v>2176321.56</v>
      </c>
      <c r="H20" s="1256">
        <v>0</v>
      </c>
      <c r="I20" s="1253">
        <f t="shared" si="1"/>
        <v>2176321.56</v>
      </c>
      <c r="J20" s="1367"/>
      <c r="K20" s="1367"/>
      <c r="L20" s="1368"/>
      <c r="M20" s="1367"/>
      <c r="N20" s="1368"/>
    </row>
    <row r="21" spans="1:14" s="1299" customFormat="1" ht="17.25" customHeight="1">
      <c r="A21" s="1296" t="s">
        <v>1423</v>
      </c>
      <c r="B21" s="1297"/>
      <c r="C21" s="2099">
        <v>561072.82999999996</v>
      </c>
      <c r="D21" s="1256">
        <v>0</v>
      </c>
      <c r="E21" s="1253">
        <f t="shared" si="0"/>
        <v>561072.82999999996</v>
      </c>
      <c r="F21" s="1253"/>
      <c r="G21" s="2099">
        <v>3831184.05</v>
      </c>
      <c r="H21" s="1256">
        <v>0</v>
      </c>
      <c r="I21" s="1253">
        <f t="shared" si="1"/>
        <v>3831184.05</v>
      </c>
      <c r="J21" s="1367"/>
      <c r="K21" s="1367"/>
      <c r="L21" s="1368"/>
      <c r="M21" s="1367"/>
      <c r="N21" s="1368"/>
    </row>
    <row r="22" spans="1:14" s="1299" customFormat="1" ht="17.25" customHeight="1">
      <c r="A22" s="1296" t="s">
        <v>1424</v>
      </c>
      <c r="B22" s="1297"/>
      <c r="C22" s="2099">
        <v>77250896</v>
      </c>
      <c r="D22" s="1256">
        <v>0</v>
      </c>
      <c r="E22" s="1253">
        <f t="shared" si="0"/>
        <v>77250896</v>
      </c>
      <c r="F22" s="1253"/>
      <c r="G22" s="1256">
        <v>889847398.78999996</v>
      </c>
      <c r="H22" s="1256">
        <v>0</v>
      </c>
      <c r="I22" s="1253">
        <f>G22+H22</f>
        <v>889847398.78999996</v>
      </c>
      <c r="J22" s="1367"/>
      <c r="K22" s="1367"/>
      <c r="L22" s="1368"/>
      <c r="M22" s="1367"/>
      <c r="N22" s="1368"/>
    </row>
    <row r="23" spans="1:14" s="1299" customFormat="1" ht="17.25" customHeight="1">
      <c r="A23" s="1296" t="s">
        <v>1425</v>
      </c>
      <c r="B23" s="1297"/>
      <c r="C23" s="1256">
        <v>753765.32</v>
      </c>
      <c r="D23" s="1256">
        <v>0</v>
      </c>
      <c r="E23" s="1253">
        <f t="shared" si="0"/>
        <v>753765.32</v>
      </c>
      <c r="F23" s="1253"/>
      <c r="G23" s="1256">
        <v>6915707.3499999996</v>
      </c>
      <c r="H23" s="1256">
        <v>0</v>
      </c>
      <c r="I23" s="1253">
        <f>G23+H23</f>
        <v>6915707.3499999996</v>
      </c>
      <c r="J23" s="1367"/>
      <c r="K23" s="1367"/>
      <c r="L23" s="1368"/>
      <c r="M23" s="1367"/>
      <c r="N23" s="1368"/>
    </row>
    <row r="24" spans="1:14" s="1299" customFormat="1" ht="17.25" customHeight="1">
      <c r="A24" s="1296" t="s">
        <v>1426</v>
      </c>
      <c r="B24" s="1297"/>
      <c r="C24" s="1256">
        <v>785835.2</v>
      </c>
      <c r="D24" s="1256">
        <v>0</v>
      </c>
      <c r="E24" s="1253">
        <f t="shared" si="0"/>
        <v>785835.2</v>
      </c>
      <c r="F24" s="1253"/>
      <c r="G24" s="1256">
        <v>12530748.890000001</v>
      </c>
      <c r="H24" s="1256">
        <v>0</v>
      </c>
      <c r="I24" s="1253">
        <f>G24+H24</f>
        <v>12530748.890000001</v>
      </c>
      <c r="J24" s="1367"/>
      <c r="K24" s="1367"/>
      <c r="L24" s="1368"/>
      <c r="M24" s="1367"/>
      <c r="N24" s="1368"/>
    </row>
    <row r="25" spans="1:14" s="1299" customFormat="1" ht="17.25" customHeight="1">
      <c r="A25" s="1296" t="s">
        <v>1427</v>
      </c>
      <c r="B25" s="1297"/>
      <c r="C25" s="1256">
        <v>2299415.2400000002</v>
      </c>
      <c r="D25" s="1256">
        <v>224661.09</v>
      </c>
      <c r="E25" s="1253">
        <f t="shared" si="0"/>
        <v>2524076.33</v>
      </c>
      <c r="F25" s="1253"/>
      <c r="G25" s="1256">
        <v>22408026.859999999</v>
      </c>
      <c r="H25" s="1256">
        <v>5200216.1399999997</v>
      </c>
      <c r="I25" s="1253">
        <f>G25+H25</f>
        <v>27608243</v>
      </c>
      <c r="J25" s="1367"/>
      <c r="K25" s="1367"/>
      <c r="L25" s="1368"/>
      <c r="M25" s="1367"/>
      <c r="N25" s="1368"/>
    </row>
    <row r="26" spans="1:14" s="1299" customFormat="1" ht="17.25" customHeight="1">
      <c r="A26" s="1296" t="s">
        <v>1428</v>
      </c>
      <c r="B26" s="1297"/>
      <c r="C26" s="1256">
        <v>0</v>
      </c>
      <c r="D26" s="1256">
        <v>0</v>
      </c>
      <c r="E26" s="1253">
        <f t="shared" si="0"/>
        <v>0</v>
      </c>
      <c r="F26" s="1253"/>
      <c r="G26" s="1256">
        <v>64505236</v>
      </c>
      <c r="H26" s="1256">
        <v>0</v>
      </c>
      <c r="I26" s="1253">
        <f>G26+H26</f>
        <v>64505236</v>
      </c>
      <c r="J26" s="1367"/>
      <c r="K26" s="1367"/>
      <c r="L26" s="1368"/>
      <c r="M26" s="1367"/>
      <c r="N26" s="1368"/>
    </row>
    <row r="27" spans="1:14" s="1299" customFormat="1" ht="17.25" customHeight="1">
      <c r="A27" s="1296" t="s">
        <v>1429</v>
      </c>
      <c r="B27" s="1297"/>
      <c r="C27" s="1256">
        <v>69906447.400000006</v>
      </c>
      <c r="D27" s="1256">
        <v>0</v>
      </c>
      <c r="E27" s="1253">
        <f t="shared" si="0"/>
        <v>69906447.400000006</v>
      </c>
      <c r="F27" s="1253"/>
      <c r="G27" s="2099">
        <v>594567786.72000003</v>
      </c>
      <c r="H27" s="1256">
        <v>0</v>
      </c>
      <c r="I27" s="1253">
        <f t="shared" si="1"/>
        <v>594567786.72000003</v>
      </c>
      <c r="J27" s="1367"/>
      <c r="K27" s="1367"/>
      <c r="L27" s="1368"/>
      <c r="M27" s="1367"/>
      <c r="N27" s="1368"/>
    </row>
    <row r="28" spans="1:14" s="1299" customFormat="1" ht="17.25" customHeight="1">
      <c r="A28" s="1296" t="s">
        <v>1430</v>
      </c>
      <c r="B28" s="1297"/>
      <c r="C28" s="2099">
        <v>0</v>
      </c>
      <c r="D28" s="1256">
        <v>0</v>
      </c>
      <c r="E28" s="1253">
        <f t="shared" si="0"/>
        <v>0</v>
      </c>
      <c r="F28" s="1253"/>
      <c r="G28" s="2099">
        <v>117475516.97</v>
      </c>
      <c r="H28" s="1256">
        <v>0</v>
      </c>
      <c r="I28" s="1253">
        <f t="shared" si="1"/>
        <v>117475516.97</v>
      </c>
      <c r="J28" s="1367"/>
      <c r="K28" s="1367"/>
      <c r="L28" s="1368"/>
      <c r="M28" s="1367"/>
      <c r="N28" s="1368"/>
    </row>
    <row r="29" spans="1:14" s="1299" customFormat="1" ht="17.25" customHeight="1">
      <c r="A29" s="1296" t="s">
        <v>1431</v>
      </c>
      <c r="B29" s="1297"/>
      <c r="C29" s="2099">
        <v>19118930.07</v>
      </c>
      <c r="D29" s="1256">
        <v>0</v>
      </c>
      <c r="E29" s="1253">
        <f t="shared" si="0"/>
        <v>19118930.07</v>
      </c>
      <c r="F29" s="1253"/>
      <c r="G29" s="2099">
        <v>163923500.97</v>
      </c>
      <c r="H29" s="1256">
        <v>0</v>
      </c>
      <c r="I29" s="1253">
        <f t="shared" si="1"/>
        <v>163923500.97</v>
      </c>
      <c r="J29" s="1367"/>
      <c r="K29" s="1367"/>
      <c r="L29" s="1368"/>
      <c r="M29" s="1367"/>
      <c r="N29" s="1368"/>
    </row>
    <row r="30" spans="1:14" s="1299" customFormat="1" ht="17.25" customHeight="1">
      <c r="A30" s="1296" t="s">
        <v>1432</v>
      </c>
      <c r="B30" s="1297"/>
      <c r="C30" s="2099">
        <v>27916773.920000002</v>
      </c>
      <c r="D30" s="1256">
        <v>0</v>
      </c>
      <c r="E30" s="1253">
        <f t="shared" si="0"/>
        <v>27916773.920000002</v>
      </c>
      <c r="F30" s="1253"/>
      <c r="G30" s="2099">
        <v>309060868.64999998</v>
      </c>
      <c r="H30" s="1256">
        <v>0</v>
      </c>
      <c r="I30" s="1253">
        <f t="shared" si="1"/>
        <v>309060868.64999998</v>
      </c>
      <c r="J30" s="1367"/>
      <c r="K30" s="1367"/>
      <c r="L30" s="1368"/>
      <c r="M30" s="1367"/>
      <c r="N30" s="1368"/>
    </row>
    <row r="31" spans="1:14" s="1299" customFormat="1" ht="17.25" customHeight="1">
      <c r="A31" s="1296" t="s">
        <v>1433</v>
      </c>
      <c r="B31" s="1297"/>
      <c r="C31" s="2099">
        <v>170235576.77000001</v>
      </c>
      <c r="D31" s="1256">
        <v>0</v>
      </c>
      <c r="E31" s="1253">
        <f t="shared" si="0"/>
        <v>170235576.77000001</v>
      </c>
      <c r="F31" s="1253"/>
      <c r="G31" s="2099">
        <v>962019256.54999995</v>
      </c>
      <c r="H31" s="1256">
        <v>0</v>
      </c>
      <c r="I31" s="1253">
        <f t="shared" si="1"/>
        <v>962019256.54999995</v>
      </c>
      <c r="J31" s="1367"/>
      <c r="K31" s="1367"/>
      <c r="L31" s="1368"/>
      <c r="M31" s="1367"/>
      <c r="N31" s="1368"/>
    </row>
    <row r="32" spans="1:14" s="1299" customFormat="1" ht="17.25" customHeight="1">
      <c r="A32" s="1296" t="s">
        <v>1434</v>
      </c>
      <c r="B32" s="1297"/>
      <c r="C32" s="2099">
        <v>521236998.42000002</v>
      </c>
      <c r="D32" s="1256">
        <v>0</v>
      </c>
      <c r="E32" s="1253">
        <f t="shared" si="0"/>
        <v>521236998.42000002</v>
      </c>
      <c r="F32" s="1253"/>
      <c r="G32" s="2099">
        <f>3041669390.8-28591003</f>
        <v>3013078387.8000002</v>
      </c>
      <c r="H32" s="1256">
        <v>0</v>
      </c>
      <c r="I32" s="1253">
        <f t="shared" si="1"/>
        <v>3013078387.8000002</v>
      </c>
      <c r="J32" s="1367"/>
      <c r="K32" s="1367"/>
      <c r="L32" s="1368"/>
      <c r="M32" s="1367"/>
      <c r="N32" s="1368"/>
    </row>
    <row r="33" spans="1:14" s="1299" customFormat="1" ht="17.25" customHeight="1">
      <c r="A33" s="1296" t="s">
        <v>1435</v>
      </c>
      <c r="B33" s="1297"/>
      <c r="C33" s="2099">
        <v>-7587195.79</v>
      </c>
      <c r="D33" s="1256">
        <v>0</v>
      </c>
      <c r="E33" s="1253">
        <f t="shared" si="0"/>
        <v>-7587195.79</v>
      </c>
      <c r="F33" s="1253"/>
      <c r="G33" s="2099">
        <f>3864271555.82-157081320.27</f>
        <v>3707190235.5500002</v>
      </c>
      <c r="H33" s="1256">
        <v>0</v>
      </c>
      <c r="I33" s="1253">
        <f t="shared" si="1"/>
        <v>3707190235.5500002</v>
      </c>
      <c r="J33" s="1367"/>
      <c r="K33" s="1367"/>
      <c r="L33" s="1368"/>
      <c r="M33" s="1367"/>
      <c r="N33" s="1368"/>
    </row>
    <row r="34" spans="1:14" s="1299" customFormat="1" ht="17.25" customHeight="1">
      <c r="A34" s="1296" t="s">
        <v>1436</v>
      </c>
      <c r="B34" s="1297"/>
      <c r="C34" s="2099">
        <v>167603622.38</v>
      </c>
      <c r="D34" s="1256">
        <v>0</v>
      </c>
      <c r="E34" s="1253">
        <f t="shared" si="0"/>
        <v>167603622.38</v>
      </c>
      <c r="F34" s="1253"/>
      <c r="G34" s="2099">
        <v>1012339718.41</v>
      </c>
      <c r="H34" s="1256">
        <v>0</v>
      </c>
      <c r="I34" s="1253">
        <f t="shared" si="1"/>
        <v>1012339718.41</v>
      </c>
      <c r="J34" s="1367"/>
      <c r="K34" s="1367"/>
      <c r="L34" s="1368"/>
      <c r="M34" s="1367"/>
      <c r="N34" s="1368"/>
    </row>
    <row r="35" spans="1:14" s="1299" customFormat="1" ht="17.25" customHeight="1">
      <c r="A35" s="1296" t="s">
        <v>1437</v>
      </c>
      <c r="B35" s="1297"/>
      <c r="C35" s="2099">
        <v>24536823.25</v>
      </c>
      <c r="D35" s="1256">
        <v>0</v>
      </c>
      <c r="E35" s="1253">
        <f t="shared" si="0"/>
        <v>24536823.25</v>
      </c>
      <c r="F35" s="1253"/>
      <c r="G35" s="2099">
        <v>124699219.14</v>
      </c>
      <c r="H35" s="1256">
        <v>0</v>
      </c>
      <c r="I35" s="1253">
        <f t="shared" si="1"/>
        <v>124699219.14</v>
      </c>
      <c r="J35" s="1367"/>
      <c r="K35" s="1367"/>
      <c r="L35" s="1368"/>
      <c r="M35" s="1367"/>
      <c r="N35" s="1368"/>
    </row>
    <row r="36" spans="1:14" s="1299" customFormat="1" ht="17.25" customHeight="1">
      <c r="A36" s="1296" t="s">
        <v>1438</v>
      </c>
      <c r="B36" s="1297"/>
      <c r="C36" s="2099">
        <v>298120.26</v>
      </c>
      <c r="D36" s="1256">
        <v>0</v>
      </c>
      <c r="E36" s="1253">
        <f t="shared" si="0"/>
        <v>298120.26</v>
      </c>
      <c r="F36" s="1253"/>
      <c r="G36" s="2099">
        <v>2078823.84</v>
      </c>
      <c r="H36" s="1256">
        <v>0</v>
      </c>
      <c r="I36" s="1253">
        <f t="shared" si="1"/>
        <v>2078823.84</v>
      </c>
      <c r="J36" s="1367"/>
      <c r="K36" s="1367"/>
      <c r="L36" s="1368"/>
      <c r="M36" s="1367"/>
      <c r="N36" s="1368"/>
    </row>
    <row r="37" spans="1:14" s="1299" customFormat="1" ht="17.25" customHeight="1">
      <c r="A37" s="1250" t="s">
        <v>1439</v>
      </c>
      <c r="B37" s="1297"/>
      <c r="C37" s="2099">
        <v>494867831.13999999</v>
      </c>
      <c r="D37" s="1256">
        <v>0</v>
      </c>
      <c r="E37" s="1253">
        <f t="shared" si="0"/>
        <v>494867831.13999999</v>
      </c>
      <c r="F37" s="1253"/>
      <c r="G37" s="2099">
        <v>4643485902.54</v>
      </c>
      <c r="H37" s="1256">
        <v>14639149</v>
      </c>
      <c r="I37" s="1253">
        <f t="shared" si="1"/>
        <v>4658125051.54</v>
      </c>
      <c r="J37" s="1367"/>
      <c r="K37" s="1367"/>
      <c r="L37" s="1368"/>
      <c r="M37" s="1367"/>
      <c r="N37" s="1368"/>
    </row>
    <row r="38" spans="1:14" s="1299" customFormat="1" ht="17.25" customHeight="1">
      <c r="A38" s="1296" t="s">
        <v>1440</v>
      </c>
      <c r="B38" s="1297"/>
      <c r="C38" s="2099">
        <v>490305829.02999997</v>
      </c>
      <c r="D38" s="1256">
        <v>0</v>
      </c>
      <c r="E38" s="1253">
        <f t="shared" si="0"/>
        <v>490305829.02999997</v>
      </c>
      <c r="F38" s="1253"/>
      <c r="G38" s="2099">
        <f>1142543771.03+73536816</f>
        <v>1216080587.03</v>
      </c>
      <c r="H38" s="1256">
        <v>0</v>
      </c>
      <c r="I38" s="1253">
        <f t="shared" si="1"/>
        <v>1216080587.03</v>
      </c>
      <c r="J38" s="1367"/>
      <c r="K38" s="1367"/>
      <c r="L38" s="1368"/>
      <c r="M38" s="1367"/>
      <c r="N38" s="1368"/>
    </row>
    <row r="39" spans="1:14" s="1299" customFormat="1" ht="17.25" customHeight="1">
      <c r="A39" s="1296" t="s">
        <v>1441</v>
      </c>
      <c r="B39" s="1297"/>
      <c r="C39" s="2099">
        <v>0</v>
      </c>
      <c r="D39" s="1256">
        <v>0</v>
      </c>
      <c r="E39" s="1253">
        <f t="shared" si="0"/>
        <v>0</v>
      </c>
      <c r="F39" s="1253"/>
      <c r="G39" s="2099">
        <v>1184600.6599999999</v>
      </c>
      <c r="H39" s="1256">
        <v>0</v>
      </c>
      <c r="I39" s="1253">
        <f t="shared" si="1"/>
        <v>1184600.6599999999</v>
      </c>
      <c r="J39" s="1367"/>
      <c r="K39" s="1367"/>
      <c r="L39" s="1368"/>
      <c r="M39" s="1367"/>
      <c r="N39" s="1368"/>
    </row>
    <row r="40" spans="1:14" s="1299" customFormat="1" ht="17.25" customHeight="1">
      <c r="A40" s="1296" t="s">
        <v>1442</v>
      </c>
      <c r="B40" s="1297"/>
      <c r="C40" s="2099">
        <v>400000000</v>
      </c>
      <c r="D40" s="1256">
        <v>0</v>
      </c>
      <c r="E40" s="1253">
        <f t="shared" si="0"/>
        <v>400000000</v>
      </c>
      <c r="F40" s="1253"/>
      <c r="G40" s="2099">
        <v>3150000000</v>
      </c>
      <c r="H40" s="1256">
        <v>0</v>
      </c>
      <c r="I40" s="1253">
        <f t="shared" si="1"/>
        <v>3150000000</v>
      </c>
      <c r="J40" s="1367"/>
      <c r="K40" s="1367"/>
      <c r="L40" s="1368"/>
      <c r="M40" s="1367"/>
      <c r="N40" s="1368"/>
    </row>
    <row r="41" spans="1:14" s="1299" customFormat="1" ht="17.25" customHeight="1">
      <c r="A41" s="1296" t="s">
        <v>1443</v>
      </c>
      <c r="B41" s="1297"/>
      <c r="C41" s="2099">
        <v>0</v>
      </c>
      <c r="D41" s="1256">
        <v>0</v>
      </c>
      <c r="E41" s="1253">
        <f t="shared" si="0"/>
        <v>0</v>
      </c>
      <c r="F41" s="1253"/>
      <c r="G41" s="2099">
        <v>0</v>
      </c>
      <c r="H41" s="1256">
        <v>0</v>
      </c>
      <c r="I41" s="1253">
        <f t="shared" si="1"/>
        <v>0</v>
      </c>
      <c r="J41" s="1367"/>
      <c r="K41" s="1367"/>
      <c r="L41" s="1368"/>
      <c r="M41" s="1367"/>
      <c r="N41" s="1368"/>
    </row>
    <row r="42" spans="1:14" s="1299" customFormat="1" ht="17.25" customHeight="1">
      <c r="A42" s="1296" t="s">
        <v>1444</v>
      </c>
      <c r="B42" s="1297"/>
      <c r="C42" s="2099">
        <v>0</v>
      </c>
      <c r="D42" s="1256">
        <v>0</v>
      </c>
      <c r="E42" s="1253">
        <f>+C42+D42</f>
        <v>0</v>
      </c>
      <c r="F42" s="1253"/>
      <c r="G42" s="2099">
        <v>270454477.5</v>
      </c>
      <c r="H42" s="1256">
        <v>0</v>
      </c>
      <c r="I42" s="1253">
        <f>+G42+H42</f>
        <v>270454477.5</v>
      </c>
      <c r="J42" s="1367"/>
      <c r="K42" s="1367"/>
      <c r="L42" s="1368"/>
      <c r="M42" s="1367"/>
      <c r="N42" s="1368"/>
    </row>
    <row r="43" spans="1:14" s="1299" customFormat="1" ht="17.25" customHeight="1">
      <c r="A43" s="1296" t="s">
        <v>1445</v>
      </c>
      <c r="B43" s="1297"/>
      <c r="C43" s="2099">
        <v>0</v>
      </c>
      <c r="D43" s="1256">
        <v>0</v>
      </c>
      <c r="E43" s="1253">
        <f t="shared" si="0"/>
        <v>0</v>
      </c>
      <c r="F43" s="1253"/>
      <c r="G43" s="2099">
        <v>0</v>
      </c>
      <c r="H43" s="1256">
        <v>0</v>
      </c>
      <c r="I43" s="1253">
        <f t="shared" si="1"/>
        <v>0</v>
      </c>
      <c r="J43" s="1367"/>
      <c r="K43" s="1367"/>
      <c r="L43" s="1368"/>
      <c r="M43" s="1367"/>
      <c r="N43" s="1368"/>
    </row>
    <row r="44" spans="1:14" s="1299" customFormat="1" ht="17.25" customHeight="1">
      <c r="A44" s="1296" t="s">
        <v>1446</v>
      </c>
      <c r="B44" s="1297"/>
      <c r="C44" s="2099">
        <v>0</v>
      </c>
      <c r="D44" s="1256">
        <v>0</v>
      </c>
      <c r="E44" s="1253">
        <f t="shared" si="0"/>
        <v>0</v>
      </c>
      <c r="F44" s="1253"/>
      <c r="G44" s="2099">
        <v>0</v>
      </c>
      <c r="H44" s="1256">
        <v>0</v>
      </c>
      <c r="I44" s="1253">
        <f t="shared" si="1"/>
        <v>0</v>
      </c>
      <c r="J44" s="1367"/>
      <c r="K44" s="1367"/>
      <c r="L44" s="1368"/>
      <c r="M44" s="1367"/>
      <c r="N44" s="1368"/>
    </row>
    <row r="45" spans="1:14" s="1299" customFormat="1" ht="17.25" customHeight="1">
      <c r="A45" s="1296" t="s">
        <v>1447</v>
      </c>
      <c r="B45" s="1297"/>
      <c r="C45" s="2099">
        <v>91751236.659999996</v>
      </c>
      <c r="D45" s="1256">
        <v>0</v>
      </c>
      <c r="E45" s="1253">
        <f t="shared" si="0"/>
        <v>91751236.659999996</v>
      </c>
      <c r="F45" s="1253"/>
      <c r="G45" s="2099">
        <v>411434166.89999998</v>
      </c>
      <c r="H45" s="1256">
        <v>0</v>
      </c>
      <c r="I45" s="1253">
        <f t="shared" si="1"/>
        <v>411434166.89999998</v>
      </c>
      <c r="J45" s="1367"/>
      <c r="K45" s="1367"/>
      <c r="L45" s="1368"/>
      <c r="M45" s="1367"/>
      <c r="N45" s="1368"/>
    </row>
    <row r="46" spans="1:14" s="1299" customFormat="1" ht="17.25" customHeight="1">
      <c r="A46" s="1296" t="s">
        <v>1448</v>
      </c>
      <c r="B46" s="1297"/>
      <c r="C46" s="2099">
        <v>75000000</v>
      </c>
      <c r="D46" s="1256">
        <v>0</v>
      </c>
      <c r="E46" s="1253">
        <f t="shared" si="0"/>
        <v>75000000</v>
      </c>
      <c r="F46" s="1253"/>
      <c r="G46" s="2099">
        <v>600000000</v>
      </c>
      <c r="H46" s="1256">
        <v>0</v>
      </c>
      <c r="I46" s="1253">
        <f t="shared" si="1"/>
        <v>600000000</v>
      </c>
      <c r="J46" s="1367"/>
      <c r="K46" s="1367"/>
      <c r="L46" s="1368"/>
      <c r="M46" s="1367"/>
      <c r="N46" s="1368"/>
    </row>
    <row r="47" spans="1:14" s="1299" customFormat="1" ht="17.25" customHeight="1">
      <c r="A47" s="1296" t="s">
        <v>1563</v>
      </c>
      <c r="B47" s="1297"/>
      <c r="C47" s="2099">
        <v>1284735</v>
      </c>
      <c r="D47" s="1256">
        <v>0</v>
      </c>
      <c r="E47" s="1253">
        <f t="shared" si="0"/>
        <v>1284735</v>
      </c>
      <c r="F47" s="1253"/>
      <c r="G47" s="2099">
        <v>1284735</v>
      </c>
      <c r="H47" s="1256"/>
      <c r="I47" s="1253">
        <f t="shared" si="1"/>
        <v>1284735</v>
      </c>
      <c r="K47" s="1367"/>
      <c r="L47" s="1368"/>
      <c r="N47" s="1368"/>
    </row>
    <row r="48" spans="1:14" s="1299" customFormat="1" ht="17.25" customHeight="1">
      <c r="A48" s="1296" t="s">
        <v>1449</v>
      </c>
      <c r="B48" s="1297"/>
      <c r="C48" s="2099">
        <v>0</v>
      </c>
      <c r="D48" s="1256">
        <v>0</v>
      </c>
      <c r="E48" s="1253">
        <f t="shared" si="0"/>
        <v>0</v>
      </c>
      <c r="F48" s="1253"/>
      <c r="G48" s="2099">
        <v>233793701.97999999</v>
      </c>
      <c r="H48" s="1256">
        <v>0</v>
      </c>
      <c r="I48" s="1253">
        <f t="shared" si="1"/>
        <v>233793701.97999999</v>
      </c>
      <c r="J48" s="1367"/>
      <c r="K48" s="1367"/>
      <c r="L48" s="1368"/>
      <c r="M48" s="1367"/>
      <c r="N48" s="1368"/>
    </row>
    <row r="49" spans="1:15" s="1295" customFormat="1" ht="17.25" customHeight="1">
      <c r="A49" s="1301" t="s">
        <v>1450</v>
      </c>
      <c r="B49" s="1281"/>
      <c r="C49" s="1364">
        <f>SUM(C11:C48)</f>
        <v>2653344921.4099998</v>
      </c>
      <c r="D49" s="1364">
        <f>SUM(D11:D48)</f>
        <v>-8798097.8200000003</v>
      </c>
      <c r="E49" s="1364">
        <f>SUM(E11:E48)</f>
        <v>2644546823.5900002</v>
      </c>
      <c r="F49" s="1302"/>
      <c r="G49" s="1364">
        <f>SUM(G11:G48)</f>
        <v>21720671954.880001</v>
      </c>
      <c r="H49" s="1364">
        <f>SUM(H11:H48)</f>
        <v>2186140815.0800004</v>
      </c>
      <c r="I49" s="1364">
        <f>SUM(I11:I48)</f>
        <v>23906812769.959999</v>
      </c>
      <c r="J49" s="1367"/>
      <c r="K49" s="1367"/>
      <c r="L49" s="1368"/>
      <c r="M49" s="1367"/>
      <c r="N49" s="1368"/>
      <c r="O49" s="1299"/>
    </row>
    <row r="50" spans="1:15" ht="9.65" customHeight="1">
      <c r="A50" s="1293"/>
      <c r="B50" s="1262"/>
      <c r="C50" s="2133"/>
      <c r="D50" s="2133"/>
      <c r="E50" s="2133"/>
      <c r="F50" s="2133"/>
      <c r="G50" s="2193"/>
      <c r="H50" s="2193"/>
      <c r="I50" s="2193"/>
      <c r="K50" s="1367"/>
      <c r="L50" s="1368"/>
      <c r="N50" s="1368"/>
      <c r="O50" s="1299"/>
    </row>
    <row r="51" spans="1:15" ht="43.4" customHeight="1">
      <c r="A51" s="1303" t="s">
        <v>1451</v>
      </c>
      <c r="B51" s="1262"/>
      <c r="C51" s="1412">
        <v>-494905400.66000003</v>
      </c>
      <c r="D51" s="1401">
        <v>0</v>
      </c>
      <c r="E51" s="1336">
        <f>C51+D51</f>
        <v>-494905400.66000003</v>
      </c>
      <c r="F51" s="1337"/>
      <c r="G51" s="1401">
        <v>-1518386448.6400001</v>
      </c>
      <c r="H51" s="1401">
        <v>0</v>
      </c>
      <c r="I51" s="1338">
        <f>G51+H51</f>
        <v>-1518386448.6400001</v>
      </c>
      <c r="J51" s="1310"/>
      <c r="K51" s="1367"/>
      <c r="L51" s="1368"/>
      <c r="N51" s="1368"/>
      <c r="O51" s="1299"/>
    </row>
    <row r="52" spans="1:15" ht="15.65" customHeight="1">
      <c r="A52" s="1304"/>
      <c r="B52" s="1262"/>
      <c r="C52" s="2145"/>
      <c r="D52" s="2145"/>
      <c r="E52" s="2145"/>
      <c r="F52" s="2145"/>
      <c r="G52" s="2194"/>
      <c r="H52" s="2194" t="s">
        <v>104</v>
      </c>
      <c r="I52" s="2194"/>
      <c r="K52" s="1367"/>
      <c r="L52" s="1368"/>
      <c r="N52" s="1368"/>
      <c r="O52" s="1299"/>
    </row>
    <row r="53" spans="1:15" ht="17.25" customHeight="1" thickBot="1">
      <c r="A53" s="1304" t="s">
        <v>1452</v>
      </c>
      <c r="B53" s="1262"/>
      <c r="C53" s="1305">
        <f>+C49+C51</f>
        <v>2158439520.75</v>
      </c>
      <c r="D53" s="1305">
        <f t="shared" ref="D53:I53" si="2">+D49+D51</f>
        <v>-8798097.8200000003</v>
      </c>
      <c r="E53" s="1305">
        <f t="shared" si="2"/>
        <v>2149641422.9300003</v>
      </c>
      <c r="F53" s="1305">
        <f t="shared" si="2"/>
        <v>0</v>
      </c>
      <c r="G53" s="1305">
        <f t="shared" si="2"/>
        <v>20202285506.240002</v>
      </c>
      <c r="H53" s="1305">
        <f t="shared" si="2"/>
        <v>2186140815.0800004</v>
      </c>
      <c r="I53" s="1305">
        <f t="shared" si="2"/>
        <v>22388426321.32</v>
      </c>
      <c r="J53" s="1261" t="s">
        <v>104</v>
      </c>
      <c r="K53" s="1367"/>
      <c r="L53" s="1368"/>
      <c r="N53" s="1368"/>
      <c r="O53" s="1299"/>
    </row>
    <row r="54" spans="1:15" ht="17.25" customHeight="1" thickTop="1">
      <c r="A54" s="1306"/>
      <c r="B54" s="1252"/>
      <c r="C54" s="1306"/>
      <c r="D54" s="1306"/>
      <c r="E54" s="2195"/>
      <c r="F54" s="2195"/>
      <c r="G54" s="2196"/>
      <c r="H54" s="2196"/>
      <c r="I54" s="2196"/>
    </row>
    <row r="55" spans="1:15" ht="16.399999999999999" customHeight="1">
      <c r="A55" s="1307" t="s">
        <v>1453</v>
      </c>
      <c r="B55" s="1252"/>
      <c r="C55" s="1407"/>
      <c r="D55" s="1261"/>
      <c r="E55" s="1408"/>
      <c r="F55" s="2134"/>
      <c r="G55" s="1261"/>
      <c r="H55" s="1261"/>
      <c r="I55" s="1261" t="s">
        <v>104</v>
      </c>
    </row>
    <row r="56" spans="1:15" ht="16.399999999999999" customHeight="1">
      <c r="A56" s="1308" t="s">
        <v>1454</v>
      </c>
      <c r="B56" s="1252"/>
      <c r="C56" s="2135"/>
      <c r="D56" s="2136"/>
      <c r="E56" s="2137" t="s">
        <v>104</v>
      </c>
      <c r="F56" s="1309"/>
      <c r="G56" s="2138"/>
      <c r="H56" s="2139"/>
      <c r="I56" s="1251"/>
    </row>
    <row r="57" spans="1:15" ht="16.399999999999999" customHeight="1">
      <c r="A57" s="1308" t="s">
        <v>1455</v>
      </c>
      <c r="B57" s="1252"/>
      <c r="C57" s="2140"/>
      <c r="D57" s="1407"/>
      <c r="E57" s="1261"/>
      <c r="F57" s="1408"/>
      <c r="G57" s="2141"/>
      <c r="H57" s="1261"/>
      <c r="I57" s="1261"/>
      <c r="J57" s="1261"/>
    </row>
    <row r="58" spans="1:15" s="1284" customFormat="1" ht="16.399999999999999" customHeight="1">
      <c r="A58" s="1308" t="s">
        <v>1456</v>
      </c>
      <c r="B58" s="1248"/>
      <c r="C58" s="1412"/>
      <c r="D58" s="1401"/>
      <c r="E58" s="1336"/>
      <c r="F58" s="1337"/>
      <c r="G58" s="1401"/>
      <c r="H58" s="1401"/>
      <c r="I58" s="1338"/>
      <c r="J58" s="1312"/>
      <c r="K58" s="1312"/>
      <c r="M58" s="1311"/>
    </row>
    <row r="59" spans="1:15" s="1284" customFormat="1" ht="13.4" customHeight="1">
      <c r="A59" s="1308" t="s">
        <v>1457</v>
      </c>
      <c r="B59" s="1248"/>
      <c r="C59" s="1311"/>
      <c r="G59" s="1310"/>
      <c r="H59" s="1248"/>
      <c r="I59" s="2142"/>
      <c r="J59" s="1312"/>
      <c r="K59" s="1312"/>
      <c r="M59" s="1311"/>
    </row>
    <row r="60" spans="1:15" ht="17.25" customHeight="1">
      <c r="A60" s="1308" t="s">
        <v>1458</v>
      </c>
      <c r="G60" s="1261"/>
    </row>
    <row r="61" spans="1:15" ht="17.25" customHeight="1">
      <c r="C61" s="1412"/>
      <c r="D61" s="1401"/>
      <c r="E61" s="1336"/>
      <c r="F61" s="1337"/>
      <c r="G61" s="1401"/>
      <c r="H61" s="1401"/>
      <c r="I61" s="1338"/>
    </row>
    <row r="62" spans="1:15" ht="17.25" customHeight="1">
      <c r="C62" s="1412"/>
      <c r="D62" s="1401"/>
      <c r="E62" s="1336"/>
      <c r="F62" s="1337"/>
      <c r="G62" s="1401"/>
      <c r="H62" s="1401"/>
      <c r="I62" s="1338"/>
    </row>
    <row r="63" spans="1:15" ht="17.25" customHeight="1">
      <c r="C63" s="1412"/>
      <c r="D63" s="1401"/>
      <c r="E63" s="1336"/>
      <c r="F63" s="1337"/>
      <c r="G63" s="1401"/>
      <c r="H63" s="1401"/>
      <c r="I63" s="1338"/>
    </row>
    <row r="64" spans="1:15" ht="17.25" customHeight="1">
      <c r="G64" s="1312"/>
    </row>
    <row r="65" spans="3:9" ht="17.25" customHeight="1">
      <c r="C65" s="1412"/>
      <c r="D65" s="1401"/>
      <c r="E65" s="1336"/>
      <c r="F65" s="1337"/>
      <c r="G65" s="1401"/>
      <c r="H65" s="1401"/>
      <c r="I65" s="1338"/>
    </row>
    <row r="67" spans="3:9" ht="17.25" customHeight="1">
      <c r="I67" s="1312"/>
    </row>
    <row r="68" spans="3:9" ht="17.25" customHeight="1">
      <c r="C68" s="1412"/>
      <c r="D68" s="1401"/>
      <c r="E68" s="1336"/>
      <c r="F68" s="1337"/>
      <c r="G68" s="1401"/>
      <c r="H68" s="1401"/>
      <c r="I68" s="1338"/>
    </row>
    <row r="69" spans="3:9" ht="17.25" customHeight="1">
      <c r="G69" s="1312"/>
    </row>
    <row r="70" spans="3:9" ht="17.25" customHeight="1">
      <c r="G70" s="1312"/>
    </row>
    <row r="71" spans="3:9" ht="17.25" customHeight="1">
      <c r="G71" s="1312"/>
    </row>
    <row r="72" spans="3:9" ht="17.25" customHeight="1">
      <c r="I72" s="1414"/>
    </row>
  </sheetData>
  <mergeCells count="2">
    <mergeCell ref="C7:E7"/>
    <mergeCell ref="G7:I7"/>
  </mergeCells>
  <pageMargins left="0.17" right="0.18" top="0.44" bottom="0.27" header="0.23" footer="0.18"/>
  <pageSetup scale="55" firstPageNumber="57" orientation="landscape" useFirstPageNumber="1" r:id="rId1"/>
  <headerFooter scaleWithDoc="0" alignWithMargins="0">
    <oddFooter>&amp;C&amp;8&amp;P</oddFooter>
  </headerFooter>
  <customProperties>
    <customPr name="SheetOptions" r:id="rId2"/>
  </customPropertie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O51"/>
  <sheetViews>
    <sheetView showGridLines="0" zoomScale="70" zoomScaleNormal="80" workbookViewId="0"/>
  </sheetViews>
  <sheetFormatPr defaultColWidth="8.84375" defaultRowHeight="14.5"/>
  <cols>
    <col min="1" max="1" width="58.84375" style="1313" customWidth="1"/>
    <col min="2" max="2" width="2" style="1248" customWidth="1"/>
    <col min="3" max="3" width="21.07421875" style="1284" customWidth="1"/>
    <col min="4" max="4" width="21.84375" style="1284" customWidth="1"/>
    <col min="5" max="5" width="19.84375" style="1284" customWidth="1"/>
    <col min="6" max="6" width="0.84375" style="1284" customWidth="1"/>
    <col min="7" max="7" width="22.07421875" style="1249" customWidth="1"/>
    <col min="8" max="8" width="20.84375" style="1248" customWidth="1"/>
    <col min="9" max="9" width="21.84375" style="1248" customWidth="1"/>
    <col min="10" max="10" width="18.07421875" style="1312" customWidth="1"/>
    <col min="11" max="11" width="17.07421875" style="1248" customWidth="1"/>
    <col min="12" max="12" width="19.07421875" style="1248" customWidth="1"/>
    <col min="13" max="13" width="15.07421875" style="1248" customWidth="1"/>
    <col min="14" max="14" width="16" style="1248" customWidth="1"/>
    <col min="15" max="16384" width="8.84375" style="1248"/>
  </cols>
  <sheetData>
    <row r="1" spans="1:14" ht="15.5">
      <c r="A1" s="326" t="s">
        <v>98</v>
      </c>
    </row>
    <row r="3" spans="1:14" ht="25.4" customHeight="1">
      <c r="A3" s="1291" t="s">
        <v>99</v>
      </c>
      <c r="C3" s="1384"/>
      <c r="D3" s="1384"/>
      <c r="E3" s="1384"/>
      <c r="F3" s="1384"/>
      <c r="I3" s="1385" t="s">
        <v>1459</v>
      </c>
    </row>
    <row r="4" spans="1:14" ht="25.4" customHeight="1">
      <c r="A4" s="1291" t="s">
        <v>1460</v>
      </c>
      <c r="C4" s="1384"/>
      <c r="D4" s="1384"/>
      <c r="E4" s="1384"/>
      <c r="F4" s="1384"/>
    </row>
    <row r="5" spans="1:14" ht="18.649999999999999" customHeight="1">
      <c r="A5" s="1321" t="str">
        <f>'Appendix H'!A5</f>
        <v>FISCAL YEAR 2023-2024</v>
      </c>
      <c r="C5" s="1384"/>
      <c r="D5" s="1384"/>
      <c r="E5" s="1384"/>
      <c r="F5" s="1384"/>
    </row>
    <row r="6" spans="1:14" ht="21">
      <c r="A6" s="1386"/>
      <c r="C6" s="1384"/>
      <c r="D6" s="1384"/>
      <c r="E6" s="1384"/>
      <c r="F6" s="1384"/>
    </row>
    <row r="7" spans="1:14" ht="15.5">
      <c r="A7" s="1387"/>
      <c r="B7" s="1262"/>
      <c r="C7" s="2262" t="str">
        <f>'Appendix H'!C7:E7</f>
        <v>NOVEMBER 2023</v>
      </c>
      <c r="D7" s="2263"/>
      <c r="E7" s="2263"/>
      <c r="F7" s="1388"/>
      <c r="G7" s="2263" t="str">
        <f>'Appendix H'!G7:I7</f>
        <v>8 MONTHS ENDED NOVEMBER 30</v>
      </c>
      <c r="H7" s="2263"/>
      <c r="I7" s="2263"/>
    </row>
    <row r="8" spans="1:14" ht="15.5">
      <c r="A8" s="1387"/>
      <c r="B8" s="1262"/>
      <c r="C8" s="1389"/>
      <c r="D8" s="1389"/>
      <c r="E8" s="1389"/>
      <c r="F8" s="1389"/>
      <c r="G8" s="1390"/>
      <c r="H8" s="1262"/>
      <c r="I8" s="1262"/>
    </row>
    <row r="9" spans="1:14" ht="15.5">
      <c r="A9" s="1391"/>
      <c r="B9" s="1262"/>
      <c r="C9" s="1263" t="s">
        <v>1410</v>
      </c>
      <c r="D9" s="1263" t="s">
        <v>1411</v>
      </c>
      <c r="E9" s="1263" t="str">
        <f>'Appendix H'!E9</f>
        <v>November</v>
      </c>
      <c r="F9" s="1263"/>
      <c r="G9" s="1263" t="s">
        <v>1410</v>
      </c>
      <c r="H9" s="1263" t="s">
        <v>1411</v>
      </c>
      <c r="I9" s="2128" t="s">
        <v>1412</v>
      </c>
      <c r="J9" s="1310"/>
      <c r="K9" s="1252"/>
      <c r="L9" s="1252"/>
      <c r="M9" s="1252"/>
    </row>
    <row r="10" spans="1:14" s="1295" customFormat="1" ht="15.5">
      <c r="A10" s="1294"/>
      <c r="B10" s="1281"/>
      <c r="C10" s="2129"/>
      <c r="D10" s="2129"/>
      <c r="E10" s="2129"/>
      <c r="F10" s="2129"/>
      <c r="G10" s="2197"/>
      <c r="H10" s="1281"/>
      <c r="I10" s="2197"/>
      <c r="J10" s="1366"/>
    </row>
    <row r="11" spans="1:14" s="1299" customFormat="1" ht="15.5">
      <c r="A11" s="1296" t="s">
        <v>1461</v>
      </c>
      <c r="B11" s="1297"/>
      <c r="C11" s="1282">
        <v>35608115.140000001</v>
      </c>
      <c r="D11" s="1282">
        <v>0</v>
      </c>
      <c r="E11" s="1283">
        <f>C11+D11</f>
        <v>35608115.140000001</v>
      </c>
      <c r="F11" s="1283"/>
      <c r="G11" s="1282">
        <v>140867883.47999999</v>
      </c>
      <c r="H11" s="1282">
        <f>D11</f>
        <v>0</v>
      </c>
      <c r="I11" s="1283">
        <f>G11+H11</f>
        <v>140867883.47999999</v>
      </c>
      <c r="J11" s="1367"/>
      <c r="K11" s="1367"/>
      <c r="L11" s="1368"/>
      <c r="M11" s="1368"/>
      <c r="N11" s="1368"/>
    </row>
    <row r="12" spans="1:14" s="1299" customFormat="1" ht="15.5">
      <c r="A12" s="1296" t="s">
        <v>1416</v>
      </c>
      <c r="B12" s="1297"/>
      <c r="C12" s="1256">
        <v>156504.5</v>
      </c>
      <c r="D12" s="1256">
        <v>0</v>
      </c>
      <c r="E12" s="1253">
        <f>C12+D12</f>
        <v>156504.5</v>
      </c>
      <c r="F12" s="1253"/>
      <c r="G12" s="1256">
        <v>663907.15</v>
      </c>
      <c r="H12" s="1256">
        <v>179235015</v>
      </c>
      <c r="I12" s="1253">
        <f>G12+H12</f>
        <v>179898922.15000001</v>
      </c>
      <c r="J12" s="1367"/>
      <c r="K12" s="1367"/>
      <c r="L12" s="1368"/>
      <c r="M12" s="1368"/>
      <c r="N12" s="1368"/>
    </row>
    <row r="13" spans="1:14" s="1299" customFormat="1" ht="15.5">
      <c r="A13" s="1296" t="s">
        <v>1462</v>
      </c>
      <c r="B13" s="1297"/>
      <c r="C13" s="1256">
        <v>317354495.51999998</v>
      </c>
      <c r="D13" s="1256">
        <v>0</v>
      </c>
      <c r="E13" s="1253">
        <f>C13+D13</f>
        <v>317354495.51999998</v>
      </c>
      <c r="F13" s="1253"/>
      <c r="G13" s="1256">
        <v>729826845.12</v>
      </c>
      <c r="H13" s="1256">
        <v>0</v>
      </c>
      <c r="I13" s="1253">
        <f>G13+H13</f>
        <v>729826845.12</v>
      </c>
      <c r="J13" s="1367"/>
      <c r="K13" s="1367"/>
      <c r="L13" s="1368"/>
      <c r="M13" s="1368"/>
      <c r="N13" s="1368"/>
    </row>
    <row r="14" spans="1:14" s="1299" customFormat="1" ht="15.5">
      <c r="A14" s="1296" t="s">
        <v>1429</v>
      </c>
      <c r="B14" s="1297"/>
      <c r="C14" s="1256">
        <v>237431812.22999999</v>
      </c>
      <c r="D14" s="1256">
        <v>0</v>
      </c>
      <c r="E14" s="1253">
        <f t="shared" ref="E14:E23" si="0">C14+D14</f>
        <v>237431812.22999999</v>
      </c>
      <c r="F14" s="1253"/>
      <c r="G14" s="1256">
        <v>2503589999.4299998</v>
      </c>
      <c r="H14" s="1256">
        <f t="shared" ref="H14:H25" si="1">D14</f>
        <v>0</v>
      </c>
      <c r="I14" s="1253">
        <f t="shared" ref="I14:I25" si="2">G14+H14</f>
        <v>2503589999.4299998</v>
      </c>
      <c r="J14" s="1367"/>
      <c r="K14" s="1367"/>
      <c r="L14" s="1368"/>
      <c r="M14" s="1368"/>
      <c r="N14" s="1368"/>
    </row>
    <row r="15" spans="1:14" s="1299" customFormat="1" ht="15.5">
      <c r="A15" s="1296" t="s">
        <v>1431</v>
      </c>
      <c r="B15" s="1297"/>
      <c r="C15" s="1256">
        <v>35782348.810000002</v>
      </c>
      <c r="D15" s="1256">
        <v>0</v>
      </c>
      <c r="E15" s="1253">
        <f t="shared" si="0"/>
        <v>35782348.810000002</v>
      </c>
      <c r="F15" s="1253"/>
      <c r="G15" s="1256">
        <v>280512005.47000003</v>
      </c>
      <c r="H15" s="1256">
        <f t="shared" si="1"/>
        <v>0</v>
      </c>
      <c r="I15" s="1253">
        <f>G15+H15</f>
        <v>280512005.47000003</v>
      </c>
      <c r="J15" s="1367"/>
      <c r="K15" s="1367"/>
      <c r="L15" s="1368"/>
      <c r="M15" s="1368"/>
      <c r="N15" s="1368"/>
    </row>
    <row r="16" spans="1:14" s="1299" customFormat="1" ht="15.5">
      <c r="A16" s="1296" t="s">
        <v>1432</v>
      </c>
      <c r="B16" s="1297"/>
      <c r="C16" s="1256">
        <v>59625781.759999998</v>
      </c>
      <c r="D16" s="1256">
        <v>0</v>
      </c>
      <c r="E16" s="1253">
        <f t="shared" si="0"/>
        <v>59625781.759999998</v>
      </c>
      <c r="F16" s="1253"/>
      <c r="G16" s="1256">
        <v>508733168.81</v>
      </c>
      <c r="H16" s="1256">
        <f t="shared" si="1"/>
        <v>0</v>
      </c>
      <c r="I16" s="1253">
        <f t="shared" si="2"/>
        <v>508733168.81</v>
      </c>
      <c r="J16" s="1367"/>
      <c r="K16" s="1367"/>
      <c r="L16" s="1368"/>
      <c r="M16" s="1368"/>
      <c r="N16" s="1368"/>
    </row>
    <row r="17" spans="1:15" s="1299" customFormat="1" ht="15.5">
      <c r="A17" s="1296" t="s">
        <v>1433</v>
      </c>
      <c r="B17" s="1297"/>
      <c r="C17" s="1256">
        <v>142060108.93000001</v>
      </c>
      <c r="D17" s="1256">
        <v>0</v>
      </c>
      <c r="E17" s="1253">
        <f t="shared" si="0"/>
        <v>142060108.93000001</v>
      </c>
      <c r="F17" s="1253"/>
      <c r="G17" s="1256">
        <v>1392828495.5699999</v>
      </c>
      <c r="H17" s="1256">
        <f t="shared" si="1"/>
        <v>0</v>
      </c>
      <c r="I17" s="1253">
        <f t="shared" si="2"/>
        <v>1392828495.5699999</v>
      </c>
      <c r="J17" s="1367"/>
      <c r="K17" s="1367"/>
      <c r="L17" s="1368"/>
      <c r="M17" s="1368"/>
      <c r="N17" s="1368"/>
    </row>
    <row r="18" spans="1:15" s="1299" customFormat="1" ht="15.5">
      <c r="A18" s="1296" t="s">
        <v>1434</v>
      </c>
      <c r="B18" s="1297"/>
      <c r="C18" s="1256">
        <v>1914118236.95</v>
      </c>
      <c r="D18" s="1256">
        <v>0</v>
      </c>
      <c r="E18" s="1253">
        <f t="shared" si="0"/>
        <v>1914118236.95</v>
      </c>
      <c r="F18" s="1253"/>
      <c r="G18" s="1256">
        <v>14801602370.5</v>
      </c>
      <c r="H18" s="1256">
        <f t="shared" si="1"/>
        <v>0</v>
      </c>
      <c r="I18" s="1253">
        <f t="shared" si="2"/>
        <v>14801602370.5</v>
      </c>
      <c r="J18" s="1367"/>
      <c r="K18" s="1367"/>
      <c r="L18" s="1368"/>
      <c r="M18" s="1368"/>
      <c r="N18" s="1368"/>
    </row>
    <row r="19" spans="1:15" s="1299" customFormat="1" ht="15.5">
      <c r="A19" s="1296" t="s">
        <v>1435</v>
      </c>
      <c r="B19" s="1297"/>
      <c r="C19" s="1256">
        <v>986352707.05999994</v>
      </c>
      <c r="D19" s="1256">
        <v>0</v>
      </c>
      <c r="E19" s="1253">
        <f t="shared" si="0"/>
        <v>986352707.05999994</v>
      </c>
      <c r="F19" s="1253"/>
      <c r="G19" s="1256">
        <f>12601920786.22-290391880.35</f>
        <v>12311528905.869999</v>
      </c>
      <c r="H19" s="1256">
        <f t="shared" si="1"/>
        <v>0</v>
      </c>
      <c r="I19" s="1253">
        <f t="shared" si="2"/>
        <v>12311528905.869999</v>
      </c>
      <c r="J19" s="1367"/>
      <c r="K19" s="1367"/>
      <c r="L19" s="1368"/>
      <c r="M19" s="1368"/>
      <c r="N19" s="1368"/>
    </row>
    <row r="20" spans="1:15" s="1299" customFormat="1" ht="15.5">
      <c r="A20" s="1296" t="s">
        <v>1436</v>
      </c>
      <c r="B20" s="1297"/>
      <c r="C20" s="1256">
        <v>560304724.10000002</v>
      </c>
      <c r="D20" s="1256">
        <v>0</v>
      </c>
      <c r="E20" s="1253">
        <f t="shared" si="0"/>
        <v>560304724.10000002</v>
      </c>
      <c r="F20" s="1253"/>
      <c r="G20" s="1256">
        <v>3886926591.8400002</v>
      </c>
      <c r="H20" s="1256">
        <f t="shared" si="1"/>
        <v>0</v>
      </c>
      <c r="I20" s="1253">
        <f t="shared" si="2"/>
        <v>3886926591.8400002</v>
      </c>
      <c r="J20" s="1367"/>
      <c r="K20" s="1367"/>
      <c r="L20" s="1368"/>
      <c r="M20" s="1368"/>
      <c r="N20" s="1368"/>
    </row>
    <row r="21" spans="1:15" s="1299" customFormat="1" ht="15.5">
      <c r="A21" s="1296" t="s">
        <v>1437</v>
      </c>
      <c r="B21" s="1297"/>
      <c r="C21" s="1256">
        <v>54644501.710000001</v>
      </c>
      <c r="D21" s="1256">
        <v>0</v>
      </c>
      <c r="E21" s="1253">
        <f t="shared" si="0"/>
        <v>54644501.710000001</v>
      </c>
      <c r="F21" s="1253"/>
      <c r="G21" s="1256">
        <v>473503570.73000002</v>
      </c>
      <c r="H21" s="1256">
        <f t="shared" si="1"/>
        <v>0</v>
      </c>
      <c r="I21" s="1253">
        <f t="shared" si="2"/>
        <v>473503570.73000002</v>
      </c>
      <c r="J21" s="1367"/>
      <c r="K21" s="1367"/>
      <c r="L21" s="1368"/>
      <c r="M21" s="1368"/>
      <c r="N21" s="1368"/>
    </row>
    <row r="22" spans="1:15" s="1299" customFormat="1" ht="15.5">
      <c r="A22" s="1296" t="s">
        <v>1438</v>
      </c>
      <c r="B22" s="1297"/>
      <c r="C22" s="1256">
        <v>549367.19999999995</v>
      </c>
      <c r="D22" s="1256">
        <v>0</v>
      </c>
      <c r="E22" s="1253">
        <f t="shared" si="0"/>
        <v>549367.19999999995</v>
      </c>
      <c r="F22" s="1253"/>
      <c r="G22" s="1256">
        <v>4428339.04</v>
      </c>
      <c r="H22" s="1256">
        <f t="shared" si="1"/>
        <v>0</v>
      </c>
      <c r="I22" s="1253">
        <f t="shared" si="2"/>
        <v>4428339.04</v>
      </c>
      <c r="J22" s="1367"/>
      <c r="K22" s="1367"/>
      <c r="L22" s="1368"/>
      <c r="M22" s="1368"/>
      <c r="N22" s="1368"/>
    </row>
    <row r="23" spans="1:15" s="1299" customFormat="1" ht="15.5">
      <c r="A23" s="1296" t="s">
        <v>1463</v>
      </c>
      <c r="B23" s="1297"/>
      <c r="C23" s="1256">
        <v>213403079.22999999</v>
      </c>
      <c r="D23" s="1256">
        <v>0</v>
      </c>
      <c r="E23" s="1253">
        <f t="shared" si="0"/>
        <v>213403079.22999999</v>
      </c>
      <c r="F23" s="1253"/>
      <c r="G23" s="1256">
        <v>153022017.81</v>
      </c>
      <c r="H23" s="1256">
        <v>16977766</v>
      </c>
      <c r="I23" s="1253">
        <f t="shared" si="2"/>
        <v>169999783.81</v>
      </c>
      <c r="J23" s="1367"/>
      <c r="K23" s="1367"/>
      <c r="L23" s="1368"/>
      <c r="M23" s="1368"/>
      <c r="N23" s="1368"/>
    </row>
    <row r="24" spans="1:15" s="1299" customFormat="1" ht="15.5">
      <c r="A24" s="1296" t="s">
        <v>1440</v>
      </c>
      <c r="B24" s="1297"/>
      <c r="C24" s="1256">
        <v>279705893.00999999</v>
      </c>
      <c r="D24" s="1256">
        <v>0</v>
      </c>
      <c r="E24" s="1253">
        <f>C24+D24</f>
        <v>279705893.00999999</v>
      </c>
      <c r="F24" s="1253"/>
      <c r="G24" s="1256">
        <f>1079076915.34-76463184</f>
        <v>1002613731.3399999</v>
      </c>
      <c r="H24" s="1256">
        <f t="shared" si="1"/>
        <v>0</v>
      </c>
      <c r="I24" s="1253">
        <f t="shared" si="2"/>
        <v>1002613731.3399999</v>
      </c>
      <c r="J24" s="1367"/>
      <c r="K24" s="1367"/>
      <c r="L24" s="1368"/>
      <c r="M24" s="1368"/>
      <c r="N24" s="1368"/>
    </row>
    <row r="25" spans="1:15" s="1299" customFormat="1" ht="15.5">
      <c r="A25" s="1296" t="s">
        <v>1449</v>
      </c>
      <c r="B25" s="1297"/>
      <c r="C25" s="1256">
        <v>0</v>
      </c>
      <c r="D25" s="1256">
        <v>0</v>
      </c>
      <c r="E25" s="1253">
        <f>C25</f>
        <v>0</v>
      </c>
      <c r="F25" s="1253"/>
      <c r="G25" s="1256">
        <v>285747858.01999998</v>
      </c>
      <c r="H25" s="1256">
        <f t="shared" si="1"/>
        <v>0</v>
      </c>
      <c r="I25" s="1253">
        <f t="shared" si="2"/>
        <v>285747858.01999998</v>
      </c>
      <c r="J25" s="1367"/>
      <c r="K25" s="1367"/>
      <c r="L25" s="1368"/>
      <c r="M25" s="1368"/>
      <c r="N25" s="1368"/>
    </row>
    <row r="26" spans="1:15" s="1295" customFormat="1" ht="26.15" customHeight="1">
      <c r="A26" s="1301" t="s">
        <v>1450</v>
      </c>
      <c r="B26" s="1281"/>
      <c r="C26" s="1362">
        <f>SUM(C11:C25)</f>
        <v>4837097676.1499996</v>
      </c>
      <c r="D26" s="1362">
        <f>SUM(D11:D25)</f>
        <v>0</v>
      </c>
      <c r="E26" s="1362">
        <f>SUM(E11:E25)</f>
        <v>4837097676.1499996</v>
      </c>
      <c r="F26" s="1363"/>
      <c r="G26" s="1362">
        <f>SUM(G11:G25)</f>
        <v>38476395690.179993</v>
      </c>
      <c r="H26" s="1362">
        <f>SUM(H11:H25)</f>
        <v>196212781</v>
      </c>
      <c r="I26" s="1362">
        <f>SUM(I11:I25)</f>
        <v>38672608471.179993</v>
      </c>
      <c r="J26" s="1367"/>
      <c r="K26" s="1367"/>
      <c r="L26" s="1368"/>
      <c r="M26" s="1368"/>
      <c r="N26" s="1368"/>
      <c r="O26" s="1299"/>
    </row>
    <row r="27" spans="1:15" ht="6.65" customHeight="1">
      <c r="A27" s="1392"/>
      <c r="B27" s="1262"/>
      <c r="C27" s="2130"/>
      <c r="D27" s="2130"/>
      <c r="E27" s="2130"/>
      <c r="F27" s="2130"/>
      <c r="G27" s="1261"/>
      <c r="H27" s="1261"/>
      <c r="I27" s="1261"/>
      <c r="K27" s="1367"/>
      <c r="L27" s="1368"/>
      <c r="N27" s="1368"/>
      <c r="O27" s="1299"/>
    </row>
    <row r="28" spans="1:15" ht="42" customHeight="1">
      <c r="A28" s="1303" t="s">
        <v>1464</v>
      </c>
      <c r="B28" s="1262"/>
      <c r="C28" s="1393">
        <v>384713066.06999999</v>
      </c>
      <c r="D28" s="1394">
        <v>0</v>
      </c>
      <c r="E28" s="1395">
        <f>+C28</f>
        <v>384713066.06999999</v>
      </c>
      <c r="F28" s="1396"/>
      <c r="G28" s="1397">
        <v>-1484854198.5599999</v>
      </c>
      <c r="H28" s="1397">
        <v>0</v>
      </c>
      <c r="I28" s="1398">
        <f>G28+H28</f>
        <v>-1484854198.5599999</v>
      </c>
      <c r="J28" s="1310"/>
      <c r="K28" s="1367"/>
      <c r="L28" s="1368"/>
      <c r="N28" s="1368"/>
      <c r="O28" s="1299"/>
    </row>
    <row r="29" spans="1:15" ht="15.65" customHeight="1">
      <c r="A29" s="1304"/>
      <c r="B29" s="1262"/>
      <c r="C29" s="2131"/>
      <c r="D29" s="2131"/>
      <c r="E29" s="2131"/>
      <c r="F29" s="2131"/>
      <c r="G29" s="2198"/>
      <c r="H29" s="2198"/>
      <c r="I29" s="2198"/>
      <c r="K29" s="1367"/>
      <c r="L29" s="1368"/>
      <c r="N29" s="1368"/>
      <c r="O29" s="1299"/>
    </row>
    <row r="30" spans="1:15" ht="18" thickBot="1">
      <c r="A30" s="1304" t="s">
        <v>1465</v>
      </c>
      <c r="B30" s="1262"/>
      <c r="C30" s="1264">
        <f>+C26+C28</f>
        <v>5221810742.2199993</v>
      </c>
      <c r="D30" s="1264">
        <f>D26</f>
        <v>0</v>
      </c>
      <c r="E30" s="1264">
        <f>E26+E28</f>
        <v>5221810742.2199993</v>
      </c>
      <c r="F30" s="1283"/>
      <c r="G30" s="1264">
        <f>+G26+G28</f>
        <v>36991541491.619995</v>
      </c>
      <c r="H30" s="1264">
        <f>H26</f>
        <v>196212781</v>
      </c>
      <c r="I30" s="1264">
        <f>I26+I28</f>
        <v>37187754272.619995</v>
      </c>
      <c r="J30" s="1261"/>
      <c r="K30" s="1367"/>
      <c r="L30" s="1368"/>
      <c r="N30" s="1368"/>
      <c r="O30" s="1299"/>
    </row>
    <row r="31" spans="1:15" ht="15" thickTop="1">
      <c r="C31" s="1399"/>
      <c r="D31" s="1399"/>
      <c r="E31" s="1399"/>
      <c r="F31" s="1399"/>
      <c r="G31" s="2199"/>
      <c r="H31" s="1252"/>
      <c r="I31" s="1252"/>
    </row>
    <row r="32" spans="1:15" ht="16.399999999999999" customHeight="1">
      <c r="A32" s="1307" t="s">
        <v>1466</v>
      </c>
      <c r="C32" s="1399"/>
      <c r="D32" s="2200"/>
      <c r="E32" s="1400" t="s">
        <v>104</v>
      </c>
      <c r="F32" s="1399"/>
      <c r="G32" s="1401" t="s">
        <v>104</v>
      </c>
      <c r="H32" s="1310"/>
      <c r="I32" s="1310" t="s">
        <v>104</v>
      </c>
      <c r="J32" s="1261"/>
    </row>
    <row r="33" spans="1:10" ht="16.399999999999999" customHeight="1">
      <c r="A33" s="1308" t="s">
        <v>1454</v>
      </c>
      <c r="C33" s="1402"/>
      <c r="D33" s="1402"/>
      <c r="E33" s="1403"/>
      <c r="F33" s="1404"/>
      <c r="G33" s="1401"/>
      <c r="H33" s="1401"/>
      <c r="I33" s="1405" t="s">
        <v>104</v>
      </c>
      <c r="J33" s="1366"/>
    </row>
    <row r="34" spans="1:10" ht="14.9" customHeight="1">
      <c r="A34" s="1406" t="s">
        <v>1455</v>
      </c>
      <c r="C34" s="1407"/>
      <c r="D34" s="1408"/>
      <c r="E34" s="1409" t="s">
        <v>104</v>
      </c>
      <c r="F34" s="409"/>
      <c r="G34" s="1261" t="s">
        <v>104</v>
      </c>
      <c r="H34" s="1261"/>
      <c r="I34" s="1410"/>
      <c r="J34" s="1310"/>
    </row>
    <row r="35" spans="1:10" ht="16.399999999999999" customHeight="1">
      <c r="A35" s="1406" t="s">
        <v>1467</v>
      </c>
      <c r="C35" s="1400"/>
      <c r="D35" s="1399"/>
      <c r="E35" s="1400" t="s">
        <v>104</v>
      </c>
      <c r="F35" s="1399"/>
      <c r="G35" s="1261" t="s">
        <v>104</v>
      </c>
      <c r="H35" s="1252"/>
      <c r="I35" s="1310" t="s">
        <v>104</v>
      </c>
      <c r="J35" s="1310"/>
    </row>
    <row r="36" spans="1:10" ht="16.399999999999999" customHeight="1">
      <c r="A36" s="1406" t="s">
        <v>1468</v>
      </c>
      <c r="C36" s="1400"/>
      <c r="D36" s="1399"/>
      <c r="E36" s="1400" t="s">
        <v>104</v>
      </c>
      <c r="F36" s="1399"/>
      <c r="G36" s="1310" t="s">
        <v>104</v>
      </c>
      <c r="H36" s="1252"/>
      <c r="I36" s="1252"/>
      <c r="J36" s="1310"/>
    </row>
    <row r="37" spans="1:10">
      <c r="C37" s="1399" t="s">
        <v>104</v>
      </c>
      <c r="D37" s="1400" t="s">
        <v>104</v>
      </c>
      <c r="E37" s="1399" t="s">
        <v>104</v>
      </c>
      <c r="F37" s="1399"/>
      <c r="G37" s="1310"/>
      <c r="H37" s="1252"/>
      <c r="I37" s="1252"/>
    </row>
    <row r="38" spans="1:10" ht="15.5">
      <c r="C38" s="1393"/>
      <c r="D38" s="1394"/>
      <c r="E38" s="1395"/>
      <c r="F38" s="1396"/>
      <c r="G38" s="1397"/>
      <c r="H38" s="1397"/>
      <c r="I38" s="1398"/>
    </row>
    <row r="39" spans="1:10" ht="29.25" customHeight="1">
      <c r="C39" s="1393"/>
      <c r="D39" s="1394"/>
      <c r="E39" s="1395"/>
      <c r="F39" s="1396"/>
      <c r="G39" s="1397"/>
      <c r="H39" s="1397"/>
      <c r="I39" s="1398"/>
      <c r="J39" s="2146"/>
    </row>
    <row r="40" spans="1:10" ht="30.75" customHeight="1">
      <c r="B40" s="1312"/>
      <c r="C40" s="1311"/>
      <c r="D40" s="1311"/>
      <c r="E40" s="1311"/>
      <c r="F40" s="1311"/>
      <c r="G40" s="1411"/>
      <c r="H40" s="1312"/>
      <c r="I40" s="1312"/>
    </row>
    <row r="41" spans="1:10" ht="15.5">
      <c r="B41" s="1312"/>
      <c r="C41" s="1412"/>
      <c r="D41" s="1394"/>
      <c r="E41" s="1395"/>
      <c r="F41" s="1396"/>
      <c r="G41" s="1401"/>
      <c r="H41" s="1397"/>
      <c r="I41" s="1398"/>
    </row>
    <row r="42" spans="1:10" ht="15.5">
      <c r="B42" s="1312"/>
      <c r="C42" s="1311"/>
      <c r="D42" s="1311"/>
      <c r="E42" s="1311"/>
      <c r="F42" s="1311"/>
      <c r="G42" s="1312"/>
      <c r="H42" s="1312"/>
      <c r="I42" s="1261"/>
    </row>
    <row r="43" spans="1:10">
      <c r="B43" s="1312"/>
      <c r="C43" s="1311"/>
      <c r="D43" s="1311"/>
      <c r="E43" s="1311"/>
      <c r="F43" s="1311"/>
      <c r="G43" s="1312"/>
      <c r="H43" s="1312"/>
      <c r="I43" s="1312"/>
    </row>
    <row r="44" spans="1:10">
      <c r="B44" s="1312"/>
      <c r="C44" s="1311"/>
      <c r="D44" s="1311"/>
      <c r="E44" s="1311"/>
      <c r="F44" s="1311"/>
      <c r="G44" s="1312"/>
      <c r="H44" s="1312"/>
      <c r="I44" s="1310"/>
    </row>
    <row r="45" spans="1:10">
      <c r="B45" s="1312"/>
      <c r="C45" s="1311"/>
      <c r="D45" s="1311"/>
      <c r="E45" s="1311"/>
      <c r="F45" s="1311"/>
      <c r="G45" s="1312"/>
      <c r="H45" s="1312"/>
      <c r="I45" s="1310"/>
    </row>
    <row r="46" spans="1:10">
      <c r="B46" s="1312"/>
      <c r="C46" s="1311"/>
      <c r="D46" s="1311"/>
      <c r="E46" s="1311"/>
      <c r="F46" s="1311"/>
      <c r="G46" s="1312"/>
      <c r="H46" s="1312"/>
      <c r="I46" s="1312"/>
    </row>
    <row r="47" spans="1:10">
      <c r="B47" s="1312"/>
      <c r="C47" s="1311"/>
      <c r="D47" s="1311"/>
      <c r="E47" s="1311"/>
      <c r="F47" s="1311"/>
      <c r="G47" s="1312"/>
      <c r="H47" s="1312"/>
      <c r="I47" s="1312"/>
    </row>
    <row r="48" spans="1:10">
      <c r="B48" s="1312"/>
      <c r="C48" s="1311"/>
      <c r="D48" s="1311"/>
      <c r="E48" s="1311"/>
      <c r="F48" s="1311"/>
      <c r="G48" s="1312"/>
      <c r="H48" s="1312"/>
      <c r="I48" s="1312"/>
    </row>
    <row r="49" spans="2:9">
      <c r="B49" s="1312"/>
      <c r="C49" s="1311"/>
      <c r="D49" s="1311"/>
      <c r="E49" s="1311"/>
      <c r="F49" s="1311"/>
      <c r="G49" s="1312"/>
      <c r="H49" s="1312"/>
      <c r="I49" s="1312"/>
    </row>
    <row r="50" spans="2:9">
      <c r="B50" s="1312"/>
      <c r="C50" s="1311"/>
      <c r="D50" s="1311"/>
      <c r="E50" s="1311"/>
      <c r="F50" s="1311"/>
      <c r="G50" s="1312"/>
      <c r="H50" s="1312"/>
      <c r="I50" s="1312"/>
    </row>
    <row r="51" spans="2:9">
      <c r="B51" s="1312"/>
      <c r="C51" s="1311"/>
      <c r="D51" s="1311"/>
      <c r="E51" s="1311"/>
      <c r="F51" s="1311"/>
      <c r="G51" s="1312"/>
      <c r="H51" s="1312"/>
      <c r="I51" s="1312"/>
    </row>
  </sheetData>
  <mergeCells count="2">
    <mergeCell ref="C7:E7"/>
    <mergeCell ref="G7:I7"/>
  </mergeCells>
  <pageMargins left="0.17" right="0.18" top="0.5" bottom="0.27" header="0.23" footer="0.18"/>
  <pageSetup scale="55" firstPageNumber="58" orientation="landscape" useFirstPageNumber="1" r:id="rId1"/>
  <headerFooter scaleWithDoc="0" alignWithMargins="0">
    <oddFooter>&amp;C&amp;8&amp;P</oddFooter>
  </headerFooter>
  <customProperties>
    <customPr name="SheetOptions" r:id="rId2"/>
  </customPropertie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9">
    <pageSetUpPr autoPageBreaks="0" fitToPage="1"/>
  </sheetPr>
  <dimension ref="A1:V57"/>
  <sheetViews>
    <sheetView showGridLines="0" zoomScale="90" zoomScaleNormal="80" workbookViewId="0"/>
  </sheetViews>
  <sheetFormatPr defaultColWidth="8.84375" defaultRowHeight="15.5"/>
  <cols>
    <col min="1" max="1" width="44.84375" style="13" customWidth="1"/>
    <col min="2" max="2" width="13.84375" style="13" customWidth="1"/>
    <col min="3" max="3" width="1.84375" style="13" customWidth="1"/>
    <col min="4" max="4" width="13.84375" style="13" customWidth="1"/>
    <col min="5" max="5" width="1.53515625" style="13" customWidth="1"/>
    <col min="6" max="6" width="13.84375" style="13" customWidth="1"/>
    <col min="7" max="7" width="1.84375" style="13" customWidth="1"/>
    <col min="8" max="8" width="13.84375" style="13" customWidth="1"/>
    <col min="9" max="9" width="0.84375" style="13" customWidth="1"/>
    <col min="10" max="10" width="12.84375" style="13" customWidth="1"/>
    <col min="11" max="11" width="1.53515625" style="13" customWidth="1"/>
    <col min="12" max="12" width="13.84375" style="13" customWidth="1"/>
    <col min="13" max="13" width="1" style="13" customWidth="1"/>
    <col min="14" max="14" width="13.4609375" style="13" customWidth="1"/>
    <col min="15" max="15" width="1.07421875" style="13" customWidth="1"/>
    <col min="16" max="16" width="13.07421875" style="13" customWidth="1"/>
    <col min="17" max="17" width="1.53515625" style="13" customWidth="1"/>
    <col min="18" max="18" width="1" style="13" customWidth="1"/>
    <col min="19" max="19" width="11.84375" style="13" customWidth="1"/>
    <col min="20" max="20" width="0.84375" style="13" customWidth="1"/>
    <col min="21" max="21" width="10.84375" style="13" customWidth="1"/>
    <col min="22" max="22" width="3.07421875" style="13" customWidth="1"/>
    <col min="23" max="16384" width="8.84375" style="13"/>
  </cols>
  <sheetData>
    <row r="1" spans="1:22">
      <c r="A1" s="326" t="s">
        <v>98</v>
      </c>
    </row>
    <row r="2" spans="1:22">
      <c r="A2" s="431"/>
    </row>
    <row r="3" spans="1:22" s="8" customFormat="1" ht="18" customHeight="1">
      <c r="A3" s="6" t="s">
        <v>99</v>
      </c>
      <c r="B3" s="6"/>
      <c r="C3" s="6"/>
      <c r="D3" s="6"/>
      <c r="E3" s="6"/>
      <c r="F3" s="466"/>
      <c r="G3" s="466"/>
      <c r="H3" s="6"/>
      <c r="I3" s="6"/>
      <c r="J3" s="6"/>
      <c r="K3" s="6"/>
      <c r="L3" s="6"/>
      <c r="M3" s="6"/>
      <c r="N3" s="1210"/>
      <c r="O3" s="2215"/>
      <c r="P3" s="2215"/>
      <c r="Q3" s="623"/>
      <c r="R3" s="623"/>
      <c r="S3" s="353"/>
      <c r="T3" s="431"/>
      <c r="U3" s="2216" t="s">
        <v>222</v>
      </c>
      <c r="V3" s="2216"/>
    </row>
    <row r="4" spans="1:22" s="8" customFormat="1">
      <c r="A4" s="6" t="s">
        <v>223</v>
      </c>
      <c r="B4" s="6"/>
      <c r="C4" s="6"/>
      <c r="D4" s="6"/>
      <c r="E4" s="6"/>
      <c r="F4" s="466"/>
      <c r="G4" s="466"/>
      <c r="H4" s="6"/>
      <c r="I4" s="6"/>
      <c r="J4" s="6"/>
      <c r="K4" s="6"/>
      <c r="L4" s="6"/>
      <c r="M4" s="6"/>
      <c r="N4" s="6"/>
      <c r="O4" s="6"/>
      <c r="P4" s="6"/>
      <c r="Q4" s="6"/>
      <c r="R4" s="6"/>
      <c r="S4" s="353"/>
      <c r="T4" s="431"/>
      <c r="U4" s="431"/>
      <c r="V4" s="431"/>
    </row>
    <row r="5" spans="1:22" s="8" customFormat="1" ht="15.75" customHeight="1">
      <c r="A5" s="2006" t="s">
        <v>160</v>
      </c>
      <c r="B5" s="6"/>
      <c r="C5" s="6"/>
      <c r="D5" s="6"/>
      <c r="E5" s="6"/>
      <c r="F5" s="466"/>
      <c r="G5" s="466"/>
      <c r="H5" s="6"/>
      <c r="I5" s="6"/>
      <c r="J5" s="6"/>
      <c r="K5" s="6"/>
      <c r="L5" s="6"/>
      <c r="M5" s="6"/>
      <c r="N5" s="6"/>
      <c r="O5" s="6"/>
      <c r="P5" s="6" t="s">
        <v>104</v>
      </c>
      <c r="Q5" s="6"/>
      <c r="R5" s="6"/>
      <c r="S5" s="353"/>
      <c r="T5" s="431"/>
      <c r="U5" s="431"/>
      <c r="V5" s="431"/>
    </row>
    <row r="6" spans="1:22" s="8" customFormat="1">
      <c r="A6" s="6" t="s">
        <v>103</v>
      </c>
      <c r="B6" s="6"/>
      <c r="C6" s="6"/>
      <c r="D6" s="6"/>
      <c r="E6" s="6"/>
      <c r="F6" s="466"/>
      <c r="G6" s="466"/>
      <c r="H6" s="6"/>
      <c r="I6" s="6"/>
      <c r="J6" s="6"/>
      <c r="K6" s="6"/>
      <c r="L6" s="6"/>
      <c r="M6" s="6"/>
      <c r="N6" s="6"/>
      <c r="O6" s="6"/>
      <c r="P6" s="6"/>
      <c r="Q6" s="6"/>
      <c r="R6" s="6"/>
      <c r="S6" s="353"/>
      <c r="T6" s="431"/>
      <c r="U6" s="431"/>
      <c r="V6" s="431"/>
    </row>
    <row r="7" spans="1:22" s="8" customFormat="1">
      <c r="A7" s="9"/>
      <c r="B7" s="6"/>
      <c r="C7" s="6"/>
      <c r="D7" s="6"/>
      <c r="E7" s="6"/>
      <c r="F7" s="466"/>
      <c r="G7" s="466"/>
      <c r="H7" s="6"/>
      <c r="I7" s="6"/>
      <c r="J7" s="6"/>
      <c r="K7" s="6"/>
      <c r="L7" s="6"/>
      <c r="M7" s="6"/>
      <c r="N7" s="6"/>
      <c r="O7" s="6"/>
      <c r="P7" s="6"/>
      <c r="Q7" s="6"/>
      <c r="R7" s="6"/>
      <c r="S7" s="353"/>
      <c r="T7" s="431"/>
      <c r="U7" s="431"/>
      <c r="V7" s="431"/>
    </row>
    <row r="8" spans="1:22" s="8" customFormat="1">
      <c r="A8" s="353"/>
      <c r="B8" s="6"/>
      <c r="C8" s="6"/>
      <c r="D8" s="6"/>
      <c r="E8" s="6"/>
      <c r="F8" s="466"/>
      <c r="G8" s="466"/>
      <c r="H8" s="6"/>
      <c r="I8" s="6"/>
      <c r="J8" s="6"/>
      <c r="K8" s="6"/>
      <c r="L8" s="6"/>
      <c r="M8" s="6"/>
      <c r="N8" s="6"/>
      <c r="O8" s="6"/>
      <c r="P8" s="6"/>
      <c r="Q8" s="6"/>
      <c r="R8" s="6"/>
      <c r="S8" s="353"/>
      <c r="T8" s="431"/>
      <c r="U8" s="431"/>
      <c r="V8" s="431"/>
    </row>
    <row r="9" spans="1:22" s="8" customFormat="1" ht="8.15" customHeight="1">
      <c r="A9" s="353"/>
      <c r="B9" s="6"/>
      <c r="C9" s="6"/>
      <c r="D9" s="6"/>
      <c r="E9" s="6"/>
      <c r="F9" s="6"/>
      <c r="G9" s="466"/>
      <c r="H9" s="6"/>
      <c r="I9" s="6"/>
      <c r="J9" s="6"/>
      <c r="K9" s="6"/>
      <c r="L9" s="6"/>
      <c r="M9" s="6"/>
      <c r="N9" s="6"/>
      <c r="O9" s="6"/>
      <c r="P9" s="6"/>
      <c r="Q9" s="6"/>
      <c r="R9" s="6"/>
      <c r="S9" s="353"/>
      <c r="T9" s="353"/>
      <c r="U9" s="353"/>
      <c r="V9" s="466"/>
    </row>
    <row r="10" spans="1:22" s="8" customFormat="1">
      <c r="A10" s="353"/>
      <c r="B10" s="6"/>
      <c r="C10" s="6"/>
      <c r="D10" s="6"/>
      <c r="E10" s="6"/>
      <c r="F10" s="6"/>
      <c r="G10" s="466"/>
      <c r="H10" s="6"/>
      <c r="I10" s="6"/>
      <c r="J10" s="6"/>
      <c r="K10" s="6"/>
      <c r="L10" s="6"/>
      <c r="M10" s="6"/>
      <c r="N10" s="6"/>
      <c r="O10" s="6"/>
      <c r="P10" s="6"/>
      <c r="Q10" s="6"/>
      <c r="R10" s="6"/>
      <c r="S10" s="353"/>
      <c r="T10" s="431"/>
      <c r="U10" s="431"/>
      <c r="V10" s="431"/>
    </row>
    <row r="11" spans="1:22" s="8" customFormat="1">
      <c r="A11" s="353"/>
      <c r="B11" s="6"/>
      <c r="C11" s="6"/>
      <c r="D11" s="6"/>
      <c r="E11" s="6"/>
      <c r="F11" s="6"/>
      <c r="G11" s="466"/>
      <c r="H11" s="6"/>
      <c r="I11" s="6"/>
      <c r="J11" s="353"/>
      <c r="K11" s="66"/>
      <c r="L11" s="624"/>
      <c r="M11" s="1441"/>
      <c r="N11" s="66"/>
      <c r="O11" s="66"/>
      <c r="P11" s="66"/>
      <c r="Q11" s="66"/>
      <c r="R11" s="66"/>
      <c r="S11" s="353"/>
      <c r="T11" s="431"/>
      <c r="U11" s="431"/>
      <c r="V11" s="431"/>
    </row>
    <row r="12" spans="1:22" ht="16.399999999999999" customHeight="1">
      <c r="A12" s="353"/>
      <c r="B12" s="66"/>
      <c r="C12" s="66" t="s">
        <v>224</v>
      </c>
      <c r="D12" s="66"/>
      <c r="E12" s="6"/>
      <c r="F12" s="66"/>
      <c r="G12" s="66" t="s">
        <v>225</v>
      </c>
      <c r="H12" s="66"/>
      <c r="I12" s="6"/>
      <c r="J12" s="66"/>
      <c r="K12" s="66"/>
      <c r="L12" s="624"/>
      <c r="M12" s="66" t="s">
        <v>226</v>
      </c>
      <c r="N12" s="66"/>
      <c r="O12" s="66"/>
      <c r="P12" s="66"/>
      <c r="Q12" s="66"/>
      <c r="R12" s="66"/>
      <c r="S12" s="891" t="s">
        <v>227</v>
      </c>
      <c r="T12" s="892"/>
      <c r="U12" s="892"/>
      <c r="V12" s="11"/>
    </row>
    <row r="13" spans="1:22" ht="13.4" customHeight="1">
      <c r="A13" s="353"/>
      <c r="B13" s="1442"/>
      <c r="C13" s="1442"/>
      <c r="D13" s="1442"/>
      <c r="E13" s="353"/>
      <c r="F13" s="1442"/>
      <c r="G13" s="1443"/>
      <c r="H13" s="1442"/>
      <c r="I13" s="353"/>
      <c r="J13" s="1442"/>
      <c r="K13" s="1442"/>
      <c r="L13" s="1442"/>
      <c r="M13" s="1442"/>
      <c r="N13" s="1442"/>
      <c r="O13" s="1442"/>
      <c r="P13" s="1442"/>
      <c r="Q13" s="353"/>
      <c r="R13" s="508"/>
      <c r="S13" s="10"/>
      <c r="T13" s="12"/>
      <c r="U13" s="12"/>
      <c r="V13" s="12"/>
    </row>
    <row r="14" spans="1:22" ht="16.399999999999999" customHeight="1">
      <c r="A14" s="353"/>
      <c r="B14" s="66" t="s">
        <v>110</v>
      </c>
      <c r="C14" s="6"/>
      <c r="D14" s="66" t="str">
        <f>'Exhibit A'!F11</f>
        <v>8 MOS. ENDED</v>
      </c>
      <c r="E14" s="6"/>
      <c r="F14" s="66" t="s">
        <v>110</v>
      </c>
      <c r="G14" s="72"/>
      <c r="H14" s="66" t="str">
        <f>D14</f>
        <v>8 MOS. ENDED</v>
      </c>
      <c r="I14" s="6"/>
      <c r="J14" s="66" t="s">
        <v>110</v>
      </c>
      <c r="K14" s="6"/>
      <c r="L14" s="66" t="str">
        <f>D14</f>
        <v>8 MOS. ENDED</v>
      </c>
      <c r="M14" s="6"/>
      <c r="N14" s="66" t="s">
        <v>110</v>
      </c>
      <c r="O14" s="6"/>
      <c r="P14" s="66" t="str">
        <f>H14</f>
        <v>8 MOS. ENDED</v>
      </c>
      <c r="Q14" s="66"/>
      <c r="R14" s="500"/>
      <c r="S14" s="389" t="s">
        <v>111</v>
      </c>
      <c r="T14" s="72"/>
      <c r="U14" s="390" t="s">
        <v>112</v>
      </c>
      <c r="V14" s="12"/>
    </row>
    <row r="15" spans="1:22" ht="16.399999999999999" customHeight="1">
      <c r="A15" s="353"/>
      <c r="B15" s="383" t="str">
        <f>'Exhibit A'!D12</f>
        <v>NOV. 2023</v>
      </c>
      <c r="C15" s="6"/>
      <c r="D15" s="384" t="str">
        <f>'Exhibit A'!F12</f>
        <v>NOV. 30, 2023</v>
      </c>
      <c r="E15" s="6"/>
      <c r="F15" s="66" t="str">
        <f>B15</f>
        <v>NOV. 2023</v>
      </c>
      <c r="G15" s="6"/>
      <c r="H15" s="66" t="str">
        <f>D15</f>
        <v>NOV. 30, 2023</v>
      </c>
      <c r="I15" s="6"/>
      <c r="J15" s="66" t="str">
        <f>B15</f>
        <v>NOV. 2023</v>
      </c>
      <c r="K15" s="6"/>
      <c r="L15" s="66" t="str">
        <f>'Exhibit A'!X12</f>
        <v>NOV. 30, 2023</v>
      </c>
      <c r="M15" s="6"/>
      <c r="N15" s="2010" t="str">
        <f>'Exhibit A'!AB12</f>
        <v>NOV. 2022</v>
      </c>
      <c r="O15" s="6"/>
      <c r="P15" s="2010" t="str">
        <f>'Exhibit A'!AD12</f>
        <v>NOV. 30, 2022</v>
      </c>
      <c r="Q15" s="382"/>
      <c r="R15" s="501"/>
      <c r="S15" s="2009" t="s">
        <v>113</v>
      </c>
      <c r="T15" s="72"/>
      <c r="U15" s="1444" t="s">
        <v>114</v>
      </c>
      <c r="V15" s="12"/>
    </row>
    <row r="16" spans="1:22" ht="13.4" customHeight="1">
      <c r="A16" s="353"/>
      <c r="B16" s="1442"/>
      <c r="C16" s="353"/>
      <c r="D16" s="1442" t="s">
        <v>104</v>
      </c>
      <c r="E16" s="353"/>
      <c r="F16" s="1442"/>
      <c r="G16" s="353"/>
      <c r="H16" s="1443" t="s">
        <v>104</v>
      </c>
      <c r="I16" s="1164"/>
      <c r="J16" s="1445"/>
      <c r="K16" s="353"/>
      <c r="L16" s="1442"/>
      <c r="M16" s="1164"/>
      <c r="N16" s="353"/>
      <c r="O16" s="353"/>
      <c r="P16" s="353"/>
      <c r="Q16" s="353"/>
      <c r="R16" s="508"/>
      <c r="S16" s="10"/>
      <c r="T16" s="353"/>
      <c r="U16" s="12"/>
      <c r="V16" s="353"/>
    </row>
    <row r="17" spans="1:22" ht="16.399999999999999" customHeight="1">
      <c r="A17" s="6" t="s">
        <v>115</v>
      </c>
      <c r="B17" s="353"/>
      <c r="C17" s="353"/>
      <c r="D17" s="353"/>
      <c r="E17" s="353"/>
      <c r="F17" s="353"/>
      <c r="G17" s="353"/>
      <c r="H17" s="353"/>
      <c r="I17" s="1164"/>
      <c r="J17" s="1164"/>
      <c r="K17" s="353"/>
      <c r="L17" s="353"/>
      <c r="M17" s="1164"/>
      <c r="N17" s="353"/>
      <c r="O17" s="353"/>
      <c r="P17" s="353"/>
      <c r="Q17" s="353"/>
      <c r="R17" s="508"/>
      <c r="S17" s="10"/>
      <c r="T17" s="353"/>
      <c r="U17" s="12"/>
      <c r="V17" s="353"/>
    </row>
    <row r="18" spans="1:22" ht="16.399999999999999" customHeight="1">
      <c r="A18" s="353" t="s">
        <v>120</v>
      </c>
      <c r="B18" s="335">
        <f>'Exhibit J'!Q19</f>
        <v>256.70000000000056</v>
      </c>
      <c r="C18" s="335"/>
      <c r="D18" s="335">
        <f>+'Exhibit J'!AB19</f>
        <v>2302.3000000000002</v>
      </c>
      <c r="E18" s="335"/>
      <c r="F18" s="335">
        <f>'Exhibit K'!P17</f>
        <v>41.700000000000067</v>
      </c>
      <c r="G18" s="335"/>
      <c r="H18" s="335">
        <f>+'Exhibit K'!AA17</f>
        <v>312.10000000000002</v>
      </c>
      <c r="I18" s="552"/>
      <c r="J18" s="552">
        <f>ROUND(SUM(B18)+SUM(F18),1)</f>
        <v>298.39999999999998</v>
      </c>
      <c r="K18" s="335"/>
      <c r="L18" s="1446">
        <f>ROUND(SUM(D18)+SUM(H18),1)</f>
        <v>2614.4</v>
      </c>
      <c r="M18" s="552"/>
      <c r="N18" s="335">
        <v>387.5</v>
      </c>
      <c r="O18" s="335"/>
      <c r="P18" s="335">
        <f>'Exhibit J'!AE19+'Exhibit K'!AD17</f>
        <v>2454.1</v>
      </c>
      <c r="Q18" s="335"/>
      <c r="R18" s="646"/>
      <c r="S18" s="335">
        <f>ROUND(SUM(L18-P18),1)</f>
        <v>160.30000000000001</v>
      </c>
      <c r="T18" s="483"/>
      <c r="U18" s="344">
        <f>ROUND(+S18/P18,3)</f>
        <v>6.5000000000000002E-2</v>
      </c>
      <c r="V18" s="483"/>
    </row>
    <row r="19" spans="1:22" ht="16.399999999999999" customHeight="1">
      <c r="A19" s="427" t="s">
        <v>228</v>
      </c>
      <c r="B19" s="325">
        <f>'Exhibit J'!Q20</f>
        <v>1.8000000000000007</v>
      </c>
      <c r="C19" s="325"/>
      <c r="D19" s="325">
        <f>+'Exhibit J'!AB20</f>
        <v>18.8</v>
      </c>
      <c r="E19" s="325"/>
      <c r="F19" s="336">
        <v>0</v>
      </c>
      <c r="G19" s="325"/>
      <c r="H19" s="336">
        <v>0</v>
      </c>
      <c r="I19" s="1447"/>
      <c r="J19" s="647">
        <f>ROUND(SUM(B19)+SUM(F19),1)</f>
        <v>1.8</v>
      </c>
      <c r="K19" s="325"/>
      <c r="L19" s="325">
        <f>ROUND(SUM(D19)+SUM(H19),1)</f>
        <v>18.8</v>
      </c>
      <c r="M19" s="648"/>
      <c r="N19" s="325">
        <v>4.0999999999999996</v>
      </c>
      <c r="O19" s="325"/>
      <c r="P19" s="325">
        <f>'Exhibit J'!AE20</f>
        <v>62.3</v>
      </c>
      <c r="Q19" s="325"/>
      <c r="R19" s="649"/>
      <c r="S19" s="325">
        <f>ROUND(SUM(L19-P19),1)</f>
        <v>-43.5</v>
      </c>
      <c r="T19" s="650"/>
      <c r="U19" s="684">
        <f>ROUND(+S19/P19,3)</f>
        <v>-0.69799999999999995</v>
      </c>
      <c r="V19" s="329"/>
    </row>
    <row r="20" spans="1:22" ht="16.399999999999999" customHeight="1">
      <c r="A20" s="353" t="s">
        <v>229</v>
      </c>
      <c r="B20" s="325">
        <f>'Exhibit J'!Q21</f>
        <v>226.90000000000009</v>
      </c>
      <c r="C20" s="325"/>
      <c r="D20" s="325">
        <f>+'Exhibit J'!AB21</f>
        <v>1664</v>
      </c>
      <c r="E20" s="325"/>
      <c r="F20" s="336">
        <v>0</v>
      </c>
      <c r="G20" s="325"/>
      <c r="H20" s="336">
        <v>0</v>
      </c>
      <c r="I20" s="1447"/>
      <c r="J20" s="651">
        <f>ROUND(SUM(B20+F20),1)</f>
        <v>226.9</v>
      </c>
      <c r="K20" s="325"/>
      <c r="L20" s="325">
        <f>ROUND(SUM(D20)+SUM(H20),1)</f>
        <v>1664</v>
      </c>
      <c r="M20" s="648"/>
      <c r="N20" s="325">
        <v>168.1</v>
      </c>
      <c r="O20" s="469"/>
      <c r="P20" s="325">
        <f>'Exhibit J'!AE21</f>
        <v>949.9</v>
      </c>
      <c r="Q20" s="325"/>
      <c r="R20" s="649"/>
      <c r="S20" s="325">
        <f>ROUND(SUM(L20-P20),1)</f>
        <v>714.1</v>
      </c>
      <c r="T20" s="650"/>
      <c r="U20" s="769">
        <f>ROUND(+S20/P20,3)</f>
        <v>0.752</v>
      </c>
      <c r="V20" s="329"/>
    </row>
    <row r="21" spans="1:22">
      <c r="A21" s="6" t="s">
        <v>122</v>
      </c>
      <c r="B21" s="1681">
        <f>ROUND(SUM(B18:B20),1)</f>
        <v>485.4</v>
      </c>
      <c r="C21" s="16"/>
      <c r="D21" s="1681">
        <f>ROUND(SUM(D18:D20),1)</f>
        <v>3985.1</v>
      </c>
      <c r="E21" s="16"/>
      <c r="F21" s="1681">
        <f>ROUND(SUM(F18:F20),1)</f>
        <v>41.7</v>
      </c>
      <c r="G21" s="16"/>
      <c r="H21" s="1681">
        <f>ROUND(SUM(H18:H20),1)</f>
        <v>312.10000000000002</v>
      </c>
      <c r="I21" s="17"/>
      <c r="J21" s="1681">
        <f>SUM(J18:J20)</f>
        <v>527.1</v>
      </c>
      <c r="K21" s="16"/>
      <c r="L21" s="1681">
        <f>SUM(L18:L20)</f>
        <v>4297.2000000000007</v>
      </c>
      <c r="M21" s="18"/>
      <c r="N21" s="1681">
        <f>ROUND(SUM(N18:N20),1)</f>
        <v>559.70000000000005</v>
      </c>
      <c r="O21" s="16"/>
      <c r="P21" s="1681">
        <f>ROUND(SUM(P18:P20),1)</f>
        <v>3466.3</v>
      </c>
      <c r="Q21" s="16"/>
      <c r="R21" s="133"/>
      <c r="S21" s="1681">
        <f>ROUND(SUM(S18:S20),1)</f>
        <v>830.9</v>
      </c>
      <c r="T21" s="329"/>
      <c r="U21" s="1451">
        <f>ROUND(+S21/P21,3)</f>
        <v>0.24</v>
      </c>
      <c r="V21" s="329"/>
    </row>
    <row r="22" spans="1:22">
      <c r="A22" s="6"/>
      <c r="B22" s="325"/>
      <c r="C22" s="325"/>
      <c r="D22" s="325"/>
      <c r="E22" s="325"/>
      <c r="F22" s="325"/>
      <c r="G22" s="325"/>
      <c r="H22" s="325"/>
      <c r="I22" s="647"/>
      <c r="J22" s="647"/>
      <c r="K22" s="325"/>
      <c r="L22" s="325"/>
      <c r="M22" s="647"/>
      <c r="N22" s="325"/>
      <c r="O22" s="325"/>
      <c r="P22" s="325"/>
      <c r="Q22" s="325"/>
      <c r="R22" s="649"/>
      <c r="S22" s="466"/>
      <c r="T22" s="353"/>
      <c r="U22" s="466"/>
      <c r="V22" s="353"/>
    </row>
    <row r="23" spans="1:22" ht="16.399999999999999" customHeight="1">
      <c r="A23" s="6" t="s">
        <v>123</v>
      </c>
      <c r="B23" s="325"/>
      <c r="C23" s="325"/>
      <c r="D23" s="325"/>
      <c r="E23" s="325"/>
      <c r="F23" s="325"/>
      <c r="G23" s="325"/>
      <c r="H23" s="325"/>
      <c r="I23" s="647"/>
      <c r="J23" s="647"/>
      <c r="K23" s="325"/>
      <c r="L23" s="325"/>
      <c r="M23" s="647"/>
      <c r="N23" s="325"/>
      <c r="O23" s="325"/>
      <c r="P23" s="325"/>
      <c r="Q23" s="325"/>
      <c r="R23" s="649"/>
      <c r="S23" s="466"/>
      <c r="T23" s="353"/>
      <c r="U23" s="466"/>
      <c r="V23" s="353"/>
    </row>
    <row r="24" spans="1:22" ht="16.399999999999999" customHeight="1">
      <c r="A24" s="353" t="s">
        <v>136</v>
      </c>
      <c r="B24" s="325"/>
      <c r="C24" s="325"/>
      <c r="D24" s="325"/>
      <c r="E24" s="325"/>
      <c r="F24" s="325"/>
      <c r="G24" s="325"/>
      <c r="H24" s="325"/>
      <c r="I24" s="647"/>
      <c r="J24" s="647"/>
      <c r="K24" s="325"/>
      <c r="L24" s="325"/>
      <c r="M24" s="647"/>
      <c r="N24" s="325"/>
      <c r="O24" s="325"/>
      <c r="P24" s="325"/>
      <c r="Q24" s="325"/>
      <c r="R24" s="649"/>
      <c r="S24" s="466"/>
      <c r="T24" s="353"/>
      <c r="U24" s="466"/>
      <c r="V24" s="353"/>
    </row>
    <row r="25" spans="1:22" ht="16.399999999999999" customHeight="1">
      <c r="A25" s="353" t="s">
        <v>230</v>
      </c>
      <c r="B25" s="325">
        <f>'Exhibit J'!Q28</f>
        <v>208.90000000000012</v>
      </c>
      <c r="C25" s="325"/>
      <c r="D25" s="325">
        <f>+'Exhibit J'!AB28</f>
        <v>1207.2</v>
      </c>
      <c r="E25" s="325"/>
      <c r="F25" s="325">
        <f>'Exhibit K'!P24</f>
        <v>13.500000000000004</v>
      </c>
      <c r="G25" s="325"/>
      <c r="H25" s="325">
        <f>+'Exhibit K'!AA24</f>
        <v>96.5</v>
      </c>
      <c r="I25" s="647"/>
      <c r="J25" s="647">
        <f>ROUND(SUM(B25)+SUM(F25),1)</f>
        <v>222.4</v>
      </c>
      <c r="K25" s="325"/>
      <c r="L25" s="325">
        <f>ROUND(SUM(D25)+SUM(H25),1)</f>
        <v>1303.7</v>
      </c>
      <c r="M25" s="647"/>
      <c r="N25" s="325">
        <v>149.19999999999999</v>
      </c>
      <c r="O25" s="325"/>
      <c r="P25" s="325">
        <f>'Exhibit J'!AE28+'Exhibit K'!AD24</f>
        <v>1205.4000000000001</v>
      </c>
      <c r="Q25" s="325"/>
      <c r="R25" s="649"/>
      <c r="S25" s="325">
        <f>ROUND(SUM(L25-P25),1)</f>
        <v>98.3</v>
      </c>
      <c r="T25" s="329"/>
      <c r="U25" s="769">
        <f>ROUND(+S25/P25,3)</f>
        <v>8.2000000000000003E-2</v>
      </c>
      <c r="V25" s="353"/>
    </row>
    <row r="26" spans="1:22" ht="16.399999999999999" customHeight="1">
      <c r="A26" s="353" t="s">
        <v>231</v>
      </c>
      <c r="B26" s="325">
        <f>'Exhibit J'!Q29</f>
        <v>41.799999999999955</v>
      </c>
      <c r="C26" s="325"/>
      <c r="D26" s="325">
        <f>+'Exhibit J'!AB29</f>
        <v>479.5</v>
      </c>
      <c r="E26" s="325"/>
      <c r="F26" s="325">
        <f>'Exhibit K'!P25</f>
        <v>31.199999999999974</v>
      </c>
      <c r="G26" s="325"/>
      <c r="H26" s="325">
        <f>+'Exhibit K'!AA25</f>
        <v>306.3</v>
      </c>
      <c r="I26" s="647"/>
      <c r="J26" s="647">
        <f>ROUND(SUM(B26)+SUM(F26),1)</f>
        <v>73</v>
      </c>
      <c r="K26" s="325"/>
      <c r="L26" s="325">
        <f>ROUND(SUM(D26)+SUM(H26),1)</f>
        <v>785.8</v>
      </c>
      <c r="M26" s="647"/>
      <c r="N26" s="325">
        <v>87.6</v>
      </c>
      <c r="O26" s="325"/>
      <c r="P26" s="325">
        <f>'Exhibit J'!AE29+'Exhibit K'!AD25</f>
        <v>905</v>
      </c>
      <c r="Q26" s="325"/>
      <c r="R26" s="649"/>
      <c r="S26" s="325">
        <f>ROUND(SUM(L26-P26),1)</f>
        <v>-119.2</v>
      </c>
      <c r="T26" s="329"/>
      <c r="U26" s="769">
        <f>ROUND(+S26/P26,3)</f>
        <v>-0.13200000000000001</v>
      </c>
      <c r="V26" s="353"/>
    </row>
    <row r="27" spans="1:22" ht="16.399999999999999" customHeight="1">
      <c r="A27" s="353" t="s">
        <v>232</v>
      </c>
      <c r="B27" s="325">
        <f>'Exhibit J'!Q30</f>
        <v>61.100000000000094</v>
      </c>
      <c r="C27" s="325"/>
      <c r="D27" s="325">
        <f>+'Exhibit J'!AB30</f>
        <v>478.6</v>
      </c>
      <c r="E27" s="325"/>
      <c r="F27" s="325">
        <f>'Exhibit K'!P26</f>
        <v>9.4</v>
      </c>
      <c r="G27" s="325"/>
      <c r="H27" s="2025">
        <f>+'Exhibit K'!AA26</f>
        <v>48.699999999999996</v>
      </c>
      <c r="I27" s="325"/>
      <c r="J27" s="647">
        <f>ROUND(SUM(B27)+SUM(F27),1)</f>
        <v>70.5</v>
      </c>
      <c r="K27" s="325"/>
      <c r="L27" s="325">
        <f>ROUND(SUM(D27)+SUM(H27),1)</f>
        <v>527.29999999999995</v>
      </c>
      <c r="M27" s="647"/>
      <c r="N27" s="325">
        <v>80</v>
      </c>
      <c r="O27" s="469"/>
      <c r="P27" s="325">
        <f>'Exhibit J'!AE30+'Exhibit K'!AD26</f>
        <v>504.2</v>
      </c>
      <c r="Q27" s="325"/>
      <c r="R27" s="649"/>
      <c r="S27" s="325">
        <f>ROUND(SUM(L27-P27),1)</f>
        <v>23.1</v>
      </c>
      <c r="T27" s="329"/>
      <c r="U27" s="769">
        <f>ROUND(+S27/P27,3)</f>
        <v>4.5999999999999999E-2</v>
      </c>
      <c r="V27" s="353"/>
    </row>
    <row r="28" spans="1:22" ht="15.75" customHeight="1">
      <c r="A28" s="427" t="s">
        <v>233</v>
      </c>
      <c r="B28" s="325">
        <f>'Exhibit J'!Q31</f>
        <v>228.40000000000009</v>
      </c>
      <c r="C28" s="325"/>
      <c r="D28" s="325">
        <f>+'Exhibit J'!AB31</f>
        <v>1733</v>
      </c>
      <c r="E28" s="325"/>
      <c r="F28" s="336">
        <v>0</v>
      </c>
      <c r="G28" s="325"/>
      <c r="H28" s="652">
        <v>0</v>
      </c>
      <c r="I28" s="325"/>
      <c r="J28" s="647">
        <f>ROUND(SUM(B28)+SUM(F28),1)</f>
        <v>228.4</v>
      </c>
      <c r="K28" s="469"/>
      <c r="L28" s="325">
        <f>ROUND(SUM(D28)+SUM(H28),1)</f>
        <v>1733</v>
      </c>
      <c r="M28" s="648"/>
      <c r="N28" s="325">
        <v>171.70000000000002</v>
      </c>
      <c r="O28" s="348"/>
      <c r="P28" s="1448">
        <f>'Exhibit J'!AE31</f>
        <v>1012</v>
      </c>
      <c r="Q28" s="350"/>
      <c r="R28" s="653"/>
      <c r="S28" s="325">
        <f>ROUND(SUM(L28-P28),1)</f>
        <v>721</v>
      </c>
      <c r="T28" s="329"/>
      <c r="U28" s="769">
        <f>ROUND(+S28/P28,3)</f>
        <v>0.71199999999999997</v>
      </c>
      <c r="V28" s="329"/>
    </row>
    <row r="29" spans="1:22">
      <c r="A29" s="6" t="s">
        <v>164</v>
      </c>
      <c r="B29" s="1681">
        <f>ROUND(SUM(B25:B28),1)</f>
        <v>540.20000000000005</v>
      </c>
      <c r="C29" s="16"/>
      <c r="D29" s="1681">
        <f>ROUND(SUM(D25:D28),1)</f>
        <v>3898.3</v>
      </c>
      <c r="E29" s="16"/>
      <c r="F29" s="1681">
        <f>ROUND(SUM(F24:F28),1)</f>
        <v>54.1</v>
      </c>
      <c r="G29" s="16"/>
      <c r="H29" s="1681">
        <f>ROUND(SUM(H25:H28),1)</f>
        <v>451.5</v>
      </c>
      <c r="I29" s="17"/>
      <c r="J29" s="1449">
        <f>ROUND(SUM(J25:J28),1)</f>
        <v>594.29999999999995</v>
      </c>
      <c r="K29" s="16"/>
      <c r="L29" s="1450">
        <f>ROUND(SUM(L25:L28),1)</f>
        <v>4349.8</v>
      </c>
      <c r="M29" s="18"/>
      <c r="N29" s="1681">
        <f>ROUND(SUM(N25:N28),1)</f>
        <v>488.5</v>
      </c>
      <c r="O29" s="16"/>
      <c r="P29" s="1681">
        <f>ROUND(SUM(P25:P28),1)</f>
        <v>3626.6</v>
      </c>
      <c r="Q29" s="16"/>
      <c r="R29" s="133"/>
      <c r="S29" s="1681">
        <f>ROUND(SUM(S25:S28),1)</f>
        <v>723.2</v>
      </c>
      <c r="T29" s="329"/>
      <c r="U29" s="1451">
        <f>ROUND(+S29/P29,3)</f>
        <v>0.19900000000000001</v>
      </c>
      <c r="V29" s="329"/>
    </row>
    <row r="30" spans="1:22">
      <c r="A30" s="6"/>
      <c r="B30" s="325"/>
      <c r="C30" s="325"/>
      <c r="D30" s="325"/>
      <c r="E30" s="325"/>
      <c r="F30" s="325"/>
      <c r="G30" s="325"/>
      <c r="H30" s="325"/>
      <c r="I30" s="647"/>
      <c r="J30" s="647"/>
      <c r="K30" s="325"/>
      <c r="L30" s="325"/>
      <c r="M30" s="647"/>
      <c r="N30" s="325"/>
      <c r="O30" s="325"/>
      <c r="P30" s="325"/>
      <c r="Q30" s="325"/>
      <c r="R30" s="649"/>
      <c r="S30" s="466"/>
      <c r="T30" s="353"/>
      <c r="U30" s="466"/>
      <c r="V30" s="353"/>
    </row>
    <row r="31" spans="1:22" ht="16.399999999999999" customHeight="1">
      <c r="A31" s="6" t="s">
        <v>145</v>
      </c>
      <c r="B31" s="325"/>
      <c r="C31" s="325"/>
      <c r="D31" s="325"/>
      <c r="E31" s="325"/>
      <c r="F31" s="325"/>
      <c r="G31" s="325"/>
      <c r="H31" s="325"/>
      <c r="I31" s="647"/>
      <c r="J31" s="647"/>
      <c r="K31" s="325"/>
      <c r="L31" s="325"/>
      <c r="M31" s="647"/>
      <c r="N31" s="325"/>
      <c r="O31" s="325"/>
      <c r="P31" s="325"/>
      <c r="Q31" s="325"/>
      <c r="R31" s="649"/>
      <c r="S31" s="466"/>
      <c r="T31" s="353"/>
      <c r="U31" s="466"/>
      <c r="V31" s="353"/>
    </row>
    <row r="32" spans="1:22">
      <c r="A32" s="6" t="s">
        <v>234</v>
      </c>
      <c r="B32" s="1452">
        <f>ROUND(SUM(B21-B29),1)</f>
        <v>-54.8</v>
      </c>
      <c r="C32" s="16"/>
      <c r="D32" s="434">
        <f>ROUND(SUM(D21-D29),1)</f>
        <v>86.8</v>
      </c>
      <c r="E32" s="16"/>
      <c r="F32" s="434">
        <f>ROUND(SUM(F21-F29),1)</f>
        <v>-12.4</v>
      </c>
      <c r="G32" s="16"/>
      <c r="H32" s="434">
        <f>ROUND(SUM(H21-H29),1)</f>
        <v>-139.4</v>
      </c>
      <c r="I32" s="18"/>
      <c r="J32" s="20">
        <f>ROUND(SUM(J21-J29),1)</f>
        <v>-67.2</v>
      </c>
      <c r="K32" s="16"/>
      <c r="L32" s="434">
        <f>ROUND(SUM(L21-L29),1)</f>
        <v>-52.6</v>
      </c>
      <c r="M32" s="18"/>
      <c r="N32" s="434">
        <f>ROUND(SUM(N21-N29),1)</f>
        <v>71.2</v>
      </c>
      <c r="O32" s="16"/>
      <c r="P32" s="434">
        <f>ROUND(SUM(P21-P29),1)</f>
        <v>-160.30000000000001</v>
      </c>
      <c r="Q32" s="16"/>
      <c r="R32" s="133"/>
      <c r="S32" s="434">
        <f>ROUND(SUM(S21-S29),1)</f>
        <v>107.7</v>
      </c>
      <c r="T32" s="353"/>
      <c r="U32" s="718">
        <f>-ROUND(S32/P32,3)</f>
        <v>0.67200000000000004</v>
      </c>
      <c r="V32" s="353"/>
    </row>
    <row r="33" spans="1:22">
      <c r="A33" s="353"/>
      <c r="B33" s="325"/>
      <c r="C33" s="325"/>
      <c r="D33" s="325"/>
      <c r="E33" s="325"/>
      <c r="F33" s="325"/>
      <c r="G33" s="325"/>
      <c r="H33" s="325"/>
      <c r="I33" s="647"/>
      <c r="J33" s="647"/>
      <c r="K33" s="325"/>
      <c r="L33" s="325"/>
      <c r="M33" s="647"/>
      <c r="N33" s="325"/>
      <c r="O33" s="325"/>
      <c r="P33" s="325"/>
      <c r="Q33" s="325"/>
      <c r="R33" s="649"/>
      <c r="S33" s="466"/>
      <c r="T33" s="353"/>
      <c r="U33" s="466"/>
      <c r="V33" s="353"/>
    </row>
    <row r="34" spans="1:22" ht="16.399999999999999" customHeight="1">
      <c r="A34" s="6" t="s">
        <v>147</v>
      </c>
      <c r="B34" s="325"/>
      <c r="C34" s="325"/>
      <c r="D34" s="325"/>
      <c r="E34" s="325"/>
      <c r="F34" s="325"/>
      <c r="G34" s="325"/>
      <c r="H34" s="325"/>
      <c r="I34" s="647"/>
      <c r="J34" s="647"/>
      <c r="K34" s="325"/>
      <c r="L34" s="325"/>
      <c r="M34" s="647"/>
      <c r="N34" s="325"/>
      <c r="O34" s="325"/>
      <c r="P34" s="325"/>
      <c r="Q34" s="325"/>
      <c r="R34" s="649"/>
      <c r="S34" s="466"/>
      <c r="T34" s="353"/>
      <c r="U34" s="466"/>
      <c r="V34" s="353"/>
    </row>
    <row r="35" spans="1:22" ht="16.399999999999999" customHeight="1">
      <c r="A35" s="353" t="s">
        <v>149</v>
      </c>
      <c r="B35" s="336">
        <f>+'Exhibit J'!Q41</f>
        <v>0</v>
      </c>
      <c r="C35" s="325"/>
      <c r="D35" s="336">
        <f>+'Exhibit J'!AB41</f>
        <v>3</v>
      </c>
      <c r="E35" s="325"/>
      <c r="F35" s="325">
        <f>'Exhibit K'!P36</f>
        <v>7.1999999999999993</v>
      </c>
      <c r="G35" s="348"/>
      <c r="H35" s="2026">
        <f>+'Exhibit K'!AA36</f>
        <v>24.5</v>
      </c>
      <c r="I35" s="647"/>
      <c r="J35" s="647">
        <f>ROUND(SUM(B35)+SUM(F35),1)</f>
        <v>7.2</v>
      </c>
      <c r="K35" s="348"/>
      <c r="L35" s="2025">
        <f>ROUND(SUM(D35)+SUM(H35),1)</f>
        <v>27.5</v>
      </c>
      <c r="M35" s="325"/>
      <c r="N35" s="325">
        <v>10.199999999999999</v>
      </c>
      <c r="O35" s="325"/>
      <c r="P35" s="351">
        <f>'Exhibit J'!AE41+'Exhibit K'!AD36</f>
        <v>76.400000000000006</v>
      </c>
      <c r="Q35" s="351"/>
      <c r="R35" s="654"/>
      <c r="S35" s="325">
        <f>ROUND(SUM(L35-P35),1)</f>
        <v>-48.9</v>
      </c>
      <c r="T35" s="329"/>
      <c r="U35" s="644">
        <f>ROUND(IF(S35=0,0,S35/(P35)),3)</f>
        <v>-0.64</v>
      </c>
      <c r="V35" s="1453"/>
    </row>
    <row r="36" spans="1:22" ht="16.399999999999999" customHeight="1">
      <c r="A36" s="353" t="s">
        <v>235</v>
      </c>
      <c r="B36" s="1141">
        <f>+'Exhibit J'!Q42</f>
        <v>0</v>
      </c>
      <c r="C36" s="469"/>
      <c r="D36" s="1141">
        <f>+'Exhibit J'!AB42</f>
        <v>0</v>
      </c>
      <c r="E36" s="325"/>
      <c r="F36" s="325">
        <f>'Exhibit K'!P37</f>
        <v>-9.9999999999999645E-2</v>
      </c>
      <c r="G36" s="325"/>
      <c r="H36" s="2026">
        <f>+'Exhibit K'!AA37</f>
        <v>-4.8</v>
      </c>
      <c r="I36" s="1142"/>
      <c r="J36" s="647">
        <f>ROUND(SUM(B36)+SUM(F36),1)</f>
        <v>-0.1</v>
      </c>
      <c r="K36" s="325"/>
      <c r="L36" s="325">
        <f>ROUND(SUM(D36)+SUM(H36),1)</f>
        <v>-4.8</v>
      </c>
      <c r="M36" s="647"/>
      <c r="N36" s="325">
        <v>0</v>
      </c>
      <c r="O36" s="469"/>
      <c r="P36" s="351">
        <f>'Exhibit J'!AE42+'Exhibit K'!AD37</f>
        <v>-4.3</v>
      </c>
      <c r="Q36" s="351"/>
      <c r="R36" s="654"/>
      <c r="S36" s="1454">
        <f>-ROUND(SUM(L36-P36),1)</f>
        <v>0.5</v>
      </c>
      <c r="T36" s="329"/>
      <c r="U36" s="769">
        <f>ROUND(IF(P36=0,0,S36/ABS(P36)),3)</f>
        <v>0.11600000000000001</v>
      </c>
      <c r="V36" s="1455"/>
    </row>
    <row r="37" spans="1:22">
      <c r="A37" s="6" t="s">
        <v>152</v>
      </c>
      <c r="B37" s="21">
        <f>ROUND(SUM(B35:B36),1)</f>
        <v>0</v>
      </c>
      <c r="C37" s="22"/>
      <c r="D37" s="21">
        <f>ROUND(SUM(D35:D36),1)</f>
        <v>3</v>
      </c>
      <c r="E37" s="16"/>
      <c r="F37" s="1211">
        <f>ROUND(SUM(F35:F36),1)</f>
        <v>7.1</v>
      </c>
      <c r="G37" s="23"/>
      <c r="H37" s="1456">
        <f>ROUND(SUM(H35:H36),1)</f>
        <v>19.7</v>
      </c>
      <c r="I37" s="16"/>
      <c r="J37" s="1457">
        <f>ROUND(SUM(J35:J36),1)</f>
        <v>7.1</v>
      </c>
      <c r="K37" s="23"/>
      <c r="L37" s="1456">
        <f>ROUND(SUM(L35:L36),1)</f>
        <v>22.7</v>
      </c>
      <c r="M37" s="18"/>
      <c r="N37" s="1211">
        <f>ROUND(SUM(N35:N36),1)</f>
        <v>10.199999999999999</v>
      </c>
      <c r="O37" s="16"/>
      <c r="P37" s="1211">
        <f>ROUND(SUM(P35:P36),1)</f>
        <v>72.099999999999994</v>
      </c>
      <c r="Q37" s="499"/>
      <c r="R37" s="502"/>
      <c r="S37" s="1211">
        <f>L37-P37</f>
        <v>-49.399999999999991</v>
      </c>
      <c r="T37" s="655"/>
      <c r="U37" s="1458">
        <f>ROUND(SUM(S37/P37),3)</f>
        <v>-0.68500000000000005</v>
      </c>
      <c r="V37" s="655"/>
    </row>
    <row r="38" spans="1:22">
      <c r="A38" s="6"/>
      <c r="B38" s="783"/>
      <c r="C38" s="325"/>
      <c r="D38" s="783"/>
      <c r="E38" s="325"/>
      <c r="F38" s="325"/>
      <c r="G38" s="325"/>
      <c r="H38" s="325"/>
      <c r="I38" s="647"/>
      <c r="J38" s="647"/>
      <c r="K38" s="325"/>
      <c r="L38" s="783"/>
      <c r="M38" s="647"/>
      <c r="N38" s="325"/>
      <c r="O38" s="325"/>
      <c r="P38" s="325"/>
      <c r="Q38" s="325"/>
      <c r="R38" s="649"/>
      <c r="S38" s="466"/>
      <c r="T38" s="353"/>
      <c r="U38" s="431"/>
      <c r="V38" s="353"/>
    </row>
    <row r="39" spans="1:22" ht="15.75" customHeight="1">
      <c r="A39" s="6" t="s">
        <v>145</v>
      </c>
      <c r="B39" s="325"/>
      <c r="C39" s="325"/>
      <c r="D39" s="325"/>
      <c r="E39" s="325"/>
      <c r="F39" s="325"/>
      <c r="G39" s="325"/>
      <c r="H39" s="325"/>
      <c r="I39" s="647"/>
      <c r="J39" s="647"/>
      <c r="K39" s="325"/>
      <c r="L39" s="325"/>
      <c r="M39" s="647"/>
      <c r="N39" s="325"/>
      <c r="O39" s="325"/>
      <c r="P39" s="325"/>
      <c r="Q39" s="325"/>
      <c r="R39" s="649"/>
      <c r="S39" s="466"/>
      <c r="T39" s="353"/>
      <c r="U39" s="431"/>
      <c r="V39" s="353"/>
    </row>
    <row r="40" spans="1:22" ht="15.75" customHeight="1">
      <c r="A40" s="6" t="s">
        <v>236</v>
      </c>
      <c r="B40" s="325"/>
      <c r="C40" s="325"/>
      <c r="D40" s="325"/>
      <c r="E40" s="325"/>
      <c r="F40" s="325"/>
      <c r="G40" s="325"/>
      <c r="H40" s="325"/>
      <c r="I40" s="647"/>
      <c r="J40" s="647"/>
      <c r="K40" s="325"/>
      <c r="L40" s="325"/>
      <c r="M40" s="647"/>
      <c r="N40" s="325"/>
      <c r="O40" s="325"/>
      <c r="P40" s="325"/>
      <c r="Q40" s="325"/>
      <c r="R40" s="649"/>
      <c r="S40" s="466"/>
      <c r="T40" s="353"/>
      <c r="U40" s="431"/>
      <c r="V40" s="353"/>
    </row>
    <row r="41" spans="1:22" ht="15.75" customHeight="1">
      <c r="A41" s="6" t="s">
        <v>237</v>
      </c>
      <c r="B41" s="325"/>
      <c r="C41" s="325"/>
      <c r="D41" s="325"/>
      <c r="E41" s="325"/>
      <c r="F41" s="325"/>
      <c r="G41" s="325"/>
      <c r="H41" s="325"/>
      <c r="I41" s="647"/>
      <c r="J41" s="647"/>
      <c r="K41" s="325"/>
      <c r="L41" s="325"/>
      <c r="M41" s="647"/>
      <c r="N41" s="325"/>
      <c r="O41" s="325"/>
      <c r="P41" s="325"/>
      <c r="Q41" s="325"/>
      <c r="R41" s="649"/>
      <c r="S41" s="466"/>
      <c r="T41" s="353"/>
      <c r="U41" s="431"/>
      <c r="V41" s="353"/>
    </row>
    <row r="42" spans="1:22" ht="15.75" customHeight="1">
      <c r="A42" s="6" t="s">
        <v>238</v>
      </c>
      <c r="B42" s="24">
        <f>ROUND(SUM(B32,B37),1)</f>
        <v>-54.8</v>
      </c>
      <c r="C42" s="16"/>
      <c r="D42" s="24">
        <f>ROUND(SUM(D32,D37),1)</f>
        <v>89.8</v>
      </c>
      <c r="E42" s="16"/>
      <c r="F42" s="24">
        <f>ROUND(SUM(F32,F37),1)</f>
        <v>-5.3</v>
      </c>
      <c r="G42" s="16"/>
      <c r="H42" s="24">
        <f>ROUND(SUM(H32,H37),1)</f>
        <v>-119.7</v>
      </c>
      <c r="I42" s="25"/>
      <c r="J42" s="24">
        <f>ROUND(SUM(J32,J37),1)</f>
        <v>-60.1</v>
      </c>
      <c r="K42" s="16"/>
      <c r="L42" s="24">
        <f>ROUND(SUM(L32,L37),1)</f>
        <v>-29.9</v>
      </c>
      <c r="M42" s="18"/>
      <c r="N42" s="24">
        <f>ROUND(SUM(N32,N37),1)</f>
        <v>81.400000000000006</v>
      </c>
      <c r="O42" s="16"/>
      <c r="P42" s="24">
        <f>ROUND(SUM(P32,P37),1)</f>
        <v>-88.2</v>
      </c>
      <c r="Q42" s="24"/>
      <c r="R42" s="503"/>
      <c r="S42" s="24">
        <f>ROUND(SUM(S32,S37),1)</f>
        <v>58.3</v>
      </c>
      <c r="T42" s="6"/>
      <c r="U42" s="1415">
        <f>ROUND(IF(P42=0,0,S42/ABS(P42)),3)</f>
        <v>0.66100000000000003</v>
      </c>
      <c r="V42" s="353"/>
    </row>
    <row r="43" spans="1:22">
      <c r="A43" s="6"/>
      <c r="B43" s="325"/>
      <c r="C43" s="325"/>
      <c r="D43" s="325"/>
      <c r="E43" s="325"/>
      <c r="F43" s="325"/>
      <c r="G43" s="325"/>
      <c r="H43" s="325"/>
      <c r="I43" s="647"/>
      <c r="J43" s="647"/>
      <c r="K43" s="325"/>
      <c r="L43" s="325"/>
      <c r="M43" s="647"/>
      <c r="N43" s="325"/>
      <c r="O43" s="325"/>
      <c r="P43" s="325"/>
      <c r="Q43" s="325"/>
      <c r="R43" s="649"/>
      <c r="S43" s="466"/>
      <c r="T43" s="353"/>
      <c r="U43" s="466"/>
      <c r="V43" s="353"/>
    </row>
    <row r="44" spans="1:22" s="19" customFormat="1">
      <c r="A44" s="6" t="s">
        <v>239</v>
      </c>
      <c r="B44" s="16">
        <f>+'Exhibit J'!Q16</f>
        <v>655</v>
      </c>
      <c r="C44" s="16"/>
      <c r="D44" s="16">
        <f>+'Exhibit J'!AB16</f>
        <v>510.4</v>
      </c>
      <c r="E44" s="16"/>
      <c r="F44" s="1213">
        <f>+'Exhibit K'!P14</f>
        <v>-156</v>
      </c>
      <c r="G44" s="16"/>
      <c r="H44" s="16">
        <f>+'Exhibit K'!AA14</f>
        <v>-41.6</v>
      </c>
      <c r="I44" s="18"/>
      <c r="J44" s="18">
        <f>ROUND(SUM(B44)+SUM(F44),1)</f>
        <v>499</v>
      </c>
      <c r="K44" s="16"/>
      <c r="L44" s="16">
        <f>ROUND(SUM(D44)+SUM(H44),1)</f>
        <v>468.8</v>
      </c>
      <c r="M44" s="18"/>
      <c r="N44" s="1427">
        <v>51.4</v>
      </c>
      <c r="O44" s="16"/>
      <c r="P44" s="434">
        <f>'Exhibit J'!AE16+'Exhibit K'!AD14</f>
        <v>221</v>
      </c>
      <c r="Q44" s="16"/>
      <c r="R44" s="133"/>
      <c r="S44" s="16">
        <f>ROUND(SUM(L44-P44),1)</f>
        <v>247.8</v>
      </c>
      <c r="T44" s="6"/>
      <c r="U44" s="678">
        <f>ROUND(SUM(S44/P44),3)</f>
        <v>1.121</v>
      </c>
      <c r="V44" s="6"/>
    </row>
    <row r="45" spans="1:22" ht="16" thickBot="1">
      <c r="A45" s="6" t="s">
        <v>240</v>
      </c>
      <c r="B45" s="1459">
        <f>ROUND(SUM(B42+B44),1)</f>
        <v>600.20000000000005</v>
      </c>
      <c r="C45" s="26"/>
      <c r="D45" s="1459">
        <f>ROUND(SUM(D42+D44),1)</f>
        <v>600.20000000000005</v>
      </c>
      <c r="E45" s="26"/>
      <c r="F45" s="1459">
        <f>ROUND(SUM(F42+F44),1)</f>
        <v>-161.30000000000001</v>
      </c>
      <c r="G45" s="26"/>
      <c r="H45" s="1459">
        <f>ROUND(SUM(H42+H44),1)</f>
        <v>-161.30000000000001</v>
      </c>
      <c r="I45" s="27"/>
      <c r="J45" s="1460">
        <f>ROUND(SUM(J42+J44),1)</f>
        <v>438.9</v>
      </c>
      <c r="K45" s="26"/>
      <c r="L45" s="1461">
        <f>ROUND(SUM(L42+L44),1)</f>
        <v>438.9</v>
      </c>
      <c r="M45" s="27"/>
      <c r="N45" s="843">
        <f>ROUND(SUM(N42+N44),1)</f>
        <v>132.80000000000001</v>
      </c>
      <c r="O45" s="26"/>
      <c r="P45" s="843">
        <f>ROUND(SUM(P42+P44),1)</f>
        <v>132.80000000000001</v>
      </c>
      <c r="Q45" s="26"/>
      <c r="R45" s="129"/>
      <c r="S45" s="843">
        <f>ROUND(SUM(S42+S44),1)</f>
        <v>306.10000000000002</v>
      </c>
      <c r="T45" s="483"/>
      <c r="U45" s="1462">
        <f>ROUND(SUM(S45/ABS(P45)),3)</f>
        <v>2.3050000000000002</v>
      </c>
      <c r="V45" s="483"/>
    </row>
    <row r="46" spans="1:22" ht="4.4000000000000004" customHeight="1" thickTop="1">
      <c r="A46" s="353"/>
      <c r="B46" s="523"/>
      <c r="C46" s="483"/>
      <c r="D46" s="523"/>
      <c r="E46" s="483"/>
      <c r="F46" s="523"/>
      <c r="G46" s="483"/>
      <c r="H46" s="523"/>
      <c r="I46" s="483"/>
      <c r="J46" s="523"/>
      <c r="K46" s="483"/>
      <c r="L46" s="523"/>
      <c r="M46" s="483"/>
      <c r="N46" s="483"/>
      <c r="O46" s="483"/>
      <c r="P46" s="483"/>
      <c r="Q46" s="483"/>
      <c r="R46" s="483"/>
      <c r="S46" s="483"/>
      <c r="T46" s="512"/>
      <c r="U46" s="512"/>
      <c r="V46" s="28"/>
    </row>
    <row r="47" spans="1:22">
      <c r="A47" s="353"/>
      <c r="B47" s="10" t="s">
        <v>104</v>
      </c>
      <c r="C47" s="10"/>
      <c r="D47" s="10"/>
      <c r="E47" s="10"/>
      <c r="F47" s="29"/>
      <c r="G47" s="10"/>
      <c r="H47" s="10"/>
      <c r="I47" s="10"/>
      <c r="J47" s="10"/>
      <c r="K47" s="10"/>
      <c r="L47" s="10"/>
      <c r="M47" s="10"/>
      <c r="N47" s="1212"/>
      <c r="O47" s="10"/>
      <c r="P47" s="10"/>
      <c r="Q47" s="10"/>
      <c r="R47" s="10"/>
      <c r="S47" s="10"/>
      <c r="T47" s="12"/>
      <c r="U47" s="12"/>
      <c r="V47" s="12"/>
    </row>
    <row r="48" spans="1:22" s="30" customFormat="1" ht="16.5" customHeight="1">
      <c r="A48" s="525"/>
      <c r="B48" s="30" t="s">
        <v>104</v>
      </c>
    </row>
    <row r="49" spans="1:21">
      <c r="A49" s="353"/>
      <c r="B49" s="14" t="s">
        <v>104</v>
      </c>
      <c r="C49" s="10"/>
      <c r="D49" s="10"/>
      <c r="E49" s="10"/>
      <c r="F49" s="10"/>
      <c r="G49" s="10"/>
      <c r="H49" s="10"/>
      <c r="I49" s="10"/>
      <c r="J49" s="10"/>
      <c r="K49" s="10"/>
      <c r="L49" s="10"/>
      <c r="M49" s="10"/>
      <c r="N49" s="1212"/>
      <c r="O49" s="10"/>
      <c r="P49" s="1212"/>
      <c r="Q49" s="10"/>
      <c r="R49" s="10"/>
      <c r="S49" s="10"/>
      <c r="T49" s="10"/>
      <c r="U49" s="10"/>
    </row>
    <row r="50" spans="1:21">
      <c r="A50" s="353"/>
      <c r="B50" s="10"/>
      <c r="C50" s="10"/>
      <c r="D50" s="10"/>
      <c r="E50" s="10"/>
      <c r="F50" s="10"/>
      <c r="G50" s="10"/>
      <c r="H50" s="10"/>
      <c r="I50" s="10"/>
      <c r="J50" s="10"/>
      <c r="K50" s="10"/>
      <c r="L50" s="10"/>
      <c r="M50" s="10"/>
      <c r="N50" s="14" t="s">
        <v>104</v>
      </c>
      <c r="O50" s="10"/>
      <c r="P50" s="14"/>
      <c r="Q50" s="10"/>
      <c r="R50" s="10"/>
      <c r="S50" s="10"/>
      <c r="T50" s="10"/>
      <c r="U50" s="10"/>
    </row>
    <row r="51" spans="1:21">
      <c r="A51" s="353"/>
      <c r="B51" s="10"/>
      <c r="C51" s="10"/>
      <c r="D51" s="10"/>
      <c r="E51" s="10"/>
      <c r="F51" s="10"/>
      <c r="G51" s="10"/>
      <c r="H51" s="10"/>
      <c r="I51" s="10"/>
      <c r="J51" s="10"/>
      <c r="K51" s="10"/>
      <c r="L51" s="10"/>
      <c r="M51" s="10"/>
      <c r="N51" s="10" t="s">
        <v>104</v>
      </c>
      <c r="O51" s="10"/>
      <c r="P51" s="10"/>
      <c r="Q51" s="10"/>
      <c r="R51" s="10"/>
      <c r="S51" s="10"/>
      <c r="T51" s="10"/>
      <c r="U51" s="10"/>
    </row>
    <row r="52" spans="1:21">
      <c r="A52" s="353"/>
      <c r="B52" s="10"/>
      <c r="C52" s="10"/>
      <c r="D52" s="10"/>
      <c r="E52" s="10"/>
      <c r="F52" s="10"/>
      <c r="G52" s="10"/>
      <c r="H52" s="10"/>
      <c r="I52" s="10"/>
      <c r="J52" s="10"/>
      <c r="K52" s="10"/>
      <c r="L52" s="10"/>
      <c r="M52" s="10"/>
      <c r="N52" s="10"/>
      <c r="O52" s="10"/>
      <c r="P52" s="10"/>
      <c r="Q52" s="10"/>
      <c r="R52" s="10"/>
      <c r="S52" s="10"/>
      <c r="T52" s="10"/>
      <c r="U52" s="10"/>
    </row>
    <row r="53" spans="1:21">
      <c r="A53" s="466"/>
    </row>
    <row r="54" spans="1:21">
      <c r="A54" s="466"/>
    </row>
    <row r="55" spans="1:21">
      <c r="A55" s="466"/>
    </row>
    <row r="56" spans="1:21">
      <c r="A56" s="466"/>
    </row>
    <row r="57" spans="1:21">
      <c r="A57" s="466"/>
    </row>
  </sheetData>
  <mergeCells count="2">
    <mergeCell ref="O3:P3"/>
    <mergeCell ref="U3:V3"/>
  </mergeCells>
  <pageMargins left="0.25" right="0.25" top="0.5" bottom="0.36" header="0" footer="0.25"/>
  <pageSetup scale="58" firstPageNumber="5" orientation="landscape" useFirstPageNumber="1" r:id="rId1"/>
  <headerFooter scaleWithDoc="0" alignWithMargins="0">
    <oddFooter>&amp;C&amp;8&amp;P</oddFooter>
  </headerFooter>
  <customProperties>
    <customPr name="SheetOptions" r:id="rId2"/>
  </customPropertie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0">
    <pageSetUpPr fitToPage="1"/>
  </sheetPr>
  <dimension ref="A1:V61"/>
  <sheetViews>
    <sheetView showGridLines="0" zoomScale="90" zoomScaleNormal="80" workbookViewId="0"/>
  </sheetViews>
  <sheetFormatPr defaultColWidth="8.84375" defaultRowHeight="15.5"/>
  <cols>
    <col min="1" max="1" width="38.07421875" style="466" customWidth="1"/>
    <col min="2" max="2" width="13.84375" style="466" customWidth="1"/>
    <col min="3" max="3" width="1.84375" style="466" customWidth="1"/>
    <col min="4" max="4" width="13.84375" style="466" customWidth="1"/>
    <col min="5" max="5" width="2.4609375" style="466" customWidth="1"/>
    <col min="6" max="6" width="13.84375" style="466" customWidth="1"/>
    <col min="7" max="7" width="1.84375" style="466" customWidth="1"/>
    <col min="8" max="8" width="13.84375" style="466" customWidth="1"/>
    <col min="9" max="9" width="1.84375" style="466" customWidth="1"/>
    <col min="10" max="10" width="13.84375" style="466" customWidth="1"/>
    <col min="11" max="11" width="1.84375" style="466" customWidth="1"/>
    <col min="12" max="12" width="13.84375" style="466" customWidth="1"/>
    <col min="13" max="13" width="0.53515625" style="466" customWidth="1"/>
    <col min="14" max="14" width="13.84375" style="466" customWidth="1"/>
    <col min="15" max="15" width="2.53515625" style="466" customWidth="1"/>
    <col min="16" max="16" width="13.84375" style="466" customWidth="1"/>
    <col min="17" max="17" width="1.53515625" style="466" customWidth="1"/>
    <col min="18" max="18" width="2.07421875" style="466" customWidth="1"/>
    <col min="19" max="19" width="10.53515625" style="466" bestFit="1" customWidth="1"/>
    <col min="20" max="20" width="2.4609375" style="466" customWidth="1"/>
    <col min="21" max="21" width="11.07421875" style="466" bestFit="1" customWidth="1"/>
    <col min="22" max="16384" width="8.84375" style="466"/>
  </cols>
  <sheetData>
    <row r="1" spans="1:22">
      <c r="A1" s="326" t="s">
        <v>98</v>
      </c>
    </row>
    <row r="2" spans="1:22">
      <c r="A2" s="431"/>
    </row>
    <row r="3" spans="1:22" s="353" customFormat="1" ht="18" customHeight="1">
      <c r="A3" s="6" t="s">
        <v>99</v>
      </c>
      <c r="B3" s="6"/>
      <c r="C3" s="6"/>
      <c r="D3" s="6"/>
      <c r="E3" s="6"/>
      <c r="F3" s="466"/>
      <c r="G3" s="466"/>
      <c r="H3" s="6"/>
      <c r="I3" s="6"/>
      <c r="J3" s="6"/>
      <c r="K3" s="6"/>
      <c r="L3" s="6"/>
      <c r="M3" s="6"/>
      <c r="N3" s="1210"/>
      <c r="R3" s="431"/>
      <c r="S3" s="431"/>
      <c r="T3" s="431"/>
      <c r="U3" s="2005" t="s">
        <v>241</v>
      </c>
      <c r="V3" s="431"/>
    </row>
    <row r="4" spans="1:22" s="353" customFormat="1" ht="15.75" customHeight="1">
      <c r="A4" s="6" t="s">
        <v>242</v>
      </c>
      <c r="B4" s="6"/>
      <c r="C4" s="6"/>
      <c r="D4" s="6"/>
      <c r="E4" s="6"/>
      <c r="F4" s="466"/>
      <c r="G4" s="466"/>
      <c r="H4" s="6"/>
      <c r="I4" s="6"/>
      <c r="J4" s="6"/>
      <c r="K4" s="6"/>
      <c r="L4" s="6"/>
      <c r="M4" s="6"/>
      <c r="N4" s="6"/>
      <c r="O4" s="6"/>
      <c r="P4" s="6"/>
      <c r="R4" s="431"/>
      <c r="S4" s="431"/>
      <c r="T4" s="431"/>
      <c r="U4" s="431"/>
      <c r="V4" s="431"/>
    </row>
    <row r="5" spans="1:22" s="353" customFormat="1" ht="15.75" customHeight="1">
      <c r="A5" s="2006" t="s">
        <v>102</v>
      </c>
      <c r="B5" s="6"/>
      <c r="C5" s="6"/>
      <c r="D5" s="6"/>
      <c r="E5" s="6"/>
      <c r="F5" s="466"/>
      <c r="G5" s="466"/>
      <c r="H5" s="6"/>
      <c r="I5" s="6"/>
      <c r="J5" s="6"/>
      <c r="K5" s="6"/>
      <c r="L5" s="6"/>
      <c r="M5" s="6"/>
      <c r="N5" s="6"/>
      <c r="O5" s="6"/>
      <c r="P5" s="6" t="s">
        <v>104</v>
      </c>
      <c r="R5" s="431"/>
      <c r="S5" s="431"/>
      <c r="T5" s="431"/>
      <c r="U5" s="431"/>
      <c r="V5" s="431"/>
    </row>
    <row r="6" spans="1:22" s="353" customFormat="1" ht="15.75" customHeight="1">
      <c r="A6" s="6" t="s">
        <v>103</v>
      </c>
      <c r="B6" s="6"/>
      <c r="C6" s="6"/>
      <c r="D6" s="6"/>
      <c r="E6" s="6"/>
      <c r="F6" s="466"/>
      <c r="G6" s="466"/>
      <c r="H6" s="6"/>
      <c r="I6" s="6"/>
      <c r="J6" s="6"/>
      <c r="K6" s="6"/>
      <c r="L6" s="6"/>
      <c r="M6" s="6"/>
      <c r="N6" s="6"/>
      <c r="O6" s="6"/>
      <c r="P6" s="6"/>
      <c r="R6" s="431"/>
      <c r="S6" s="431"/>
      <c r="T6" s="431"/>
      <c r="U6" s="431"/>
      <c r="V6" s="431"/>
    </row>
    <row r="7" spans="1:22" s="353" customFormat="1">
      <c r="A7" s="9"/>
      <c r="B7" s="6"/>
      <c r="C7" s="6"/>
      <c r="D7" s="6"/>
      <c r="E7" s="6"/>
      <c r="F7" s="466"/>
      <c r="G7" s="466"/>
      <c r="H7" s="6"/>
      <c r="I7" s="6"/>
      <c r="J7" s="6"/>
      <c r="K7" s="6"/>
      <c r="L7" s="6"/>
      <c r="M7" s="6"/>
      <c r="N7" s="6"/>
      <c r="O7" s="6"/>
      <c r="P7" s="6"/>
      <c r="R7" s="431"/>
      <c r="S7" s="431"/>
      <c r="T7" s="431"/>
      <c r="U7" s="431"/>
      <c r="V7" s="431"/>
    </row>
    <row r="8" spans="1:22" s="353" customFormat="1">
      <c r="B8" s="6"/>
      <c r="C8" s="6"/>
      <c r="D8" s="6"/>
      <c r="E8" s="6"/>
      <c r="F8" s="466"/>
      <c r="G8" s="466"/>
      <c r="H8" s="6"/>
      <c r="I8" s="6"/>
      <c r="J8" s="6"/>
      <c r="K8" s="6"/>
      <c r="L8" s="6"/>
      <c r="M8" s="6"/>
      <c r="N8" s="6"/>
      <c r="O8" s="6"/>
      <c r="P8" s="6"/>
      <c r="R8" s="431"/>
      <c r="S8" s="431"/>
      <c r="T8" s="431"/>
      <c r="U8" s="431"/>
      <c r="V8" s="431"/>
    </row>
    <row r="9" spans="1:22" s="353" customFormat="1" ht="8.15" customHeight="1">
      <c r="B9" s="6"/>
      <c r="C9" s="6"/>
      <c r="D9" s="6"/>
      <c r="E9" s="6"/>
      <c r="F9" s="6"/>
      <c r="G9" s="466"/>
      <c r="H9" s="6"/>
      <c r="I9" s="6"/>
      <c r="J9" s="6"/>
      <c r="K9" s="6"/>
      <c r="L9" s="6"/>
      <c r="M9" s="6"/>
      <c r="N9" s="6"/>
      <c r="O9" s="6"/>
      <c r="P9" s="6"/>
      <c r="T9" s="466"/>
      <c r="U9" s="466"/>
      <c r="V9" s="466"/>
    </row>
    <row r="10" spans="1:22" s="353" customFormat="1">
      <c r="B10" s="6"/>
      <c r="C10" s="6"/>
      <c r="D10" s="6"/>
      <c r="E10" s="6"/>
      <c r="F10" s="6"/>
      <c r="G10" s="466"/>
      <c r="H10" s="6"/>
      <c r="I10" s="6"/>
      <c r="J10" s="6"/>
      <c r="K10" s="6"/>
      <c r="L10" s="6"/>
      <c r="M10" s="6"/>
      <c r="N10" s="6"/>
      <c r="O10" s="6"/>
      <c r="P10" s="6"/>
      <c r="R10" s="431"/>
      <c r="S10" s="431"/>
      <c r="T10" s="431"/>
      <c r="U10" s="431"/>
      <c r="V10" s="431"/>
    </row>
    <row r="11" spans="1:22" s="353" customFormat="1">
      <c r="B11" s="6"/>
      <c r="C11" s="6"/>
      <c r="D11" s="6"/>
      <c r="E11" s="6"/>
      <c r="F11" s="6"/>
      <c r="G11" s="466"/>
      <c r="H11" s="6"/>
      <c r="I11" s="6"/>
      <c r="K11" s="31"/>
      <c r="L11" s="467"/>
      <c r="M11" s="467"/>
      <c r="N11" s="31"/>
      <c r="O11" s="31"/>
      <c r="P11" s="31"/>
      <c r="R11" s="431"/>
      <c r="S11" s="431"/>
      <c r="T11" s="431"/>
      <c r="U11" s="431"/>
      <c r="V11" s="431"/>
    </row>
    <row r="12" spans="1:22" ht="16.399999999999999" customHeight="1">
      <c r="A12" s="353"/>
      <c r="B12" s="31" t="s">
        <v>243</v>
      </c>
      <c r="C12" s="505"/>
      <c r="D12" s="31"/>
      <c r="E12" s="6"/>
      <c r="F12" s="31" t="s">
        <v>244</v>
      </c>
      <c r="G12" s="505"/>
      <c r="H12" s="31"/>
      <c r="I12" s="6"/>
      <c r="J12" s="31" t="s">
        <v>245</v>
      </c>
      <c r="K12" s="31"/>
      <c r="L12" s="467"/>
      <c r="M12" s="31"/>
      <c r="N12" s="31"/>
      <c r="O12" s="31"/>
      <c r="P12" s="31"/>
      <c r="Q12" s="353"/>
      <c r="R12" s="506"/>
      <c r="S12" s="2217" t="s">
        <v>227</v>
      </c>
      <c r="T12" s="2217"/>
      <c r="U12" s="2217"/>
      <c r="V12" s="431"/>
    </row>
    <row r="13" spans="1:22" ht="13.4" customHeight="1">
      <c r="A13" s="353"/>
      <c r="B13" s="1442"/>
      <c r="C13" s="1442"/>
      <c r="D13" s="1442"/>
      <c r="E13" s="353"/>
      <c r="F13" s="1442"/>
      <c r="G13" s="1443"/>
      <c r="H13" s="1442"/>
      <c r="I13" s="353"/>
      <c r="J13" s="1442"/>
      <c r="K13" s="1442"/>
      <c r="L13" s="1442"/>
      <c r="M13" s="1442"/>
      <c r="N13" s="1442"/>
      <c r="O13" s="1442"/>
      <c r="P13" s="1442"/>
      <c r="Q13" s="353"/>
      <c r="R13" s="507"/>
      <c r="S13" s="353"/>
      <c r="T13" s="431"/>
      <c r="U13" s="431"/>
      <c r="V13" s="431"/>
    </row>
    <row r="14" spans="1:22" ht="16.399999999999999" customHeight="1">
      <c r="A14" s="353"/>
      <c r="B14" s="66" t="s">
        <v>110</v>
      </c>
      <c r="C14" s="6"/>
      <c r="D14" s="382" t="str">
        <f>'Exhibit A'!F11</f>
        <v>8 MOS. ENDED</v>
      </c>
      <c r="E14" s="6"/>
      <c r="F14" s="66" t="s">
        <v>110</v>
      </c>
      <c r="G14" s="72"/>
      <c r="H14" s="66" t="str">
        <f>D14</f>
        <v>8 MOS. ENDED</v>
      </c>
      <c r="I14" s="6"/>
      <c r="J14" s="66" t="s">
        <v>110</v>
      </c>
      <c r="K14" s="6"/>
      <c r="L14" s="66" t="str">
        <f>D14</f>
        <v>8 MOS. ENDED</v>
      </c>
      <c r="M14" s="6"/>
      <c r="N14" s="66" t="s">
        <v>110</v>
      </c>
      <c r="O14" s="6"/>
      <c r="P14" s="66" t="str">
        <f>H14</f>
        <v>8 MOS. ENDED</v>
      </c>
      <c r="Q14" s="353"/>
      <c r="R14" s="507"/>
      <c r="S14" s="389" t="s">
        <v>111</v>
      </c>
      <c r="T14" s="72"/>
      <c r="U14" s="390" t="s">
        <v>112</v>
      </c>
      <c r="V14" s="431"/>
    </row>
    <row r="15" spans="1:22" ht="16.399999999999999" customHeight="1">
      <c r="A15" s="353"/>
      <c r="B15" s="472" t="str">
        <f>'Exhibit A'!D12</f>
        <v>NOV. 2023</v>
      </c>
      <c r="C15" s="6"/>
      <c r="D15" s="472" t="str">
        <f>'Exhibit A'!F12</f>
        <v>NOV. 30, 2023</v>
      </c>
      <c r="E15" s="6"/>
      <c r="F15" s="385" t="str">
        <f>+B15</f>
        <v>NOV. 2023</v>
      </c>
      <c r="G15" s="6"/>
      <c r="H15" s="386" t="str">
        <f>D15</f>
        <v>NOV. 30, 2023</v>
      </c>
      <c r="I15" s="6"/>
      <c r="J15" s="385" t="str">
        <f>+F15</f>
        <v>NOV. 2023</v>
      </c>
      <c r="K15" s="6"/>
      <c r="L15" s="386" t="str">
        <f>'Exhibit A'!X12</f>
        <v>NOV. 30, 2023</v>
      </c>
      <c r="M15" s="6"/>
      <c r="N15" s="2010" t="str">
        <f>'Exhibit A'!AB12</f>
        <v>NOV. 2022</v>
      </c>
      <c r="O15" s="6"/>
      <c r="P15" s="472" t="str">
        <f>'Exhibit A'!AD12</f>
        <v>NOV. 30, 2022</v>
      </c>
      <c r="Q15" s="353"/>
      <c r="R15" s="507"/>
      <c r="S15" s="2009" t="s">
        <v>113</v>
      </c>
      <c r="T15" s="72"/>
      <c r="U15" s="1444" t="s">
        <v>114</v>
      </c>
      <c r="V15" s="431"/>
    </row>
    <row r="16" spans="1:22" ht="13.4" customHeight="1">
      <c r="A16" s="353"/>
      <c r="B16" s="353"/>
      <c r="C16" s="353"/>
      <c r="D16" s="353" t="s">
        <v>104</v>
      </c>
      <c r="E16" s="353"/>
      <c r="F16" s="1442"/>
      <c r="G16" s="353"/>
      <c r="H16" s="1463" t="s">
        <v>104</v>
      </c>
      <c r="I16" s="353"/>
      <c r="J16" s="1464"/>
      <c r="K16" s="353"/>
      <c r="L16" s="1465"/>
      <c r="M16" s="353"/>
      <c r="N16" s="353"/>
      <c r="O16" s="353"/>
      <c r="P16" s="353"/>
      <c r="Q16" s="353"/>
      <c r="R16" s="508"/>
      <c r="S16" s="431"/>
      <c r="T16" s="353"/>
      <c r="U16" s="431"/>
      <c r="V16" s="431"/>
    </row>
    <row r="17" spans="1:22" ht="16.399999999999999" customHeight="1">
      <c r="A17" s="6" t="s">
        <v>115</v>
      </c>
      <c r="B17" s="353"/>
      <c r="C17" s="353"/>
      <c r="D17" s="353"/>
      <c r="E17" s="353"/>
      <c r="F17" s="353"/>
      <c r="G17" s="353"/>
      <c r="H17" s="2027"/>
      <c r="I17" s="353"/>
      <c r="J17" s="509"/>
      <c r="K17" s="353"/>
      <c r="L17" s="2027"/>
      <c r="M17" s="353"/>
      <c r="N17" s="353"/>
      <c r="O17" s="353"/>
      <c r="P17" s="353"/>
      <c r="Q17" s="353"/>
      <c r="R17" s="508"/>
      <c r="S17" s="431"/>
      <c r="T17" s="353"/>
      <c r="U17" s="431"/>
      <c r="V17" s="431"/>
    </row>
    <row r="18" spans="1:22" ht="16.399999999999999" customHeight="1">
      <c r="A18" s="353" t="s">
        <v>120</v>
      </c>
      <c r="B18" s="491">
        <f>+'Exhibit L'!P16</f>
        <v>13.100000000000001</v>
      </c>
      <c r="C18" s="335"/>
      <c r="D18" s="337">
        <f>+'Exhibit L'!AA16</f>
        <v>137.5</v>
      </c>
      <c r="E18" s="335"/>
      <c r="F18" s="1466">
        <f>'Exhibit M'!P16</f>
        <v>1.2000000000000028</v>
      </c>
      <c r="G18" s="335"/>
      <c r="H18" s="2028">
        <f>+'Exhibit M'!AA16</f>
        <v>9.8000000000000007</v>
      </c>
      <c r="I18" s="335"/>
      <c r="J18" s="510">
        <f>SUM(B18)+SUM(F18)</f>
        <v>14.300000000000004</v>
      </c>
      <c r="K18" s="335"/>
      <c r="L18" s="2028">
        <f>D18+SUM(H18)</f>
        <v>147.30000000000001</v>
      </c>
      <c r="M18" s="335"/>
      <c r="N18" s="337">
        <v>55.4</v>
      </c>
      <c r="O18" s="335"/>
      <c r="P18" s="337">
        <f>'Exhibit L'!AD16+'Exhibit M'!AD16</f>
        <v>142</v>
      </c>
      <c r="Q18" s="483"/>
      <c r="R18" s="511"/>
      <c r="S18" s="537">
        <f>ROUND(SUM(L18-P18),1)</f>
        <v>5.3</v>
      </c>
      <c r="T18" s="483"/>
      <c r="U18" s="644">
        <f>ROUND(IF(S18=0,0,S18/ABS(P18)),3)</f>
        <v>3.6999999999999998E-2</v>
      </c>
      <c r="V18" s="512"/>
    </row>
    <row r="19" spans="1:22">
      <c r="A19" s="6" t="s">
        <v>122</v>
      </c>
      <c r="B19" s="1467">
        <f>ROUND(SUM(B18),1)</f>
        <v>13.1</v>
      </c>
      <c r="C19" s="16"/>
      <c r="D19" s="1467">
        <f>ROUND(SUM(D18),1)</f>
        <v>137.5</v>
      </c>
      <c r="E19" s="16"/>
      <c r="F19" s="434">
        <f>ROUND(SUM(F18),1)</f>
        <v>1.2</v>
      </c>
      <c r="G19" s="16"/>
      <c r="H19" s="1468">
        <f>ROUND(SUM(H18),1)</f>
        <v>9.8000000000000007</v>
      </c>
      <c r="I19" s="16"/>
      <c r="J19" s="1469">
        <f>ROUND(SUM(J18),1)</f>
        <v>14.3</v>
      </c>
      <c r="K19" s="16"/>
      <c r="L19" s="1468">
        <f>ROUND(SUM(L18),1)</f>
        <v>147.30000000000001</v>
      </c>
      <c r="M19" s="16"/>
      <c r="N19" s="1467">
        <f>ROUND(SUM(N18),1)</f>
        <v>55.4</v>
      </c>
      <c r="O19" s="16"/>
      <c r="P19" s="1467">
        <f>ROUND(SUM(P18),1)</f>
        <v>142</v>
      </c>
      <c r="Q19" s="72"/>
      <c r="R19" s="514"/>
      <c r="S19" s="1470">
        <f>ROUND(SUM(S18),3)</f>
        <v>5.3</v>
      </c>
      <c r="T19" s="329"/>
      <c r="U19" s="1471">
        <f>ROUND(+S19/P19,3)</f>
        <v>3.6999999999999998E-2</v>
      </c>
      <c r="V19" s="431"/>
    </row>
    <row r="20" spans="1:22">
      <c r="A20" s="6"/>
      <c r="B20" s="325"/>
      <c r="C20" s="325"/>
      <c r="D20" s="325"/>
      <c r="E20" s="325"/>
      <c r="F20" s="325"/>
      <c r="G20" s="325"/>
      <c r="H20" s="1472"/>
      <c r="I20" s="325"/>
      <c r="J20" s="515"/>
      <c r="K20" s="325"/>
      <c r="L20" s="2025"/>
      <c r="M20" s="325"/>
      <c r="N20" s="325"/>
      <c r="O20" s="325"/>
      <c r="P20" s="325"/>
      <c r="R20" s="508"/>
      <c r="S20" s="524"/>
      <c r="T20" s="353"/>
      <c r="U20" s="431"/>
      <c r="V20" s="431"/>
    </row>
    <row r="21" spans="1:22" ht="16.399999999999999" customHeight="1">
      <c r="A21" s="6" t="s">
        <v>123</v>
      </c>
      <c r="B21" s="325"/>
      <c r="C21" s="325"/>
      <c r="D21" s="325"/>
      <c r="E21" s="325"/>
      <c r="F21" s="325"/>
      <c r="G21" s="325"/>
      <c r="H21" s="2025"/>
      <c r="I21" s="325"/>
      <c r="J21" s="515"/>
      <c r="K21" s="325"/>
      <c r="L21" s="2025"/>
      <c r="M21" s="325"/>
      <c r="N21" s="325"/>
      <c r="O21" s="325"/>
      <c r="P21" s="325"/>
      <c r="R21" s="508"/>
      <c r="S21" s="524"/>
      <c r="T21" s="353"/>
      <c r="U21" s="431"/>
      <c r="V21" s="431"/>
    </row>
    <row r="22" spans="1:22" ht="16.399999999999999" customHeight="1">
      <c r="A22" s="353" t="s">
        <v>136</v>
      </c>
      <c r="B22" s="325"/>
      <c r="C22" s="325"/>
      <c r="D22" s="325"/>
      <c r="E22" s="325"/>
      <c r="F22" s="325"/>
      <c r="G22" s="325"/>
      <c r="H22" s="2025"/>
      <c r="I22" s="325"/>
      <c r="J22" s="515"/>
      <c r="K22" s="325"/>
      <c r="L22" s="2025"/>
      <c r="M22" s="325"/>
      <c r="N22" s="325"/>
      <c r="O22" s="325"/>
      <c r="P22" s="325"/>
      <c r="R22" s="508"/>
      <c r="S22" s="524"/>
      <c r="T22" s="353"/>
      <c r="U22" s="431"/>
      <c r="V22" s="431"/>
    </row>
    <row r="23" spans="1:22" ht="16.399999999999999" customHeight="1">
      <c r="A23" s="353" t="s">
        <v>230</v>
      </c>
      <c r="B23" s="348">
        <f>+'Exhibit L'!P22</f>
        <v>7.3000000000000043</v>
      </c>
      <c r="C23" s="325"/>
      <c r="D23" s="348">
        <f>+'Exhibit L'!AA22</f>
        <v>57.1</v>
      </c>
      <c r="E23" s="325"/>
      <c r="F23" s="336">
        <f>+'Exhibit M'!P22</f>
        <v>0</v>
      </c>
      <c r="G23" s="325"/>
      <c r="H23" s="2026">
        <f>+'Exhibit M'!AA22</f>
        <v>0.30000000000000004</v>
      </c>
      <c r="I23" s="325"/>
      <c r="J23" s="516">
        <f>SUM(B23)+SUM(F23)</f>
        <v>7.3000000000000043</v>
      </c>
      <c r="K23" s="325"/>
      <c r="L23" s="2029">
        <f>SUM(D23)+SUM(H23)</f>
        <v>57.4</v>
      </c>
      <c r="M23" s="325"/>
      <c r="N23" s="348">
        <v>6.1000000000000005</v>
      </c>
      <c r="O23" s="325"/>
      <c r="P23" s="348">
        <f>'Exhibit L'!AD22+'Exhibit M'!AD22</f>
        <v>52.5</v>
      </c>
      <c r="R23" s="508"/>
      <c r="S23" s="524">
        <f>ROUND(SUM(L23-P23),1)</f>
        <v>4.9000000000000004</v>
      </c>
      <c r="T23" s="353"/>
      <c r="U23" s="644">
        <f>ROUND(IF(S23=0,0,S23/ABS(P23)),3)</f>
        <v>9.2999999999999999E-2</v>
      </c>
      <c r="V23" s="431"/>
    </row>
    <row r="24" spans="1:22" ht="16.399999999999999" customHeight="1">
      <c r="A24" s="353" t="s">
        <v>231</v>
      </c>
      <c r="B24" s="348">
        <f>+'Exhibit L'!P23</f>
        <v>4.8999999999999986</v>
      </c>
      <c r="C24" s="325"/>
      <c r="D24" s="348">
        <f>+'Exhibit L'!AA23</f>
        <v>19.3</v>
      </c>
      <c r="E24" s="325"/>
      <c r="F24" s="336">
        <f>+'Exhibit M'!P23</f>
        <v>0</v>
      </c>
      <c r="G24" s="325"/>
      <c r="H24" s="2026">
        <f>+'Exhibit M'!AA23</f>
        <v>0.1</v>
      </c>
      <c r="I24" s="325"/>
      <c r="J24" s="516">
        <f>SUM(B24)+SUM(F24)</f>
        <v>4.8999999999999986</v>
      </c>
      <c r="K24" s="325"/>
      <c r="L24" s="2029">
        <f>SUM(D24)+SUM(H24)</f>
        <v>19.400000000000002</v>
      </c>
      <c r="M24" s="325"/>
      <c r="N24" s="348">
        <v>38.9</v>
      </c>
      <c r="O24" s="325"/>
      <c r="P24" s="348">
        <f>'Exhibit L'!AD23+'Exhibit M'!AD23</f>
        <v>47.2</v>
      </c>
      <c r="R24" s="508"/>
      <c r="S24" s="524">
        <f>ROUND(SUM(L24-P24),1)</f>
        <v>-27.8</v>
      </c>
      <c r="T24" s="353"/>
      <c r="U24" s="644">
        <f>ROUND(IF(S24=0,0,S24/ABS(P24)),3)</f>
        <v>-0.58899999999999997</v>
      </c>
      <c r="V24" s="431"/>
    </row>
    <row r="25" spans="1:22" ht="16.399999999999999" customHeight="1">
      <c r="A25" s="353" t="s">
        <v>232</v>
      </c>
      <c r="B25" s="348">
        <f>+'Exhibit L'!P24</f>
        <v>6.8999999999999977</v>
      </c>
      <c r="C25" s="325"/>
      <c r="D25" s="350">
        <f>+'Exhibit L'!AA24</f>
        <v>40</v>
      </c>
      <c r="E25" s="325"/>
      <c r="F25" s="336">
        <f>+'Exhibit M'!P24</f>
        <v>9.9999999999999978E-2</v>
      </c>
      <c r="G25" s="325"/>
      <c r="H25" s="517">
        <f>+'Exhibit M'!AA24</f>
        <v>0.3</v>
      </c>
      <c r="I25" s="325"/>
      <c r="J25" s="516">
        <f>SUM(B25)+SUM(F25)</f>
        <v>6.9999999999999973</v>
      </c>
      <c r="K25" s="325"/>
      <c r="L25" s="2029">
        <f>SUM(D25)+SUM(H25)</f>
        <v>40.299999999999997</v>
      </c>
      <c r="M25" s="325"/>
      <c r="N25" s="348">
        <v>5.8999999999999995</v>
      </c>
      <c r="O25" s="469"/>
      <c r="P25" s="348">
        <f>'Exhibit L'!AD24+'Exhibit M'!AD24</f>
        <v>35.300000000000004</v>
      </c>
      <c r="R25" s="508"/>
      <c r="S25" s="524">
        <f>ROUND(SUM(L25-P25),1)</f>
        <v>5</v>
      </c>
      <c r="T25" s="353"/>
      <c r="U25" s="1270">
        <f>ROUND(IF(P25=0,1,S25/ABS(P25)),3)</f>
        <v>0.14199999999999999</v>
      </c>
      <c r="V25" s="431"/>
    </row>
    <row r="26" spans="1:22">
      <c r="A26" s="6" t="s">
        <v>164</v>
      </c>
      <c r="B26" s="1467">
        <f>ROUND(SUM(B23:B25),1)</f>
        <v>19.100000000000001</v>
      </c>
      <c r="C26" s="16"/>
      <c r="D26" s="1467">
        <f>ROUND(SUM(D23:D25),1)</f>
        <v>116.4</v>
      </c>
      <c r="E26" s="16"/>
      <c r="F26" s="1467">
        <f>ROUND(SUM(F23:F25),1)</f>
        <v>0.1</v>
      </c>
      <c r="G26" s="16"/>
      <c r="H26" s="1468">
        <f>ROUND(SUM(H23:H25),1)</f>
        <v>0.7</v>
      </c>
      <c r="I26" s="16"/>
      <c r="J26" s="1469">
        <f>ROUND(SUM(J23:J25),1)</f>
        <v>19.2</v>
      </c>
      <c r="K26" s="16"/>
      <c r="L26" s="1468">
        <f>ROUND(SUM(L23:L25),1)</f>
        <v>117.1</v>
      </c>
      <c r="M26" s="16"/>
      <c r="N26" s="1467">
        <f>ROUND(SUM(N23:N25),1)</f>
        <v>50.9</v>
      </c>
      <c r="O26" s="16"/>
      <c r="P26" s="1467">
        <f>ROUND(SUM(P23:P25),1)</f>
        <v>135</v>
      </c>
      <c r="Q26" s="72"/>
      <c r="R26" s="127"/>
      <c r="S26" s="1470">
        <f>ROUND(SUM(S23:S25),3)</f>
        <v>-17.899999999999999</v>
      </c>
      <c r="T26" s="329"/>
      <c r="U26" s="1458">
        <f>ROUND(S26/P26,3)</f>
        <v>-0.13300000000000001</v>
      </c>
      <c r="V26" s="431"/>
    </row>
    <row r="27" spans="1:22">
      <c r="A27" s="6"/>
      <c r="B27" s="325"/>
      <c r="C27" s="325"/>
      <c r="D27" s="325"/>
      <c r="E27" s="325"/>
      <c r="F27" s="325"/>
      <c r="G27" s="325"/>
      <c r="H27" s="2025"/>
      <c r="I27" s="325"/>
      <c r="J27" s="515"/>
      <c r="K27" s="325"/>
      <c r="L27" s="2025"/>
      <c r="M27" s="325"/>
      <c r="N27" s="325"/>
      <c r="O27" s="325"/>
      <c r="P27" s="325"/>
      <c r="R27" s="508"/>
      <c r="S27" s="524"/>
      <c r="T27" s="353"/>
      <c r="U27" s="431"/>
      <c r="V27" s="431"/>
    </row>
    <row r="28" spans="1:22" ht="16.399999999999999" customHeight="1">
      <c r="A28" s="6" t="s">
        <v>145</v>
      </c>
      <c r="B28" s="325"/>
      <c r="C28" s="325"/>
      <c r="D28" s="325"/>
      <c r="E28" s="325"/>
      <c r="F28" s="325"/>
      <c r="G28" s="325"/>
      <c r="H28" s="2025"/>
      <c r="I28" s="325"/>
      <c r="J28" s="515"/>
      <c r="K28" s="325"/>
      <c r="L28" s="2025"/>
      <c r="M28" s="325"/>
      <c r="N28" s="325"/>
      <c r="O28" s="325"/>
      <c r="P28" s="325"/>
      <c r="R28" s="508"/>
      <c r="S28" s="524"/>
      <c r="T28" s="353"/>
      <c r="U28" s="431"/>
      <c r="V28" s="431"/>
    </row>
    <row r="29" spans="1:22">
      <c r="A29" s="6" t="s">
        <v>234</v>
      </c>
      <c r="B29" s="1427">
        <f>ROUND(SUM(B19-B26),1)</f>
        <v>-6</v>
      </c>
      <c r="C29" s="16"/>
      <c r="D29" s="1427">
        <f>ROUND(SUM(D19-D26),1)</f>
        <v>21.1</v>
      </c>
      <c r="E29" s="16"/>
      <c r="F29" s="1427">
        <f>ROUND(SUM(F19-F26),1)</f>
        <v>1.1000000000000001</v>
      </c>
      <c r="G29" s="16"/>
      <c r="H29" s="32">
        <f>ROUND(SUM(H19-H26),1)</f>
        <v>9.1</v>
      </c>
      <c r="I29" s="16"/>
      <c r="J29" s="33">
        <f>ROUND(SUM(J19-J26),1)</f>
        <v>-4.9000000000000004</v>
      </c>
      <c r="K29" s="16"/>
      <c r="L29" s="32">
        <f>ROUND(SUM(L19-L26),1)</f>
        <v>30.2</v>
      </c>
      <c r="M29" s="16"/>
      <c r="N29" s="1427">
        <f>ROUND(SUM(N19-N26),1)</f>
        <v>4.5</v>
      </c>
      <c r="O29" s="16"/>
      <c r="P29" s="1427">
        <f>ROUND(SUM(P19-P26),1)</f>
        <v>7</v>
      </c>
      <c r="Q29" s="72"/>
      <c r="R29" s="508"/>
      <c r="S29" s="434">
        <f>ROUND(SUM(L29-P29),1)</f>
        <v>23.2</v>
      </c>
      <c r="T29" s="353"/>
      <c r="U29" s="864">
        <f>ROUND(IF(P29=0,1,S29/ABS(P29)),3)</f>
        <v>3.3140000000000001</v>
      </c>
      <c r="V29" s="431"/>
    </row>
    <row r="30" spans="1:22">
      <c r="A30" s="353"/>
      <c r="B30" s="325"/>
      <c r="C30" s="325"/>
      <c r="D30" s="325"/>
      <c r="E30" s="325"/>
      <c r="F30" s="325"/>
      <c r="G30" s="325"/>
      <c r="H30" s="2025"/>
      <c r="I30" s="325"/>
      <c r="J30" s="515"/>
      <c r="K30" s="325"/>
      <c r="L30" s="2025"/>
      <c r="M30" s="325"/>
      <c r="N30" s="325"/>
      <c r="O30" s="325"/>
      <c r="P30" s="325"/>
      <c r="R30" s="508"/>
      <c r="S30" s="524"/>
      <c r="T30" s="353"/>
      <c r="U30" s="431"/>
      <c r="V30" s="431"/>
    </row>
    <row r="31" spans="1:22" ht="16.399999999999999" customHeight="1">
      <c r="A31" s="6" t="s">
        <v>147</v>
      </c>
      <c r="B31" s="325"/>
      <c r="C31" s="325"/>
      <c r="D31" s="325"/>
      <c r="E31" s="325"/>
      <c r="F31" s="325"/>
      <c r="G31" s="325"/>
      <c r="H31" s="2025"/>
      <c r="I31" s="325"/>
      <c r="J31" s="515"/>
      <c r="K31" s="325"/>
      <c r="L31" s="2025"/>
      <c r="M31" s="325"/>
      <c r="N31" s="325"/>
      <c r="O31" s="325"/>
      <c r="P31" s="325"/>
      <c r="R31" s="508"/>
      <c r="S31" s="524"/>
      <c r="T31" s="353"/>
      <c r="U31" s="431"/>
      <c r="V31" s="431"/>
    </row>
    <row r="32" spans="1:22" ht="16.399999999999999" customHeight="1">
      <c r="A32" s="353" t="s">
        <v>149</v>
      </c>
      <c r="B32" s="336">
        <f>+'Exhibit L'!P31</f>
        <v>0</v>
      </c>
      <c r="C32" s="325"/>
      <c r="D32" s="336">
        <f>+'Exhibit L'!AA31</f>
        <v>0</v>
      </c>
      <c r="E32" s="325"/>
      <c r="F32" s="336">
        <f>+'Exhibit M'!P31</f>
        <v>0</v>
      </c>
      <c r="G32" s="348"/>
      <c r="H32" s="2030">
        <f>+'Exhibit M'!AA31</f>
        <v>0</v>
      </c>
      <c r="I32" s="325"/>
      <c r="J32" s="518">
        <f>SUM(B32)+SUM(F32)</f>
        <v>0</v>
      </c>
      <c r="K32" s="325"/>
      <c r="L32" s="2026">
        <f>SUM(D32)+SUM(H32)</f>
        <v>0</v>
      </c>
      <c r="M32" s="325"/>
      <c r="N32" s="348">
        <v>0</v>
      </c>
      <c r="O32" s="325"/>
      <c r="P32" s="350">
        <f>'Exhibit L'!AD31+'Exhibit M'!AD31</f>
        <v>0</v>
      </c>
      <c r="R32" s="519"/>
      <c r="S32" s="524">
        <f>ROUND(SUM(L32-P32),1)</f>
        <v>0</v>
      </c>
      <c r="T32" s="329"/>
      <c r="U32" s="644">
        <f>ROUND(IF(S32=0,0,S32/ABS(P32)),3)</f>
        <v>0</v>
      </c>
      <c r="V32" s="431"/>
    </row>
    <row r="33" spans="1:22" ht="16.399999999999999" customHeight="1">
      <c r="A33" s="353" t="s">
        <v>235</v>
      </c>
      <c r="B33" s="336">
        <f>+'Exhibit L'!P32</f>
        <v>0</v>
      </c>
      <c r="C33" s="325"/>
      <c r="D33" s="1141">
        <f>+'Exhibit L'!AA32</f>
        <v>0</v>
      </c>
      <c r="E33" s="325"/>
      <c r="F33" s="336">
        <f>+'Exhibit M'!P32</f>
        <v>0</v>
      </c>
      <c r="G33" s="325"/>
      <c r="H33" s="2030">
        <f>+'Exhibit M'!AA32</f>
        <v>0</v>
      </c>
      <c r="I33" s="325"/>
      <c r="J33" s="518">
        <f>SUM(B33)+SUM(F33)</f>
        <v>0</v>
      </c>
      <c r="K33" s="325"/>
      <c r="L33" s="2026">
        <f>SUM(D33)+SUM(H33)</f>
        <v>0</v>
      </c>
      <c r="M33" s="325"/>
      <c r="N33" s="348">
        <v>0</v>
      </c>
      <c r="O33" s="469"/>
      <c r="P33" s="350">
        <f>'Exhibit L'!AD32+'Exhibit M'!AD32</f>
        <v>0</v>
      </c>
      <c r="R33" s="520"/>
      <c r="S33" s="524">
        <f>ROUND(SUM(L33-P33),1)</f>
        <v>0</v>
      </c>
      <c r="T33" s="329"/>
      <c r="U33" s="644">
        <f>ROUND(IF(S33=0,0,S33/ABS(P33)),3)</f>
        <v>0</v>
      </c>
      <c r="V33" s="431"/>
    </row>
    <row r="34" spans="1:22">
      <c r="A34" s="6" t="s">
        <v>152</v>
      </c>
      <c r="B34" s="1473">
        <f>ROUND(SUM(B32:B33),1)</f>
        <v>0</v>
      </c>
      <c r="C34" s="16"/>
      <c r="D34" s="1473">
        <f>ROUND(SUM(D32:D33),1)</f>
        <v>0</v>
      </c>
      <c r="E34" s="16"/>
      <c r="F34" s="1473">
        <f>ROUND(SUM(F32:F33),1)</f>
        <v>0</v>
      </c>
      <c r="G34" s="16"/>
      <c r="H34" s="1474">
        <f>ROUND(SUM(H32:H33),1)</f>
        <v>0</v>
      </c>
      <c r="I34" s="16"/>
      <c r="J34" s="1475">
        <f>ROUND(SUM(J32:J33),1)</f>
        <v>0</v>
      </c>
      <c r="K34" s="16"/>
      <c r="L34" s="1468">
        <f>ROUND(SUM(L32:L33),1)</f>
        <v>0</v>
      </c>
      <c r="M34" s="16"/>
      <c r="N34" s="1467">
        <f>ROUND(SUM(N32:N33),1)</f>
        <v>0</v>
      </c>
      <c r="O34" s="16"/>
      <c r="P34" s="1467">
        <f>ROUND(SUM(P32:P33),1)</f>
        <v>0</v>
      </c>
      <c r="R34" s="521"/>
      <c r="S34" s="1211">
        <f>ROUND(SUM(S32-S33),3)</f>
        <v>0</v>
      </c>
      <c r="T34" s="655"/>
      <c r="U34" s="1471">
        <f>ROUND(IF(P34=0,0,S34/ABS(P34)),3)</f>
        <v>0</v>
      </c>
      <c r="V34" s="431"/>
    </row>
    <row r="35" spans="1:22">
      <c r="A35" s="6"/>
      <c r="B35" s="783"/>
      <c r="C35" s="325"/>
      <c r="D35" s="783"/>
      <c r="E35" s="325"/>
      <c r="F35" s="325"/>
      <c r="G35" s="325"/>
      <c r="H35" s="2025"/>
      <c r="I35" s="325"/>
      <c r="J35" s="515"/>
      <c r="K35" s="325"/>
      <c r="L35" s="1476"/>
      <c r="M35" s="325"/>
      <c r="N35" s="325"/>
      <c r="O35" s="325"/>
      <c r="P35" s="325"/>
      <c r="R35" s="508"/>
      <c r="S35" s="524"/>
      <c r="T35" s="353"/>
      <c r="U35" s="431"/>
      <c r="V35" s="431"/>
    </row>
    <row r="36" spans="1:22" ht="15.75" customHeight="1">
      <c r="A36" s="6" t="s">
        <v>145</v>
      </c>
      <c r="B36" s="325"/>
      <c r="C36" s="325"/>
      <c r="D36" s="325"/>
      <c r="E36" s="325"/>
      <c r="F36" s="325"/>
      <c r="G36" s="325"/>
      <c r="H36" s="2025"/>
      <c r="I36" s="325"/>
      <c r="J36" s="515"/>
      <c r="K36" s="325"/>
      <c r="L36" s="2025"/>
      <c r="M36" s="325"/>
      <c r="N36" s="325"/>
      <c r="O36" s="325"/>
      <c r="P36" s="325"/>
      <c r="R36" s="508"/>
      <c r="S36" s="524"/>
      <c r="T36" s="353"/>
      <c r="U36" s="431"/>
      <c r="V36" s="431"/>
    </row>
    <row r="37" spans="1:22" ht="15.75" customHeight="1">
      <c r="A37" s="6" t="s">
        <v>236</v>
      </c>
      <c r="B37" s="325"/>
      <c r="C37" s="325"/>
      <c r="D37" s="325"/>
      <c r="E37" s="325"/>
      <c r="F37" s="325"/>
      <c r="G37" s="325"/>
      <c r="H37" s="2025"/>
      <c r="I37" s="325"/>
      <c r="J37" s="515"/>
      <c r="K37" s="325"/>
      <c r="L37" s="2025"/>
      <c r="M37" s="325"/>
      <c r="N37" s="325"/>
      <c r="O37" s="325"/>
      <c r="P37" s="325"/>
      <c r="R37" s="508"/>
      <c r="S37" s="524"/>
      <c r="T37" s="353"/>
      <c r="U37" s="431"/>
      <c r="V37" s="431"/>
    </row>
    <row r="38" spans="1:22" ht="15.75" customHeight="1">
      <c r="A38" s="6" t="s">
        <v>237</v>
      </c>
      <c r="B38" s="325"/>
      <c r="C38" s="325"/>
      <c r="D38" s="325"/>
      <c r="E38" s="325"/>
      <c r="F38" s="469"/>
      <c r="G38" s="325"/>
      <c r="H38" s="2025"/>
      <c r="I38" s="325"/>
      <c r="J38" s="515"/>
      <c r="K38" s="325"/>
      <c r="L38" s="2025"/>
      <c r="M38" s="325"/>
      <c r="N38" s="325"/>
      <c r="O38" s="325"/>
      <c r="P38" s="325"/>
      <c r="R38" s="508"/>
      <c r="S38" s="524"/>
      <c r="T38" s="353"/>
      <c r="U38" s="431"/>
      <c r="V38" s="431"/>
    </row>
    <row r="39" spans="1:22" ht="15.75" customHeight="1">
      <c r="A39" s="6" t="s">
        <v>238</v>
      </c>
      <c r="B39" s="34">
        <f>ROUND(SUM(B29+B34),1)</f>
        <v>-6</v>
      </c>
      <c r="C39" s="16"/>
      <c r="D39" s="34">
        <f>ROUND(SUM(D29+D34),1)</f>
        <v>21.1</v>
      </c>
      <c r="E39" s="16"/>
      <c r="F39" s="34">
        <f>ROUND(SUM(F29+F34),1)</f>
        <v>1.1000000000000001</v>
      </c>
      <c r="G39" s="16"/>
      <c r="H39" s="2031">
        <f>ROUND(SUM(H29+H34),1)</f>
        <v>9.1</v>
      </c>
      <c r="I39" s="16"/>
      <c r="J39" s="35">
        <f>ROUND(SUM(J29+J34),1)</f>
        <v>-4.9000000000000004</v>
      </c>
      <c r="K39" s="16"/>
      <c r="L39" s="2031">
        <f>ROUND(SUM(L29+L34),1)</f>
        <v>30.2</v>
      </c>
      <c r="M39" s="16"/>
      <c r="N39" s="34">
        <f>ROUND(SUM(N29+N34),1)</f>
        <v>4.5</v>
      </c>
      <c r="O39" s="16"/>
      <c r="P39" s="34">
        <f>ROUND(SUM(P29+P34),1)</f>
        <v>7</v>
      </c>
      <c r="Q39" s="72"/>
      <c r="R39" s="508"/>
      <c r="S39" s="16">
        <f>ROUND(SUM(L39-P39),1)</f>
        <v>23.2</v>
      </c>
      <c r="T39" s="353"/>
      <c r="U39" s="865">
        <f>ROUND(IF(P39=0,1,S39/ABS(P39)),3)</f>
        <v>3.3140000000000001</v>
      </c>
      <c r="V39" s="431"/>
    </row>
    <row r="40" spans="1:22">
      <c r="A40" s="6"/>
      <c r="B40" s="325"/>
      <c r="C40" s="325"/>
      <c r="D40" s="325"/>
      <c r="E40" s="325"/>
      <c r="F40" s="325"/>
      <c r="G40" s="325"/>
      <c r="H40" s="2025"/>
      <c r="I40" s="325"/>
      <c r="J40" s="515"/>
      <c r="K40" s="325"/>
      <c r="L40" s="2025"/>
      <c r="M40" s="325"/>
      <c r="N40" s="325"/>
      <c r="O40" s="325"/>
      <c r="P40" s="325"/>
      <c r="R40" s="508"/>
      <c r="T40" s="353"/>
      <c r="V40" s="431"/>
    </row>
    <row r="41" spans="1:22" s="72" customFormat="1">
      <c r="A41" s="6" t="s">
        <v>155</v>
      </c>
      <c r="B41" s="1477">
        <f>+'Exhibit L'!P13</f>
        <v>1282.8</v>
      </c>
      <c r="C41" s="16"/>
      <c r="D41" s="1477">
        <f>+'Exhibit L'!AA13</f>
        <v>1255.7</v>
      </c>
      <c r="E41" s="16"/>
      <c r="F41" s="1477">
        <f>+'Exhibit M'!P13</f>
        <v>61.1</v>
      </c>
      <c r="G41" s="16"/>
      <c r="H41" s="2032">
        <f>+'Exhibit M'!AA13</f>
        <v>53.1</v>
      </c>
      <c r="I41" s="16"/>
      <c r="J41" s="36">
        <f>ROUND(SUM(B41)+SUM(F41),1)</f>
        <v>1343.9</v>
      </c>
      <c r="K41" s="16"/>
      <c r="L41" s="2031">
        <f>ROUND(SUM(D41+H41),1)</f>
        <v>1308.8</v>
      </c>
      <c r="M41" s="16"/>
      <c r="N41" s="1427">
        <v>367.3</v>
      </c>
      <c r="O41" s="16"/>
      <c r="P41" s="1427">
        <f>'Exhibit L'!AD13+'Exhibit M'!AD13</f>
        <v>364.79999999999995</v>
      </c>
      <c r="R41" s="504"/>
      <c r="S41" s="24">
        <f>ROUND(SUM(+L41-P41),1)</f>
        <v>944</v>
      </c>
      <c r="T41" s="6"/>
      <c r="U41" s="645">
        <f>ROUND(IF(S41=0,0,S41/ABS(P41)),3)</f>
        <v>2.5880000000000001</v>
      </c>
      <c r="V41" s="522"/>
    </row>
    <row r="42" spans="1:22" ht="16" thickBot="1">
      <c r="A42" s="6" t="s">
        <v>240</v>
      </c>
      <c r="B42" s="1478">
        <f>ROUND(SUM(B41)+SUM(B39),1)</f>
        <v>1276.8</v>
      </c>
      <c r="C42" s="26"/>
      <c r="D42" s="1478">
        <f>ROUND(SUM(D41)+SUM(D39),1)</f>
        <v>1276.8</v>
      </c>
      <c r="E42" s="26"/>
      <c r="F42" s="1459">
        <f>ROUND(SUM(F41)+SUM(F39),1)</f>
        <v>62.2</v>
      </c>
      <c r="G42" s="37"/>
      <c r="H42" s="1479">
        <f>ROUND(SUM(H41)+SUM(H39),1)</f>
        <v>62.2</v>
      </c>
      <c r="I42" s="417"/>
      <c r="J42" s="1479">
        <f>ROUND(SUM(J41)+SUM(J39),1)</f>
        <v>1339</v>
      </c>
      <c r="K42" s="26"/>
      <c r="L42" s="1480">
        <f>ROUND(SUM(L41)+SUM(L39),1)</f>
        <v>1339</v>
      </c>
      <c r="M42" s="26"/>
      <c r="N42" s="1479">
        <f>ROUND(SUM(N41)+SUM(N39),1)</f>
        <v>371.8</v>
      </c>
      <c r="O42" s="26"/>
      <c r="P42" s="1479">
        <f>ROUND(SUM(P41)+SUM(P39),1)</f>
        <v>371.8</v>
      </c>
      <c r="Q42" s="56"/>
      <c r="R42" s="511"/>
      <c r="S42" s="1481">
        <f>ROUND(SUM(S39+S41),3)</f>
        <v>967.2</v>
      </c>
      <c r="T42" s="483"/>
      <c r="U42" s="1462">
        <f>ROUND(IF(P42=0,1,S42/ABS(P42)),3)</f>
        <v>2.601</v>
      </c>
      <c r="V42" s="431"/>
    </row>
    <row r="43" spans="1:22" ht="16" thickTop="1">
      <c r="A43" s="353"/>
      <c r="B43" s="523"/>
      <c r="C43" s="483"/>
      <c r="D43" s="523"/>
      <c r="E43" s="483"/>
      <c r="F43" s="523"/>
      <c r="G43" s="483"/>
      <c r="H43" s="523"/>
      <c r="I43" s="483"/>
      <c r="J43" s="523"/>
      <c r="K43" s="483"/>
      <c r="L43" s="523"/>
      <c r="M43" s="483"/>
      <c r="N43" s="523"/>
      <c r="O43" s="483"/>
      <c r="P43" s="523"/>
      <c r="Q43" s="483"/>
      <c r="R43" s="512"/>
      <c r="S43" s="512"/>
      <c r="T43" s="512"/>
      <c r="U43" s="512"/>
      <c r="V43" s="512"/>
    </row>
    <row r="44" spans="1:22" ht="18.5">
      <c r="A44" s="353" t="s">
        <v>246</v>
      </c>
      <c r="B44" s="353"/>
      <c r="C44" s="353"/>
      <c r="D44" s="353"/>
      <c r="E44" s="353"/>
      <c r="F44" s="353"/>
      <c r="G44" s="353"/>
      <c r="H44" s="353"/>
      <c r="I44" s="353"/>
      <c r="J44" s="353"/>
      <c r="K44" s="353"/>
      <c r="L44" s="353"/>
      <c r="M44" s="353"/>
      <c r="N44" s="325"/>
      <c r="O44" s="353"/>
      <c r="P44" s="353"/>
      <c r="Q44" s="353"/>
      <c r="R44" s="431"/>
      <c r="S44" s="625"/>
      <c r="T44" s="431"/>
      <c r="U44" s="431"/>
      <c r="V44" s="431"/>
    </row>
    <row r="45" spans="1:22">
      <c r="A45" s="353"/>
      <c r="B45" s="353"/>
      <c r="C45" s="353"/>
      <c r="D45" s="353"/>
      <c r="E45" s="353"/>
      <c r="F45" s="353" t="s">
        <v>104</v>
      </c>
      <c r="G45" s="353"/>
      <c r="H45" s="353"/>
      <c r="I45" s="353"/>
      <c r="J45" s="353"/>
      <c r="K45" s="353"/>
      <c r="L45" s="353"/>
      <c r="N45" s="325"/>
      <c r="O45" s="353"/>
      <c r="P45" s="353"/>
      <c r="Q45" s="353"/>
      <c r="R45" s="431"/>
      <c r="S45" s="431"/>
      <c r="T45" s="431"/>
      <c r="U45" s="431"/>
      <c r="V45" s="431"/>
    </row>
    <row r="46" spans="1:22">
      <c r="A46" s="329"/>
      <c r="B46" s="353"/>
      <c r="C46" s="353"/>
      <c r="D46" s="353"/>
      <c r="E46" s="353"/>
      <c r="F46" s="353"/>
      <c r="G46" s="353"/>
      <c r="H46" s="353"/>
      <c r="I46" s="353"/>
      <c r="J46" s="353"/>
      <c r="K46" s="353"/>
      <c r="L46" s="353"/>
      <c r="M46" s="353"/>
      <c r="N46" s="353"/>
      <c r="O46" s="353"/>
      <c r="P46" s="353"/>
      <c r="Q46" s="353"/>
      <c r="R46" s="431"/>
      <c r="S46" s="431"/>
      <c r="T46" s="431"/>
      <c r="U46" s="431"/>
      <c r="V46" s="431"/>
    </row>
    <row r="47" spans="1:22">
      <c r="A47" s="353"/>
      <c r="B47" s="353"/>
      <c r="C47" s="353"/>
      <c r="D47" s="353"/>
      <c r="E47" s="353"/>
      <c r="F47" s="353"/>
      <c r="G47" s="353"/>
      <c r="H47" s="353"/>
      <c r="I47" s="353"/>
      <c r="J47" s="353"/>
      <c r="K47" s="353"/>
      <c r="L47" s="353"/>
      <c r="M47" s="353"/>
      <c r="N47" s="353"/>
      <c r="O47" s="353"/>
      <c r="P47" s="353"/>
      <c r="Q47" s="353"/>
      <c r="R47" s="431"/>
      <c r="S47" s="431"/>
      <c r="T47" s="431"/>
      <c r="U47" s="431"/>
      <c r="V47" s="431"/>
    </row>
    <row r="48" spans="1:22">
      <c r="A48" s="353"/>
      <c r="B48" s="353"/>
      <c r="C48" s="353"/>
      <c r="D48" s="353"/>
      <c r="E48" s="353"/>
      <c r="F48" s="353"/>
      <c r="G48" s="353"/>
      <c r="H48" s="353"/>
      <c r="I48" s="353"/>
      <c r="J48" s="353"/>
      <c r="K48" s="353"/>
      <c r="L48" s="353"/>
      <c r="M48" s="353"/>
      <c r="N48" s="353"/>
      <c r="O48" s="353"/>
      <c r="P48" s="353"/>
      <c r="Q48" s="353"/>
      <c r="R48" s="431"/>
      <c r="S48" s="431"/>
      <c r="T48" s="431"/>
      <c r="U48" s="431"/>
      <c r="V48" s="431"/>
    </row>
    <row r="49" spans="1:22">
      <c r="A49" s="353"/>
      <c r="B49" s="353"/>
      <c r="C49" s="353"/>
      <c r="D49" s="353"/>
      <c r="E49" s="353"/>
      <c r="F49" s="353"/>
      <c r="G49" s="353"/>
      <c r="H49" s="353"/>
      <c r="I49" s="353"/>
      <c r="J49" s="353"/>
      <c r="K49" s="353"/>
      <c r="L49" s="353"/>
      <c r="M49" s="353"/>
      <c r="N49" s="353"/>
      <c r="O49" s="353"/>
      <c r="P49" s="353"/>
      <c r="Q49" s="353"/>
      <c r="R49" s="431"/>
      <c r="S49" s="431"/>
      <c r="T49" s="431"/>
      <c r="U49" s="431"/>
      <c r="V49" s="431"/>
    </row>
    <row r="50" spans="1:22">
      <c r="A50" s="353"/>
      <c r="B50" s="353"/>
      <c r="C50" s="353"/>
      <c r="D50" s="353"/>
      <c r="E50" s="353"/>
      <c r="F50" s="353"/>
      <c r="G50" s="353"/>
      <c r="H50" s="353"/>
      <c r="I50" s="353"/>
      <c r="J50" s="353"/>
      <c r="K50" s="353"/>
      <c r="L50" s="353"/>
      <c r="M50" s="353"/>
      <c r="N50" s="353"/>
      <c r="O50" s="353"/>
      <c r="P50" s="353"/>
      <c r="Q50" s="353"/>
      <c r="R50" s="431"/>
      <c r="S50" s="431"/>
      <c r="T50" s="431"/>
      <c r="U50" s="431"/>
      <c r="V50" s="431"/>
    </row>
    <row r="51" spans="1:22">
      <c r="A51" s="353"/>
      <c r="B51" s="353"/>
      <c r="C51" s="353"/>
      <c r="D51" s="353"/>
      <c r="E51" s="353"/>
      <c r="F51" s="353"/>
      <c r="G51" s="353"/>
      <c r="H51" s="353"/>
      <c r="I51" s="353"/>
      <c r="J51" s="353"/>
      <c r="K51" s="353"/>
      <c r="L51" s="353"/>
      <c r="M51" s="353"/>
      <c r="N51" s="353"/>
      <c r="O51" s="353"/>
      <c r="P51" s="353"/>
      <c r="Q51" s="353"/>
      <c r="R51" s="431"/>
      <c r="S51" s="431"/>
      <c r="T51" s="431"/>
      <c r="U51" s="431"/>
      <c r="V51" s="431"/>
    </row>
    <row r="52" spans="1:22">
      <c r="A52" s="353"/>
      <c r="B52" s="353"/>
      <c r="C52" s="353"/>
      <c r="D52" s="353"/>
      <c r="E52" s="353"/>
      <c r="F52" s="353"/>
      <c r="G52" s="353"/>
      <c r="H52" s="353"/>
      <c r="I52" s="353"/>
      <c r="J52" s="353"/>
      <c r="K52" s="353"/>
      <c r="L52" s="353"/>
      <c r="M52" s="353"/>
      <c r="N52" s="353"/>
      <c r="O52" s="353"/>
      <c r="P52" s="353"/>
      <c r="Q52" s="353"/>
      <c r="R52" s="431"/>
      <c r="S52" s="431"/>
      <c r="T52" s="431"/>
      <c r="U52" s="431"/>
      <c r="V52" s="431"/>
    </row>
    <row r="53" spans="1:22">
      <c r="A53" s="353"/>
      <c r="B53" s="353"/>
      <c r="C53" s="353"/>
      <c r="D53" s="353"/>
      <c r="E53" s="353"/>
      <c r="F53" s="353"/>
      <c r="G53" s="353"/>
      <c r="H53" s="353"/>
      <c r="I53" s="353"/>
      <c r="J53" s="353"/>
      <c r="K53" s="353"/>
      <c r="L53" s="353"/>
      <c r="M53" s="353"/>
      <c r="N53" s="353"/>
      <c r="O53" s="353"/>
      <c r="P53" s="353"/>
      <c r="Q53" s="353"/>
      <c r="R53" s="431"/>
      <c r="S53" s="431"/>
      <c r="T53" s="431"/>
      <c r="U53" s="431"/>
      <c r="V53" s="431"/>
    </row>
    <row r="54" spans="1:22">
      <c r="A54" s="353"/>
      <c r="B54" s="353"/>
      <c r="C54" s="353"/>
      <c r="D54" s="353"/>
      <c r="E54" s="353"/>
      <c r="F54" s="353"/>
      <c r="G54" s="353"/>
      <c r="H54" s="353"/>
      <c r="I54" s="353"/>
      <c r="J54" s="353"/>
      <c r="K54" s="353"/>
      <c r="L54" s="353"/>
      <c r="M54" s="353"/>
      <c r="N54" s="353"/>
      <c r="O54" s="353"/>
      <c r="P54" s="353"/>
      <c r="Q54" s="353"/>
      <c r="R54" s="431"/>
      <c r="S54" s="431"/>
      <c r="T54" s="431"/>
      <c r="U54" s="431"/>
      <c r="V54" s="431"/>
    </row>
    <row r="55" spans="1:22">
      <c r="A55" s="353"/>
      <c r="B55" s="353"/>
      <c r="C55" s="353"/>
      <c r="D55" s="353"/>
      <c r="E55" s="353"/>
      <c r="F55" s="353"/>
      <c r="G55" s="353"/>
      <c r="H55" s="353"/>
      <c r="I55" s="353"/>
      <c r="J55" s="353"/>
      <c r="K55" s="353"/>
      <c r="L55" s="353"/>
      <c r="M55" s="353"/>
      <c r="N55" s="353"/>
      <c r="O55" s="353"/>
      <c r="P55" s="353"/>
      <c r="Q55" s="353"/>
      <c r="R55" s="431"/>
      <c r="S55" s="431"/>
      <c r="T55" s="431"/>
      <c r="U55" s="431"/>
      <c r="V55" s="431"/>
    </row>
    <row r="56" spans="1:22">
      <c r="A56" s="353"/>
      <c r="B56" s="353"/>
      <c r="C56" s="353"/>
      <c r="D56" s="353"/>
      <c r="E56" s="353"/>
      <c r="F56" s="353"/>
      <c r="G56" s="353"/>
      <c r="H56" s="353"/>
      <c r="I56" s="353"/>
      <c r="J56" s="353"/>
      <c r="K56" s="353"/>
      <c r="L56" s="353"/>
      <c r="M56" s="353"/>
      <c r="N56" s="353"/>
      <c r="O56" s="353"/>
      <c r="P56" s="353"/>
      <c r="Q56" s="353"/>
      <c r="R56" s="353"/>
      <c r="S56" s="353"/>
    </row>
    <row r="57" spans="1:22">
      <c r="A57" s="353"/>
      <c r="B57" s="353"/>
      <c r="C57" s="353"/>
      <c r="D57" s="353"/>
      <c r="E57" s="353"/>
      <c r="F57" s="353"/>
      <c r="G57" s="353"/>
      <c r="H57" s="353"/>
      <c r="I57" s="353"/>
      <c r="J57" s="353"/>
      <c r="K57" s="353"/>
      <c r="L57" s="353"/>
      <c r="M57" s="353"/>
      <c r="N57" s="353"/>
      <c r="O57" s="353"/>
      <c r="P57" s="353"/>
      <c r="Q57" s="353"/>
      <c r="R57" s="353"/>
      <c r="S57" s="353"/>
    </row>
    <row r="58" spans="1:22">
      <c r="A58" s="353"/>
      <c r="B58" s="353"/>
      <c r="C58" s="353"/>
      <c r="D58" s="353"/>
      <c r="E58" s="353"/>
      <c r="F58" s="353"/>
      <c r="G58" s="353"/>
      <c r="H58" s="353"/>
      <c r="I58" s="353"/>
      <c r="J58" s="353"/>
      <c r="K58" s="353"/>
      <c r="L58" s="353"/>
      <c r="M58" s="353"/>
      <c r="N58" s="353"/>
      <c r="O58" s="353"/>
      <c r="P58" s="353"/>
      <c r="Q58" s="353"/>
      <c r="R58" s="353"/>
      <c r="S58" s="353"/>
    </row>
    <row r="59" spans="1:22">
      <c r="A59" s="353"/>
      <c r="B59" s="353"/>
      <c r="C59" s="353"/>
      <c r="D59" s="353"/>
      <c r="E59" s="353"/>
      <c r="F59" s="353"/>
      <c r="G59" s="353"/>
      <c r="H59" s="353"/>
      <c r="I59" s="353"/>
      <c r="J59" s="353"/>
      <c r="K59" s="353"/>
      <c r="L59" s="353"/>
      <c r="M59" s="353"/>
      <c r="N59" s="353"/>
      <c r="O59" s="353"/>
      <c r="P59" s="353"/>
      <c r="Q59" s="353"/>
      <c r="R59" s="353"/>
      <c r="S59" s="353"/>
    </row>
    <row r="60" spans="1:22">
      <c r="A60" s="353"/>
      <c r="B60" s="353"/>
      <c r="C60" s="353"/>
      <c r="D60" s="353"/>
      <c r="E60" s="353"/>
      <c r="F60" s="353"/>
      <c r="G60" s="353"/>
      <c r="H60" s="353"/>
      <c r="I60" s="353"/>
      <c r="J60" s="353"/>
      <c r="K60" s="353"/>
      <c r="L60" s="353"/>
      <c r="M60" s="353"/>
      <c r="N60" s="353"/>
      <c r="O60" s="353"/>
      <c r="P60" s="353"/>
      <c r="Q60" s="353"/>
      <c r="R60" s="353"/>
      <c r="S60" s="353"/>
    </row>
    <row r="61" spans="1:22">
      <c r="A61" s="353"/>
      <c r="B61" s="353"/>
      <c r="C61" s="353"/>
      <c r="D61" s="353"/>
      <c r="E61" s="353"/>
      <c r="F61" s="353"/>
      <c r="G61" s="353"/>
      <c r="H61" s="353"/>
      <c r="I61" s="353"/>
      <c r="J61" s="353"/>
      <c r="K61" s="353"/>
      <c r="L61" s="353"/>
      <c r="M61" s="353"/>
      <c r="N61" s="353"/>
      <c r="O61" s="353"/>
      <c r="P61" s="353"/>
      <c r="Q61" s="353"/>
      <c r="R61" s="353"/>
      <c r="S61" s="353"/>
    </row>
  </sheetData>
  <mergeCells count="1">
    <mergeCell ref="S12:U12"/>
  </mergeCells>
  <pageMargins left="0.25" right="0.25" top="0.5" bottom="0.5" header="0" footer="0.25"/>
  <pageSetup scale="59" firstPageNumber="6" orientation="landscape" useFirstPageNumber="1" r:id="rId1"/>
  <headerFooter scaleWithDoc="0" alignWithMargins="0">
    <oddFooter>&amp;C&amp;8&amp;P</oddFooter>
  </headerFooter>
  <customProperties>
    <customPr name="SheetOptions" r:id="rId2"/>
  </customProperties>
  <ignoredErrors>
    <ignoredError sqref="S20:U22 S35:U38 T34:U34 T42 T41 S30:U31 S18:T18 S27:U28 S23:T25 S33:T33 S40:U40 S19:U19 S26:T26 S32:T32" unlockedFormula="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1">
    <pageSetUpPr fitToPage="1"/>
  </sheetPr>
  <dimension ref="A1:N56"/>
  <sheetViews>
    <sheetView showGridLines="0" zoomScale="90" zoomScaleNormal="80" workbookViewId="0"/>
  </sheetViews>
  <sheetFormatPr defaultColWidth="8.84375" defaultRowHeight="15.5"/>
  <cols>
    <col min="1" max="1" width="45.84375" style="29" customWidth="1"/>
    <col min="2" max="2" width="2.4609375" style="29" customWidth="1"/>
    <col min="3" max="3" width="15.07421875" style="29" customWidth="1"/>
    <col min="4" max="4" width="1.84375" style="29" customWidth="1"/>
    <col min="5" max="5" width="15.07421875" style="29" customWidth="1"/>
    <col min="6" max="6" width="2.84375" style="29" customWidth="1"/>
    <col min="7" max="7" width="15.07421875" style="29" customWidth="1"/>
    <col min="8" max="8" width="2" style="29" customWidth="1"/>
    <col min="9" max="9" width="14.84375" style="29" customWidth="1"/>
    <col min="10" max="10" width="2.07421875" style="29" customWidth="1"/>
    <col min="11" max="11" width="14.07421875" style="29" customWidth="1"/>
    <col min="12" max="12" width="8.84375" style="29"/>
    <col min="13" max="13" width="10.07421875" style="29" bestFit="1" customWidth="1"/>
    <col min="14" max="16384" width="8.84375" style="29"/>
  </cols>
  <sheetData>
    <row r="1" spans="1:11">
      <c r="A1" s="481" t="s">
        <v>98</v>
      </c>
    </row>
    <row r="2" spans="1:11">
      <c r="A2" s="431"/>
    </row>
    <row r="3" spans="1:11" ht="18" customHeight="1">
      <c r="A3" s="1344" t="s">
        <v>99</v>
      </c>
      <c r="B3" s="1345"/>
      <c r="C3" s="1345"/>
      <c r="D3" s="1346"/>
      <c r="E3" s="1345"/>
      <c r="F3" s="40"/>
      <c r="G3" s="40"/>
      <c r="H3" s="40"/>
      <c r="I3" s="40"/>
      <c r="J3" s="40"/>
      <c r="K3" s="41" t="s">
        <v>247</v>
      </c>
    </row>
    <row r="4" spans="1:11" ht="18" customHeight="1">
      <c r="A4" s="1344" t="s">
        <v>248</v>
      </c>
      <c r="B4" s="1345"/>
      <c r="C4" s="1345"/>
      <c r="D4" s="1346"/>
      <c r="E4" s="1345"/>
      <c r="F4" s="40"/>
      <c r="G4" s="40"/>
      <c r="H4" s="40"/>
      <c r="I4" s="41"/>
      <c r="J4" s="42"/>
    </row>
    <row r="5" spans="1:11" ht="18" customHeight="1">
      <c r="A5" s="2218" t="s">
        <v>249</v>
      </c>
      <c r="B5" s="2219"/>
      <c r="C5" s="2219"/>
      <c r="D5" s="2219"/>
      <c r="E5" s="2219"/>
      <c r="F5" s="40"/>
      <c r="G5" s="43"/>
      <c r="H5" s="40"/>
      <c r="I5" s="40"/>
      <c r="J5" s="40"/>
      <c r="K5" s="40"/>
    </row>
    <row r="6" spans="1:11" ht="18" customHeight="1">
      <c r="A6" s="1347" t="s">
        <v>1588</v>
      </c>
      <c r="B6" s="1346"/>
      <c r="C6" s="1346"/>
      <c r="D6" s="1346"/>
      <c r="E6" s="1346"/>
      <c r="F6" s="40"/>
      <c r="G6" s="40"/>
      <c r="H6" s="40"/>
      <c r="I6" s="40"/>
      <c r="J6" s="40"/>
      <c r="K6" s="40"/>
    </row>
    <row r="7" spans="1:11" ht="18" customHeight="1">
      <c r="A7" s="1348" t="s">
        <v>250</v>
      </c>
      <c r="B7" s="1346"/>
      <c r="C7" s="1346"/>
      <c r="D7" s="1346"/>
      <c r="E7" s="1346"/>
      <c r="F7" s="40"/>
      <c r="G7" s="40"/>
      <c r="H7" s="40"/>
      <c r="I7" s="40"/>
      <c r="J7" s="40"/>
      <c r="K7" s="40"/>
    </row>
    <row r="8" spans="1:11" ht="17.5">
      <c r="A8" s="45"/>
      <c r="B8" s="40"/>
      <c r="C8" s="40"/>
      <c r="D8" s="40"/>
      <c r="E8" s="40"/>
      <c r="F8" s="40"/>
      <c r="G8" s="40"/>
      <c r="H8" s="40"/>
      <c r="I8" s="40"/>
      <c r="J8" s="40"/>
      <c r="K8" s="40"/>
    </row>
    <row r="9" spans="1:11">
      <c r="A9" s="46"/>
      <c r="B9" s="40"/>
      <c r="C9" s="40"/>
      <c r="D9" s="40"/>
      <c r="E9" s="40"/>
      <c r="F9" s="40"/>
      <c r="G9" s="40"/>
      <c r="H9" s="40"/>
      <c r="I9" s="40"/>
      <c r="J9" s="40"/>
      <c r="K9" s="40"/>
    </row>
    <row r="10" spans="1:11">
      <c r="A10" s="46"/>
      <c r="B10" s="40"/>
      <c r="C10" s="40"/>
      <c r="D10" s="40"/>
      <c r="E10" s="40"/>
      <c r="F10" s="40"/>
      <c r="G10" s="40"/>
      <c r="H10" s="40"/>
      <c r="I10" s="40"/>
      <c r="J10" s="40"/>
      <c r="K10" s="40"/>
    </row>
    <row r="11" spans="1:11">
      <c r="A11" s="353"/>
      <c r="B11" s="47"/>
      <c r="C11" s="2220" t="s">
        <v>251</v>
      </c>
      <c r="D11" s="2220"/>
      <c r="E11" s="2220"/>
      <c r="F11" s="2220"/>
      <c r="G11" s="2220"/>
      <c r="H11" s="2220"/>
      <c r="I11" s="2220"/>
      <c r="J11" s="1482"/>
      <c r="K11" s="2013"/>
    </row>
    <row r="12" spans="1:11">
      <c r="A12" s="353"/>
      <c r="B12" s="47"/>
      <c r="C12" s="47"/>
      <c r="D12" s="47"/>
      <c r="E12" s="47"/>
      <c r="F12" s="47"/>
      <c r="G12" s="47"/>
      <c r="H12" s="47"/>
      <c r="I12" s="48" t="s">
        <v>252</v>
      </c>
      <c r="J12" s="48"/>
      <c r="K12" s="48" t="s">
        <v>252</v>
      </c>
    </row>
    <row r="13" spans="1:11">
      <c r="A13" s="353"/>
      <c r="B13" s="47"/>
      <c r="C13" s="47"/>
      <c r="D13" s="47"/>
      <c r="E13" s="47"/>
      <c r="F13" s="47"/>
      <c r="G13" s="47"/>
      <c r="H13" s="47"/>
      <c r="I13" s="48" t="s">
        <v>253</v>
      </c>
      <c r="J13" s="48"/>
      <c r="K13" s="48" t="s">
        <v>253</v>
      </c>
    </row>
    <row r="14" spans="1:11">
      <c r="A14" s="353" t="s">
        <v>254</v>
      </c>
      <c r="B14" s="47"/>
      <c r="C14" s="49" t="s">
        <v>255</v>
      </c>
      <c r="D14" s="47"/>
      <c r="E14" s="48" t="s">
        <v>256</v>
      </c>
      <c r="F14" s="47"/>
      <c r="G14" s="47"/>
      <c r="H14" s="47"/>
      <c r="I14" s="48" t="s">
        <v>257</v>
      </c>
      <c r="J14" s="48"/>
      <c r="K14" s="48" t="s">
        <v>257</v>
      </c>
    </row>
    <row r="15" spans="1:11">
      <c r="A15" s="353"/>
      <c r="B15" s="47"/>
      <c r="C15" s="48" t="s">
        <v>258</v>
      </c>
      <c r="D15" s="47"/>
      <c r="E15" s="48" t="s">
        <v>258</v>
      </c>
      <c r="F15" s="47"/>
      <c r="G15" s="47"/>
      <c r="H15" s="47"/>
      <c r="I15" s="48" t="s">
        <v>255</v>
      </c>
      <c r="J15" s="48"/>
      <c r="K15" s="48" t="s">
        <v>256</v>
      </c>
    </row>
    <row r="16" spans="1:11">
      <c r="A16" s="353"/>
      <c r="B16" s="47"/>
      <c r="C16" s="48" t="s">
        <v>259</v>
      </c>
      <c r="D16" s="47"/>
      <c r="E16" s="48" t="s">
        <v>1486</v>
      </c>
      <c r="F16" s="47"/>
      <c r="G16" s="49" t="s">
        <v>252</v>
      </c>
      <c r="H16" s="47"/>
      <c r="I16" s="48" t="s">
        <v>260</v>
      </c>
      <c r="J16" s="48"/>
      <c r="K16" s="48" t="s">
        <v>260</v>
      </c>
    </row>
    <row r="17" spans="1:13">
      <c r="A17" s="50"/>
      <c r="B17" s="40"/>
      <c r="C17" s="1483"/>
      <c r="D17" s="40"/>
      <c r="E17" s="1483"/>
      <c r="F17" s="40"/>
      <c r="G17" s="1483"/>
      <c r="H17" s="40"/>
      <c r="I17" s="1483"/>
      <c r="J17" s="40"/>
      <c r="K17" s="1483"/>
    </row>
    <row r="18" spans="1:13">
      <c r="A18" s="6" t="s">
        <v>115</v>
      </c>
      <c r="B18" s="314"/>
      <c r="C18" s="314"/>
      <c r="D18" s="314"/>
      <c r="E18" s="314"/>
      <c r="F18" s="314"/>
      <c r="G18" s="314"/>
      <c r="H18" s="314"/>
      <c r="I18" s="314"/>
      <c r="J18" s="314"/>
      <c r="K18" s="314"/>
    </row>
    <row r="19" spans="1:13" ht="15" customHeight="1">
      <c r="A19" s="427" t="s">
        <v>261</v>
      </c>
      <c r="B19" s="482" t="s">
        <v>104</v>
      </c>
      <c r="C19" s="871"/>
      <c r="D19" s="482"/>
      <c r="E19" s="871"/>
      <c r="F19" s="482"/>
      <c r="G19" s="483"/>
      <c r="H19" s="482"/>
      <c r="I19" s="483"/>
      <c r="J19" s="483"/>
      <c r="K19" s="483"/>
    </row>
    <row r="20" spans="1:13">
      <c r="A20" s="427" t="s">
        <v>262</v>
      </c>
      <c r="B20" s="482" t="s">
        <v>104</v>
      </c>
      <c r="C20" s="335">
        <f>'Exh D General Fund'!C20+'Exh D Special Revenue'!C20+'Exh D Debt Service'!C20</f>
        <v>31098</v>
      </c>
      <c r="D20" s="337"/>
      <c r="E20" s="335">
        <f>+'Exh D General Fund'!E20+'Exh D Special Revenue'!E20+'Exh D Debt Service'!E20</f>
        <v>31152</v>
      </c>
      <c r="F20" s="337"/>
      <c r="G20" s="335">
        <f>+'Exh D General Fund'!G20+'Exh D Special Revenue'!G20+'Exh D Debt Service'!G20</f>
        <v>31636.400000000001</v>
      </c>
      <c r="H20" s="337"/>
      <c r="I20" s="335">
        <f t="shared" ref="I20:I25" si="0">G20-C20</f>
        <v>538.40000000000146</v>
      </c>
      <c r="J20" s="484"/>
      <c r="K20" s="335">
        <f>G20-E20</f>
        <v>484.40000000000146</v>
      </c>
      <c r="M20" s="540"/>
    </row>
    <row r="21" spans="1:13">
      <c r="A21" s="427" t="s">
        <v>263</v>
      </c>
      <c r="B21" s="314" t="s">
        <v>104</v>
      </c>
      <c r="C21" s="325">
        <f>+'Exh D General Fund'!C21+'Exh D Debt Service'!C21+'Exh D Special Revenue'!C21+'Exh D Capital Projects'!C20</f>
        <v>14394</v>
      </c>
      <c r="D21" s="325"/>
      <c r="E21" s="325">
        <f>+'Exh D General Fund'!E21+'Exh D Special Revenue'!E21+'Exh D Debt Service'!E21+'Exh D Capital Projects'!E20</f>
        <v>14510</v>
      </c>
      <c r="F21" s="325"/>
      <c r="G21" s="325">
        <f>+'Exh D General Fund'!G21+'Exh D Special Revenue'!G21+'Exh D Debt Service'!G21+'Exh D Capital Projects'!G20</f>
        <v>14459.7</v>
      </c>
      <c r="H21" s="325"/>
      <c r="I21" s="325">
        <f t="shared" si="0"/>
        <v>65.700000000000728</v>
      </c>
      <c r="J21" s="484"/>
      <c r="K21" s="325">
        <f>G21-E21</f>
        <v>-50.299999999999272</v>
      </c>
      <c r="M21" s="540"/>
    </row>
    <row r="22" spans="1:13" ht="15" customHeight="1">
      <c r="A22" s="427" t="s">
        <v>264</v>
      </c>
      <c r="B22" s="482" t="s">
        <v>104</v>
      </c>
      <c r="C22" s="325">
        <f>+'Exh D General Fund'!C22+'Exh D Special Revenue'!C22+'Exh D Capital Projects'!C21+'Exh D Debt Service'!C22</f>
        <v>10896</v>
      </c>
      <c r="D22" s="348"/>
      <c r="E22" s="325">
        <f>+'Exh D General Fund'!E22+'Exh D Special Revenue'!E22+'Exh D Capital Projects'!E21+'Exh D Debt Service'!E22</f>
        <v>12145</v>
      </c>
      <c r="F22" s="348"/>
      <c r="G22" s="325">
        <f>+'Exh D General Fund'!G22+'Exh D Special Revenue'!G22+'Exh D Capital Projects'!G21+'Exh D Debt Service'!G22</f>
        <v>12354.599999999999</v>
      </c>
      <c r="H22" s="348"/>
      <c r="I22" s="325">
        <f t="shared" si="0"/>
        <v>1458.5999999999985</v>
      </c>
      <c r="J22" s="484"/>
      <c r="K22" s="325">
        <f t="shared" ref="K22:K25" si="1">G22-E22</f>
        <v>209.59999999999854</v>
      </c>
      <c r="M22" s="540"/>
    </row>
    <row r="23" spans="1:13" ht="14.25" customHeight="1">
      <c r="A23" s="427" t="s">
        <v>265</v>
      </c>
      <c r="B23" s="314" t="s">
        <v>104</v>
      </c>
      <c r="C23" s="325">
        <f>+'Exh D General Fund'!C23+'Exh D Capital Projects'!C22+'Exh D Debt Service'!C23</f>
        <v>2069</v>
      </c>
      <c r="D23" s="325"/>
      <c r="E23" s="325">
        <f>+'Exh D General Fund'!E23+'Exh D Debt Service'!E23+'Exh D Capital Projects'!E22</f>
        <v>2245</v>
      </c>
      <c r="F23" s="325"/>
      <c r="G23" s="325">
        <f>+'Exh D General Fund'!G23+'Exh D Debt Service'!G23+'Exh D Capital Projects'!G22</f>
        <v>2351</v>
      </c>
      <c r="H23" s="325"/>
      <c r="I23" s="325">
        <f t="shared" si="0"/>
        <v>282</v>
      </c>
      <c r="J23" s="484"/>
      <c r="K23" s="325">
        <f t="shared" si="1"/>
        <v>106</v>
      </c>
      <c r="L23" s="540"/>
      <c r="M23" s="540"/>
    </row>
    <row r="24" spans="1:13">
      <c r="A24" s="427" t="s">
        <v>120</v>
      </c>
      <c r="B24" s="314" t="s">
        <v>104</v>
      </c>
      <c r="C24" s="325">
        <f>+'Exh D General Fund'!C24+'Exh D Special Revenue'!C23+'Exh D Debt Service'!C24+'Exh D Capital Projects'!C23</f>
        <v>21310</v>
      </c>
      <c r="D24" s="325"/>
      <c r="E24" s="325">
        <f>+'Exh D General Fund'!E24+'Exh D Special Revenue'!E23+'Exh D Debt Service'!E24+'Exh D Capital Projects'!E23</f>
        <v>21579</v>
      </c>
      <c r="F24" s="325"/>
      <c r="G24" s="325">
        <f>+'Exh D General Fund'!G24+'Exh D Special Revenue'!G23+'Exh D Debt Service'!G24+'Exh D Capital Projects'!G23</f>
        <v>21864.7</v>
      </c>
      <c r="H24" s="325"/>
      <c r="I24" s="325">
        <f t="shared" si="0"/>
        <v>554.70000000000073</v>
      </c>
      <c r="J24" s="329"/>
      <c r="K24" s="325">
        <f t="shared" si="1"/>
        <v>285.70000000000073</v>
      </c>
      <c r="M24" s="540"/>
    </row>
    <row r="25" spans="1:13" ht="15" customHeight="1">
      <c r="A25" s="427" t="s">
        <v>121</v>
      </c>
      <c r="B25" s="314" t="s">
        <v>104</v>
      </c>
      <c r="C25" s="350">
        <f>+'Exh D General Fund'!C25+'Exh D Debt Service'!C25+'Exh D Special Revenue'!C24+'Exh D Capital Projects'!C24</f>
        <v>61963</v>
      </c>
      <c r="D25" s="325"/>
      <c r="E25" s="350">
        <f>+'Exh D General Fund'!E25+'Exh D Special Revenue'!E24+'Exh D Debt Service'!E25+'Exh D Capital Projects'!E24</f>
        <v>63553</v>
      </c>
      <c r="F25" s="325"/>
      <c r="G25" s="350">
        <f>+'Exh D General Fund'!G25+'Exh D Special Revenue'!G24+'Exh D Debt Service'!G25+'Exh D Capital Projects'!G24</f>
        <v>63945.900000000009</v>
      </c>
      <c r="H25" s="325"/>
      <c r="I25" s="325">
        <f t="shared" si="0"/>
        <v>1982.9000000000087</v>
      </c>
      <c r="J25" s="329"/>
      <c r="K25" s="325">
        <f t="shared" si="1"/>
        <v>392.90000000000873</v>
      </c>
      <c r="M25" s="540"/>
    </row>
    <row r="26" spans="1:13">
      <c r="A26" s="2006" t="s">
        <v>266</v>
      </c>
      <c r="B26" s="47" t="s">
        <v>104</v>
      </c>
      <c r="C26" s="785">
        <f>ROUND(SUM(C20:C25),1)</f>
        <v>141730</v>
      </c>
      <c r="D26" s="16"/>
      <c r="E26" s="785">
        <f>ROUND(SUM(E20:E25),1)</f>
        <v>145184</v>
      </c>
      <c r="F26" s="16"/>
      <c r="G26" s="785">
        <f>ROUND(SUM(G20:G25),1)</f>
        <v>146612.29999999999</v>
      </c>
      <c r="H26" s="16"/>
      <c r="I26" s="785">
        <f>ROUND(SUM(I20:I25),1)</f>
        <v>4882.3</v>
      </c>
      <c r="J26" s="51"/>
      <c r="K26" s="785">
        <f>ROUND(SUM(K20:K25),1)</f>
        <v>1428.3</v>
      </c>
      <c r="M26" s="540"/>
    </row>
    <row r="27" spans="1:13">
      <c r="A27" s="353"/>
      <c r="B27" s="314" t="s">
        <v>104</v>
      </c>
      <c r="C27" s="783"/>
      <c r="D27" s="325"/>
      <c r="E27" s="783"/>
      <c r="F27" s="325"/>
      <c r="G27" s="783"/>
      <c r="H27" s="325"/>
      <c r="I27" s="783"/>
      <c r="J27" s="329"/>
      <c r="K27" s="783"/>
      <c r="M27" s="540"/>
    </row>
    <row r="28" spans="1:13">
      <c r="A28" s="6" t="s">
        <v>123</v>
      </c>
      <c r="B28" s="314" t="s">
        <v>104</v>
      </c>
      <c r="C28" s="325"/>
      <c r="D28" s="325"/>
      <c r="E28" s="325"/>
      <c r="F28" s="325"/>
      <c r="G28" s="325"/>
      <c r="H28" s="325"/>
      <c r="I28" s="325"/>
      <c r="J28" s="329"/>
      <c r="K28" s="325"/>
      <c r="M28" s="540"/>
    </row>
    <row r="29" spans="1:13">
      <c r="A29" s="427" t="s">
        <v>267</v>
      </c>
      <c r="B29" s="314" t="s">
        <v>104</v>
      </c>
      <c r="C29" s="350">
        <f>+'Exh D General Fund'!C34+'Exh D Special Revenue'!C29+'Exh D Capital Projects'!C30</f>
        <v>116431</v>
      </c>
      <c r="D29" s="325"/>
      <c r="E29" s="350">
        <f>+'Exh D General Fund'!E34+'Exh D Special Revenue'!E29+'Exh D Capital Projects'!E30</f>
        <v>113833</v>
      </c>
      <c r="F29" s="325"/>
      <c r="G29" s="350">
        <f>+'Exh D General Fund'!G34+'Exh D Special Revenue'!G29+'Exh D Capital Projects'!G30</f>
        <v>114829.79999999999</v>
      </c>
      <c r="H29" s="325"/>
      <c r="I29" s="325">
        <f>G29-C29</f>
        <v>-1601.2000000000116</v>
      </c>
      <c r="J29" s="329"/>
      <c r="K29" s="325">
        <f t="shared" ref="K29:K33" si="2">G29-E29</f>
        <v>996.79999999998836</v>
      </c>
      <c r="M29" s="540"/>
    </row>
    <row r="30" spans="1:13">
      <c r="A30" s="427" t="s">
        <v>268</v>
      </c>
      <c r="B30" s="314" t="s">
        <v>104</v>
      </c>
      <c r="C30" s="348">
        <f>+'Exh D General Fund'!C35+'Exh D Special Revenue'!C30+'Exh D Debt Service'!C30</f>
        <v>16168</v>
      </c>
      <c r="D30" s="325"/>
      <c r="E30" s="348">
        <f>+'Exh D General Fund'!E35+'Exh D Special Revenue'!E30+'Exh D Debt Service'!E30</f>
        <v>16232</v>
      </c>
      <c r="F30" s="325"/>
      <c r="G30" s="348">
        <f>+'Exh D General Fund'!G35+'Exh D Special Revenue'!G30+'Exh D Debt Service'!G30</f>
        <v>16331.8</v>
      </c>
      <c r="H30" s="325"/>
      <c r="I30" s="325">
        <f>G30-C30</f>
        <v>163.79999999999927</v>
      </c>
      <c r="J30" s="329"/>
      <c r="K30" s="325">
        <f t="shared" si="2"/>
        <v>99.799999999999272</v>
      </c>
      <c r="M30" s="540"/>
    </row>
    <row r="31" spans="1:13">
      <c r="A31" s="427" t="s">
        <v>232</v>
      </c>
      <c r="B31" s="314" t="s">
        <v>104</v>
      </c>
      <c r="C31" s="350">
        <f>+'Exh D General Fund'!C36+'Exh D Special Revenue'!C31</f>
        <v>6480</v>
      </c>
      <c r="D31" s="325"/>
      <c r="E31" s="350">
        <f>+'Exh D General Fund'!E36+'Exh D Special Revenue'!E31</f>
        <v>6305</v>
      </c>
      <c r="F31" s="325"/>
      <c r="G31" s="350">
        <f>+'Exh D General Fund'!G36+'Exh D Special Revenue'!G31</f>
        <v>6239.1</v>
      </c>
      <c r="H31" s="325"/>
      <c r="I31" s="325">
        <f>G31-C31</f>
        <v>-240.89999999999964</v>
      </c>
      <c r="J31" s="329"/>
      <c r="K31" s="325">
        <f t="shared" si="2"/>
        <v>-65.899999999999636</v>
      </c>
      <c r="M31" s="540"/>
    </row>
    <row r="32" spans="1:13">
      <c r="A32" s="427" t="s">
        <v>269</v>
      </c>
      <c r="B32" s="314" t="s">
        <v>104</v>
      </c>
      <c r="C32" s="348">
        <f>+'Exh D Debt Service'!C31+'Exh D Special Revenue'!C32</f>
        <v>1108</v>
      </c>
      <c r="D32" s="325"/>
      <c r="E32" s="348">
        <f>+'Exh D Debt Service'!E31+'Exh D Special Revenue'!E32</f>
        <v>581</v>
      </c>
      <c r="F32" s="325"/>
      <c r="G32" s="348">
        <f>+'Exh D Debt Service'!G31+'Exh D Special Revenue'!K32</f>
        <v>580.5</v>
      </c>
      <c r="H32" s="325"/>
      <c r="I32" s="325">
        <f>G32-C32</f>
        <v>-527.5</v>
      </c>
      <c r="J32" s="329"/>
      <c r="K32" s="325">
        <f t="shared" si="2"/>
        <v>-0.5</v>
      </c>
      <c r="M32" s="540"/>
    </row>
    <row r="33" spans="1:14" ht="15" customHeight="1">
      <c r="A33" s="427" t="s">
        <v>142</v>
      </c>
      <c r="B33" s="314" t="s">
        <v>104</v>
      </c>
      <c r="C33" s="350">
        <f>+'Exh D Special Revenue'!C33+'Exh D Capital Projects'!C31</f>
        <v>7829</v>
      </c>
      <c r="D33" s="325"/>
      <c r="E33" s="350">
        <f>+'Exh D Special Revenue'!E33+'Exh D Capital Projects'!E31</f>
        <v>6394</v>
      </c>
      <c r="F33" s="325"/>
      <c r="G33" s="350">
        <f>+'Exh D Special Revenue'!G33+'Exh D Capital Projects'!G31</f>
        <v>5730.2999999999993</v>
      </c>
      <c r="H33" s="325"/>
      <c r="I33" s="325">
        <f>G33-C33</f>
        <v>-2098.7000000000007</v>
      </c>
      <c r="J33" s="329"/>
      <c r="K33" s="325">
        <f t="shared" si="2"/>
        <v>-663.70000000000073</v>
      </c>
      <c r="M33" s="540"/>
    </row>
    <row r="34" spans="1:14" ht="15.75" customHeight="1">
      <c r="A34" s="2006" t="s">
        <v>270</v>
      </c>
      <c r="B34" s="47" t="s">
        <v>104</v>
      </c>
      <c r="C34" s="784">
        <f>ROUND(SUM(C29:C33),1)</f>
        <v>148016</v>
      </c>
      <c r="D34" s="16"/>
      <c r="E34" s="784">
        <f>ROUND(SUM(E29:E33),1)</f>
        <v>143345</v>
      </c>
      <c r="F34" s="16"/>
      <c r="G34" s="784">
        <f>ROUND(SUM(G29:G33),1)</f>
        <v>143711.5</v>
      </c>
      <c r="H34" s="16"/>
      <c r="I34" s="784">
        <f>ROUND(SUM(I29:I33),1)</f>
        <v>-4304.5</v>
      </c>
      <c r="J34" s="51"/>
      <c r="K34" s="784">
        <f>ROUND(SUM(K29:K33),1)</f>
        <v>366.5</v>
      </c>
      <c r="M34" s="540"/>
    </row>
    <row r="35" spans="1:14">
      <c r="A35" s="353"/>
      <c r="B35" s="314"/>
      <c r="C35" s="325"/>
      <c r="D35" s="325"/>
      <c r="E35" s="325"/>
      <c r="F35" s="325"/>
      <c r="G35" s="325"/>
      <c r="H35" s="325"/>
      <c r="I35" s="325"/>
      <c r="J35" s="329"/>
      <c r="K35" s="325"/>
      <c r="M35" s="540"/>
    </row>
    <row r="36" spans="1:14">
      <c r="A36" s="2006" t="s">
        <v>145</v>
      </c>
      <c r="B36" s="314"/>
      <c r="C36" s="325"/>
      <c r="D36" s="325"/>
      <c r="E36" s="325"/>
      <c r="F36" s="325"/>
      <c r="G36" s="325"/>
      <c r="H36" s="325"/>
      <c r="I36" s="325"/>
      <c r="J36" s="329"/>
      <c r="K36" s="325"/>
      <c r="M36" s="540"/>
    </row>
    <row r="37" spans="1:14">
      <c r="A37" s="2006" t="s">
        <v>146</v>
      </c>
      <c r="B37" s="314" t="s">
        <v>104</v>
      </c>
      <c r="C37" s="434">
        <f>ROUND(SUM(+C26-C34),1)</f>
        <v>-6286</v>
      </c>
      <c r="D37" s="325"/>
      <c r="E37" s="434">
        <f>ROUND(SUM(+E26-E34),1)</f>
        <v>1839</v>
      </c>
      <c r="F37" s="325"/>
      <c r="G37" s="434">
        <f>ROUND(SUM(+G26-G34),1)</f>
        <v>2900.8</v>
      </c>
      <c r="H37" s="325"/>
      <c r="I37" s="434">
        <f>ROUND(SUM(+I26-I34),1)</f>
        <v>9186.7999999999993</v>
      </c>
      <c r="J37" s="329"/>
      <c r="K37" s="434">
        <f>ROUND(SUM(+K26-K34),1)</f>
        <v>1061.8</v>
      </c>
      <c r="M37" s="540"/>
    </row>
    <row r="38" spans="1:14">
      <c r="A38" s="353"/>
      <c r="B38" s="314"/>
      <c r="C38" s="325"/>
      <c r="D38" s="325"/>
      <c r="E38" s="325"/>
      <c r="F38" s="325"/>
      <c r="G38" s="325"/>
      <c r="H38" s="325"/>
      <c r="I38" s="325"/>
      <c r="J38" s="329"/>
      <c r="K38" s="325"/>
      <c r="M38" s="540"/>
    </row>
    <row r="39" spans="1:14">
      <c r="A39" s="2006" t="s">
        <v>147</v>
      </c>
      <c r="B39" s="314"/>
      <c r="C39" s="325"/>
      <c r="D39" s="325"/>
      <c r="E39" s="325"/>
      <c r="F39" s="325"/>
      <c r="G39" s="325"/>
      <c r="H39" s="325"/>
      <c r="I39" s="325"/>
      <c r="J39" s="329"/>
      <c r="K39" s="325"/>
      <c r="M39" s="540"/>
      <c r="N39" s="353" t="s">
        <v>104</v>
      </c>
    </row>
    <row r="40" spans="1:14">
      <c r="A40" s="427" t="s">
        <v>271</v>
      </c>
      <c r="B40" s="314" t="s">
        <v>104</v>
      </c>
      <c r="C40" s="351">
        <f>'Exh D Captl Projects State Fed'!C25</f>
        <v>0</v>
      </c>
      <c r="D40" s="325"/>
      <c r="E40" s="351">
        <f>'Exh D Captl Projects State Fed'!E25</f>
        <v>0</v>
      </c>
      <c r="F40" s="325"/>
      <c r="G40" s="351">
        <f>'Exh D Captl Projects State Fed'!G25</f>
        <v>504.98107589999995</v>
      </c>
      <c r="H40" s="325"/>
      <c r="I40" s="325">
        <f>ROUND(SUM(G40)-SUM(C40),1)</f>
        <v>505</v>
      </c>
      <c r="J40" s="1484"/>
      <c r="K40" s="325">
        <f t="shared" ref="K40:K42" si="3">G40-E40</f>
        <v>504.98107589999995</v>
      </c>
      <c r="M40" s="540"/>
    </row>
    <row r="41" spans="1:14">
      <c r="A41" s="427" t="s">
        <v>149</v>
      </c>
      <c r="B41" s="314" t="s">
        <v>104</v>
      </c>
      <c r="C41" s="348">
        <f>+'Exh D General Fund'!C27+'Exh D General Fund'!C28+'Exh D General Fund'!C29+'Exh D General Fund'!C30+'Exh D Special Revenue'!C25+'Exh D Debt Service'!C26+'Exh D Capital Projects'!C26</f>
        <v>30476</v>
      </c>
      <c r="D41" s="325"/>
      <c r="E41" s="348">
        <f>+'Exh D General Fund'!E27+'Exh D General Fund'!E28+'Exh D General Fund'!E29+'Exh D General Fund'!E30+'Exh D Special Revenue'!E25+'Exh D Debt Service'!E26+'Exh D Capital Projects'!E26</f>
        <v>31521</v>
      </c>
      <c r="F41" s="325"/>
      <c r="G41" s="348">
        <f>+'Exh D General Fund'!G27+'Exh D General Fund'!G28+'Exh D General Fund'!G29+'Exh D General Fund'!G30+'Exh D Special Revenue'!K25+'Exh D Debt Service'!G26+'Exh D Capital Projects'!K26</f>
        <v>30937.800000000003</v>
      </c>
      <c r="H41" s="325"/>
      <c r="I41" s="325">
        <f>ROUND(SUM(G41)-SUM(C41),1)</f>
        <v>461.8</v>
      </c>
      <c r="J41" s="329"/>
      <c r="K41" s="325">
        <f t="shared" si="3"/>
        <v>-583.19999999999709</v>
      </c>
      <c r="M41" s="540"/>
    </row>
    <row r="42" spans="1:14">
      <c r="A42" s="427" t="s">
        <v>272</v>
      </c>
      <c r="B42" s="314" t="s">
        <v>104</v>
      </c>
      <c r="C42" s="485">
        <f>-(+'Exh D General Fund'!C38+'Exh D General Fund'!C39+'Exh D General Fund'!C40+'Exh D General Fund'!C41+'Exh D General Fund'!C42+'Exh D Special Revenue'!C34+'Exh D Debt Service'!C32+'Exh D Capital Projects'!C32)</f>
        <v>-30559</v>
      </c>
      <c r="D42" s="325"/>
      <c r="E42" s="485">
        <f>-(+'Exh D General Fund'!E38+'Exh D General Fund'!E39+'Exh D General Fund'!E40+'Exh D General Fund'!E41+'Exh D General Fund'!E42+'Exh D Special Revenue'!E34+'Exh D Debt Service'!E32+'Exh D Capital Projects'!E32)</f>
        <v>-31543</v>
      </c>
      <c r="F42" s="325"/>
      <c r="G42" s="485">
        <f>-(+'Exh D General Fund'!G38+'Exh D General Fund'!G39+'Exh D General Fund'!G40+'Exh D General Fund'!G41+'Exh D General Fund'!G42+'Exh D Special Revenue'!K34+'Exh D Debt Service'!G32+'Exh D Capital Projects'!K32)</f>
        <v>-30960.53095</v>
      </c>
      <c r="H42" s="325"/>
      <c r="I42" s="325">
        <f>ROUND(SUM(G42)-SUM(C42),1)</f>
        <v>-401.5</v>
      </c>
      <c r="J42" s="329"/>
      <c r="K42" s="325">
        <f t="shared" si="3"/>
        <v>582.4690499999997</v>
      </c>
      <c r="M42" s="540"/>
    </row>
    <row r="43" spans="1:14">
      <c r="A43" s="2006" t="s">
        <v>273</v>
      </c>
      <c r="B43" s="314" t="s">
        <v>104</v>
      </c>
      <c r="C43" s="1427">
        <f>ROUND(+SUM(C40)+C41+C42,1)</f>
        <v>-83</v>
      </c>
      <c r="D43" s="325"/>
      <c r="E43" s="1427">
        <f>ROUND(+SUM(E40)+E41+E42,1)</f>
        <v>-22</v>
      </c>
      <c r="F43" s="325"/>
      <c r="G43" s="1427">
        <f>ROUND(+SUM(G40)+G41+G42,1)</f>
        <v>482.3</v>
      </c>
      <c r="H43" s="325"/>
      <c r="I43" s="1467">
        <f>ROUND(SUM(I40+I41+I42),1)</f>
        <v>565.29999999999995</v>
      </c>
      <c r="J43" s="487"/>
      <c r="K43" s="1467">
        <f>ROUND(SUM(K40+K41+K42),1)</f>
        <v>504.3</v>
      </c>
      <c r="M43" s="540"/>
    </row>
    <row r="44" spans="1:14">
      <c r="A44" s="2006"/>
      <c r="B44" s="314"/>
      <c r="C44" s="348"/>
      <c r="D44" s="325"/>
      <c r="E44" s="348"/>
      <c r="F44" s="325"/>
      <c r="G44" s="348"/>
      <c r="H44" s="325"/>
      <c r="I44" s="348"/>
      <c r="J44" s="482"/>
      <c r="K44" s="348"/>
      <c r="M44" s="540"/>
    </row>
    <row r="45" spans="1:14">
      <c r="A45" s="6" t="s">
        <v>274</v>
      </c>
      <c r="B45" s="314"/>
      <c r="C45" s="325"/>
      <c r="D45" s="325"/>
      <c r="E45" s="325"/>
      <c r="F45" s="325"/>
      <c r="G45" s="325"/>
      <c r="H45" s="325"/>
      <c r="I45" s="325"/>
      <c r="J45" s="329"/>
      <c r="K45" s="325"/>
      <c r="M45" s="540"/>
    </row>
    <row r="46" spans="1:14" ht="15" customHeight="1">
      <c r="A46" s="6" t="s">
        <v>275</v>
      </c>
      <c r="B46" s="314"/>
      <c r="C46" s="325"/>
      <c r="D46" s="325"/>
      <c r="E46" s="325"/>
      <c r="F46" s="325"/>
      <c r="G46" s="325"/>
      <c r="H46" s="325"/>
      <c r="I46" s="325"/>
      <c r="J46" s="329"/>
      <c r="K46" s="325"/>
      <c r="M46" s="540"/>
    </row>
    <row r="47" spans="1:14">
      <c r="A47" s="2006" t="s">
        <v>276</v>
      </c>
      <c r="B47" s="53" t="s">
        <v>104</v>
      </c>
      <c r="C47" s="16">
        <f>ROUND(SUM(C26)-SUM(C34)+C43,1)</f>
        <v>-6369</v>
      </c>
      <c r="D47" s="23"/>
      <c r="E47" s="16">
        <f>ROUND(SUM(E26)-SUM(E34)+E43,1)</f>
        <v>1817</v>
      </c>
      <c r="F47" s="23"/>
      <c r="G47" s="16">
        <f>ROUND(SUM(G26)-SUM(G34)+G43,1)</f>
        <v>3383.1</v>
      </c>
      <c r="H47" s="23"/>
      <c r="I47" s="16">
        <f>ROUND(SUM(I26)-SUM(I34)+I43,1)</f>
        <v>9752.1</v>
      </c>
      <c r="J47" s="51"/>
      <c r="K47" s="16">
        <f>ROUND(SUM(K26)-SUM(K34)+K43,1)</f>
        <v>1566.1</v>
      </c>
      <c r="M47" s="540"/>
    </row>
    <row r="48" spans="1:14">
      <c r="A48" s="353"/>
      <c r="B48" s="314"/>
      <c r="C48" s="325"/>
      <c r="D48" s="325"/>
      <c r="E48" s="325"/>
      <c r="F48" s="325"/>
      <c r="G48" s="325"/>
      <c r="H48" s="325"/>
      <c r="I48" s="16" t="s">
        <v>104</v>
      </c>
      <c r="J48" s="329"/>
      <c r="K48" s="16" t="s">
        <v>104</v>
      </c>
      <c r="M48" s="540"/>
    </row>
    <row r="49" spans="1:13">
      <c r="A49" s="2006" t="s">
        <v>277</v>
      </c>
      <c r="B49" s="488" t="s">
        <v>104</v>
      </c>
      <c r="C49" s="16">
        <f>'Exh D General Fund'!C49+'Exh D Special Revenue'!C41+'Exh D Debt Service'!C39+'Exh D Capital Projects'!C39</f>
        <v>65955</v>
      </c>
      <c r="D49" s="325"/>
      <c r="E49" s="16">
        <f>'Exh D General Fund'!E49+'Exh D Special Revenue'!E41+'Exh D Debt Service'!E39+'Exh D Capital Projects'!E39</f>
        <v>65955</v>
      </c>
      <c r="F49" s="325"/>
      <c r="G49" s="16">
        <f>'Exh D General Fund'!G49+'Exh D Special Revenue'!G41+'Exh D Debt Service'!G39+'Exh D Capital Projects'!G39</f>
        <v>65955.664139959976</v>
      </c>
      <c r="H49" s="325"/>
      <c r="I49" s="16">
        <f>G49-C49</f>
        <v>0.66413995997572783</v>
      </c>
      <c r="J49" s="51"/>
      <c r="K49" s="16">
        <f>G49-E49</f>
        <v>0.66413995997572783</v>
      </c>
      <c r="M49" s="540"/>
    </row>
    <row r="50" spans="1:13" ht="16" thickBot="1">
      <c r="A50" s="2006" t="s">
        <v>1589</v>
      </c>
      <c r="B50" s="54" t="s">
        <v>104</v>
      </c>
      <c r="C50" s="843">
        <f>ROUND(SUM(C47:C49),1)</f>
        <v>59586</v>
      </c>
      <c r="D50" s="55"/>
      <c r="E50" s="843">
        <f>ROUND(SUM(E47:E49),1)</f>
        <v>67772</v>
      </c>
      <c r="F50" s="55"/>
      <c r="G50" s="843">
        <f>ROUND(SUM(G47:G49),1)</f>
        <v>69338.8</v>
      </c>
      <c r="H50" s="55"/>
      <c r="I50" s="843">
        <f>ROUND(SUM(I47:I49),1)</f>
        <v>9752.7999999999993</v>
      </c>
      <c r="J50" s="56"/>
      <c r="K50" s="843">
        <f>ROUND(SUM(K47:K49),1)</f>
        <v>1566.8</v>
      </c>
      <c r="M50" s="540"/>
    </row>
    <row r="51" spans="1:13" ht="16" thickTop="1">
      <c r="A51" s="353"/>
      <c r="B51" s="314"/>
      <c r="C51" s="314"/>
      <c r="D51" s="314"/>
      <c r="E51" s="314"/>
      <c r="F51" s="314"/>
      <c r="G51" s="314"/>
      <c r="H51" s="314"/>
      <c r="I51" s="314"/>
      <c r="J51" s="314"/>
      <c r="K51" s="314"/>
      <c r="M51" s="540"/>
    </row>
    <row r="52" spans="1:13">
      <c r="A52" s="489" t="s">
        <v>278</v>
      </c>
      <c r="G52" s="540"/>
      <c r="K52" s="540"/>
      <c r="M52" s="540"/>
    </row>
    <row r="53" spans="1:13">
      <c r="A53" s="489" t="s">
        <v>1499</v>
      </c>
      <c r="E53" s="1365"/>
      <c r="G53" s="1365"/>
      <c r="I53" s="1365"/>
      <c r="K53" s="1365"/>
    </row>
    <row r="54" spans="1:13">
      <c r="A54" s="58"/>
      <c r="G54" s="15"/>
    </row>
    <row r="55" spans="1:13">
      <c r="A55" s="1333"/>
      <c r="G55" s="540"/>
    </row>
    <row r="56" spans="1:13">
      <c r="A56" s="57"/>
    </row>
  </sheetData>
  <mergeCells count="2">
    <mergeCell ref="A5:E5"/>
    <mergeCell ref="C11:I11"/>
  </mergeCells>
  <printOptions horizontalCentered="1"/>
  <pageMargins left="0.7" right="0.7" top="0.75" bottom="1" header="0.5" footer="0.25"/>
  <pageSetup scale="62" firstPageNumber="7" orientation="landscape" useFirstPageNumber="1" r:id="rId1"/>
  <headerFooter scaleWithDoc="0" alignWithMargins="0">
    <oddFooter>&amp;C&amp;8&amp;P</oddFooter>
  </headerFooter>
  <customProperties>
    <customPr name="SheetOptions" r:id="rId2"/>
  </customPropertie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4">
    <pageSetUpPr fitToPage="1"/>
  </sheetPr>
  <dimension ref="A1:N56"/>
  <sheetViews>
    <sheetView showGridLines="0" zoomScale="90" zoomScaleNormal="90" workbookViewId="0"/>
  </sheetViews>
  <sheetFormatPr defaultColWidth="8.84375" defaultRowHeight="15.5"/>
  <cols>
    <col min="1" max="1" width="45.84375" style="29" customWidth="1"/>
    <col min="2" max="2" width="2.4609375" style="29" customWidth="1"/>
    <col min="3" max="3" width="15.07421875" style="29" customWidth="1"/>
    <col min="4" max="4" width="1.84375" style="29" customWidth="1"/>
    <col min="5" max="5" width="15.07421875" style="29" customWidth="1"/>
    <col min="6" max="6" width="2.84375" style="29" customWidth="1"/>
    <col min="7" max="7" width="15.07421875" style="29" customWidth="1"/>
    <col min="8" max="8" width="5.07421875" style="29" customWidth="1"/>
    <col min="9" max="9" width="15.07421875" style="29" customWidth="1"/>
    <col min="10" max="10" width="2.07421875" style="29" customWidth="1"/>
    <col min="11" max="11" width="15.07421875" style="29" customWidth="1"/>
    <col min="12" max="16384" width="8.84375" style="29"/>
  </cols>
  <sheetData>
    <row r="1" spans="1:14">
      <c r="A1" s="481" t="s">
        <v>98</v>
      </c>
    </row>
    <row r="2" spans="1:14">
      <c r="A2" s="431"/>
    </row>
    <row r="3" spans="1:14" ht="18" customHeight="1">
      <c r="A3" s="38" t="s">
        <v>99</v>
      </c>
      <c r="B3" s="39"/>
      <c r="C3" s="39"/>
      <c r="D3" s="40"/>
      <c r="E3" s="39"/>
      <c r="F3" s="40"/>
      <c r="G3" s="40"/>
      <c r="H3" s="40"/>
      <c r="I3" s="40"/>
      <c r="J3" s="40"/>
      <c r="K3" s="41" t="s">
        <v>247</v>
      </c>
    </row>
    <row r="4" spans="1:14" ht="18" customHeight="1">
      <c r="A4" s="38" t="s">
        <v>248</v>
      </c>
      <c r="B4" s="39"/>
      <c r="C4" s="39"/>
      <c r="D4" s="40"/>
      <c r="E4" s="39"/>
      <c r="F4" s="40"/>
      <c r="G4" s="40"/>
      <c r="H4" s="40"/>
      <c r="I4" s="41"/>
      <c r="J4" s="42"/>
      <c r="K4" s="430"/>
    </row>
    <row r="5" spans="1:14" ht="18" customHeight="1">
      <c r="A5" s="2221" t="str">
        <f>'Exh D-Governmental  '!A5:E5</f>
        <v>FISCAL YEAR 2023-2024</v>
      </c>
      <c r="B5" s="2222"/>
      <c r="C5" s="2222"/>
      <c r="D5" s="2222"/>
      <c r="E5" s="2222"/>
      <c r="F5" s="40"/>
      <c r="G5" s="43"/>
      <c r="H5" s="40"/>
      <c r="I5" s="430"/>
      <c r="J5" s="40"/>
    </row>
    <row r="6" spans="1:14" ht="18" customHeight="1">
      <c r="A6" s="62" t="str">
        <f>'Exh D-Governmental  '!A6</f>
        <v>FOR EIGHT MONTHS ENDED NOVEMBER 30, 2023</v>
      </c>
      <c r="B6" s="40"/>
      <c r="C6" s="40"/>
      <c r="D6" s="40"/>
      <c r="E6" s="40"/>
      <c r="F6" s="40"/>
      <c r="G6" s="40"/>
      <c r="H6" s="40"/>
      <c r="I6" s="40"/>
      <c r="J6" s="40"/>
      <c r="K6" s="40"/>
    </row>
    <row r="7" spans="1:14" ht="18" customHeight="1">
      <c r="A7" s="62" t="s">
        <v>250</v>
      </c>
      <c r="B7" s="40"/>
      <c r="C7" s="40"/>
      <c r="D7" s="40"/>
      <c r="E7" s="40"/>
      <c r="F7" s="40"/>
      <c r="G7" s="40"/>
      <c r="H7" s="40"/>
      <c r="I7" s="40"/>
      <c r="J7" s="40"/>
      <c r="K7" s="40"/>
    </row>
    <row r="8" spans="1:14" ht="17.5">
      <c r="A8" s="45"/>
      <c r="B8" s="40"/>
      <c r="C8" s="40"/>
      <c r="D8" s="40"/>
      <c r="E8" s="40"/>
      <c r="F8" s="40"/>
      <c r="G8" s="40"/>
      <c r="H8" s="40"/>
      <c r="I8" s="40"/>
      <c r="J8" s="40"/>
      <c r="K8" s="40"/>
    </row>
    <row r="9" spans="1:14">
      <c r="A9" s="46"/>
      <c r="B9" s="40"/>
      <c r="C9" s="40"/>
      <c r="D9" s="40"/>
      <c r="E9" s="40"/>
      <c r="F9" s="40"/>
      <c r="G9" s="40"/>
      <c r="H9" s="40"/>
      <c r="I9" s="40"/>
      <c r="J9" s="40"/>
      <c r="K9" s="40"/>
    </row>
    <row r="10" spans="1:14">
      <c r="A10" s="46"/>
      <c r="B10" s="40"/>
      <c r="C10" s="40"/>
      <c r="D10" s="40"/>
      <c r="E10" s="40"/>
      <c r="F10" s="40"/>
      <c r="G10" s="40"/>
      <c r="H10" s="40"/>
      <c r="I10" s="40"/>
      <c r="J10" s="40"/>
      <c r="K10" s="40"/>
    </row>
    <row r="11" spans="1:14">
      <c r="A11" s="353"/>
      <c r="B11" s="47"/>
      <c r="C11" s="2220" t="s">
        <v>1488</v>
      </c>
      <c r="D11" s="2220"/>
      <c r="E11" s="2220"/>
      <c r="F11" s="2220"/>
      <c r="G11" s="2220"/>
      <c r="H11" s="2220"/>
      <c r="I11" s="2220"/>
      <c r="J11" s="1482"/>
      <c r="K11" s="2013"/>
      <c r="N11"/>
    </row>
    <row r="12" spans="1:14">
      <c r="A12" s="353"/>
      <c r="B12" s="47"/>
      <c r="C12" s="47"/>
      <c r="D12" s="47"/>
      <c r="E12" s="47"/>
      <c r="F12" s="47"/>
      <c r="G12" s="47"/>
      <c r="H12" s="47"/>
      <c r="I12" s="48" t="s">
        <v>252</v>
      </c>
      <c r="J12" s="48"/>
      <c r="K12" s="48" t="s">
        <v>252</v>
      </c>
    </row>
    <row r="13" spans="1:14">
      <c r="A13" s="353"/>
      <c r="B13" s="47"/>
      <c r="C13" s="47"/>
      <c r="D13" s="47"/>
      <c r="E13" s="47"/>
      <c r="F13" s="47"/>
      <c r="G13" s="47"/>
      <c r="H13" s="47"/>
      <c r="I13" s="48" t="s">
        <v>253</v>
      </c>
      <c r="J13" s="48"/>
      <c r="K13" s="48" t="s">
        <v>253</v>
      </c>
    </row>
    <row r="14" spans="1:14">
      <c r="A14" s="353"/>
      <c r="B14" s="47"/>
      <c r="C14" s="49" t="s">
        <v>255</v>
      </c>
      <c r="D14" s="47"/>
      <c r="E14" s="48" t="s">
        <v>256</v>
      </c>
      <c r="F14" s="47"/>
      <c r="G14" s="47"/>
      <c r="H14" s="47"/>
      <c r="I14" s="48" t="s">
        <v>257</v>
      </c>
      <c r="J14" s="48"/>
      <c r="K14" s="48" t="s">
        <v>257</v>
      </c>
    </row>
    <row r="15" spans="1:14">
      <c r="A15" s="353"/>
      <c r="B15" s="47"/>
      <c r="C15" s="48" t="s">
        <v>258</v>
      </c>
      <c r="D15" s="47"/>
      <c r="E15" s="48" t="s">
        <v>258</v>
      </c>
      <c r="F15" s="47"/>
      <c r="G15" s="47"/>
      <c r="H15" s="47"/>
      <c r="I15" s="48" t="s">
        <v>255</v>
      </c>
      <c r="J15" s="48"/>
      <c r="K15" s="48" t="s">
        <v>256</v>
      </c>
    </row>
    <row r="16" spans="1:14">
      <c r="A16" s="353"/>
      <c r="B16" s="47"/>
      <c r="C16" s="48" t="s">
        <v>259</v>
      </c>
      <c r="D16" s="47"/>
      <c r="E16" s="48" t="s">
        <v>1486</v>
      </c>
      <c r="F16" s="47"/>
      <c r="G16" s="49" t="s">
        <v>252</v>
      </c>
      <c r="H16" s="47"/>
      <c r="I16" s="48" t="s">
        <v>260</v>
      </c>
      <c r="J16" s="48"/>
      <c r="K16" s="48" t="s">
        <v>260</v>
      </c>
    </row>
    <row r="17" spans="1:12">
      <c r="A17" s="50"/>
      <c r="B17" s="40"/>
      <c r="C17" s="1483"/>
      <c r="D17" s="40"/>
      <c r="E17" s="1483"/>
      <c r="F17" s="40"/>
      <c r="G17" s="1483"/>
      <c r="H17" s="40"/>
      <c r="I17" s="1483"/>
      <c r="J17" s="40"/>
      <c r="K17" s="1483"/>
    </row>
    <row r="18" spans="1:12">
      <c r="A18" s="6" t="s">
        <v>115</v>
      </c>
      <c r="B18" s="314"/>
      <c r="C18" s="314"/>
      <c r="D18" s="314"/>
      <c r="E18" s="314"/>
      <c r="F18" s="314"/>
      <c r="G18" s="314"/>
      <c r="H18" s="314"/>
      <c r="I18" s="314"/>
      <c r="J18" s="314"/>
      <c r="K18" s="314"/>
    </row>
    <row r="19" spans="1:12" ht="15" customHeight="1">
      <c r="A19" s="427" t="s">
        <v>261</v>
      </c>
      <c r="B19" s="482" t="s">
        <v>104</v>
      </c>
      <c r="C19" s="871"/>
      <c r="D19" s="482"/>
      <c r="E19" s="871"/>
      <c r="F19" s="482"/>
      <c r="G19" s="483"/>
      <c r="H19" s="482"/>
      <c r="I19" s="483"/>
      <c r="J19" s="483"/>
      <c r="K19" s="483"/>
    </row>
    <row r="20" spans="1:12">
      <c r="A20" s="427" t="s">
        <v>262</v>
      </c>
      <c r="B20" s="482" t="s">
        <v>104</v>
      </c>
      <c r="C20" s="335">
        <f>'Exh D General Fund'!C20+'Exh D Special Revenue State Fed'!C20+'Exh D Debt Service'!C20</f>
        <v>31098</v>
      </c>
      <c r="D20" s="337"/>
      <c r="E20" s="335">
        <f>'Exh D General Fund'!E20+'Exh D Special Revenue State Fed'!E20+'Exh D Debt Service'!E20</f>
        <v>31152</v>
      </c>
      <c r="F20" s="337"/>
      <c r="G20" s="335">
        <f>+'Exh A Supp'!T15</f>
        <v>31636.400000000001</v>
      </c>
      <c r="H20" s="337"/>
      <c r="I20" s="335">
        <f t="shared" ref="I20:I25" si="0">G20-C20</f>
        <v>538.40000000000146</v>
      </c>
      <c r="J20" s="484"/>
      <c r="K20" s="335">
        <f>G20-E20</f>
        <v>484.40000000000146</v>
      </c>
    </row>
    <row r="21" spans="1:12">
      <c r="A21" s="427" t="s">
        <v>263</v>
      </c>
      <c r="B21" s="314" t="s">
        <v>104</v>
      </c>
      <c r="C21" s="325">
        <f>'Exh D General Fund'!C21+'Exh D Special Revenue State Fed'!C21+'Exh D Debt Service'!C21</f>
        <v>13987</v>
      </c>
      <c r="D21" s="325"/>
      <c r="E21" s="325">
        <f>'Exh D General Fund'!E21+'Exh D Special Revenue State Fed'!E21+'Exh D Debt Service'!E21</f>
        <v>14101</v>
      </c>
      <c r="F21" s="325"/>
      <c r="G21" s="325">
        <f>+'Exh A Supp'!T16</f>
        <v>14045.5</v>
      </c>
      <c r="H21" s="325"/>
      <c r="I21" s="325">
        <f t="shared" si="0"/>
        <v>58.5</v>
      </c>
      <c r="J21" s="484"/>
      <c r="K21" s="325">
        <f>G21-E21</f>
        <v>-55.5</v>
      </c>
    </row>
    <row r="22" spans="1:12" ht="15" customHeight="1">
      <c r="A22" s="427" t="s">
        <v>264</v>
      </c>
      <c r="B22" s="482" t="s">
        <v>104</v>
      </c>
      <c r="C22" s="325">
        <f>'Exh D General Fund'!C22+'Exh D Special Revenue State Fed'!C22+'Exh D Debt Service'!C22</f>
        <v>10474</v>
      </c>
      <c r="D22" s="348"/>
      <c r="E22" s="325">
        <f>'Exh D General Fund'!E22+'Exh D Special Revenue State Fed'!E22+'Exh D Debt Service'!E22</f>
        <v>11715</v>
      </c>
      <c r="F22" s="348"/>
      <c r="G22" s="325">
        <f>+'Exh A Supp'!T17</f>
        <v>11913.1</v>
      </c>
      <c r="H22" s="348"/>
      <c r="I22" s="325">
        <f t="shared" si="0"/>
        <v>1439.1000000000004</v>
      </c>
      <c r="J22" s="484"/>
      <c r="K22" s="325">
        <f t="shared" ref="K22:K25" si="1">G22-E22</f>
        <v>198.10000000000036</v>
      </c>
    </row>
    <row r="23" spans="1:12" ht="14.25" customHeight="1">
      <c r="A23" s="427" t="s">
        <v>265</v>
      </c>
      <c r="B23" s="314" t="s">
        <v>104</v>
      </c>
      <c r="C23" s="325">
        <f>'Exh D General Fund'!C23+'Exh D Debt Service'!C23</f>
        <v>1913</v>
      </c>
      <c r="D23" s="325"/>
      <c r="E23" s="325">
        <f>'Exh D General Fund'!E23+'Exh D Debt Service'!E23</f>
        <v>2090</v>
      </c>
      <c r="F23" s="325"/>
      <c r="G23" s="325">
        <f>+'Exh A Supp'!T18</f>
        <v>2196.6</v>
      </c>
      <c r="H23" s="325"/>
      <c r="I23" s="325">
        <f t="shared" si="0"/>
        <v>283.59999999999991</v>
      </c>
      <c r="J23" s="484"/>
      <c r="K23" s="325">
        <f t="shared" si="1"/>
        <v>106.59999999999991</v>
      </c>
    </row>
    <row r="24" spans="1:12">
      <c r="A24" s="427" t="s">
        <v>120</v>
      </c>
      <c r="B24" s="314" t="s">
        <v>104</v>
      </c>
      <c r="C24" s="325">
        <f>'Exh D General Fund'!C24+'Exh D Special Revenue State Fed'!C23+'Exh D Debt Service'!C24</f>
        <v>16233</v>
      </c>
      <c r="D24" s="325"/>
      <c r="E24" s="325">
        <f>'Exh D General Fund'!E24+'Exh D Special Revenue State Fed'!E23+'Exh D Debt Service'!E24</f>
        <v>17104</v>
      </c>
      <c r="F24" s="325"/>
      <c r="G24" s="325">
        <f>+'Exh A Supp'!T19</f>
        <v>17411.400000000001</v>
      </c>
      <c r="H24" s="325"/>
      <c r="I24" s="325">
        <f t="shared" si="0"/>
        <v>1178.4000000000015</v>
      </c>
      <c r="J24" s="329"/>
      <c r="K24" s="325">
        <f t="shared" si="1"/>
        <v>307.40000000000146</v>
      </c>
    </row>
    <row r="25" spans="1:12" ht="15" customHeight="1">
      <c r="A25" s="427" t="s">
        <v>121</v>
      </c>
      <c r="B25" s="314" t="s">
        <v>104</v>
      </c>
      <c r="C25" s="350">
        <f>'Exh D General Fund'!C25+'Exh D Special Revenue State Fed'!C24+'Exh D Debt Service'!C25</f>
        <v>37</v>
      </c>
      <c r="D25" s="325"/>
      <c r="E25" s="350">
        <f>'Exh D General Fund'!E25+'Exh D Special Revenue State Fed'!E24+'Exh D Debt Service'!E25</f>
        <v>35</v>
      </c>
      <c r="F25" s="325"/>
      <c r="G25" s="325">
        <f>+'Exh A Supp'!T20</f>
        <v>36.1</v>
      </c>
      <c r="H25" s="325"/>
      <c r="I25" s="325">
        <f t="shared" si="0"/>
        <v>-0.89999999999999858</v>
      </c>
      <c r="J25" s="329"/>
      <c r="K25" s="325">
        <f t="shared" si="1"/>
        <v>1.1000000000000014</v>
      </c>
    </row>
    <row r="26" spans="1:12">
      <c r="A26" s="2006" t="s">
        <v>266</v>
      </c>
      <c r="B26" s="47" t="s">
        <v>104</v>
      </c>
      <c r="C26" s="785">
        <f>ROUND(SUM(C20:C25),1)</f>
        <v>73742</v>
      </c>
      <c r="D26" s="16"/>
      <c r="E26" s="785">
        <f>ROUND(SUM(E20:E25),1)</f>
        <v>76197</v>
      </c>
      <c r="F26" s="16"/>
      <c r="G26" s="785">
        <f>ROUND(SUM(G20:G25),1)</f>
        <v>77239.100000000006</v>
      </c>
      <c r="H26" s="16"/>
      <c r="I26" s="785">
        <f>ROUND(SUM(I20:I25),1)</f>
        <v>3497.1</v>
      </c>
      <c r="J26" s="51"/>
      <c r="K26" s="785">
        <f>ROUND(SUM(K20:K25),1)</f>
        <v>1042.0999999999999</v>
      </c>
      <c r="L26" s="15"/>
    </row>
    <row r="27" spans="1:12">
      <c r="A27" s="353"/>
      <c r="B27" s="314" t="s">
        <v>104</v>
      </c>
      <c r="C27" s="783"/>
      <c r="D27" s="325"/>
      <c r="E27" s="783"/>
      <c r="F27" s="325"/>
      <c r="G27" s="783"/>
      <c r="H27" s="325"/>
      <c r="I27" s="783"/>
      <c r="J27" s="329"/>
      <c r="K27" s="783"/>
    </row>
    <row r="28" spans="1:12">
      <c r="A28" s="6" t="s">
        <v>123</v>
      </c>
      <c r="B28" s="314" t="s">
        <v>104</v>
      </c>
      <c r="C28" s="325"/>
      <c r="D28" s="325"/>
      <c r="E28" s="325"/>
      <c r="F28" s="325"/>
      <c r="G28" s="325"/>
      <c r="H28" s="325"/>
      <c r="I28" s="325"/>
      <c r="J28" s="329"/>
      <c r="K28" s="325"/>
    </row>
    <row r="29" spans="1:12">
      <c r="A29" s="427" t="s">
        <v>267</v>
      </c>
      <c r="B29" s="314" t="s">
        <v>104</v>
      </c>
      <c r="C29" s="350">
        <f>'Exh D General Fund'!C34+'Exh D Special Revenue State Fed'!C29</f>
        <v>56491</v>
      </c>
      <c r="D29" s="325"/>
      <c r="E29" s="350">
        <f>'Exh D General Fund'!E34+'Exh D Special Revenue State Fed'!E29</f>
        <v>53133</v>
      </c>
      <c r="F29" s="325"/>
      <c r="G29" s="350">
        <f>+'Exh A Supp'!T35</f>
        <v>52731</v>
      </c>
      <c r="H29" s="325"/>
      <c r="I29" s="325">
        <f>ROUND(SUM(G29)-SUM(C29),1)</f>
        <v>-3760</v>
      </c>
      <c r="J29" s="329"/>
      <c r="K29" s="325">
        <f t="shared" ref="K29:K33" si="2">G29-E29</f>
        <v>-402</v>
      </c>
      <c r="L29" s="15"/>
    </row>
    <row r="30" spans="1:12">
      <c r="A30" s="427" t="s">
        <v>268</v>
      </c>
      <c r="B30" s="314" t="s">
        <v>104</v>
      </c>
      <c r="C30" s="348">
        <f>'Exh D General Fund'!C35+'Exh D Special Revenue State Fed'!C30+'Exh D Debt Service'!C30</f>
        <v>13796</v>
      </c>
      <c r="D30" s="325"/>
      <c r="E30" s="348">
        <f>'Exh D General Fund'!E35+'Exh D Special Revenue State Fed'!E30+'Exh D Debt Service'!E30</f>
        <v>13949</v>
      </c>
      <c r="F30" s="325"/>
      <c r="G30" s="348">
        <f>+'Exh A Supp'!T37+'Exh A Supp'!T38</f>
        <v>13952.6</v>
      </c>
      <c r="H30" s="325"/>
      <c r="I30" s="325">
        <f>ROUND(SUM(G30)-SUM(C30),1)</f>
        <v>156.6</v>
      </c>
      <c r="J30" s="329"/>
      <c r="K30" s="325">
        <f t="shared" si="2"/>
        <v>3.6000000000003638</v>
      </c>
      <c r="L30" s="15"/>
    </row>
    <row r="31" spans="1:12">
      <c r="A31" s="427" t="s">
        <v>232</v>
      </c>
      <c r="B31" s="314" t="s">
        <v>104</v>
      </c>
      <c r="C31" s="350">
        <f>'Exh D General Fund'!C36+'Exh D Special Revenue State Fed'!C31</f>
        <v>6230</v>
      </c>
      <c r="D31" s="325"/>
      <c r="E31" s="350">
        <f>'Exh D General Fund'!E36+'Exh D Special Revenue State Fed'!E31</f>
        <v>6043</v>
      </c>
      <c r="F31" s="325"/>
      <c r="G31" s="350">
        <f>+'Exh A Supp'!T39</f>
        <v>5953.6</v>
      </c>
      <c r="H31" s="325"/>
      <c r="I31" s="325">
        <f>ROUND(SUM(G31)-SUM(C31),1)</f>
        <v>-276.39999999999998</v>
      </c>
      <c r="J31" s="329"/>
      <c r="K31" s="325">
        <f t="shared" si="2"/>
        <v>-89.399999999999636</v>
      </c>
      <c r="L31" s="15"/>
    </row>
    <row r="32" spans="1:12">
      <c r="A32" s="427" t="s">
        <v>269</v>
      </c>
      <c r="B32" s="314" t="s">
        <v>104</v>
      </c>
      <c r="C32" s="348">
        <f>'Exh D Debt Service'!C31</f>
        <v>1108</v>
      </c>
      <c r="D32" s="325"/>
      <c r="E32" s="348">
        <f>'Exh D Debt Service'!E31</f>
        <v>581</v>
      </c>
      <c r="F32" s="325"/>
      <c r="G32" s="350">
        <f>+'Exh A Supp'!T41</f>
        <v>580.5</v>
      </c>
      <c r="H32" s="325"/>
      <c r="I32" s="325">
        <f>ROUND(SUM(G32)-SUM(C32),1)</f>
        <v>-527.5</v>
      </c>
      <c r="J32" s="329"/>
      <c r="K32" s="325">
        <f t="shared" si="2"/>
        <v>-0.5</v>
      </c>
      <c r="L32" s="15"/>
    </row>
    <row r="33" spans="1:12">
      <c r="A33" s="427" t="s">
        <v>142</v>
      </c>
      <c r="B33" s="314"/>
      <c r="C33" s="348">
        <f>'Exh D Special Revenue State Fed'!C33</f>
        <v>0</v>
      </c>
      <c r="D33" s="325"/>
      <c r="E33" s="348">
        <f>'Exh D Special Revenue State Fed'!E33</f>
        <v>0</v>
      </c>
      <c r="F33" s="325"/>
      <c r="G33" s="350">
        <f>'Exh D Special Revenue State Fed'!G33</f>
        <v>0</v>
      </c>
      <c r="H33" s="325"/>
      <c r="I33" s="325">
        <f t="shared" ref="I33" si="3">ROUND(SUM(G33)-SUM(C33),1)</f>
        <v>0</v>
      </c>
      <c r="J33" s="329"/>
      <c r="K33" s="325">
        <f t="shared" si="2"/>
        <v>0</v>
      </c>
      <c r="L33" s="15"/>
    </row>
    <row r="34" spans="1:12" ht="15.75" customHeight="1">
      <c r="A34" s="2006" t="s">
        <v>270</v>
      </c>
      <c r="B34" s="47" t="s">
        <v>104</v>
      </c>
      <c r="C34" s="784">
        <f>ROUND(SUM(C29:C33),1)</f>
        <v>77625</v>
      </c>
      <c r="D34" s="16"/>
      <c r="E34" s="784">
        <f>ROUND(SUM(E29:E33),1)</f>
        <v>73706</v>
      </c>
      <c r="F34" s="16"/>
      <c r="G34" s="784">
        <f>ROUND(SUM(G29:G33),1)</f>
        <v>73217.7</v>
      </c>
      <c r="H34" s="16"/>
      <c r="I34" s="784">
        <f>ROUND(SUM(I29:I33),1)</f>
        <v>-4407.3</v>
      </c>
      <c r="J34" s="51"/>
      <c r="K34" s="784">
        <f>ROUND(SUM(K29:K33),1)</f>
        <v>-488.3</v>
      </c>
      <c r="L34" s="15"/>
    </row>
    <row r="35" spans="1:12">
      <c r="A35" s="353"/>
      <c r="B35" s="314"/>
      <c r="C35" s="325"/>
      <c r="D35" s="325"/>
      <c r="E35" s="325"/>
      <c r="F35" s="325"/>
      <c r="G35" s="325"/>
      <c r="H35" s="325"/>
      <c r="I35" s="325"/>
      <c r="J35" s="329"/>
      <c r="K35" s="325"/>
      <c r="L35" s="15"/>
    </row>
    <row r="36" spans="1:12">
      <c r="A36" s="2006" t="s">
        <v>145</v>
      </c>
      <c r="B36" s="314"/>
      <c r="C36" s="325"/>
      <c r="D36" s="325"/>
      <c r="E36" s="325"/>
      <c r="F36" s="325"/>
      <c r="G36" s="325"/>
      <c r="H36" s="325"/>
      <c r="I36" s="325"/>
      <c r="J36" s="329"/>
      <c r="K36" s="325"/>
      <c r="L36" s="15"/>
    </row>
    <row r="37" spans="1:12">
      <c r="A37" s="2006" t="s">
        <v>146</v>
      </c>
      <c r="B37" s="314" t="s">
        <v>104</v>
      </c>
      <c r="C37" s="434">
        <f>ROUND(SUM(+C26-C34),1)</f>
        <v>-3883</v>
      </c>
      <c r="D37" s="325"/>
      <c r="E37" s="434">
        <f>ROUND(SUM(+E26-E34),1)</f>
        <v>2491</v>
      </c>
      <c r="F37" s="325"/>
      <c r="G37" s="434">
        <f>ROUND(SUM(+G26-G34),1)</f>
        <v>4021.4</v>
      </c>
      <c r="H37" s="325"/>
      <c r="I37" s="434">
        <f>ROUND(SUM(+I26-I34),1)</f>
        <v>7904.4</v>
      </c>
      <c r="J37" s="329"/>
      <c r="K37" s="434">
        <f>ROUND(SUM(+K26-K34),1)</f>
        <v>1530.4</v>
      </c>
      <c r="L37" s="15"/>
    </row>
    <row r="38" spans="1:12">
      <c r="A38" s="353"/>
      <c r="B38" s="314"/>
      <c r="C38" s="325"/>
      <c r="D38" s="325"/>
      <c r="E38" s="325"/>
      <c r="F38" s="325"/>
      <c r="G38" s="325"/>
      <c r="H38" s="325"/>
      <c r="I38" s="325"/>
      <c r="J38" s="329"/>
      <c r="K38" s="325"/>
      <c r="L38" s="15"/>
    </row>
    <row r="39" spans="1:12">
      <c r="A39" s="2006" t="s">
        <v>147</v>
      </c>
      <c r="B39" s="314"/>
      <c r="C39" s="325"/>
      <c r="D39" s="325"/>
      <c r="E39" s="325"/>
      <c r="F39" s="325"/>
      <c r="G39" s="325"/>
      <c r="H39" s="325"/>
      <c r="I39" s="325"/>
      <c r="J39" s="329"/>
      <c r="K39" s="325"/>
      <c r="L39" s="15"/>
    </row>
    <row r="40" spans="1:12">
      <c r="A40" s="427" t="s">
        <v>149</v>
      </c>
      <c r="B40" s="314" t="s">
        <v>104</v>
      </c>
      <c r="C40" s="348">
        <f>'Exh D General Fund'!C27+'Exh D General Fund'!C28+'Exh D General Fund'!C29+'Exh D General Fund'!C30+'Exh D Special Revenue State Fed'!C25+'Exh D Debt Service'!C26</f>
        <v>28262</v>
      </c>
      <c r="D40" s="325"/>
      <c r="E40" s="348">
        <f>'Exh D General Fund'!E27+'Exh D General Fund'!E28+'Exh D General Fund'!E29+'Exh D General Fund'!E30+'Exh D Special Revenue State Fed'!E25+'Exh D Debt Service'!E26</f>
        <v>28963</v>
      </c>
      <c r="F40" s="325"/>
      <c r="G40" s="348">
        <f>+'Exh A Supp'!T49</f>
        <v>29440.5</v>
      </c>
      <c r="H40" s="633" t="s">
        <v>1129</v>
      </c>
      <c r="I40" s="325">
        <f>G40-C40</f>
        <v>1178.5</v>
      </c>
      <c r="J40" s="329"/>
      <c r="K40" s="325">
        <f t="shared" ref="K40:K41" si="4">G40-E40</f>
        <v>477.5</v>
      </c>
      <c r="L40" s="15"/>
    </row>
    <row r="41" spans="1:12">
      <c r="A41" s="427" t="s">
        <v>272</v>
      </c>
      <c r="B41" s="314" t="s">
        <v>104</v>
      </c>
      <c r="C41" s="485">
        <f>-('Exh D General Fund'!C38+'Exh D General Fund'!C39+'Exh D General Fund'!C40+'Exh D General Fund'!C41+'Exh D General Fund'!C42+'Exh D Special Revenue State Fed'!C34+'Exh D Debt Service'!C32)</f>
        <v>-28942</v>
      </c>
      <c r="D41" s="325"/>
      <c r="E41" s="485">
        <f>-('Exh D General Fund'!E38+'Exh D General Fund'!E39+'Exh D General Fund'!E40+'Exh D General Fund'!E41+'Exh D General Fund'!E42+'Exh D Special Revenue State Fed'!E34+'Exh D Debt Service'!E32)</f>
        <v>-30204</v>
      </c>
      <c r="F41" s="325"/>
      <c r="G41" s="348">
        <f>+'Exh A Supp'!T50</f>
        <v>-29720.5</v>
      </c>
      <c r="H41" s="633" t="s">
        <v>1129</v>
      </c>
      <c r="I41" s="325">
        <f>G41-C41</f>
        <v>-778.5</v>
      </c>
      <c r="J41" s="329"/>
      <c r="K41" s="325">
        <f t="shared" si="4"/>
        <v>483.5</v>
      </c>
      <c r="L41" s="15"/>
    </row>
    <row r="42" spans="1:12">
      <c r="A42" s="2006" t="s">
        <v>273</v>
      </c>
      <c r="B42" s="314" t="s">
        <v>104</v>
      </c>
      <c r="C42" s="784">
        <f>ROUND(SUM(C40:C41),1)</f>
        <v>-680</v>
      </c>
      <c r="D42" s="325"/>
      <c r="E42" s="784">
        <f>ROUND(SUM(E40:E41),1)</f>
        <v>-1241</v>
      </c>
      <c r="F42" s="325"/>
      <c r="G42" s="784">
        <f>ROUND(SUM(G40:G41),1)</f>
        <v>-280</v>
      </c>
      <c r="H42" s="325"/>
      <c r="I42" s="784">
        <f>ROUND(SUM(I40+I41),1)</f>
        <v>400</v>
      </c>
      <c r="J42" s="487"/>
      <c r="K42" s="784">
        <f>ROUND(SUM(K40+K41),1)</f>
        <v>961</v>
      </c>
      <c r="L42" s="15"/>
    </row>
    <row r="43" spans="1:12">
      <c r="A43" s="2006"/>
      <c r="B43" s="314"/>
      <c r="C43" s="348"/>
      <c r="D43" s="325"/>
      <c r="E43" s="348"/>
      <c r="F43" s="325"/>
      <c r="G43" s="348"/>
      <c r="H43" s="325"/>
      <c r="I43" s="348"/>
      <c r="J43" s="482"/>
      <c r="K43" s="348"/>
      <c r="L43" s="15"/>
    </row>
    <row r="44" spans="1:12">
      <c r="A44" s="6" t="s">
        <v>274</v>
      </c>
      <c r="B44" s="314"/>
      <c r="C44" s="325"/>
      <c r="D44" s="325"/>
      <c r="E44" s="325"/>
      <c r="F44" s="325"/>
      <c r="G44" s="325"/>
      <c r="H44" s="325"/>
      <c r="I44" s="325"/>
      <c r="J44" s="329"/>
      <c r="K44" s="325"/>
      <c r="L44" s="15"/>
    </row>
    <row r="45" spans="1:12" ht="15" customHeight="1">
      <c r="A45" s="6" t="s">
        <v>275</v>
      </c>
      <c r="B45" s="314"/>
      <c r="C45" s="325"/>
      <c r="D45" s="325"/>
      <c r="E45" s="325"/>
      <c r="F45" s="325"/>
      <c r="G45" s="325"/>
      <c r="H45" s="325"/>
      <c r="I45" s="325"/>
      <c r="J45" s="329"/>
      <c r="K45" s="325"/>
      <c r="L45" s="15"/>
    </row>
    <row r="46" spans="1:12">
      <c r="A46" s="2006" t="s">
        <v>276</v>
      </c>
      <c r="B46" s="53" t="s">
        <v>104</v>
      </c>
      <c r="C46" s="16">
        <f>ROUND(SUM(C26)-SUM(C34)+C42,1)</f>
        <v>-4563</v>
      </c>
      <c r="D46" s="23"/>
      <c r="E46" s="16">
        <f>ROUND(SUM(E26)-SUM(E34)+E42,1)</f>
        <v>1250</v>
      </c>
      <c r="F46" s="23"/>
      <c r="G46" s="16">
        <f>ROUND(SUM(G26)-SUM(G34)+G42,1)</f>
        <v>3741.4</v>
      </c>
      <c r="H46" s="23"/>
      <c r="I46" s="16">
        <f>ROUND(SUM(I26)-SUM(I34)+I42,1)</f>
        <v>8304.4</v>
      </c>
      <c r="J46" s="51"/>
      <c r="K46" s="16">
        <f>ROUND(SUM(K26)-SUM(K34)+K42,1)</f>
        <v>2491.4</v>
      </c>
      <c r="L46" s="15"/>
    </row>
    <row r="47" spans="1:12">
      <c r="A47" s="353"/>
      <c r="B47" s="314"/>
      <c r="C47" s="325"/>
      <c r="D47" s="325"/>
      <c r="E47" s="325" t="s">
        <v>104</v>
      </c>
      <c r="F47" s="325"/>
      <c r="G47" s="325"/>
      <c r="H47" s="325"/>
      <c r="I47" s="325"/>
      <c r="J47" s="329"/>
      <c r="K47" s="325"/>
      <c r="L47" s="15"/>
    </row>
    <row r="48" spans="1:12">
      <c r="A48" s="2006" t="str">
        <f>'Exh D-Governmental  '!A49</f>
        <v>Fund Balances (Deficits) at April 1</v>
      </c>
      <c r="B48" s="488" t="s">
        <v>104</v>
      </c>
      <c r="C48" s="16">
        <f>'Exh D General Fund'!C49+'Exh D Special Revenue State Fed'!C41+'Exh D Debt Service'!C39</f>
        <v>52723</v>
      </c>
      <c r="D48" s="325"/>
      <c r="E48" s="16">
        <f>'Exh D General Fund'!E49+'Exh D Special Revenue State Fed'!E41+'Exh D Debt Service'!E39</f>
        <v>52723</v>
      </c>
      <c r="F48" s="325"/>
      <c r="G48" s="16">
        <f>'Exh A Supp'!T57</f>
        <v>52723.8</v>
      </c>
      <c r="H48" s="325"/>
      <c r="I48" s="16">
        <f>G48-C48</f>
        <v>0.80000000000291038</v>
      </c>
      <c r="J48" s="51"/>
      <c r="K48" s="16">
        <f>G48-E48</f>
        <v>0.80000000000291038</v>
      </c>
      <c r="L48" s="15"/>
    </row>
    <row r="49" spans="1:12" ht="16" thickBot="1">
      <c r="A49" s="2006" t="str">
        <f>'Exh D-Governmental  '!A50</f>
        <v xml:space="preserve">Fund Balances (Deficits) at November 30, 2023 </v>
      </c>
      <c r="B49" s="54" t="s">
        <v>104</v>
      </c>
      <c r="C49" s="843">
        <f>ROUND(SUM(C46:C48),1)</f>
        <v>48160</v>
      </c>
      <c r="D49" s="55"/>
      <c r="E49" s="843">
        <f>ROUND(SUM(E46:E48),1)</f>
        <v>53973</v>
      </c>
      <c r="F49" s="55"/>
      <c r="G49" s="843">
        <f>ROUND(SUM(G46:G48),1)</f>
        <v>56465.2</v>
      </c>
      <c r="H49" s="55"/>
      <c r="I49" s="843">
        <f>ROUND(SUM(I46:I48),1)</f>
        <v>8305.2000000000007</v>
      </c>
      <c r="J49" s="56"/>
      <c r="K49" s="843">
        <f>ROUND(SUM(K46:K48),1)</f>
        <v>2492.1999999999998</v>
      </c>
      <c r="L49" s="15"/>
    </row>
    <row r="50" spans="1:12" ht="16" thickTop="1">
      <c r="A50" s="353"/>
      <c r="B50" s="314"/>
      <c r="C50" s="314"/>
      <c r="D50" s="314"/>
      <c r="E50" s="314"/>
      <c r="F50" s="314"/>
      <c r="G50" s="314"/>
      <c r="H50" s="314"/>
      <c r="I50" s="314"/>
      <c r="J50" s="314"/>
      <c r="K50" s="314"/>
    </row>
    <row r="51" spans="1:12">
      <c r="A51" s="489" t="str">
        <f>'Exh D-Governmental  '!A52</f>
        <v xml:space="preserve">(*)    Source: 2023-24 Enacted Financial Plan dated June 9, 2023. </v>
      </c>
      <c r="G51" s="335"/>
      <c r="I51" s="540"/>
      <c r="K51" s="540"/>
    </row>
    <row r="52" spans="1:12">
      <c r="A52" s="489" t="str">
        <f>'Exh D-Governmental  '!A53</f>
        <v>(**)   Source: 2023-24 Mid Year Update dated October 30, 2023.</v>
      </c>
      <c r="G52" s="335"/>
      <c r="I52" s="540"/>
      <c r="K52" s="540"/>
    </row>
    <row r="53" spans="1:12">
      <c r="A53" s="345" t="s">
        <v>1487</v>
      </c>
      <c r="G53" s="540"/>
      <c r="I53" s="540"/>
      <c r="K53" s="540"/>
    </row>
    <row r="54" spans="1:12">
      <c r="A54" s="345" t="s">
        <v>280</v>
      </c>
      <c r="I54" s="540"/>
      <c r="K54" s="540"/>
    </row>
    <row r="55" spans="1:12">
      <c r="A55" s="942" t="s">
        <v>1489</v>
      </c>
    </row>
    <row r="56" spans="1:12">
      <c r="G56" s="540"/>
    </row>
  </sheetData>
  <mergeCells count="2">
    <mergeCell ref="A5:E5"/>
    <mergeCell ref="C11:I11"/>
  </mergeCells>
  <printOptions horizontalCentered="1"/>
  <pageMargins left="0.7" right="0.7" top="0.75" bottom="1" header="0.5" footer="0.25"/>
  <pageSetup scale="59" firstPageNumber="8" orientation="landscape" useFirstPageNumber="1" r:id="rId1"/>
  <headerFooter scaleWithDoc="0" alignWithMargins="0">
    <oddFooter>&amp;C&amp;8&amp;P</oddFooter>
  </headerFooter>
  <customProperties>
    <customPr name="SheetOptions" r:id="rId2"/>
  </customPropertie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5">
    <pageSetUpPr fitToPage="1"/>
  </sheetPr>
  <dimension ref="A1:L63"/>
  <sheetViews>
    <sheetView showGridLines="0" zoomScale="90" zoomScaleNormal="90" workbookViewId="0"/>
  </sheetViews>
  <sheetFormatPr defaultColWidth="8.84375" defaultRowHeight="15.5"/>
  <cols>
    <col min="1" max="1" width="59" style="353" customWidth="1"/>
    <col min="2" max="2" width="2" style="314" customWidth="1"/>
    <col min="3" max="3" width="15.07421875" style="179" customWidth="1"/>
    <col min="4" max="4" width="1.84375" style="314" customWidth="1"/>
    <col min="5" max="5" width="15.07421875" style="179" customWidth="1"/>
    <col min="6" max="6" width="2.84375" style="314" customWidth="1"/>
    <col min="7" max="7" width="15.07421875" style="314" customWidth="1"/>
    <col min="8" max="8" width="4.84375" style="314" customWidth="1"/>
    <col min="9" max="9" width="15.07421875" style="314" customWidth="1"/>
    <col min="10" max="10" width="2.07421875" style="314" customWidth="1"/>
    <col min="11" max="11" width="12.84375" style="314" customWidth="1"/>
    <col min="12" max="12" width="18.07421875" style="179" bestFit="1" customWidth="1"/>
    <col min="13" max="16384" width="8.84375" style="353"/>
  </cols>
  <sheetData>
    <row r="1" spans="1:12">
      <c r="A1" s="490" t="s">
        <v>98</v>
      </c>
      <c r="B1" s="60"/>
      <c r="C1" s="175"/>
      <c r="D1" s="60"/>
      <c r="E1" s="175"/>
      <c r="F1" s="60"/>
      <c r="G1" s="60"/>
      <c r="H1" s="60"/>
      <c r="I1" s="60"/>
      <c r="J1" s="60"/>
      <c r="K1" s="60"/>
      <c r="L1" s="175"/>
    </row>
    <row r="2" spans="1:12" ht="17.25" customHeight="1">
      <c r="A2" s="61"/>
      <c r="B2" s="60"/>
      <c r="C2" s="175"/>
      <c r="D2" s="60"/>
      <c r="E2" s="175"/>
      <c r="F2" s="60"/>
      <c r="G2" s="60"/>
      <c r="H2" s="60"/>
      <c r="I2" s="60"/>
      <c r="J2" s="60"/>
      <c r="K2" s="60"/>
      <c r="L2" s="175"/>
    </row>
    <row r="3" spans="1:12" ht="18.75" customHeight="1">
      <c r="A3" s="62" t="s">
        <v>99</v>
      </c>
      <c r="B3" s="40"/>
      <c r="C3" s="176"/>
      <c r="D3" s="40"/>
      <c r="E3" s="176"/>
      <c r="F3" s="40"/>
      <c r="G3" s="40"/>
      <c r="H3" s="40"/>
      <c r="I3" s="429"/>
      <c r="K3" s="429" t="s">
        <v>247</v>
      </c>
      <c r="L3" s="176"/>
    </row>
    <row r="4" spans="1:12" ht="18.75" customHeight="1">
      <c r="A4" s="62" t="s">
        <v>248</v>
      </c>
      <c r="B4" s="40"/>
      <c r="C4" s="176"/>
      <c r="D4" s="40"/>
      <c r="E4" s="176"/>
      <c r="F4" s="40"/>
      <c r="G4" s="40"/>
      <c r="H4" s="40"/>
      <c r="I4" s="430"/>
      <c r="K4" s="430"/>
      <c r="L4" s="176"/>
    </row>
    <row r="5" spans="1:12" ht="18.75" customHeight="1">
      <c r="A5" s="2221" t="str">
        <f>'Exh D-Governmental  '!A5:E5</f>
        <v>FISCAL YEAR 2023-2024</v>
      </c>
      <c r="B5" s="2222"/>
      <c r="C5" s="2222"/>
      <c r="D5" s="2222"/>
      <c r="E5" s="2222"/>
      <c r="F5" s="40"/>
      <c r="G5" s="329"/>
      <c r="H5" s="40"/>
      <c r="I5" s="40"/>
      <c r="J5" s="40"/>
      <c r="K5" s="40"/>
      <c r="L5" s="176"/>
    </row>
    <row r="6" spans="1:12" ht="18.75" customHeight="1">
      <c r="A6" s="428" t="str">
        <f>'Exh D-Governmental  '!A6</f>
        <v>FOR EIGHT MONTHS ENDED NOVEMBER 30, 2023</v>
      </c>
      <c r="B6" s="40"/>
      <c r="C6" s="176"/>
      <c r="D6" s="40"/>
      <c r="E6" s="176"/>
      <c r="F6" s="40"/>
      <c r="G6" s="40"/>
      <c r="H6" s="40"/>
      <c r="I6" s="40"/>
      <c r="J6" s="40"/>
      <c r="K6" s="40"/>
      <c r="L6" s="176"/>
    </row>
    <row r="7" spans="1:12" ht="18.75" customHeight="1">
      <c r="A7" s="62" t="s">
        <v>250</v>
      </c>
      <c r="B7" s="40"/>
      <c r="C7" s="176"/>
      <c r="D7" s="40"/>
      <c r="E7" s="176"/>
      <c r="F7" s="40"/>
      <c r="G7" s="40"/>
      <c r="H7" s="40"/>
      <c r="I7" s="40"/>
      <c r="J7" s="40"/>
      <c r="K7" s="40"/>
      <c r="L7" s="176"/>
    </row>
    <row r="8" spans="1:12" ht="15" customHeight="1">
      <c r="A8" s="45"/>
      <c r="B8" s="40"/>
      <c r="C8" s="176"/>
      <c r="D8" s="40"/>
      <c r="E8" s="176"/>
      <c r="F8" s="40"/>
      <c r="G8" s="40"/>
      <c r="H8" s="40"/>
      <c r="I8" s="40"/>
      <c r="J8" s="40"/>
      <c r="K8" s="40"/>
      <c r="L8" s="176"/>
    </row>
    <row r="9" spans="1:12">
      <c r="A9" s="46"/>
      <c r="B9" s="40"/>
      <c r="C9" s="176"/>
      <c r="D9" s="40"/>
      <c r="E9" s="176"/>
      <c r="F9" s="40"/>
      <c r="G9" s="40"/>
      <c r="H9" s="40"/>
      <c r="I9" s="40"/>
      <c r="J9" s="40"/>
      <c r="K9" s="40"/>
      <c r="L9" s="176"/>
    </row>
    <row r="10" spans="1:12">
      <c r="A10" s="46"/>
      <c r="B10" s="40"/>
      <c r="C10" s="176"/>
      <c r="D10" s="40"/>
      <c r="E10" s="176"/>
      <c r="F10" s="40"/>
      <c r="G10" s="40"/>
      <c r="H10" s="40"/>
      <c r="I10" s="40"/>
      <c r="J10" s="40"/>
      <c r="K10" s="40"/>
      <c r="L10" s="176"/>
    </row>
    <row r="11" spans="1:12">
      <c r="C11" s="2217" t="s">
        <v>281</v>
      </c>
      <c r="D11" s="2217"/>
      <c r="E11" s="2217"/>
      <c r="F11" s="2217"/>
      <c r="G11" s="2217"/>
      <c r="H11" s="2217"/>
      <c r="I11" s="2217"/>
      <c r="J11" s="542"/>
      <c r="K11" s="1485"/>
    </row>
    <row r="12" spans="1:12">
      <c r="C12" s="177"/>
      <c r="D12" s="66"/>
      <c r="E12" s="177"/>
      <c r="F12" s="66"/>
      <c r="G12" s="67"/>
      <c r="H12" s="66"/>
      <c r="I12" s="66" t="s">
        <v>252</v>
      </c>
      <c r="J12" s="64"/>
      <c r="K12" s="66" t="s">
        <v>252</v>
      </c>
    </row>
    <row r="13" spans="1:12">
      <c r="B13" s="47"/>
      <c r="C13" s="178"/>
      <c r="D13" s="47"/>
      <c r="E13" s="178"/>
      <c r="F13" s="47"/>
      <c r="G13" s="47"/>
      <c r="H13" s="47"/>
      <c r="I13" s="48" t="s">
        <v>253</v>
      </c>
      <c r="J13" s="48"/>
      <c r="K13" s="48" t="s">
        <v>253</v>
      </c>
      <c r="L13" s="178"/>
    </row>
    <row r="14" spans="1:12">
      <c r="B14" s="68"/>
      <c r="C14" s="49" t="s">
        <v>255</v>
      </c>
      <c r="D14" s="353"/>
      <c r="E14" s="48" t="s">
        <v>256</v>
      </c>
      <c r="F14" s="47"/>
      <c r="G14" s="47"/>
      <c r="H14" s="47"/>
      <c r="I14" s="48" t="s">
        <v>257</v>
      </c>
      <c r="J14" s="48"/>
      <c r="K14" s="48" t="s">
        <v>257</v>
      </c>
      <c r="L14" s="496"/>
    </row>
    <row r="15" spans="1:12">
      <c r="B15" s="68"/>
      <c r="C15" s="48" t="s">
        <v>258</v>
      </c>
      <c r="D15" s="47"/>
      <c r="E15" s="48" t="s">
        <v>258</v>
      </c>
      <c r="F15" s="47"/>
      <c r="G15" s="47"/>
      <c r="H15" s="47"/>
      <c r="I15" s="48" t="s">
        <v>255</v>
      </c>
      <c r="J15" s="48"/>
      <c r="K15" s="48" t="s">
        <v>256</v>
      </c>
      <c r="L15" s="496"/>
    </row>
    <row r="16" spans="1:12">
      <c r="B16" s="48"/>
      <c r="C16" s="551" t="s">
        <v>259</v>
      </c>
      <c r="D16" s="47"/>
      <c r="E16" s="48" t="s">
        <v>1486</v>
      </c>
      <c r="F16" s="47"/>
      <c r="G16" s="49" t="s">
        <v>252</v>
      </c>
      <c r="H16" s="47"/>
      <c r="I16" s="48" t="s">
        <v>260</v>
      </c>
      <c r="J16" s="48"/>
      <c r="K16" s="48" t="s">
        <v>260</v>
      </c>
      <c r="L16" s="49"/>
    </row>
    <row r="17" spans="1:12">
      <c r="A17" s="50"/>
      <c r="B17" s="40"/>
      <c r="C17" s="1483"/>
      <c r="D17" s="40"/>
      <c r="E17" s="1483"/>
      <c r="F17" s="40"/>
      <c r="G17" s="1483"/>
      <c r="H17" s="40"/>
      <c r="I17" s="1483"/>
      <c r="J17" s="40"/>
      <c r="K17" s="1483"/>
      <c r="L17" s="40"/>
    </row>
    <row r="18" spans="1:12">
      <c r="A18" s="6" t="s">
        <v>115</v>
      </c>
      <c r="C18" s="314"/>
      <c r="E18" s="314"/>
      <c r="L18" s="314"/>
    </row>
    <row r="19" spans="1:12">
      <c r="A19" s="427" t="s">
        <v>261</v>
      </c>
      <c r="B19" s="482"/>
      <c r="C19" s="314"/>
      <c r="D19" s="482"/>
      <c r="E19" s="314"/>
      <c r="F19" s="482"/>
      <c r="H19" s="482"/>
      <c r="L19" s="314"/>
    </row>
    <row r="20" spans="1:12">
      <c r="A20" s="427" t="s">
        <v>262</v>
      </c>
      <c r="B20" s="482" t="s">
        <v>104</v>
      </c>
      <c r="C20" s="338">
        <v>15548</v>
      </c>
      <c r="D20" s="337"/>
      <c r="E20" s="338">
        <v>15575</v>
      </c>
      <c r="F20" s="337"/>
      <c r="G20" s="335">
        <f>'Exhibit F'!AC26</f>
        <v>15818.1</v>
      </c>
      <c r="H20" s="337"/>
      <c r="I20" s="335">
        <f>G20-C20</f>
        <v>270.10000000000036</v>
      </c>
      <c r="K20" s="335">
        <f>G20-E20</f>
        <v>243.10000000000036</v>
      </c>
      <c r="L20" s="337"/>
    </row>
    <row r="21" spans="1:12">
      <c r="A21" s="427" t="s">
        <v>263</v>
      </c>
      <c r="B21" s="314" t="s">
        <v>104</v>
      </c>
      <c r="C21" s="336">
        <v>6465</v>
      </c>
      <c r="D21" s="1979"/>
      <c r="E21" s="336">
        <v>6543</v>
      </c>
      <c r="F21" s="325"/>
      <c r="G21" s="325">
        <f>'Exhibit F'!AC37</f>
        <v>6504.7</v>
      </c>
      <c r="H21" s="325"/>
      <c r="I21" s="325">
        <f t="shared" ref="I21:I25" si="0">G21-C21</f>
        <v>39.699999999999818</v>
      </c>
      <c r="K21" s="325">
        <f>G21-E21</f>
        <v>-38.300000000000182</v>
      </c>
      <c r="L21" s="497"/>
    </row>
    <row r="22" spans="1:12">
      <c r="A22" s="427" t="s">
        <v>264</v>
      </c>
      <c r="B22" s="482" t="s">
        <v>104</v>
      </c>
      <c r="C22" s="336">
        <v>6903</v>
      </c>
      <c r="D22" s="469"/>
      <c r="E22" s="336">
        <v>7799</v>
      </c>
      <c r="F22" s="348"/>
      <c r="G22" s="325">
        <f>'Exhibit F'!AC45</f>
        <v>7897.4</v>
      </c>
      <c r="H22" s="348"/>
      <c r="I22" s="325">
        <f t="shared" si="0"/>
        <v>994.39999999999964</v>
      </c>
      <c r="K22" s="325">
        <f t="shared" ref="K22:K30" si="1">G22-E22</f>
        <v>98.399999999999636</v>
      </c>
      <c r="L22" s="497"/>
    </row>
    <row r="23" spans="1:12">
      <c r="A23" s="427" t="s">
        <v>265</v>
      </c>
      <c r="B23" s="314" t="s">
        <v>104</v>
      </c>
      <c r="C23" s="336">
        <v>1206</v>
      </c>
      <c r="D23" s="1979"/>
      <c r="E23" s="336">
        <v>1416</v>
      </c>
      <c r="F23" s="325"/>
      <c r="G23" s="325">
        <f>'Exhibit F'!AC53</f>
        <v>1535.5</v>
      </c>
      <c r="H23" s="325"/>
      <c r="I23" s="325">
        <f t="shared" si="0"/>
        <v>329.5</v>
      </c>
      <c r="K23" s="325">
        <f t="shared" si="1"/>
        <v>119.5</v>
      </c>
      <c r="L23" s="498"/>
    </row>
    <row r="24" spans="1:12" ht="15" customHeight="1">
      <c r="A24" s="427" t="s">
        <v>120</v>
      </c>
      <c r="B24" s="314" t="s">
        <v>104</v>
      </c>
      <c r="C24" s="336">
        <v>2504</v>
      </c>
      <c r="D24" s="1980"/>
      <c r="E24" s="336">
        <v>2762</v>
      </c>
      <c r="F24" s="1977"/>
      <c r="G24" s="351">
        <f>'Exhibit F'!AC96</f>
        <v>2840.3</v>
      </c>
      <c r="H24" s="325"/>
      <c r="I24" s="325">
        <f t="shared" si="0"/>
        <v>336.30000000000018</v>
      </c>
      <c r="K24" s="325">
        <f t="shared" si="1"/>
        <v>78.300000000000182</v>
      </c>
      <c r="L24" s="498"/>
    </row>
    <row r="25" spans="1:12" ht="15" customHeight="1">
      <c r="A25" s="427" t="s">
        <v>121</v>
      </c>
      <c r="B25" s="314" t="s">
        <v>104</v>
      </c>
      <c r="C25" s="336">
        <v>0</v>
      </c>
      <c r="D25" s="1979"/>
      <c r="E25" s="336">
        <v>0</v>
      </c>
      <c r="F25" s="325"/>
      <c r="G25" s="351">
        <f>'Exhibit F'!AC98</f>
        <v>0.3</v>
      </c>
      <c r="H25" s="325"/>
      <c r="I25" s="325">
        <f t="shared" si="0"/>
        <v>0.3</v>
      </c>
      <c r="K25" s="325">
        <f t="shared" si="1"/>
        <v>0.3</v>
      </c>
      <c r="L25" s="497"/>
    </row>
    <row r="26" spans="1:12" ht="18" customHeight="1">
      <c r="A26" s="427" t="s">
        <v>282</v>
      </c>
      <c r="B26" s="492"/>
      <c r="C26" s="336"/>
      <c r="D26" s="1979"/>
      <c r="E26" s="336"/>
      <c r="F26" s="325"/>
      <c r="G26" s="1981"/>
      <c r="H26" s="325"/>
      <c r="I26" s="325"/>
      <c r="J26" s="492"/>
      <c r="K26" s="325" t="s">
        <v>104</v>
      </c>
      <c r="L26" s="336"/>
    </row>
    <row r="27" spans="1:12">
      <c r="A27" s="427" t="s">
        <v>283</v>
      </c>
      <c r="B27" s="492" t="s">
        <v>104</v>
      </c>
      <c r="C27" s="336">
        <v>16902</v>
      </c>
      <c r="D27" s="1979"/>
      <c r="E27" s="336">
        <v>17649</v>
      </c>
      <c r="F27" s="325"/>
      <c r="G27" s="325">
        <f>'Exhibit F'!AC127</f>
        <v>17946</v>
      </c>
      <c r="H27" s="325"/>
      <c r="I27" s="325">
        <f>G27-C27</f>
        <v>1044</v>
      </c>
      <c r="J27" s="492"/>
      <c r="K27" s="325">
        <f t="shared" si="1"/>
        <v>297</v>
      </c>
      <c r="L27" s="336"/>
    </row>
    <row r="28" spans="1:12">
      <c r="A28" s="427" t="s">
        <v>284</v>
      </c>
      <c r="B28" s="492" t="s">
        <v>104</v>
      </c>
      <c r="C28" s="336">
        <v>5599</v>
      </c>
      <c r="D28" s="1979"/>
      <c r="E28" s="336">
        <v>5840</v>
      </c>
      <c r="F28" s="325"/>
      <c r="G28" s="351">
        <f>'Exhibit F'!AC128</f>
        <v>5764.2</v>
      </c>
      <c r="H28" s="325"/>
      <c r="I28" s="325">
        <f>G28-C28</f>
        <v>165.19999999999982</v>
      </c>
      <c r="J28" s="492"/>
      <c r="K28" s="325">
        <f t="shared" si="1"/>
        <v>-75.800000000000182</v>
      </c>
      <c r="L28" s="336" t="s">
        <v>104</v>
      </c>
    </row>
    <row r="29" spans="1:12">
      <c r="A29" s="427" t="s">
        <v>285</v>
      </c>
      <c r="B29" s="492" t="s">
        <v>104</v>
      </c>
      <c r="C29" s="336">
        <v>656</v>
      </c>
      <c r="D29" s="1979"/>
      <c r="E29" s="336">
        <v>652</v>
      </c>
      <c r="F29" s="325"/>
      <c r="G29" s="325">
        <f>'Exhibit F'!AC129</f>
        <v>638.70000000000005</v>
      </c>
      <c r="H29" s="325"/>
      <c r="I29" s="325">
        <f>G29-C29</f>
        <v>-17.299999999999955</v>
      </c>
      <c r="J29" s="492"/>
      <c r="K29" s="325">
        <f t="shared" si="1"/>
        <v>-13.299999999999955</v>
      </c>
      <c r="L29" s="336"/>
    </row>
    <row r="30" spans="1:12">
      <c r="A30" s="427" t="s">
        <v>286</v>
      </c>
      <c r="B30" s="492" t="s">
        <v>104</v>
      </c>
      <c r="C30" s="336">
        <v>1489</v>
      </c>
      <c r="D30" s="1979"/>
      <c r="E30" s="336">
        <v>1249</v>
      </c>
      <c r="F30" s="325"/>
      <c r="G30" s="351">
        <f>'Exhibit F'!AC130</f>
        <v>1229.8999999999978</v>
      </c>
      <c r="H30" s="325"/>
      <c r="I30" s="325">
        <f>G30-C30</f>
        <v>-259.10000000000218</v>
      </c>
      <c r="J30" s="492"/>
      <c r="K30" s="325">
        <f t="shared" si="1"/>
        <v>-19.100000000002183</v>
      </c>
      <c r="L30" s="350"/>
    </row>
    <row r="31" spans="1:12" ht="18" customHeight="1">
      <c r="A31" s="2006" t="s">
        <v>287</v>
      </c>
      <c r="B31" s="47" t="s">
        <v>104</v>
      </c>
      <c r="C31" s="785">
        <f>ROUND(SUM(C20:C30),1)</f>
        <v>57272</v>
      </c>
      <c r="D31" s="16"/>
      <c r="E31" s="785">
        <f>ROUND(SUM(E20:E30),1)</f>
        <v>59485</v>
      </c>
      <c r="F31" s="16"/>
      <c r="G31" s="785">
        <f>ROUND(SUM(G20:G30),1)</f>
        <v>60175.1</v>
      </c>
      <c r="H31" s="16"/>
      <c r="I31" s="784">
        <f>ROUND(SUM(I20:I30),1)</f>
        <v>2903.1</v>
      </c>
      <c r="J31" s="47"/>
      <c r="K31" s="784">
        <f>ROUND(SUM(K20:K30),1)</f>
        <v>690.1</v>
      </c>
      <c r="L31" s="16"/>
    </row>
    <row r="32" spans="1:12">
      <c r="C32" s="783"/>
      <c r="D32" s="325"/>
      <c r="E32" s="783"/>
      <c r="F32" s="325"/>
      <c r="G32" s="783"/>
      <c r="H32" s="325"/>
      <c r="I32" s="325"/>
      <c r="K32" s="325"/>
      <c r="L32" s="325"/>
    </row>
    <row r="33" spans="1:12">
      <c r="A33" s="6" t="s">
        <v>123</v>
      </c>
      <c r="C33" s="325"/>
      <c r="D33" s="325"/>
      <c r="E33" s="325"/>
      <c r="F33" s="325"/>
      <c r="G33" s="325"/>
      <c r="H33" s="325"/>
      <c r="I33" s="325"/>
      <c r="K33" s="325"/>
      <c r="L33" s="325"/>
    </row>
    <row r="34" spans="1:12">
      <c r="A34" s="427" t="s">
        <v>267</v>
      </c>
      <c r="B34" s="482" t="s">
        <v>104</v>
      </c>
      <c r="C34" s="336">
        <v>43812</v>
      </c>
      <c r="D34" s="1979"/>
      <c r="E34" s="336">
        <v>40577</v>
      </c>
      <c r="F34" s="325"/>
      <c r="G34" s="351">
        <f>'Exhibit F'!AC114</f>
        <v>40270.400000000001</v>
      </c>
      <c r="H34" s="325"/>
      <c r="I34" s="325">
        <f>G34-C34</f>
        <v>-3541.5999999999985</v>
      </c>
      <c r="K34" s="325">
        <f t="shared" ref="K34:K36" si="2">G34-E34</f>
        <v>-306.59999999999854</v>
      </c>
      <c r="L34" s="348"/>
    </row>
    <row r="35" spans="1:12">
      <c r="A35" s="427" t="s">
        <v>268</v>
      </c>
      <c r="B35" s="482" t="s">
        <v>104</v>
      </c>
      <c r="C35" s="336">
        <v>7665</v>
      </c>
      <c r="D35" s="1979"/>
      <c r="E35" s="336">
        <v>7825</v>
      </c>
      <c r="F35" s="325"/>
      <c r="G35" s="351">
        <f>'Exhibit F'!AC116+'Exhibit F'!AC117</f>
        <v>7839</v>
      </c>
      <c r="H35" s="325"/>
      <c r="I35" s="325">
        <f>G35-C35</f>
        <v>174</v>
      </c>
      <c r="K35" s="325">
        <f t="shared" si="2"/>
        <v>14</v>
      </c>
      <c r="L35" s="348"/>
    </row>
    <row r="36" spans="1:12">
      <c r="A36" s="427" t="s">
        <v>232</v>
      </c>
      <c r="B36" s="482" t="s">
        <v>104</v>
      </c>
      <c r="C36" s="336">
        <v>5491</v>
      </c>
      <c r="D36" s="1979"/>
      <c r="E36" s="336">
        <v>5318</v>
      </c>
      <c r="F36" s="325"/>
      <c r="G36" s="351">
        <f>'Exhibit F'!AC118</f>
        <v>5293</v>
      </c>
      <c r="H36" s="325"/>
      <c r="I36" s="325">
        <f>G36-C36</f>
        <v>-198</v>
      </c>
      <c r="K36" s="325">
        <f t="shared" si="2"/>
        <v>-25</v>
      </c>
      <c r="L36" s="348"/>
    </row>
    <row r="37" spans="1:12" ht="18" customHeight="1">
      <c r="A37" s="427" t="s">
        <v>288</v>
      </c>
      <c r="B37" s="492"/>
      <c r="C37" s="336"/>
      <c r="D37" s="1979"/>
      <c r="E37" s="336"/>
      <c r="F37" s="325"/>
      <c r="G37" s="336"/>
      <c r="H37" s="325"/>
      <c r="I37" s="325"/>
      <c r="J37" s="492"/>
      <c r="K37" s="325" t="s">
        <v>254</v>
      </c>
      <c r="L37" s="350"/>
    </row>
    <row r="38" spans="1:12">
      <c r="A38" s="427" t="s">
        <v>289</v>
      </c>
      <c r="B38" s="492" t="s">
        <v>104</v>
      </c>
      <c r="C38" s="336">
        <v>61</v>
      </c>
      <c r="D38" s="1979"/>
      <c r="E38" s="336">
        <v>92</v>
      </c>
      <c r="F38" s="325"/>
      <c r="G38" s="350">
        <f>-'Exhibit F'!AC133</f>
        <v>92.1</v>
      </c>
      <c r="H38" s="325"/>
      <c r="I38" s="325">
        <f>G38-C38</f>
        <v>31.099999999999994</v>
      </c>
      <c r="J38" s="492"/>
      <c r="K38" s="325">
        <f t="shared" ref="K38:K42" si="3">G38-E38</f>
        <v>9.9999999999994316E-2</v>
      </c>
      <c r="L38" s="336"/>
    </row>
    <row r="39" spans="1:12">
      <c r="A39" s="427" t="s">
        <v>290</v>
      </c>
      <c r="B39" s="492" t="s">
        <v>104</v>
      </c>
      <c r="C39" s="336">
        <v>2144</v>
      </c>
      <c r="D39" s="1979"/>
      <c r="E39" s="336">
        <v>2501</v>
      </c>
      <c r="F39" s="325"/>
      <c r="G39" s="350">
        <f>-'Exhibit F'!AC131-'Exhibit F'!AC132</f>
        <v>1851.7</v>
      </c>
      <c r="H39" s="325" t="s">
        <v>104</v>
      </c>
      <c r="I39" s="325">
        <f>G39-C39</f>
        <v>-292.29999999999995</v>
      </c>
      <c r="J39" s="492"/>
      <c r="K39" s="325">
        <f t="shared" si="3"/>
        <v>-649.29999999999995</v>
      </c>
      <c r="L39" s="336" t="s">
        <v>104</v>
      </c>
    </row>
    <row r="40" spans="1:12">
      <c r="A40" s="427" t="s">
        <v>291</v>
      </c>
      <c r="B40" s="492" t="s">
        <v>104</v>
      </c>
      <c r="C40" s="336">
        <v>0</v>
      </c>
      <c r="D40" s="1979"/>
      <c r="E40" s="336">
        <v>0</v>
      </c>
      <c r="F40" s="325"/>
      <c r="G40" s="351">
        <v>299.7</v>
      </c>
      <c r="H40" s="325" t="s">
        <v>279</v>
      </c>
      <c r="I40" s="325">
        <f>G40-C40</f>
        <v>299.7</v>
      </c>
      <c r="J40" s="492"/>
      <c r="K40" s="325">
        <f t="shared" si="3"/>
        <v>299.7</v>
      </c>
      <c r="L40" s="336"/>
    </row>
    <row r="41" spans="1:12">
      <c r="A41" s="427" t="s">
        <v>293</v>
      </c>
      <c r="B41" s="492" t="s">
        <v>294</v>
      </c>
      <c r="C41" s="336">
        <v>1477</v>
      </c>
      <c r="D41" s="1979"/>
      <c r="E41" s="336">
        <v>1398</v>
      </c>
      <c r="F41" s="325"/>
      <c r="G41" s="351">
        <v>1364.8</v>
      </c>
      <c r="H41" s="325"/>
      <c r="I41" s="325">
        <f>G41-C41</f>
        <v>-112.20000000000005</v>
      </c>
      <c r="J41" s="492"/>
      <c r="K41" s="325">
        <f t="shared" si="3"/>
        <v>-33.200000000000045</v>
      </c>
      <c r="L41" s="336" t="s">
        <v>104</v>
      </c>
    </row>
    <row r="42" spans="1:12">
      <c r="A42" s="427" t="s">
        <v>295</v>
      </c>
      <c r="B42" s="492" t="s">
        <v>104</v>
      </c>
      <c r="C42" s="336">
        <v>848</v>
      </c>
      <c r="D42" s="1979"/>
      <c r="E42" s="336">
        <v>826</v>
      </c>
      <c r="F42" s="325"/>
      <c r="G42" s="350">
        <f>488.6+0.1</f>
        <v>488.70000000000005</v>
      </c>
      <c r="H42" s="325"/>
      <c r="I42" s="325">
        <f>G42-C42</f>
        <v>-359.29999999999995</v>
      </c>
      <c r="J42" s="492"/>
      <c r="K42" s="325">
        <f t="shared" si="3"/>
        <v>-337.29999999999995</v>
      </c>
      <c r="L42" s="350" t="s">
        <v>104</v>
      </c>
    </row>
    <row r="43" spans="1:12" ht="18" customHeight="1">
      <c r="A43" s="2006" t="s">
        <v>296</v>
      </c>
      <c r="B43" s="47" t="s">
        <v>104</v>
      </c>
      <c r="C43" s="785">
        <f>ROUND(SUM(C34:C42),1)</f>
        <v>61498</v>
      </c>
      <c r="D43" s="16"/>
      <c r="E43" s="785">
        <f>ROUND(SUM(E34:E42),1)</f>
        <v>58537</v>
      </c>
      <c r="F43" s="16"/>
      <c r="G43" s="785">
        <f>ROUND(SUM(G34:G42),1)</f>
        <v>57499.4</v>
      </c>
      <c r="H43" s="16"/>
      <c r="I43" s="784">
        <f>ROUND(SUM(I34:I42),1)</f>
        <v>-3998.6</v>
      </c>
      <c r="J43" s="47"/>
      <c r="K43" s="784">
        <f>ROUND(SUM(K34:K42),1)</f>
        <v>-1037.5999999999999</v>
      </c>
      <c r="L43" s="16"/>
    </row>
    <row r="44" spans="1:12">
      <c r="C44" s="783"/>
      <c r="D44" s="325"/>
      <c r="E44" s="783"/>
      <c r="F44" s="325"/>
      <c r="G44" s="783"/>
      <c r="H44" s="325"/>
      <c r="I44" s="325"/>
      <c r="K44" s="325"/>
      <c r="L44" s="325"/>
    </row>
    <row r="45" spans="1:12">
      <c r="A45" s="6" t="s">
        <v>297</v>
      </c>
      <c r="C45" s="325"/>
      <c r="D45" s="325"/>
      <c r="E45" s="325"/>
      <c r="F45" s="325"/>
      <c r="G45" s="325"/>
      <c r="H45" s="325"/>
      <c r="I45" s="325"/>
      <c r="K45" s="325"/>
      <c r="L45" s="325"/>
    </row>
    <row r="46" spans="1:12">
      <c r="A46" s="6" t="s">
        <v>298</v>
      </c>
      <c r="C46" s="325"/>
      <c r="D46" s="325"/>
      <c r="E46" s="325"/>
      <c r="F46" s="325"/>
      <c r="G46" s="325"/>
      <c r="H46" s="325"/>
      <c r="I46" s="325"/>
      <c r="K46" s="325"/>
      <c r="L46" s="325"/>
    </row>
    <row r="47" spans="1:12">
      <c r="A47" s="2006" t="s">
        <v>276</v>
      </c>
      <c r="B47" s="2005" t="s">
        <v>104</v>
      </c>
      <c r="C47" s="16">
        <f>ROUND(SUM(C31)-SUM(C43),1)</f>
        <v>-4226</v>
      </c>
      <c r="D47" s="23"/>
      <c r="E47" s="16">
        <f>ROUND(SUM(E31)-SUM(E43),1)</f>
        <v>948</v>
      </c>
      <c r="F47" s="23"/>
      <c r="G47" s="16">
        <f>ROUND(SUM(G31)-SUM(G43),1)</f>
        <v>2675.7</v>
      </c>
      <c r="H47" s="23"/>
      <c r="I47" s="16">
        <f>ROUND(SUM(I31)-SUM(I43),1)</f>
        <v>6901.7</v>
      </c>
      <c r="J47" s="47"/>
      <c r="K47" s="16">
        <f>ROUND(SUM(K31)-SUM(K43),1)</f>
        <v>1727.7</v>
      </c>
      <c r="L47" s="16"/>
    </row>
    <row r="48" spans="1:12" ht="15" customHeight="1">
      <c r="C48" s="325"/>
      <c r="D48" s="325"/>
      <c r="E48" s="325"/>
      <c r="F48" s="325"/>
      <c r="G48" s="325"/>
      <c r="H48" s="325"/>
      <c r="I48" s="16"/>
      <c r="J48" s="47"/>
      <c r="K48" s="16"/>
      <c r="L48" s="325"/>
    </row>
    <row r="49" spans="1:12">
      <c r="A49" s="2006" t="str">
        <f>'Exh D-Governmental  '!A49</f>
        <v>Fund Balances (Deficits) at April 1</v>
      </c>
      <c r="B49" s="314" t="s">
        <v>104</v>
      </c>
      <c r="C49" s="16">
        <v>43451</v>
      </c>
      <c r="D49" s="325"/>
      <c r="E49" s="16">
        <f>C49</f>
        <v>43451</v>
      </c>
      <c r="F49" s="325"/>
      <c r="G49" s="16">
        <v>43450.616269309983</v>
      </c>
      <c r="H49" s="325"/>
      <c r="I49" s="16">
        <f>G49-C49</f>
        <v>-0.3837306900168187</v>
      </c>
      <c r="J49" s="47"/>
      <c r="K49" s="16">
        <f>G49-E49</f>
        <v>-0.3837306900168187</v>
      </c>
      <c r="L49" s="16"/>
    </row>
    <row r="50" spans="1:12" ht="18" customHeight="1" thickBot="1">
      <c r="A50" s="2006" t="str">
        <f>'Exh D-Governmental  '!A50</f>
        <v xml:space="preserve">Fund Balances (Deficits) at November 30, 2023 </v>
      </c>
      <c r="B50" s="54" t="s">
        <v>104</v>
      </c>
      <c r="C50" s="843">
        <f>ROUND(SUM(C47:C49),1)</f>
        <v>39225</v>
      </c>
      <c r="D50" s="55"/>
      <c r="E50" s="843">
        <f>ROUND(SUM(E47:E49),1)</f>
        <v>44399</v>
      </c>
      <c r="F50" s="55"/>
      <c r="G50" s="843">
        <f>ROUND(SUM(G47:G49),1)</f>
        <v>46126.3</v>
      </c>
      <c r="H50" s="55"/>
      <c r="I50" s="843">
        <f>ROUND(SUM(I47:I49),1)</f>
        <v>6901.3</v>
      </c>
      <c r="J50" s="47"/>
      <c r="K50" s="843">
        <f>ROUND(SUM(K47:K49),1)</f>
        <v>1727.3</v>
      </c>
      <c r="L50" s="26"/>
    </row>
    <row r="51" spans="1:12" ht="15" customHeight="1" thickTop="1">
      <c r="A51" s="50"/>
      <c r="L51" s="352"/>
    </row>
    <row r="52" spans="1:12">
      <c r="A52" s="489" t="str">
        <f>'Exh D-Governmental  '!A52</f>
        <v xml:space="preserve">(*)    Source: 2023-24 Enacted Financial Plan dated June 9, 2023. </v>
      </c>
    </row>
    <row r="53" spans="1:12">
      <c r="A53" s="489" t="str">
        <f>'Exh D-Governmental  '!A53</f>
        <v>(**)   Source: 2023-24 Mid Year Update dated October 30, 2023.</v>
      </c>
    </row>
    <row r="54" spans="1:12">
      <c r="A54" s="427" t="s">
        <v>1490</v>
      </c>
    </row>
    <row r="55" spans="1:12">
      <c r="A55" s="427" t="s">
        <v>299</v>
      </c>
    </row>
    <row r="58" spans="1:12">
      <c r="A58" s="427" t="s">
        <v>104</v>
      </c>
      <c r="C58" s="1360"/>
    </row>
    <row r="59" spans="1:12">
      <c r="A59" s="427"/>
      <c r="C59" s="1360"/>
      <c r="G59" s="314" t="s">
        <v>104</v>
      </c>
    </row>
    <row r="60" spans="1:12">
      <c r="C60" s="1360"/>
    </row>
    <row r="61" spans="1:12">
      <c r="A61" s="1147"/>
      <c r="C61" s="1361"/>
    </row>
    <row r="62" spans="1:12">
      <c r="A62" s="70"/>
      <c r="C62" s="1360"/>
    </row>
    <row r="63" spans="1:12">
      <c r="C63" s="1360"/>
    </row>
  </sheetData>
  <mergeCells count="2">
    <mergeCell ref="A5:E5"/>
    <mergeCell ref="C11:I11"/>
  </mergeCells>
  <printOptions horizontalCentered="1"/>
  <pageMargins left="0.5" right="0.75" top="0.75" bottom="0.75" header="0.5" footer="0.25"/>
  <pageSetup scale="59" firstPageNumber="9" orientation="landscape" useFirstPageNumber="1" r:id="rId1"/>
  <headerFooter scaleWithDoc="0" alignWithMargins="0">
    <oddFooter>&amp;C&amp;8&amp;P</oddFooter>
  </headerFooter>
  <customProperties>
    <customPr name="SheetOptions" r:id="rId2"/>
  </customPropertie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45</vt:i4>
      </vt:variant>
      <vt:variant>
        <vt:lpstr>Named Ranges</vt:lpstr>
      </vt:variant>
      <vt:variant>
        <vt:i4>78</vt:i4>
      </vt:variant>
    </vt:vector>
  </HeadingPairs>
  <TitlesOfParts>
    <vt:vector size="123" baseType="lpstr">
      <vt:lpstr>Table of Contents</vt:lpstr>
      <vt:lpstr>Exhibit A</vt:lpstr>
      <vt:lpstr>Exh A Supp</vt:lpstr>
      <vt:lpstr>Footnotes</vt:lpstr>
      <vt:lpstr>Exh B</vt:lpstr>
      <vt:lpstr>Exh C</vt:lpstr>
      <vt:lpstr>Exh D-Governmental  </vt:lpstr>
      <vt:lpstr>Exh D State Operating</vt:lpstr>
      <vt:lpstr>Exh D General Fund</vt:lpstr>
      <vt:lpstr>Exh D Special Revenue</vt:lpstr>
      <vt:lpstr>Exh D Special Revenue State Fed</vt:lpstr>
      <vt:lpstr>Exh D Debt Service</vt:lpstr>
      <vt:lpstr>Exh D Capital Projects</vt:lpstr>
      <vt:lpstr>Exh D Captl Projects State Fed</vt:lpstr>
      <vt:lpstr>EXHIBIT E </vt:lpstr>
      <vt:lpstr>Cashflow Governmental</vt:lpstr>
      <vt:lpstr>Cash Flow State Operating</vt:lpstr>
      <vt:lpstr>Exhibit F</vt:lpstr>
      <vt:lpstr>Exhibit G</vt:lpstr>
      <vt:lpstr>Exhibit G State</vt:lpstr>
      <vt:lpstr>Exhibit G Federal</vt:lpstr>
      <vt:lpstr>Exhibit H</vt:lpstr>
      <vt:lpstr>Exhibit I</vt:lpstr>
      <vt:lpstr>Exhibit I State</vt:lpstr>
      <vt:lpstr>Exhibit I Federal</vt:lpstr>
      <vt:lpstr>Exhibit J</vt:lpstr>
      <vt:lpstr>Exhibit K</vt:lpstr>
      <vt:lpstr>Exhibit L</vt:lpstr>
      <vt:lpstr>Exhibit M</vt:lpstr>
      <vt:lpstr>Sch 1 </vt:lpstr>
      <vt:lpstr>Sch 2 </vt:lpstr>
      <vt:lpstr>Sch 3 </vt:lpstr>
      <vt:lpstr>Sch 4</vt:lpstr>
      <vt:lpstr>Sch 5 </vt:lpstr>
      <vt:lpstr>Sch 5a</vt:lpstr>
      <vt:lpstr>Sch 6</vt:lpstr>
      <vt:lpstr>HCRA </vt:lpstr>
      <vt:lpstr>HCRA PROG DISB</vt:lpstr>
      <vt:lpstr>Public Goods </vt:lpstr>
      <vt:lpstr>Medicaid Disp Share</vt:lpstr>
      <vt:lpstr>Appendix E</vt:lpstr>
      <vt:lpstr>Appendix F</vt:lpstr>
      <vt:lpstr>Appendix G</vt:lpstr>
      <vt:lpstr>Appendix H</vt:lpstr>
      <vt:lpstr>Appendix I</vt:lpstr>
      <vt:lpstr>'Exhibit G'!Exh_G_var</vt:lpstr>
      <vt:lpstr>'Exhibit G Federal'!Exh_G_var</vt:lpstr>
      <vt:lpstr>'Exhibit G State'!Exh_G_var</vt:lpstr>
      <vt:lpstr>'EXHIBIT E '!EXHIBIT_E</vt:lpstr>
      <vt:lpstr>'Exh A Supp'!EXHIBITA</vt:lpstr>
      <vt:lpstr>'Exh A Supp'!EXHIBITAvar</vt:lpstr>
      <vt:lpstr>'Exh C'!ExhibitB</vt:lpstr>
      <vt:lpstr>'Appendix E'!EXHL</vt:lpstr>
      <vt:lpstr>'Exhibit M'!EXHL</vt:lpstr>
      <vt:lpstr>'Medicaid Disp Share'!Medicaid</vt:lpstr>
      <vt:lpstr>Footnotes!Page_1</vt:lpstr>
      <vt:lpstr>'Sch 4'!page1</vt:lpstr>
      <vt:lpstr>'Table of Contents'!page1</vt:lpstr>
      <vt:lpstr>'Appendix E'!Print_Area</vt:lpstr>
      <vt:lpstr>'Appendix F'!Print_Area</vt:lpstr>
      <vt:lpstr>'Appendix G'!Print_Area</vt:lpstr>
      <vt:lpstr>'Appendix H'!Print_Area</vt:lpstr>
      <vt:lpstr>'Appendix I'!Print_Area</vt:lpstr>
      <vt:lpstr>'Cash Flow State Operating'!Print_Area</vt:lpstr>
      <vt:lpstr>'Cashflow Governmental'!Print_Area</vt:lpstr>
      <vt:lpstr>'Exh A Supp'!Print_Area</vt:lpstr>
      <vt:lpstr>'Exh B'!Print_Area</vt:lpstr>
      <vt:lpstr>'Exh C'!Print_Area</vt:lpstr>
      <vt:lpstr>'Exh D Capital Projects'!Print_Area</vt:lpstr>
      <vt:lpstr>'Exh D Captl Projects State Fed'!Print_Area</vt:lpstr>
      <vt:lpstr>'Exh D Debt Service'!Print_Area</vt:lpstr>
      <vt:lpstr>'Exh D General Fund'!Print_Area</vt:lpstr>
      <vt:lpstr>'Exh D Special Revenue'!Print_Area</vt:lpstr>
      <vt:lpstr>'Exh D Special Revenue State Fed'!Print_Area</vt:lpstr>
      <vt:lpstr>'Exh D State Operating'!Print_Area</vt:lpstr>
      <vt:lpstr>'Exh D-Governmental  '!Print_Area</vt:lpstr>
      <vt:lpstr>'Exhibit A'!Print_Area</vt:lpstr>
      <vt:lpstr>'EXHIBIT E '!Print_Area</vt:lpstr>
      <vt:lpstr>'Exhibit F'!Print_Area</vt:lpstr>
      <vt:lpstr>'Exhibit G'!Print_Area</vt:lpstr>
      <vt:lpstr>'Exhibit G Federal'!Print_Area</vt:lpstr>
      <vt:lpstr>'Exhibit G State'!Print_Area</vt:lpstr>
      <vt:lpstr>'Exhibit H'!Print_Area</vt:lpstr>
      <vt:lpstr>'Exhibit I'!Print_Area</vt:lpstr>
      <vt:lpstr>'Exhibit I Federal'!Print_Area</vt:lpstr>
      <vt:lpstr>'Exhibit I State'!Print_Area</vt:lpstr>
      <vt:lpstr>'Exhibit J'!Print_Area</vt:lpstr>
      <vt:lpstr>'Exhibit K'!Print_Area</vt:lpstr>
      <vt:lpstr>'Exhibit L'!Print_Area</vt:lpstr>
      <vt:lpstr>'Exhibit M'!Print_Area</vt:lpstr>
      <vt:lpstr>Footnotes!Print_Area</vt:lpstr>
      <vt:lpstr>'HCRA '!Print_Area</vt:lpstr>
      <vt:lpstr>'HCRA PROG DISB'!Print_Area</vt:lpstr>
      <vt:lpstr>'Medicaid Disp Share'!Print_Area</vt:lpstr>
      <vt:lpstr>'Public Goods '!Print_Area</vt:lpstr>
      <vt:lpstr>'Sch 1 '!Print_Area</vt:lpstr>
      <vt:lpstr>'Sch 2 '!Print_Area</vt:lpstr>
      <vt:lpstr>'Sch 3 '!Print_Area</vt:lpstr>
      <vt:lpstr>'Sch 4'!Print_Area</vt:lpstr>
      <vt:lpstr>'Sch 5 '!Print_Area</vt:lpstr>
      <vt:lpstr>'Sch 5a'!Print_Area</vt:lpstr>
      <vt:lpstr>'Sch 6'!Print_Area</vt:lpstr>
      <vt:lpstr>'Table of Contents'!Print_Area</vt:lpstr>
      <vt:lpstr>'Appendix F'!Print_Titles</vt:lpstr>
      <vt:lpstr>'Cash Flow State Operating'!Print_Titles</vt:lpstr>
      <vt:lpstr>'Cashflow Governmental'!Print_Titles</vt:lpstr>
      <vt:lpstr>'Exhibit F'!Print_Titles</vt:lpstr>
      <vt:lpstr>'Exhibit G'!Print_Titles</vt:lpstr>
      <vt:lpstr>'Exhibit G Federal'!Print_Titles</vt:lpstr>
      <vt:lpstr>'Exhibit G State'!Print_Titles</vt:lpstr>
      <vt:lpstr>'Exhibit H'!Print_Titles</vt:lpstr>
      <vt:lpstr>'Exhibit I'!Print_Titles</vt:lpstr>
      <vt:lpstr>'Exhibit I Federal'!Print_Titles</vt:lpstr>
      <vt:lpstr>'Exhibit I State'!Print_Titles</vt:lpstr>
      <vt:lpstr>Footnotes!Print_Titles</vt:lpstr>
      <vt:lpstr>'HCRA PROG DISB'!Print_Titles</vt:lpstr>
      <vt:lpstr>'Public Goods '!Print_Titles</vt:lpstr>
      <vt:lpstr>'Sch 1 '!Print_Titles</vt:lpstr>
      <vt:lpstr>'Table of Contents'!Print_Titles</vt:lpstr>
      <vt:lpstr>'Sch 3 '!Sch3_2</vt:lpstr>
      <vt:lpstr>'EXHIBIT E '!STATE_OF_NEW_YORK</vt:lpstr>
      <vt:lpstr>'Appendix G'!variance</vt:lpstr>
      <vt:lpstr>'HCRA '!variance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2023-12-15T18:18:51Z</dcterms:created>
  <dcterms:modified xsi:type="dcterms:W3CDTF">2023-12-15T18:19:33Z</dcterms:modified>
  <cp:category/>
  <cp:contentStatus/>
</cp:coreProperties>
</file>